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P:\Documents\Tarieven en inkomsten TenneT 2024\Afronding\Voorbereiding publicatie website\"/>
    </mc:Choice>
  </mc:AlternateContent>
  <xr:revisionPtr revIDLastSave="0" documentId="8_{75BEF8A2-A952-41BA-9678-9A58F52F4A6C}" xr6:coauthVersionLast="47" xr6:coauthVersionMax="47" xr10:uidLastSave="{00000000-0000-0000-0000-000000000000}"/>
  <bookViews>
    <workbookView xWindow="28680" yWindow="-120" windowWidth="29040" windowHeight="17640" tabRatio="938" xr2:uid="{00000000-000D-0000-FFFF-FFFF00000000}"/>
  </bookViews>
  <sheets>
    <sheet name="1. Titelblad" sheetId="9" r:id="rId1"/>
    <sheet name="2. Toelichting" sheetId="10" r:id="rId2"/>
    <sheet name="3. Bronnen en toepassingen" sheetId="52" r:id="rId3"/>
    <sheet name="4. Totale inkomsten 2024" sheetId="25" r:id="rId4"/>
    <sheet name="Input (Dataverzoek TenneT) --&gt;" sheetId="13" r:id="rId5"/>
    <sheet name="5. Toevoeging kosten RCR" sheetId="33" r:id="rId6"/>
    <sheet name="Input (Data door ACM) --&gt;" sheetId="45" r:id="rId7"/>
    <sheet name="6. Parameters" sheetId="18" r:id="rId8"/>
    <sheet name="7. Brondata" sheetId="40" r:id="rId9"/>
    <sheet name="Input (Database) --&gt;" sheetId="57" r:id="rId10"/>
    <sheet name="8. Inkoopkosten netverliezen" sheetId="59" r:id="rId11"/>
    <sheet name="Berekeningen --&gt;" sheetId="15" r:id="rId12"/>
    <sheet name="9. Berekening parameters" sheetId="47" r:id="rId13"/>
    <sheet name="10. Wettelijke formule" sheetId="41" r:id="rId14"/>
    <sheet name="11. Correctie bijschatten" sheetId="53" r:id="rId15"/>
    <sheet name="12. Correctie afloopinv. WUI" sheetId="60" r:id="rId16"/>
    <sheet name="13. Correctie netverliezen" sheetId="56" r:id="rId17"/>
    <sheet name="14. Correctie WACC" sheetId="55" r:id="rId18"/>
  </sheets>
  <definedNames>
    <definedName name="_xlnm.Print_Area" localSheetId="12">'9. Berekening parameters'!$A$1:$R$45</definedName>
    <definedName name="ExternalData_1" localSheetId="10" hidden="1">'8. Inkoopkosten netverliezen'!$B$16:$F$18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6" i="25" l="1"/>
  <c r="H20" i="25" l="1"/>
  <c r="H31" i="25" l="1"/>
  <c r="I18" i="25" l="1"/>
  <c r="H28" i="25" l="1"/>
  <c r="H30" i="25"/>
  <c r="H29" i="25"/>
  <c r="H19" i="55" l="1"/>
  <c r="O23" i="60" l="1"/>
  <c r="P23" i="60"/>
  <c r="N23" i="60"/>
  <c r="N28" i="60" s="1"/>
  <c r="O20" i="60"/>
  <c r="P20" i="60"/>
  <c r="N20" i="60"/>
  <c r="P28" i="60" l="1"/>
  <c r="O28" i="60"/>
  <c r="N21" i="53"/>
  <c r="O21" i="53"/>
  <c r="O20" i="53"/>
  <c r="N20" i="53"/>
  <c r="N39" i="53" l="1"/>
  <c r="O39" i="53"/>
  <c r="P39" i="53"/>
  <c r="P40" i="53"/>
  <c r="N41" i="53"/>
  <c r="O41" i="53"/>
  <c r="P41" i="53"/>
  <c r="P61" i="53" s="1"/>
  <c r="N34" i="53"/>
  <c r="O34" i="53"/>
  <c r="P34" i="53"/>
  <c r="P35" i="53"/>
  <c r="N36" i="53"/>
  <c r="O36" i="53"/>
  <c r="P36" i="53"/>
  <c r="N30" i="53"/>
  <c r="O30" i="53"/>
  <c r="P30" i="53"/>
  <c r="N31" i="53"/>
  <c r="O31" i="53"/>
  <c r="P31" i="53"/>
  <c r="P25" i="53"/>
  <c r="P26" i="53"/>
  <c r="N25" i="53"/>
  <c r="N26" i="53"/>
  <c r="O25" i="53"/>
  <c r="O26" i="53"/>
  <c r="I27" i="25"/>
  <c r="H27" i="25"/>
  <c r="N42" i="55"/>
  <c r="N41" i="55"/>
  <c r="N40" i="55"/>
  <c r="N35" i="55"/>
  <c r="N36" i="55"/>
  <c r="N37" i="55"/>
  <c r="N34" i="55"/>
  <c r="N31" i="55"/>
  <c r="N30" i="55"/>
  <c r="N27" i="55"/>
  <c r="N26" i="55"/>
  <c r="N23" i="55"/>
  <c r="N22" i="55"/>
  <c r="N48" i="55" l="1"/>
  <c r="N47" i="55"/>
  <c r="N70" i="55"/>
  <c r="N58" i="55"/>
  <c r="N53" i="55"/>
  <c r="N61" i="53"/>
  <c r="N48" i="53"/>
  <c r="P60" i="53"/>
  <c r="P47" i="53"/>
  <c r="N67" i="55"/>
  <c r="O61" i="53"/>
  <c r="P48" i="53"/>
  <c r="O48" i="53"/>
  <c r="N66" i="55" l="1"/>
  <c r="N73" i="55" s="1"/>
  <c r="N54" i="55"/>
  <c r="N55" i="55"/>
  <c r="N16" i="47"/>
  <c r="H36" i="47" s="1"/>
  <c r="N35" i="47" s="1"/>
  <c r="N19" i="56" s="1"/>
  <c r="O16" i="47"/>
  <c r="H37" i="47" s="1"/>
  <c r="O36" i="47" s="1"/>
  <c r="P16" i="47"/>
  <c r="H38" i="47" s="1"/>
  <c r="P37" i="47" s="1"/>
  <c r="M13" i="47"/>
  <c r="N13" i="47"/>
  <c r="H28" i="47" s="1"/>
  <c r="N27" i="47" s="1"/>
  <c r="N16" i="56" s="1"/>
  <c r="O13" i="47"/>
  <c r="H29" i="47" s="1"/>
  <c r="O28" i="47" s="1"/>
  <c r="P13" i="47"/>
  <c r="H30" i="47" s="1"/>
  <c r="P29" i="47" s="1"/>
  <c r="O22" i="47"/>
  <c r="O21" i="47"/>
  <c r="P20" i="47"/>
  <c r="P19" i="47"/>
  <c r="N61" i="55" l="1"/>
  <c r="P36" i="47"/>
  <c r="P35" i="47" s="1"/>
  <c r="P43" i="47"/>
  <c r="O35" i="47"/>
  <c r="O27" i="47"/>
  <c r="P28" i="47"/>
  <c r="P27" i="47" l="1"/>
  <c r="P13" i="41"/>
  <c r="P29" i="53"/>
  <c r="P59" i="53" s="1"/>
  <c r="P64" i="53" s="1"/>
  <c r="P24" i="53"/>
  <c r="P46" i="53" s="1"/>
  <c r="P51" i="53" s="1"/>
  <c r="H49" i="47"/>
  <c r="P48" i="47" s="1"/>
  <c r="H17" i="53" l="1"/>
  <c r="H17" i="60"/>
  <c r="L20" i="47"/>
  <c r="L21" i="47"/>
  <c r="L22" i="47"/>
  <c r="L19" i="47"/>
  <c r="H18" i="25" l="1"/>
  <c r="M21" i="41"/>
  <c r="M20" i="41"/>
  <c r="M19" i="41"/>
  <c r="O13" i="41" l="1"/>
  <c r="O24" i="53" l="1"/>
  <c r="O46" i="53" s="1"/>
  <c r="O51" i="53" s="1"/>
  <c r="O29" i="53"/>
  <c r="O59" i="53" s="1"/>
  <c r="O64" i="53" s="1"/>
  <c r="N29" i="53"/>
  <c r="N59" i="53" s="1"/>
  <c r="N64" i="53" s="1"/>
  <c r="N24" i="53"/>
  <c r="N46" i="53" s="1"/>
  <c r="N51" i="53" s="1"/>
  <c r="O19" i="47"/>
  <c r="O20" i="47"/>
  <c r="N21" i="47"/>
  <c r="N22" i="47"/>
  <c r="O43" i="47" l="1"/>
  <c r="H48" i="47" s="1"/>
  <c r="P47" i="47" s="1"/>
  <c r="H16" i="60" s="1"/>
  <c r="P31" i="60" l="1"/>
  <c r="H34" i="25" s="1"/>
  <c r="O47" i="47"/>
  <c r="I19" i="25"/>
  <c r="H19" i="25"/>
  <c r="H16" i="55" l="1"/>
  <c r="H16" i="53"/>
  <c r="P67" i="53" s="1"/>
  <c r="H22" i="56"/>
  <c r="P43" i="56" s="1"/>
  <c r="H16" i="41"/>
  <c r="P79" i="55" l="1"/>
  <c r="P78" i="55"/>
  <c r="H26" i="25" s="1"/>
  <c r="H32" i="25"/>
  <c r="H36" i="25" s="1"/>
  <c r="I33" i="25"/>
  <c r="P54" i="53"/>
  <c r="H33" i="25" s="1"/>
  <c r="I26" i="25"/>
  <c r="N13" i="41"/>
  <c r="N19" i="47"/>
  <c r="N20" i="47"/>
  <c r="M20" i="47"/>
  <c r="M21" i="47"/>
  <c r="M22" i="47"/>
  <c r="N26" i="41" l="1"/>
  <c r="O26" i="41" s="1"/>
  <c r="P26" i="41" s="1"/>
  <c r="N28" i="41"/>
  <c r="O28" i="41" s="1"/>
  <c r="P28" i="41" s="1"/>
  <c r="N27" i="41"/>
  <c r="O27" i="41" s="1"/>
  <c r="P27" i="41" s="1"/>
  <c r="N43" i="47"/>
  <c r="H47" i="47" s="1"/>
  <c r="M19" i="47"/>
  <c r="M43" i="47" s="1"/>
  <c r="H46" i="47" s="1"/>
  <c r="I17" i="25" l="1"/>
  <c r="H17" i="25"/>
  <c r="O46" i="47"/>
  <c r="P46" i="47"/>
  <c r="N46" i="47"/>
  <c r="I22" i="25" l="1"/>
  <c r="H22" i="25"/>
  <c r="H40" i="25" s="1"/>
  <c r="B74" i="10" l="1"/>
  <c r="B61" i="10"/>
  <c r="B62" i="10" s="1"/>
  <c r="B63" i="10" s="1"/>
  <c r="B68" i="10" s="1"/>
  <c r="B69" i="10" l="1"/>
  <c r="I40" i="25" l="1"/>
  <c r="M13"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68"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7FED193-A813-4CF1-8B6E-407ABF3513DD}" keepAlive="1" name="Query - Realisatie netverliezen" type="5" refreshedVersion="8" deleted="1" background="1" saveData="1">
    <dbPr connection="" command=""/>
  </connection>
</connections>
</file>

<file path=xl/sharedStrings.xml><?xml version="1.0" encoding="utf-8"?>
<sst xmlns="http://schemas.openxmlformats.org/spreadsheetml/2006/main" count="759" uniqueCount="433">
  <si>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</si>
  <si>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</si>
  <si>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</si>
  <si>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</si>
  <si>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</si>
  <si>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</si>
  <si>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</si>
  <si>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</si>
  <si>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</si>
  <si>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</si>
  <si>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Contactgegevens ACM</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</si>
  <si>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</si>
  <si>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</si>
  <si>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</si>
  <si>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</si>
  <si>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</si>
  <si>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</si>
  <si>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</si>
  <si>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</si>
  <si>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</si>
  <si>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t>
  </si>
  <si>
    <t>Exacte bestandsnaam</t>
  </si>
  <si>
    <t>Eenheid</t>
  </si>
  <si>
    <t>Constante</t>
  </si>
  <si>
    <t>Data</t>
  </si>
  <si>
    <t>Berekening</t>
  </si>
  <si>
    <t>Resultaat</t>
  </si>
  <si>
    <t>Tabkleur</t>
  </si>
  <si>
    <t>Tabblad met input</t>
  </si>
  <si>
    <t>Tabblad met berekeningen</t>
  </si>
  <si>
    <t>Input --&gt;</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</si>
  <si>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</si>
  <si>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</si>
  <si>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</si>
  <si>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</si>
  <si>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</si>
  <si>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</si>
  <si>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</si>
  <si>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</si>
  <si>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</si>
  <si>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</si>
  <si>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</si>
  <si>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</si>
  <si>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</si>
  <si>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</si>
  <si>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Nr.</t>
  </si>
  <si>
    <t xml:space="preserve">Verkorte naam </t>
  </si>
  <si>
    <t>Grijze cijfers geven de uitkomt van een check berekening; dit is geen resultaat waarmee verder wordt gerekend</t>
  </si>
  <si>
    <t>Schematische weergave en/of inhoudsopgave van de werking van dit model</t>
  </si>
  <si>
    <t>%</t>
  </si>
  <si>
    <t>Berekening inkomsten op basis van wettelijke formule</t>
  </si>
  <si>
    <t>Toelichting vaststelling jaarlijks CPI-percentage</t>
  </si>
  <si>
    <t xml:space="preserve">Berekening totale inkomsten </t>
  </si>
  <si>
    <t xml:space="preserve">Stap 3: Totale inkomsten </t>
  </si>
  <si>
    <t>Data ten behoeve van wettelijke formule</t>
  </si>
  <si>
    <t>Consumenten Prijs Index</t>
  </si>
  <si>
    <t>CPI als jaarlijks percentage</t>
  </si>
  <si>
    <t>N.v.t.</t>
  </si>
  <si>
    <t>CBS Statline</t>
  </si>
  <si>
    <t>Postbus 16326</t>
  </si>
  <si>
    <t>2500 BH DEN HAAG</t>
  </si>
  <si>
    <t>Tabblad 1 - Titelblad</t>
  </si>
  <si>
    <t>Tabblad 2 - Toelichting bij dit bestand</t>
  </si>
  <si>
    <t>Tabblad 3 - Bronnenoverzicht en specifieke toepassingen</t>
  </si>
  <si>
    <t>Tabblad 5 - Toevoeging geschatte kosten RCR-investeringen</t>
  </si>
  <si>
    <t xml:space="preserve">Tabblad 6 - Parameters </t>
  </si>
  <si>
    <t>Tabblad 7 - Brondata</t>
  </si>
  <si>
    <t>Inputs</t>
  </si>
  <si>
    <t>Berekeningen</t>
  </si>
  <si>
    <t>Resultaten</t>
  </si>
  <si>
    <t>Stap 1: Totale inkomsten exclusief correcties</t>
  </si>
  <si>
    <t>Stap 2: Correcties</t>
  </si>
  <si>
    <t>Overige opmerkingen</t>
  </si>
  <si>
    <t>De relatieve wijziging van de consumentenprijsindex wordt berekend uit het quotiënt van deze index, gepubliceerd in de vierde maand voorafgaande aan het jaar t, en van deze index, gepubliceerd</t>
  </si>
  <si>
    <t>De gegevens zijn afkomstig uit StatLine, zie voor recente CPI-cijfers: https://opendata.cbs.nl/statline/#/CBS/nl/dataset/70936ned/table?ts=1532343719053.</t>
  </si>
  <si>
    <t>Disclaimer</t>
  </si>
  <si>
    <t>Dit bestand is bedoeld ter verduidelijking van de berekeningen door ACM. Aan dit bestand kunnen geen rechten worden ontleend.</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</si>
  <si>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</si>
  <si>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</si>
  <si>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</si>
  <si>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</si>
  <si>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</si>
  <si>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Gestandaardiseerde tabbladen, omvat tenminste: 'Titelblad', 'Toelichting' en 'Bronnen en toepassingen' (kleur: ACM-lichtpaars)</t>
  </si>
  <si>
    <t>Rentepercentage tariefcorrecties</t>
  </si>
  <si>
    <t>Eerste kwartaal</t>
  </si>
  <si>
    <t>Tweede kwartaal</t>
  </si>
  <si>
    <t>Derde kwartaal</t>
  </si>
  <si>
    <t>Vierde kwartaal</t>
  </si>
  <si>
    <t>Berekening mutatie rentepercentage tariefcorrecties over meerdere jaren</t>
  </si>
  <si>
    <t>Berekening rentepercentage tariefcorrecties op jaarbasis</t>
  </si>
  <si>
    <t>Samengesteld percentage op basis van juli - juli mutatie:</t>
  </si>
  <si>
    <t>Beschrijving berekening</t>
  </si>
  <si>
    <t>Toelichting gegevens rentepercentage tariefcorrecties</t>
  </si>
  <si>
    <t xml:space="preserve">De nacalculaties waarop het rentepercentage tariefcorrecties wordt toegepast kunnen zowel positief als negatief zijn; ACM past het rentepercentage tariefcorrecties symmetrisch toe. </t>
  </si>
  <si>
    <t>CPI</t>
  </si>
  <si>
    <t>Rentepercentage</t>
  </si>
  <si>
    <t>EUR, pp jaar</t>
  </si>
  <si>
    <t>Fase I</t>
  </si>
  <si>
    <t>Fase II</t>
  </si>
  <si>
    <t xml:space="preserve">Toevoegingen RCR-investeringen </t>
  </si>
  <si>
    <t>Hulpberekeningen</t>
  </si>
  <si>
    <t xml:space="preserve">1 + rentepercentage van … naar … </t>
  </si>
  <si>
    <t>1+%</t>
  </si>
  <si>
    <t>1+rentepercentage</t>
  </si>
  <si>
    <t xml:space="preserve">CPI </t>
  </si>
  <si>
    <t>X-factor periode 2022-2026</t>
  </si>
  <si>
    <t>Begininkomsten</t>
  </si>
  <si>
    <t>Inkomsten op basis van wettelijke formule</t>
  </si>
  <si>
    <t>X-factorberekening Netbeheerder van het Net op Zee TenneT 2022-2026, tab 1, cel F13</t>
  </si>
  <si>
    <t>De ACM gebruikt het rentepercentage tariefcorrecties voor de vergoeding van de tijdwaarde van geld in het geval van het toekennen van correcties in de tarieven die volgen uit nacalculaties over eerdere jaren.</t>
  </si>
  <si>
    <t>E-mail : DE-tarievenbesluiten@acm.nl</t>
  </si>
  <si>
    <t>X-factor netbeheerder van het net op zee</t>
  </si>
  <si>
    <t>X-factor</t>
  </si>
  <si>
    <t>DNB</t>
  </si>
  <si>
    <t>De ACM heeft besloten om voor alle nacalculaties vanaf 2022 de wettelijke rente als rentepercentage tariefcorrecties te hanteren. Dit percentage wordt halfjaarlijks door De Nederlandsche Bank gepubliceerd.</t>
  </si>
  <si>
    <t>Rentepercentage tariefcorrecties (wettelijke rente)</t>
  </si>
  <si>
    <t>- Fase I</t>
  </si>
  <si>
    <t>- Fase II</t>
  </si>
  <si>
    <t xml:space="preserve">Efficiënte begininkomsten </t>
  </si>
  <si>
    <t>X-factorberekening Netbeheerder van het Net op Zee TenneT 2022-2026, tab 1, cel F12</t>
  </si>
  <si>
    <t>X-factorberekening Netbeheerder van het Net op Zee TenneT 2022-2026, tab 1, cel F14</t>
  </si>
  <si>
    <t>X-factorberekening Netbeheerder van het Net op Zee TenneT 2022-2026, tab 1, cel F16</t>
  </si>
  <si>
    <t>Nee</t>
  </si>
  <si>
    <t>ACM/22/178349</t>
  </si>
  <si>
    <t>Opmerkingen</t>
  </si>
  <si>
    <t>Definitief? (ja/nee)</t>
  </si>
  <si>
    <t>Indien definitief, wordt bestand openbaar en/of gepubliceerd? (ja/nee)</t>
  </si>
  <si>
    <t>Indien publicatie, datum van dit bestand:</t>
  </si>
  <si>
    <t>Juridisch integraal onderdeel van bovenstaande besluit(en) (ja/nee)?</t>
  </si>
  <si>
    <t>Indien publicatie, bevat bedrijfsvertrouwelijke gegevens? (ja/nee)</t>
  </si>
  <si>
    <t>Mogelijkheden van bezwaar en beroep staan open tegen het besluit waarbij dit bestand hoort (zie kenmerken hierboven)</t>
  </si>
  <si>
    <t>Toelichting samenhang tabbladen:</t>
  </si>
  <si>
    <t>6. Parameters</t>
  </si>
  <si>
    <t>7. Brondata</t>
  </si>
  <si>
    <t>5. Toevoeging kosten RCR</t>
  </si>
  <si>
    <t>8. Berekening parameters</t>
  </si>
  <si>
    <t>9. Wettelijke formule</t>
  </si>
  <si>
    <t>10. Correctie opex</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</si>
  <si>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</si>
  <si>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</si>
  <si>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Naam bestand</t>
  </si>
  <si>
    <t>Zaaknummer en/of kenmerk ACM</t>
  </si>
  <si>
    <t>Aanvullende gegevens bestand</t>
  </si>
  <si>
    <t>Zoals gebruikt in dit bestand</t>
  </si>
  <si>
    <t>Indien van toepassing</t>
  </si>
  <si>
    <t>Datum/wijze ontvangst, versie nr., URL, etc.</t>
  </si>
  <si>
    <t xml:space="preserve">Beschrijving resultaat </t>
  </si>
  <si>
    <t>Bedragen zijn inclusief het rentepercentage voor correcties.</t>
  </si>
  <si>
    <t xml:space="preserve">Beschrijving gegevens </t>
  </si>
  <si>
    <t>Beschrijving gegevens</t>
  </si>
  <si>
    <t xml:space="preserve">Beschrijving berekening </t>
  </si>
  <si>
    <t xml:space="preserve">Op dit tabblad berekent de ACM de toegestane inkomsten van de netbeheerder van het net op zee op basis van de wettelijke formule. Dit is de formule in artikel 42d, eerste lid, onderdeel a, van de E-wet waarmee ACM de x-factor toepast op de totale inkomsten.
</t>
  </si>
  <si>
    <t>Data ten behoeve van nacalculatie bijgeschatte investeringen afschrijvingstermijn &gt; 10 jaar</t>
  </si>
  <si>
    <t xml:space="preserve">Verwachte efficiënte kosten net op zee fase I o.b.v. bijgeschatte investeringen </t>
  </si>
  <si>
    <t>Verwachte kapitaalkosten bijschatten fase I</t>
  </si>
  <si>
    <t>Verandering operationele kosten door bijgeschatte investeringen in 2021 net op zee fase I</t>
  </si>
  <si>
    <t xml:space="preserve">Verwachte efficiënte kosten net op zee fase II o.b.v. bijgeschatte investeringen </t>
  </si>
  <si>
    <t>Verwachte kapitaalkosten bijschatten fase II</t>
  </si>
  <si>
    <t>Verandering operationele kosten door bijgeschatte investeringen in 2021 net op zee fase II</t>
  </si>
  <si>
    <t>Verandering operationele kosten door gerealiseerde investeringen in 2021 net op zee fase II</t>
  </si>
  <si>
    <t>Verandering operationele kosten door gerealiseerde investeringen in 2021 net op zee fase I</t>
  </si>
  <si>
    <t>X-factorberekening Netbeheerder van het Net op Zee TenneT 2022-2026, tab 7, rij 49</t>
  </si>
  <si>
    <t>X-factorberekening Netbeheerder van het Net op Zee TenneT 2022-2026, tab 7, rij 57</t>
  </si>
  <si>
    <t xml:space="preserve">Verschil operationele kosten bijschatten fase I a.g.v. gerealiseerde investeringen 2021 </t>
  </si>
  <si>
    <t xml:space="preserve">Verschil operationele kosten bijschatten fase II a.g.v. gerealiseerde investeringen 2021 </t>
  </si>
  <si>
    <t>[berekeningstabbladen]</t>
  </si>
  <si>
    <t>Hyperlink</t>
  </si>
  <si>
    <t>Uitspraak CBb d.d. 28-11-2019</t>
  </si>
  <si>
    <t>Rekenmodule RCR-investeringen NOZ fase I</t>
  </si>
  <si>
    <t>Rekenmodule RCR-investeringen NOZ fase I 2023</t>
  </si>
  <si>
    <t>Niet openbaar</t>
  </si>
  <si>
    <t>Rekenmodule RCR-investeringen NOZ fase II</t>
  </si>
  <si>
    <t>Rekenmodule RCR-investeringen NOZ fase II 2023</t>
  </si>
  <si>
    <t>X-factorberekening Netbeheerder van het Net op Zee TenneT 2022-2026</t>
  </si>
  <si>
    <t>Invulmodule reguleringsdata 2021</t>
  </si>
  <si>
    <t>Data ten behoeve van correcties van de inkoopkosten voor netverliezen</t>
  </si>
  <si>
    <t>Data ten behoeve van correcties en toevoegingen RCR-investeringen</t>
  </si>
  <si>
    <t>Rekenmodule inkomstenbesluit TenneT 2024</t>
  </si>
  <si>
    <t>Rekenmodule netbeheerder van het net op zee 2024</t>
  </si>
  <si>
    <t>Inkomstenbesluit TenneT 2024</t>
  </si>
  <si>
    <t>Rekenmodule RCR-investeringen NOZ TenneT 2024, Rekenmodule RCR-investeringen NOZ fase II TenneT 2024</t>
  </si>
  <si>
    <t>Verandering operationele kosten door bijgeschatte investeringen in 2022 net op zee fase I</t>
  </si>
  <si>
    <t>Verandering operationele kosten door bijgeschatte investeringen in 2022 net op zee fase II</t>
  </si>
  <si>
    <t>Verandering operationele kosten door gerealiseerde investeringen in 2022 net op zee fase I</t>
  </si>
  <si>
    <t>Verandering operationele kosten door gerealiseerde investeringen in 2022 net op zee fase II</t>
  </si>
  <si>
    <t>X-factorberekening Netbeheerder van het Net op Zee TenneT 2022-2026, tab 8, rij 98</t>
  </si>
  <si>
    <t>X-factorberekening Netbeheerder van het Net op Zee TenneT 2022-2026, tab 8, rij 118</t>
  </si>
  <si>
    <t>1 + rentepercentage van 2023 naar 2024</t>
  </si>
  <si>
    <t>EUR, pp 2024</t>
  </si>
  <si>
    <t>Tabblad 4 - Totale inkomsten netbeheerder van het net op zee 2024</t>
  </si>
  <si>
    <t>Totaal correcties 2024</t>
  </si>
  <si>
    <t>Totale inkomsten 2024</t>
  </si>
  <si>
    <t xml:space="preserve">Dit tabblad is een overzicht van de totale inkomsten 2024 van de netbeheerder van het net op zee, TenneT TSO B.V. De ACM bepaalt de totale inkomsten inclusief correcties in drie stappen:
1: de ACM berekent de totale inkomsten exclusief correcties;
2: de ACM bepaalt de correcties;
3: de ACM berekent de totale inkomsten inclusief correcties.
Hierbij wordt onderscheid gemaakt tussen de berekening van de totale inkomsten voor fase I en fase II van het net op zee. </t>
  </si>
  <si>
    <t>Deze rekenmodule wordt gebruikt bij het vaststellen van het Inkomstenbesluit TenneT 2024.</t>
  </si>
  <si>
    <t>Deze rekenmodule bevat alle gegevens die nodig zijn om de inkomsten voor het net op zee te berekenen voor het jaar 2024.</t>
  </si>
  <si>
    <t xml:space="preserve">Op dit tabblad vult TenneT voor de RCR-investeringen de geschatte vermogenskosten (voor investeringen in aanbouw) en de geschatte totale kosten (voor investeringen in gebruik) in 2024 in. De omvang van deze kosten wordt berekend in aparte rekenmodules. </t>
  </si>
  <si>
    <t>X-factorberekening Netbeheerder van het Net op Zee TenneT 2022-2026, tab 4, cel F36</t>
  </si>
  <si>
    <t>X-factorberekening Netbeheerder van het Net op Zee TenneT 2022-2026, tab 4, cel F37</t>
  </si>
  <si>
    <t>Frontier shift</t>
  </si>
  <si>
    <t>Methodebesluit 2022-2026</t>
  </si>
  <si>
    <t>Methodebesluit Netbeheerder van het Net op Zee 2022-2026</t>
  </si>
  <si>
    <t>ACM/UIT/556554</t>
  </si>
  <si>
    <t>Jaarlijkse CPI</t>
  </si>
  <si>
    <t>Berekening CPI-mutatie</t>
  </si>
  <si>
    <t>1+CPI</t>
  </si>
  <si>
    <t>Berekening frontier shift</t>
  </si>
  <si>
    <t>1 - frontier shift van … naar …</t>
  </si>
  <si>
    <t>1 + CPI van … naar …</t>
  </si>
  <si>
    <t>1 - FS</t>
  </si>
  <si>
    <t>1-%</t>
  </si>
  <si>
    <t>Schatting inkoopkosten netverliezen Borssele netverbindingen</t>
  </si>
  <si>
    <t>1+CPI van 2021 naar ….</t>
  </si>
  <si>
    <t>1-FS van 2021 naar …</t>
  </si>
  <si>
    <t xml:space="preserve">Berekening prognose inkoopkosten voor netverliezen </t>
  </si>
  <si>
    <t>Prognose inkoopkosten voor netverliezen</t>
  </si>
  <si>
    <t>1+rentepercentage van 2022 naar 2024</t>
  </si>
  <si>
    <t>Verschil tussen realisatie en prognose</t>
  </si>
  <si>
    <t>X-factorberekening Netbeheerder van het Net op Zee TenneT 2022-2026, tab 8, rij 97</t>
  </si>
  <si>
    <t>Verwachte kapitaalkosten bijschatten fase II o.b.v. gerealiseerde inv. 2021-2022 en bijgeschatte inv. 2023-2026</t>
  </si>
  <si>
    <t>Verwachte kapitaalkosten bijschatten fase I o.b.v. gerealiseerde inv. 2021-2022 en bijgeschatte inv. 2023-2026</t>
  </si>
  <si>
    <t>X-factorberekening Netbeheerder van het Net op Zee TenneT 2022-2026, tab 8, rij 117</t>
  </si>
  <si>
    <t>WACC</t>
  </si>
  <si>
    <t>Reëel-plus WACC uit het methodebesluit</t>
  </si>
  <si>
    <t>Reeël-plus WACC nieuw vermogen uit MB (voor belasting)</t>
  </si>
  <si>
    <t>Reeël-plus WACC bestaand vermogen uit MB (voor belasting)</t>
  </si>
  <si>
    <t>Reëel-plus WACC incl. nacalculatie rente</t>
  </si>
  <si>
    <t>Reeël-plus WACC nieuw vermogen incl. nacalculatie rente (voor belasting)</t>
  </si>
  <si>
    <t>Reeël-plus WACC bestaand vermogen incl. nacalculatie rente (voor belasting)</t>
  </si>
  <si>
    <t>Methodebesluit 2022-2026, paragraaf 8.4.1, randnummer 265</t>
  </si>
  <si>
    <t>Nacalculatiemodel WACC</t>
  </si>
  <si>
    <t>Nacalculatiemodel WACC, tab 1, cel K52. Te gebruiken obligaties = 10-jaars.</t>
  </si>
  <si>
    <t>Nacalculatiemodel WACC, tab 1, cel K46. Te gebruiken obligaties = 10-jaars.</t>
  </si>
  <si>
    <t>Percentages nieuw en bestaand vermogen</t>
  </si>
  <si>
    <t>Percentage bijschatten nieuw vermogen</t>
  </si>
  <si>
    <t>Percentage bijschatten bestaand vermogen</t>
  </si>
  <si>
    <t>Aangepaste X-factorberekening Netbeheerder van het Net op Zee TenneT 2022-2026 t.b.v. Inkomstenbesluit 2024</t>
  </si>
  <si>
    <t>GAW WUI's excl. ARO geactiveerd t/m 2020 net op zee fase I</t>
  </si>
  <si>
    <t>GAW WUI's ARO geactiveerd t/m 2020 net op zee fase I</t>
  </si>
  <si>
    <t>GAW niet-WUI's geactiveerd t/m 2020 net op zee fase I</t>
  </si>
  <si>
    <t>GAW niet-WUI's bijschatten vanaf 2021 net op zee fase I</t>
  </si>
  <si>
    <t>GAW WUI's geactiveerd t/m 2020 net op zee fase II</t>
  </si>
  <si>
    <t>GAW niet-WUI's geactiveerd t/m 2020 net op zee fase II</t>
  </si>
  <si>
    <t>GAW niet-WUI's bijschatten vanaf 2021 net op zee fase II</t>
  </si>
  <si>
    <t>1 + rentepercentage van 2022 naar 2024</t>
  </si>
  <si>
    <t>Berekening parameters</t>
  </si>
  <si>
    <t>%-punt</t>
  </si>
  <si>
    <t>Berekening verandering vermogenskosten net op zee fase I door nagecalculeerde rente</t>
  </si>
  <si>
    <t>Verandering vermogenskosten doorrollen door nacalculatie rente</t>
  </si>
  <si>
    <t>Verandering vermogenskosten bijschatten door nacalculatie rente</t>
  </si>
  <si>
    <t xml:space="preserve">Totale verandering vermogenskosten door nacalculatie rente </t>
  </si>
  <si>
    <t>Totale verandering vermogenskosten net op zee fase I door nacalculatie rente</t>
  </si>
  <si>
    <t>Berekening verandering vermogenskosten net op zee fase II door nagecalculeerde rente</t>
  </si>
  <si>
    <t>Vermogenskosten bijschatten fase II</t>
  </si>
  <si>
    <t>Totale verandering vermogenskosten net op zee fase II door nacalculatie rente</t>
  </si>
  <si>
    <t>Op dit tabblad verzamelt de ACM de parameters die nodig zijn voor de berekening van de totale inkomsten verderop in deze module. Deze parameters betreffen achtereenvolgens: CPI, rentepercentage tariefcorrecties, x-factor en de frontier shift, de WACC en de percentages nieuw- en bestaand vermogen.</t>
  </si>
  <si>
    <t xml:space="preserve">Frontier shift </t>
  </si>
  <si>
    <t>Op dit tabblad staan per jaar de gegevens die de ACM gebruikt voor de berekening van de toegestane inkomsten van de netbeheerder van het net op zee in 2024. Bij elk gegeven is een bron aangegeven.</t>
  </si>
  <si>
    <t xml:space="preserve">Op dit tabblad berekent de ACM de CPI-mutaties, de frontier shift en het rentepercentage tariefcorrecties. Bij de toepassing van samengestelde percentages wordt niet tussentijds afgerond. </t>
  </si>
  <si>
    <t>Totale inkomsten exclusief correcties 2024</t>
  </si>
  <si>
    <t>Jaar</t>
  </si>
  <si>
    <t>Segment</t>
  </si>
  <si>
    <t>Categorie</t>
  </si>
  <si>
    <t>Netverliezen Borssele Alpha</t>
  </si>
  <si>
    <t>Netverliezen Borssele Beta</t>
  </si>
  <si>
    <t>Tabblad 8 - Inkoopkosten netverliezen</t>
  </si>
  <si>
    <t>Op dit blad worden de gerealiseerde inkoopkosten netverliezen uit de database opgehaald.
Deze inputgegevens worden gebruikt bij de correctie netverliezen.</t>
  </si>
  <si>
    <t>Bron</t>
  </si>
  <si>
    <t>Datum inladen</t>
  </si>
  <si>
    <t>Bewerkingen</t>
  </si>
  <si>
    <t>Verschil operationele kosten bijschatten fase I a.g.v. gerealiseerde investeringen 2022</t>
  </si>
  <si>
    <t>Verschil operationele kosten bijschatten fase II a.g.v. gerealiseerde investeringen 2022</t>
  </si>
  <si>
    <t>Berekening verschil efficiënte kosten fase I bijschatten a.g.v. gerealiseerde investeringen 2021-2022</t>
  </si>
  <si>
    <t>Tabblad 9 - Berekening op basis van parameters</t>
  </si>
  <si>
    <t>Toelichting bij bijzonderheden</t>
  </si>
  <si>
    <t>Schatting inkoopkosten netverliezen Borssele Alpha</t>
  </si>
  <si>
    <t>Schatting inkoopkosten netverliezen Borssele Beta</t>
  </si>
  <si>
    <t>Reeds verrekende verschillen kapitaalkosten a.g.v. gerealiseerde investeringen</t>
  </si>
  <si>
    <t>Verschil kapitaalkosten bijschatten fase I a.g.v. gerealiseerde investeringen 2021</t>
  </si>
  <si>
    <t>Verschil kapitaalkosten bijschatten fase II a.g.v. gerealiseerde investeringen 2021</t>
  </si>
  <si>
    <t>Rekenmodule inkomstenbesluit TenneT 2023, tab 11 rij 34</t>
  </si>
  <si>
    <t>Rekenmodule inkomstenbesluit TenneT 2023, tab 11 rij 43</t>
  </si>
  <si>
    <t>Totaal verschil kapitaalkosten bijschatten fase I a.g.v. gerealiseerde investeringen 2021-2022</t>
  </si>
  <si>
    <t>Totaal verschil kapitaalkosten bijschatten fase II a.g.v. gerealiseerde investeringen 2021-2022</t>
  </si>
  <si>
    <t>Nog te vergoeden verschil kosten fase I bijschatten a.g.v. gerealiseerde investeringen 2021-2022</t>
  </si>
  <si>
    <t>Nog te vergoeden verschil kosten fase II bijschatten a.g.v. gerealiseerde investeringen 2021-2022</t>
  </si>
  <si>
    <t>Rekenmodule inkomstenbesluit TenneT 2023</t>
  </si>
  <si>
    <t>Gerealiseerde inkoopkosten netverliezen Borssele netverbindingen</t>
  </si>
  <si>
    <t xml:space="preserve">Verwachte efficiënte kosten net op zee o.b.v. bijgeschatte investeringen fase I </t>
  </si>
  <si>
    <t xml:space="preserve">Verwachte efficiënte kosten net op zee o.b.v. bijgeschatte investeringen fase II </t>
  </si>
  <si>
    <t>Verwachte efficiënte kosten net op zee o.b.v. gerealiseerde investeringen met afschrijvingstermijn &gt; 10 jaar fase I</t>
  </si>
  <si>
    <t>Verwachte efficiënte kosten net op zee fase II o.b.v. gerealiseerde investeringen met afschrijvingstermijn &gt; 10 jaar fase II</t>
  </si>
  <si>
    <t>Verwachte efficiënte kosten net op zee o.b.v. gerealiseerde investeringen met afschrijvingstermijn &gt; 10 jaar fase II</t>
  </si>
  <si>
    <t>Berekening nog te vergoeden verschil efficiënte kosten fase I bijschatten a.g.v. gerealiseerde investeringen per jaar</t>
  </si>
  <si>
    <t>Berekening nog te vergoeden verschil efficiënte kosten fase II bijschatten a.g.v. gerealiseerde investeringen per jaar</t>
  </si>
  <si>
    <t>Berekening verschil efficiënte kosten fase II bijschatten a.g.v. gerealiseerde investeringen 2021-2022</t>
  </si>
  <si>
    <t xml:space="preserve">Op dit tabblad berekent de ACM het verschil tussen de geschatte efficiënte kosten (kapitaalkosten en operationele kosten) in het X-factormodel Netbeheerder van het Net op Zee TenneT 2022-2026 en de herberekende geschatte efficiënte kosten (kapitaalkosten en operationele kosten) in het aangepaste X-factormodel Netbeheerder van het Net op Zee TenneT 2022-2026 a.g.v. gerealiseerde investeringen met afschrijvingstermijn langer dan 10 jaar. In de aangepaste versie van het X-factormodel is de input overgenomen uit een aangepaste versie van het GAW-model waarbij bijgeschatte investeringen met een afschrijvingstermijn langer dan 10 jaar in 2021 en 2022 vervangen zijn door de gerealiseerde investeringen met een afschrijvingstermijn langer dan 10 jaar in 2021 en 2022. </t>
  </si>
  <si>
    <t>8. Inkoopkosten netverliezen</t>
  </si>
  <si>
    <t xml:space="preserve">Verandering reëel-plus WACC door nacalculatie rente </t>
  </si>
  <si>
    <t>Verandering reeël-plus WACC nieuw vermogen</t>
  </si>
  <si>
    <t>Verandering reeël-plus WACC bestaand vermogen</t>
  </si>
  <si>
    <t>Verandering vermogenskosten doorrollen WUI's excl. ARO fase I</t>
  </si>
  <si>
    <t>Verandering vermogenskosten doorrollen WUI's ARO fase I</t>
  </si>
  <si>
    <t>Verandering vermogenskosten doorrollen niet-WUI's fase I</t>
  </si>
  <si>
    <t>Verandering vermogenskosten bijschatten fase I</t>
  </si>
  <si>
    <t>Verandering vermogenskosten doorrollen WUI's fase II</t>
  </si>
  <si>
    <t>Verandering vermogenskosten doorrollen niet-WUI's fase II</t>
  </si>
  <si>
    <t>Berekening correcties</t>
  </si>
  <si>
    <t>Correcties</t>
  </si>
  <si>
    <t>Correctie vermogenskosten net op zee fase I 2022 in 2024 a.g.v. de nagecalculeerde rente</t>
  </si>
  <si>
    <t>Correctie vermogenskosten net op zee fase II 2022 in 2024 a.g.v. de nagecalculeerde rente</t>
  </si>
  <si>
    <t>Data ten behoeve van de correctie a.g.v. de nagecalculeerde rente in de WACC</t>
  </si>
  <si>
    <t>4. Totale inkomsten 2024</t>
  </si>
  <si>
    <t>Waarde die uit de ACM-database wordt ingelezen in de cel.</t>
  </si>
  <si>
    <t>Database</t>
  </si>
  <si>
    <t>Tabblad met input uit een database</t>
  </si>
  <si>
    <t>Aangepast GAW-model TenneT t.b.v. Tarievenbesluit 2024</t>
  </si>
  <si>
    <t>Rekenmodule RCR-investeringen NOZ fase I TenneT 2024</t>
  </si>
  <si>
    <t>Rekenmodule RCR-investeringen NOZ fase II TenneT 2024</t>
  </si>
  <si>
    <t>Methodebesluit 2022-2026, paragraaf 8.4.3</t>
  </si>
  <si>
    <t>Reguleringsdata TenneT 2022</t>
  </si>
  <si>
    <t>Methodebesluit</t>
  </si>
  <si>
    <t>Waarde</t>
  </si>
  <si>
    <t>Net op zee</t>
  </si>
  <si>
    <t>Bedragen in de berekening in de blauw gekleurde cellen zijn inclusief het rentepercentage voor tariefcorrecties.</t>
  </si>
  <si>
    <t>Verwachte kosten fase I o.b.v. geschatte afloopinvesteringen WUI's</t>
  </si>
  <si>
    <t>Data ten behoeve van nacalculatie afloopinvesteringen WUI's</t>
  </si>
  <si>
    <t>X-factorberekening Netbeheerder van het Net op Zee TenneT 2022-2026, tab 6, rij 40</t>
  </si>
  <si>
    <t>Tabblad 13 - Correctie netverliezen</t>
  </si>
  <si>
    <t>Tabblad 14 - Correctie WACC</t>
  </si>
  <si>
    <t>Verwachte kosten fase I o.b.v gerealiseerde afloopinvesteringen WUI's</t>
  </si>
  <si>
    <t>Berekening verschil kosten fase I a.g.v. gerealiseerde afloopinvesteringen WUI's</t>
  </si>
  <si>
    <t>Verwachte efficiënte kapitaalkosten doorollen WUI's excl. ARO fase I</t>
  </si>
  <si>
    <t>13. Correctie netverliezen</t>
  </si>
  <si>
    <t>14. Correctie WACC</t>
  </si>
  <si>
    <t>Verwachte efficiënte kapitaalkosten doorollen WUI's excl. ARO fase I o.b.v. gerealiseerde afloopinv. WUI's in RD 2022</t>
  </si>
  <si>
    <t>Percentages nieuw en bestaand vermogen uit aangepaste X-factorberekening Netbeheerder van het Net op Zee t.b.v. Inkomstenbesluit 2024</t>
  </si>
  <si>
    <t>Gestandaardiseerde activa waarde (GAW) uit aangepaste X-factorberekening Netbeheerder van het Net op Zee fase I</t>
  </si>
  <si>
    <t>Gestandaardiseerde activa waarde (GAW) uit aangepaste X-factorberekening Netbeheerder van het Net op Zee fase II</t>
  </si>
  <si>
    <t xml:space="preserve">Op dit tabblad berekent de ACM het verschil tussen de vermogenskosten zoals geschat in de x-factorberekening o.b.v. de WACC uit het methodebesluit, en de vermogenskosten o.b.v. de WACC inclusief de nagecalculeerde rente. De ACM gebruikt hiervoor het verschil tussen de WACC uit het methodebesluit en de WACC inclusief de nagecalculeerde rente in procentpunten, en vermenigvuldigt dit verschil met de gestandaardiseerde activa waarde (GAW).
De ACM houdt hierbij ook rekening met de in 2021 en 2022 gerealiseerde investeringen investeringen met een afschrijvingstermijn langer dan 10 jaar. Deze investeringen, die de ACM in de reguleringsperiode 2022-2026 nacalculeert, hebben invloed op de GAW van de bijgeschatte (en deels nagecalculeerde) investeringen vanaf 2021, én op de percentages nieuw- en bestaand vermogen die de ACM gebruikt om de vermogenskosten voor investeringen vanaf 2021 te bepalen. Ook houdt de ACM rekening met de nagecalculeerde afloopinvesteringen van WUI's opgegeven in de reguleringsdata van 2022. </t>
  </si>
  <si>
    <t>Aangepast GAW-model TenneT t.b.v. Tarievenbesluit 2024, tab 2, cel L114</t>
  </si>
  <si>
    <t>Aangepast GAW-model TenneT t.b.v. Tarievenbesluit 2024, tab 2, cel L116</t>
  </si>
  <si>
    <t>Aangepast GAW-model TenneT t.b.v. Tarievenbesluit 2024, tab 2, cel L118</t>
  </si>
  <si>
    <t>Aangepast GAW-model TenneT t.b.v. Tarievenbesluit 2024, tab 2, cel L123</t>
  </si>
  <si>
    <t>Aangepast GAW-model TenneT t.b.v. Tarievenbesluit 2024, tab 2, cel L125</t>
  </si>
  <si>
    <t>Aangepast GAW-model TenneT t.b.v. Tarievenbesluit 2024, tab 2, cel L130</t>
  </si>
  <si>
    <t>Aangepast GAW-model TenneT t.b.v. Tarievenbesluit 2024, tab 2, cel L139</t>
  </si>
  <si>
    <t>Uitkomst projectspecifieke doelmatigheidstoets</t>
  </si>
  <si>
    <t>Uitkomst projectspecifieke doelmatigheidstoets Borssele</t>
  </si>
  <si>
    <t>Methodebesluit 2022-2026, paragraaf 8.3.1</t>
  </si>
  <si>
    <t>De ACM heeft met een filter de benodigde gegevens voor de gerealiseerde inkoopkosten netverliezen in de reguleringsdata 2022 geselecteerd.</t>
  </si>
  <si>
    <t>Op dit tabblad berekent de ACM het verschil tussen de geschatte kapitaalkosten in het X-factormodel Netbeheerder van het Net op Zee 2022-2026 en de herberekende geschatte kapitaalkosten in het aangepaste X-factormodel Netbeheerder van het Net op Zee 2022-2026 a.g.v. gerealiseerde afloopinvesteringen van WUI's opgegeven in de reguleringsdata 2022. In de aangepaste versie van het X-factormodel is de input overgenomen uit een aangepaste versie van het GAW-model waarbij de gerealiseerde afloopinvesteringen van enkele WUI's opgenomen zijn in plaats van de geschatte afloopinvesteringen. De afloopinvesteringen hebben geen invloed op de geschatte operationele kosten. Deze worden dan ook buiten beschouwing gelaten bij deze nacalculatie.</t>
  </si>
  <si>
    <t>Gestandaardiseerde activa waarde (GAW) fase II uit aangepast GAW-model TenneT</t>
  </si>
  <si>
    <t>Gestandaardiseerde activa waarde (GAW) fase I uit aangepast GAW-model TenneT</t>
  </si>
  <si>
    <t>Aangepaste X-factorberekening Netbeheerder van het Net op Zee TenneT 2022-2026 t.b.v. Inkomstenbesluit 2024, tab 1, rij 29</t>
  </si>
  <si>
    <t>Aangepaste X-factorberekening Netbeheerder van het Net op Zee TenneT 2022-2026 t.b.v. Inkomstenbesluit 2024, tab 1, rij 30</t>
  </si>
  <si>
    <t>Aangepaste X-factorberekening Netbeheerder van het Net op Zee TenneT 2022-2026 t.b.v. Inkomstenbesluit 2024, tab 1, rij 31</t>
  </si>
  <si>
    <t>Aangepaste X-factorberekening Netbeheerder van het Net op Zee TenneT 2022-2026 t.b.v. Inkomstenbesluit 2024, tab 1, rij 34</t>
  </si>
  <si>
    <t>Aangepaste X-factorberekening Netbeheerder van het Net op Zee TenneT 2022-2026 t.b.v. Inkomstenbesluit 2024, tab 1, rij 35</t>
  </si>
  <si>
    <t>Aangepaste X-factorberekening Netbeheerder van het Net op Zee TenneT 2022-2026 t.b.v. Inkomstenbesluit 2024, tab 1, rij 36</t>
  </si>
  <si>
    <t>Aangepaste X-factorberekening Netbeheerder van het Net op Zee TenneT 2022-2026 t.b.v. Inkomstenbesluit 2024, tab 1, cel H46</t>
  </si>
  <si>
    <t>Aangepaste X-factorberekening Netbeheerder van het Net op Zee TenneT 2022-2026 t.b.v. Inkomstenbesluit 2024, tab 1, cel H47</t>
  </si>
  <si>
    <t xml:space="preserve">Percentages nieuw en bestaand vermogen uit aangepaste X-factorberekening  </t>
  </si>
  <si>
    <t>Aangepaste X-factorberekening Netbeheerder van het Net op Zee TenneT 2022-2026 t.b.v. Inkomstenbesluit 2024, tab 1, rij 41</t>
  </si>
  <si>
    <t>Rekenmodule RCR-investeringen NOZ fase I, tab 4, cel H21</t>
  </si>
  <si>
    <t>Rekenmodule RCR-investeringen NOZ fase I, tab 4, cel H17</t>
  </si>
  <si>
    <t>Rekenmodule RCR-investeringen NOZ fase I, tab 4, cel H28</t>
  </si>
  <si>
    <t>Rekenmodule RCR-investeringen NOZ fase I, tab 4, cel H29</t>
  </si>
  <si>
    <t>Rekenmodule RCR-investeringen NOZ fase I, tab 4, cel H24</t>
  </si>
  <si>
    <t>Rekenmodule RCR-investeringen NOZ fase I, tab 4, cel H25</t>
  </si>
  <si>
    <t>Rekenmodule RCR-investeringen NOZ fase I, tab 4, cel H13; Rekenmodule RCR-investeringen NOZ fase II, tab 4, cel H16</t>
  </si>
  <si>
    <t>Rekenmodule RCR-investeringen NOZ fase I, tab 4, cel H16; Rekenmodule RCR-investeringen NOZ fase II, tab 4, cel H19</t>
  </si>
  <si>
    <t>Correctie inkoopkosten netverliezen</t>
  </si>
  <si>
    <t>Op 4 juli 2023 heeft het CBb dit methodebesluit vernietigd. De ACM heeft zes maanden de tijd gekregen om een herstelbesluit te nemen. Op het moment dat de ACM het inkomstenbesluit 2024 neemt, zal er nog geen herstelbesluit zijn genomen. De berekeningen in deze rekenmodule zijn gebaseerd op het vernietigde methodebesluit.</t>
  </si>
  <si>
    <t>Rekenmodule RCR-investeringen NOZ fase II, tab 4, cel H20</t>
  </si>
  <si>
    <r>
      <t>De gegevens die de ACM ophaalt uit de database staan in deze rekenmodule als tabel met tabelnaam. Dit is de tabel "</t>
    </r>
    <r>
      <rPr>
        <i/>
        <sz val="10"/>
        <rFont val="Arial"/>
        <family val="2"/>
      </rPr>
      <t>Realisatie_netverliezen</t>
    </r>
    <r>
      <rPr>
        <sz val="10"/>
        <rFont val="Arial"/>
        <family val="2"/>
      </rPr>
      <t>". De ACM haalt op de relevante berekeningstabbladen gegevens uit deze tabel op door gebruik te maken van de SOM-functie. In de SOM-functie neemt de ACM voorwaarden op, om specifieke gegevens uit de tabel met input uit de database te selecteren.</t>
    </r>
  </si>
  <si>
    <t>Verschil efficiënte kapitaalkosten doorrollen a.g.v. geraliseerde afloopinv. WUI's in RD 2022</t>
  </si>
  <si>
    <t xml:space="preserve">De roze cellen betreffen voorlopige cijfers voor de wettelijke rente, gezien de definitieve waarden pas begin 2024 bekend worden. De ACM stelt deze voorlopige cijfers vast aan de hand van de berekeningsmethode van de wettelijke rente zoals gehanteerd bij de meest recente wijziging van de wettelijke rente. </t>
  </si>
  <si>
    <t xml:space="preserve">Deze berekeningsmethode is omschreven in nota van toelichting bij het meest recente wijzigingsbesluit (https://zoek.officielebekendmakingen.nl/stb-2023-235.html). In deze rekenmodule heeft de ACM de voorlopige cijfers gebaseerd op de basisherfinancieringsrente van de ECB van 4,25%. Dit was de stand van deze rente ten tijde van het versturen van het informatieverzoek. </t>
  </si>
  <si>
    <t>In het inkomstenbesluit 2024 zal de ACM de voorlopige cijfers baseren op de stand van deze rente op de in de nota van toelichting beschreven peildatum (eind oktober).</t>
  </si>
  <si>
    <t>2020 t/m 2024: CBS Statline</t>
  </si>
  <si>
    <t xml:space="preserve">Toevoeging vermogenskosten RCR-investeringen in aanbouw </t>
  </si>
  <si>
    <t>Toevoeging totale kosten RCR-investeringen in gebruik</t>
  </si>
  <si>
    <t>Correctie vermogenskosten RCR-investeringen in aanbouw voor het net op zee fase I 2022 in 2024</t>
  </si>
  <si>
    <t>Correctie vermogenskosten</t>
  </si>
  <si>
    <t>Correctie vermogenskosten RCR-investeringen in aanbouw voor het net op zee fase II 2022 in 2024</t>
  </si>
  <si>
    <t>Correctie toevoeging totale kosten RCR-investeringen in gebruik door herrekende WACC</t>
  </si>
  <si>
    <t xml:space="preserve">Correctie toevoeging totale kosten RCR-investeringen in gebruik door herrekende WACC fase I 2022 in 2024 </t>
  </si>
  <si>
    <t>Correctie efficiënte (vermogens)kosten fase I</t>
  </si>
  <si>
    <t>Correctie efficiënte (vermogens)kosten Borssele Alpha 2016 t/m 2021 in 2024</t>
  </si>
  <si>
    <t>Correctie efficiënte (vermogens)kosten Borssele Beta 2016 t/m 2021 in 2024</t>
  </si>
  <si>
    <t>Kapitaalkosten (actualisaties) ARO's fase I</t>
  </si>
  <si>
    <t>Geschattte kapitaalkosten vanaf 2022 voor de actualisaties ARO's Borssele in 2024</t>
  </si>
  <si>
    <t>Correctie kapitaalkosten (actualisaties) ARO's Borssele t/m 2021 in 2024</t>
  </si>
  <si>
    <t>Totale inkomsten op basis van de wettelijke formule</t>
  </si>
  <si>
    <t>Tabblad 12 - Correctie afloopinvesteringen WUI's</t>
  </si>
  <si>
    <t>Tabblad 11 - Correctie bijgeschatte investeringen afschrijvingstermijn langer dan tien jaar</t>
  </si>
  <si>
    <t>Tabblad 10 - Inkomsten op basis van de wettelijke formule</t>
  </si>
  <si>
    <t>11. Correctie bijschatten</t>
  </si>
  <si>
    <t>12. Correctie afloopinv. WUI</t>
  </si>
  <si>
    <t>Correctie vermogenskosten RCR-investeringen in aanbouw 2022</t>
  </si>
  <si>
    <t>Correctie toevoeging totale kosten RCR-investeringen in gebruik door de herrekende WACC 2022</t>
  </si>
  <si>
    <t>Correctie efficiënte (vermogens)kosten Borssele Alpha 2016 t/m 2021</t>
  </si>
  <si>
    <t>Correctie efficiënte (vermogens)kosten Borssele Beta 2016 t/m 2021</t>
  </si>
  <si>
    <t>Correctie inkoopkosten netverliezen 2022</t>
  </si>
  <si>
    <t>Correctie vermogenskosten door de herrekende WACC 2022</t>
  </si>
  <si>
    <t>Correctie kapitaalkosten ARO's Borssele Alpha en Beta t/m 2021</t>
  </si>
  <si>
    <t>Correctie investeringen afschrijvingstermijn langer dan tien jaar fase I</t>
  </si>
  <si>
    <t>Correctie investeringen afschrijvingstermijn langer dan tien jaar fase II</t>
  </si>
  <si>
    <t>Geschatte vermogenskosten voor RCR-investeringen in aanbouw</t>
  </si>
  <si>
    <t>Geschatte kosten voor RCR-investeringen in gebruik</t>
  </si>
  <si>
    <t>Geschatte kapitaalkosten vanaf 2022 voor de actualisaties van de ARO's Borssele</t>
  </si>
  <si>
    <t>Correctie investeringen afschrijvingstermijn langer dan tien jaar</t>
  </si>
  <si>
    <t>Correctie efficiënte kosten geraliseerde afloopinvesteringen WUI's 2022</t>
  </si>
  <si>
    <t>Ja</t>
  </si>
  <si>
    <t>Op dit tabblad berekent de ACM de correctie op de inkoopkosten voor de netverliezen voor het net op zee. Het gaat hierbij om een volledige nacalculatie van het verschil tussen schatting en realisatie van de inkoopkosten voor de netverliezen van de Borssele netverbindingen.</t>
  </si>
  <si>
    <t>Verschil inkoopkosten voor netverliezen</t>
  </si>
  <si>
    <t xml:space="preserve">In het inkomstenbesluit 2023 heeft geen vergelijkbare correctie plaatsgevonden. Dit komt doordat er geen gerealiseerde afloopinvesteringen in de reguleringsdata 2021 gerapporteerd waren voor RCR-investeringen voor het net op zee. </t>
  </si>
  <si>
    <t>Berekening correctie fase I</t>
  </si>
  <si>
    <r>
      <t>Correctie efficiënte kosten</t>
    </r>
    <r>
      <rPr>
        <b/>
        <strike/>
        <sz val="10"/>
        <rFont val="Arial"/>
        <family val="2"/>
      </rPr>
      <t xml:space="preserve"> </t>
    </r>
    <r>
      <rPr>
        <b/>
        <sz val="10"/>
        <rFont val="Arial"/>
        <family val="2"/>
      </rPr>
      <t>gerealiseerde afloopinvesteringen WUI's fase I</t>
    </r>
  </si>
  <si>
    <r>
      <t xml:space="preserve">Correctie efficiënte kosten gerealiseerde afloopinvesteringen WUI's fase </t>
    </r>
    <r>
      <rPr>
        <strike/>
        <sz val="10"/>
        <rFont val="Arial"/>
        <family val="2"/>
      </rPr>
      <t>I</t>
    </r>
  </si>
  <si>
    <t>In het inkomstenbesluit 2023 heeft reeds een nacalculatie plaatsgevonden voor het verschil in de efficiënte kosten in de jaren 2022 en 2023 a.g.v. de gerealiseerde investeringen in 2021. Deze verschillen worden daarom niet meegenomen in de berekening van de nacalculaties voor de toegestane inkomsten in 2024.</t>
  </si>
  <si>
    <t>Berekening correctie fase II</t>
  </si>
  <si>
    <t>Correctie efficiënte kosten fase II bijgeschatte investeringen met afschr. &gt; 10 jaar</t>
  </si>
  <si>
    <t>Correctie efficiënte kosten fase bijgeschatte investeringen met afschr. &gt; 10 jaar</t>
  </si>
  <si>
    <t>ACM/UIT/608548</t>
  </si>
  <si>
    <r>
      <rPr>
        <i/>
        <sz val="10"/>
        <rFont val="Arial"/>
        <family val="2"/>
      </rPr>
      <t xml:space="preserve">Opmerking TenneT: </t>
    </r>
    <r>
      <rPr>
        <sz val="10"/>
        <rFont val="Arial"/>
        <family val="2"/>
      </rPr>
      <t>Bedrijfsvertrouwelijk</t>
    </r>
  </si>
  <si>
    <t>='7. Brondata'!M37</t>
  </si>
  <si>
    <t>='7. Brondata'!M38</t>
  </si>
  <si>
    <t>=SOM((Realisatie_netverliezen[Categorie]='13. Correctie netverliezen'!B29)*(Realisatie_netverliezen[Jaar]='13. Correctie netverliezen'!N$10)*Realisatie_netverliezen[Waarde])</t>
  </si>
  <si>
    <t>=SOM((Realisatie_netverliezen[Categorie]='13. Correctie netverliezen'!B30)*(Realisatie_netverliezen[Jaar]='13. Correctie netverliezen'!N$10)*Realisatie_netverliezen[Waarde])</t>
  </si>
  <si>
    <t>=($M$25+$M26)*N16*N19</t>
  </si>
  <si>
    <t>in de zestiende maand voorafgaande aan het jaar t, zoals deze maandelijks wordt vastgesteld door het CBS. Dit komt neer op de jaarmutatie van de CPI in augustus voorafgaande aan jaar t.</t>
  </si>
  <si>
    <t xml:space="preserve">Nacalculatiemodel WACC GTS, TenneT en RNB's elektriciteit en gas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</si>
</sst>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64" formatCode="0.0%"/>
    <numFmt numFmtId="165" formatCode="_ * #,##0_ ;_ * \-#,##0_ ;_ * &quot;-&quot;??_ ;_ @_ "/>
    <numFmt numFmtId="166" formatCode="#,##0_ ;\-#,##0\ "/>
    <numFmt numFmtId="167" formatCode="_ * #,##0.000_ ;_ * \-#,##0.000_ ;_ * &quot;-&quot;_ ;_ @_ "/>
    <numFmt numFmtId="168" formatCode="_ * #,##0.000_ ;_ * \-#,##0.000_ ;_ * &quot;-&quot;???_ ;_ @_ "/>
    <numFmt numFmtId="169" formatCode="_ * #,##0.000_ ;_ * \-#,##0.000_ ;_ * &quot;-&quot;??_ ;_ @_ "/>
    <numFmt numFmtId="170" formatCode="0_ ;\-0\ "/>
  </numFmts>
  <fonts count="32" x14ac:knownFonts="1">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sz val="10"/>
      <color indexed="8"/>
      <name val="Arial"/>
      <family val="2"/>
    </font>
    <font>
      <sz val="8"/>
      <color indexed="81"/>
      <name val="Tahoma"/>
      <family val="2"/>
    </font>
    <font>
      <b/>
      <sz val="15"/>
      <color theme="3"/>
      <name val="Arial"/>
      <family val="2"/>
    </font>
    <font>
      <b/>
      <sz val="13"/>
      <color theme="3"/>
      <name val="Arial"/>
      <family val="2"/>
    </font>
    <font>
      <b/>
      <sz val="11"/>
      <color theme="3"/>
      <name val="Arial"/>
      <family val="2"/>
    </font>
    <font>
      <i/>
      <sz val="10"/>
      <color rgb="FF7F7F7F"/>
      <name val="Arial"/>
      <family val="2"/>
    </font>
    <font>
      <sz val="8"/>
      <name val="Calibri"/>
      <family val="2"/>
      <scheme val="minor"/>
    </font>
    <font>
      <u/>
      <sz val="11"/>
      <color theme="10"/>
      <name val="Calibri"/>
      <family val="2"/>
      <scheme val="minor"/>
    </font>
    <font>
      <u/>
      <sz val="10"/>
      <color theme="10"/>
      <name val="Arial"/>
      <family val="2"/>
    </font>
    <font>
      <sz val="9.5"/>
      <color theme="1"/>
      <name val="Arial"/>
      <family val="2"/>
    </font>
    <font>
      <strike/>
      <sz val="10"/>
      <name val="Arial"/>
      <family val="2"/>
    </font>
    <font>
      <b/>
      <strike/>
      <sz val="10"/>
      <name val="Arial"/>
      <family val="2"/>
    </font>
  </fonts>
  <fills count="2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0"/>
        <bgColor indexed="64"/>
      </patternFill>
    </fill>
    <fill>
      <patternFill patternType="solid">
        <fgColor rgb="FF99FF99"/>
        <bgColor indexed="64"/>
      </patternFill>
    </fill>
    <fill>
      <patternFill patternType="solid">
        <fgColor rgb="FFE1FFE1"/>
        <bgColor indexed="64"/>
      </patternFill>
    </fill>
    <fill>
      <patternFill patternType="solid">
        <fgColor theme="0" tint="-0.14996795556505021"/>
        <bgColor indexed="64"/>
      </patternFill>
    </fill>
    <fill>
      <patternFill patternType="solid">
        <fgColor rgb="FFCCCCFF"/>
        <bgColor indexed="64"/>
      </patternFill>
    </fill>
    <fill>
      <patternFill patternType="solid">
        <fgColor theme="1"/>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38">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9" fillId="5" borderId="1">
      <alignment vertical="top"/>
    </xf>
    <xf numFmtId="49" fontId="6" fillId="17" borderId="1">
      <alignment vertical="top"/>
    </xf>
    <xf numFmtId="49" fontId="6" fillId="0" borderId="0">
      <alignment vertical="top"/>
    </xf>
    <xf numFmtId="49" fontId="11" fillId="0" borderId="0">
      <alignment vertical="top"/>
    </xf>
    <xf numFmtId="49" fontId="10" fillId="0" borderId="0">
      <alignment vertical="top"/>
    </xf>
    <xf numFmtId="0" fontId="16" fillId="13" borderId="3" applyNumberFormat="0" applyAlignment="0" applyProtection="0"/>
    <xf numFmtId="0" fontId="17" fillId="14" borderId="4" applyNumberFormat="0" applyAlignment="0" applyProtection="0"/>
    <xf numFmtId="0" fontId="18" fillId="14" borderId="3" applyNumberFormat="0" applyAlignment="0" applyProtection="0"/>
    <xf numFmtId="0" fontId="19" fillId="0" borderId="5" applyNumberFormat="0" applyFill="0" applyAlignment="0" applyProtection="0"/>
    <xf numFmtId="0" fontId="13" fillId="15" borderId="6" applyNumberFormat="0" applyAlignment="0" applyProtection="0"/>
    <xf numFmtId="0" fontId="15" fillId="16" borderId="7" applyNumberFormat="0" applyFont="0" applyAlignment="0" applyProtection="0"/>
    <xf numFmtId="9" fontId="15" fillId="0" borderId="0" applyFont="0" applyFill="0" applyBorder="0" applyAlignment="0" applyProtection="0"/>
    <xf numFmtId="43" fontId="15" fillId="0" borderId="0" applyFont="0" applyFill="0" applyBorder="0" applyAlignment="0" applyProtection="0"/>
    <xf numFmtId="0" fontId="3" fillId="3" borderId="0" applyNumberFormat="0" applyBorder="0" applyAlignment="0" applyProtection="0"/>
    <xf numFmtId="0" fontId="16" fillId="13" borderId="3" applyNumberFormat="0" applyAlignment="0" applyProtection="0"/>
    <xf numFmtId="0" fontId="17" fillId="14" borderId="4" applyNumberFormat="0" applyAlignment="0" applyProtection="0"/>
    <xf numFmtId="0" fontId="13" fillId="15" borderId="6" applyNumberFormat="0" applyAlignment="0" applyProtection="0"/>
    <xf numFmtId="0" fontId="15" fillId="16" borderId="7" applyNumberFormat="0" applyFont="0" applyAlignment="0" applyProtection="0"/>
    <xf numFmtId="0" fontId="22" fillId="0" borderId="16" applyNumberFormat="0" applyFill="0" applyAlignment="0" applyProtection="0"/>
    <xf numFmtId="0" fontId="23" fillId="0" borderId="17" applyNumberForma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xf numFmtId="41" fontId="5" fillId="20" borderId="0">
      <alignment vertical="top"/>
    </xf>
    <xf numFmtId="41" fontId="5" fillId="11" borderId="0">
      <alignment vertical="top"/>
    </xf>
    <xf numFmtId="41" fontId="5" fillId="9" borderId="0">
      <alignment vertical="top"/>
    </xf>
    <xf numFmtId="41" fontId="5" fillId="10" borderId="0">
      <alignment vertical="top"/>
    </xf>
    <xf numFmtId="43" fontId="5" fillId="21" borderId="0" applyNumberFormat="0">
      <alignment vertical="top"/>
    </xf>
    <xf numFmtId="41" fontId="5" fillId="8" borderId="0">
      <alignment vertical="top"/>
    </xf>
    <xf numFmtId="41" fontId="5" fillId="7" borderId="0">
      <alignment vertical="top"/>
    </xf>
    <xf numFmtId="41" fontId="5" fillId="19" borderId="0">
      <alignment vertical="top"/>
    </xf>
    <xf numFmtId="0" fontId="27" fillId="0" borderId="0" applyNumberFormat="0" applyFill="0" applyBorder="0" applyAlignment="0" applyProtection="0"/>
    <xf numFmtId="41" fontId="5" fillId="22" borderId="0">
      <alignment vertical="top"/>
    </xf>
  </cellStyleXfs>
  <cellXfs count="114">
    <xf numFmtId="0" fontId="0" fillId="0" borderId="0" xfId="0"/>
    <xf numFmtId="0" fontId="0" fillId="0" borderId="8" xfId="0" applyBorder="1"/>
    <xf numFmtId="0" fontId="0" fillId="0" borderId="10" xfId="0" applyBorder="1"/>
    <xf numFmtId="0" fontId="0" fillId="0" borderId="11" xfId="0" applyBorder="1"/>
    <xf numFmtId="0" fontId="0" fillId="0" borderId="14" xfId="0" applyBorder="1"/>
    <xf numFmtId="0" fontId="5" fillId="0" borderId="0" xfId="4" applyAlignment="1">
      <alignment horizontal="left" vertical="top" wrapText="1"/>
    </xf>
    <xf numFmtId="0" fontId="5" fillId="0" borderId="0" xfId="4">
      <alignment vertical="top"/>
    </xf>
    <xf numFmtId="0" fontId="0" fillId="0" borderId="9" xfId="0" applyBorder="1"/>
    <xf numFmtId="0" fontId="6" fillId="0" borderId="0" xfId="4" applyFont="1">
      <alignment vertical="top"/>
    </xf>
    <xf numFmtId="0" fontId="7" fillId="0" borderId="0" xfId="4" applyFont="1">
      <alignment vertical="top"/>
    </xf>
    <xf numFmtId="0" fontId="11" fillId="0" borderId="0" xfId="4" applyFont="1">
      <alignment vertical="top"/>
    </xf>
    <xf numFmtId="0" fontId="5" fillId="0" borderId="2" xfId="4" applyBorder="1">
      <alignment vertical="top"/>
    </xf>
    <xf numFmtId="49" fontId="6" fillId="17" borderId="1" xfId="6">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9" fillId="5" borderId="1" xfId="4" applyFont="1" applyFill="1" applyBorder="1">
      <alignment vertical="top"/>
    </xf>
    <xf numFmtId="0" fontId="8" fillId="5" borderId="1" xfId="4" applyFont="1" applyFill="1" applyBorder="1">
      <alignment vertical="top"/>
    </xf>
    <xf numFmtId="0" fontId="5" fillId="6" borderId="0" xfId="4" applyFill="1">
      <alignment vertical="top"/>
    </xf>
    <xf numFmtId="1" fontId="5" fillId="0" borderId="0" xfId="4" applyNumberFormat="1">
      <alignment vertical="top"/>
    </xf>
    <xf numFmtId="1" fontId="10" fillId="0" borderId="0" xfId="4" applyNumberFormat="1" applyFont="1">
      <alignment vertical="top"/>
    </xf>
    <xf numFmtId="0" fontId="12" fillId="0" borderId="0" xfId="4" applyFont="1">
      <alignment vertical="top"/>
    </xf>
    <xf numFmtId="0" fontId="9" fillId="5" borderId="1" xfId="5" applyNumberFormat="1">
      <alignment vertical="top"/>
    </xf>
    <xf numFmtId="0" fontId="14" fillId="0" borderId="0" xfId="4" applyFont="1">
      <alignment vertical="top"/>
    </xf>
    <xf numFmtId="0" fontId="5" fillId="12" borderId="0" xfId="4" applyFill="1">
      <alignment vertical="top"/>
    </xf>
    <xf numFmtId="49" fontId="5" fillId="17" borderId="2" xfId="6" applyFont="1" applyBorder="1">
      <alignment vertical="top"/>
    </xf>
    <xf numFmtId="3" fontId="20" fillId="0" borderId="0" xfId="0" applyNumberFormat="1" applyFont="1" applyProtection="1">
      <protection locked="0"/>
    </xf>
    <xf numFmtId="3" fontId="5" fillId="0" borderId="0" xfId="4" applyNumberFormat="1">
      <alignment vertical="top"/>
    </xf>
    <xf numFmtId="0" fontId="5" fillId="0" borderId="0" xfId="0" applyFont="1"/>
    <xf numFmtId="0" fontId="6" fillId="17" borderId="1" xfId="6" applyNumberFormat="1" applyAlignment="1">
      <alignment horizontal="left" vertical="top"/>
    </xf>
    <xf numFmtId="49" fontId="11" fillId="17" borderId="1" xfId="6" applyFont="1">
      <alignment vertical="top"/>
    </xf>
    <xf numFmtId="164" fontId="5" fillId="0" borderId="0" xfId="16" applyNumberFormat="1" applyFont="1" applyFill="1" applyAlignment="1">
      <alignment vertical="top"/>
    </xf>
    <xf numFmtId="166" fontId="0" fillId="0" borderId="0" xfId="0" applyNumberFormat="1"/>
    <xf numFmtId="49" fontId="11" fillId="0" borderId="0" xfId="8">
      <alignment vertical="top"/>
    </xf>
    <xf numFmtId="49" fontId="5" fillId="0" borderId="0" xfId="8" applyFont="1">
      <alignment vertical="top"/>
    </xf>
    <xf numFmtId="49" fontId="6" fillId="0" borderId="0" xfId="7">
      <alignment vertical="top"/>
    </xf>
    <xf numFmtId="49" fontId="10" fillId="0" borderId="0" xfId="9">
      <alignment vertical="top"/>
    </xf>
    <xf numFmtId="49" fontId="5" fillId="17" borderId="0" xfId="6" applyFont="1" applyBorder="1">
      <alignment vertical="top"/>
    </xf>
    <xf numFmtId="165" fontId="0" fillId="0" borderId="0" xfId="0" applyNumberFormat="1"/>
    <xf numFmtId="0" fontId="5" fillId="18" borderId="0" xfId="4" applyFill="1">
      <alignment vertical="top"/>
    </xf>
    <xf numFmtId="0" fontId="14" fillId="0" borderId="0" xfId="4" applyFont="1" applyAlignment="1">
      <alignment horizontal="left" vertical="top" wrapText="1"/>
    </xf>
    <xf numFmtId="10" fontId="5" fillId="0" borderId="0" xfId="4" applyNumberFormat="1">
      <alignment vertical="top"/>
    </xf>
    <xf numFmtId="10" fontId="5" fillId="6" borderId="0" xfId="4" applyNumberFormat="1" applyFill="1">
      <alignment vertical="top"/>
    </xf>
    <xf numFmtId="3" fontId="12" fillId="0" borderId="0" xfId="17" applyNumberFormat="1" applyFont="1" applyFill="1" applyAlignment="1">
      <alignment vertical="top"/>
    </xf>
    <xf numFmtId="41" fontId="5" fillId="0" borderId="0" xfId="4" applyNumberFormat="1">
      <alignment vertical="top"/>
    </xf>
    <xf numFmtId="0" fontId="5" fillId="0" borderId="0" xfId="4" quotePrefix="1">
      <alignment vertical="top"/>
    </xf>
    <xf numFmtId="0" fontId="5" fillId="0" borderId="0" xfId="4" applyAlignment="1">
      <alignment vertical="top" wrapText="1"/>
    </xf>
    <xf numFmtId="49" fontId="9" fillId="5" borderId="1" xfId="5">
      <alignment vertical="top"/>
    </xf>
    <xf numFmtId="49" fontId="6" fillId="0" borderId="0" xfId="7" quotePrefix="1">
      <alignment vertical="top"/>
    </xf>
    <xf numFmtId="41" fontId="5" fillId="20" borderId="0" xfId="28">
      <alignment vertical="top"/>
    </xf>
    <xf numFmtId="49" fontId="13" fillId="5" borderId="2" xfId="5" applyFont="1" applyBorder="1">
      <alignment vertical="top"/>
    </xf>
    <xf numFmtId="41" fontId="5" fillId="20" borderId="2" xfId="28" applyBorder="1">
      <alignment vertical="top"/>
    </xf>
    <xf numFmtId="41" fontId="5" fillId="11" borderId="0" xfId="29">
      <alignment vertical="top"/>
    </xf>
    <xf numFmtId="41" fontId="5" fillId="9" borderId="0" xfId="30">
      <alignment vertical="top"/>
    </xf>
    <xf numFmtId="41" fontId="5" fillId="10" borderId="0" xfId="31">
      <alignment vertical="top"/>
    </xf>
    <xf numFmtId="41" fontId="5" fillId="8" borderId="0" xfId="33">
      <alignment vertical="top"/>
    </xf>
    <xf numFmtId="41" fontId="5" fillId="7" borderId="0" xfId="34">
      <alignment vertical="top"/>
    </xf>
    <xf numFmtId="41" fontId="5" fillId="19" borderId="0" xfId="35">
      <alignment vertical="top"/>
    </xf>
    <xf numFmtId="49" fontId="6" fillId="0" borderId="0" xfId="7" applyAlignment="1">
      <alignment horizontal="center" vertical="top"/>
    </xf>
    <xf numFmtId="0" fontId="0" fillId="0" borderId="12" xfId="0" applyBorder="1"/>
    <xf numFmtId="0" fontId="0" fillId="0" borderId="13" xfId="0" applyBorder="1"/>
    <xf numFmtId="0" fontId="0" fillId="0" borderId="15" xfId="0" applyBorder="1"/>
    <xf numFmtId="164" fontId="5" fillId="20" borderId="0" xfId="28" applyNumberFormat="1">
      <alignment vertical="top"/>
    </xf>
    <xf numFmtId="10" fontId="5" fillId="20" borderId="0" xfId="28" applyNumberFormat="1">
      <alignment vertical="top"/>
    </xf>
    <xf numFmtId="10" fontId="5" fillId="8" borderId="0" xfId="33" applyNumberFormat="1">
      <alignment vertical="top"/>
    </xf>
    <xf numFmtId="10" fontId="5" fillId="11" borderId="0" xfId="29" applyNumberFormat="1">
      <alignment vertical="top"/>
    </xf>
    <xf numFmtId="168" fontId="5" fillId="9" borderId="0" xfId="30" applyNumberFormat="1">
      <alignment vertical="top"/>
    </xf>
    <xf numFmtId="10" fontId="5" fillId="9" borderId="0" xfId="30" applyNumberFormat="1">
      <alignment vertical="top"/>
    </xf>
    <xf numFmtId="0" fontId="6" fillId="0" borderId="0" xfId="4" applyFont="1" applyAlignment="1">
      <alignment vertical="top" wrapText="1"/>
    </xf>
    <xf numFmtId="164" fontId="5" fillId="11" borderId="0" xfId="29" applyNumberFormat="1">
      <alignment vertical="top"/>
    </xf>
    <xf numFmtId="167" fontId="5" fillId="11" borderId="0" xfId="29" applyNumberFormat="1">
      <alignment vertical="top"/>
    </xf>
    <xf numFmtId="168" fontId="5" fillId="11" borderId="0" xfId="29" applyNumberFormat="1">
      <alignment vertical="top"/>
    </xf>
    <xf numFmtId="0" fontId="5" fillId="0" borderId="8" xfId="4" applyBorder="1">
      <alignment vertical="top"/>
    </xf>
    <xf numFmtId="0" fontId="5" fillId="0" borderId="9" xfId="4" applyBorder="1">
      <alignment vertical="top"/>
    </xf>
    <xf numFmtId="0" fontId="5" fillId="0" borderId="10" xfId="4" applyBorder="1">
      <alignment vertical="top"/>
    </xf>
    <xf numFmtId="0" fontId="5" fillId="0" borderId="11" xfId="4" applyBorder="1">
      <alignment vertical="top"/>
    </xf>
    <xf numFmtId="41" fontId="5" fillId="20" borderId="0" xfId="28" applyAlignment="1">
      <alignment horizontal="center" vertical="top"/>
    </xf>
    <xf numFmtId="0" fontId="5" fillId="0" borderId="12" xfId="4" applyBorder="1">
      <alignment vertical="top"/>
    </xf>
    <xf numFmtId="41" fontId="10" fillId="9" borderId="0" xfId="30" applyFont="1" applyAlignment="1">
      <alignment horizontal="center" vertical="top"/>
    </xf>
    <xf numFmtId="0" fontId="5" fillId="0" borderId="13" xfId="4" applyBorder="1">
      <alignment vertical="top"/>
    </xf>
    <xf numFmtId="0" fontId="5" fillId="0" borderId="14" xfId="4" applyBorder="1">
      <alignment vertical="top"/>
    </xf>
    <xf numFmtId="0" fontId="5" fillId="0" borderId="15" xfId="4" applyBorder="1">
      <alignment vertical="top"/>
    </xf>
    <xf numFmtId="41" fontId="5" fillId="9" borderId="0" xfId="30" applyAlignment="1">
      <alignment horizontal="center" vertical="top"/>
    </xf>
    <xf numFmtId="41" fontId="5" fillId="10" borderId="0" xfId="31" applyAlignment="1">
      <alignment horizontal="center" vertical="top"/>
    </xf>
    <xf numFmtId="0" fontId="28" fillId="0" borderId="2" xfId="36" applyFont="1" applyBorder="1" applyAlignment="1">
      <alignment vertical="top"/>
    </xf>
    <xf numFmtId="0" fontId="29" fillId="0" borderId="2" xfId="0" applyFont="1" applyBorder="1" applyAlignment="1">
      <alignment vertical="center"/>
    </xf>
    <xf numFmtId="10" fontId="5" fillId="20" borderId="0" xfId="16" applyNumberFormat="1" applyFont="1" applyFill="1" applyAlignment="1">
      <alignment vertical="top"/>
    </xf>
    <xf numFmtId="41" fontId="5" fillId="21" borderId="0" xfId="32" applyNumberFormat="1">
      <alignment vertical="top"/>
    </xf>
    <xf numFmtId="164" fontId="5" fillId="11" borderId="0" xfId="16" applyNumberFormat="1" applyFont="1" applyFill="1" applyAlignment="1">
      <alignment vertical="top"/>
    </xf>
    <xf numFmtId="167" fontId="5" fillId="9" borderId="0" xfId="30" applyNumberFormat="1">
      <alignment vertical="top"/>
    </xf>
    <xf numFmtId="169" fontId="5" fillId="11" borderId="0" xfId="17" applyNumberFormat="1" applyFont="1" applyFill="1" applyAlignment="1">
      <alignment vertical="top"/>
    </xf>
    <xf numFmtId="0" fontId="6" fillId="0" borderId="0" xfId="4" quotePrefix="1" applyFont="1">
      <alignment vertical="top"/>
    </xf>
    <xf numFmtId="0" fontId="5" fillId="21" borderId="0" xfId="32" applyNumberFormat="1">
      <alignment vertical="top"/>
    </xf>
    <xf numFmtId="164" fontId="5" fillId="20" borderId="0" xfId="16" applyNumberFormat="1" applyFont="1" applyFill="1" applyAlignment="1">
      <alignment vertical="top"/>
    </xf>
    <xf numFmtId="10" fontId="5" fillId="21" borderId="0" xfId="32" applyNumberFormat="1">
      <alignment vertical="top"/>
    </xf>
    <xf numFmtId="9" fontId="5" fillId="11" borderId="0" xfId="16" applyFont="1" applyFill="1" applyAlignment="1">
      <alignment vertical="top"/>
    </xf>
    <xf numFmtId="9" fontId="5" fillId="21" borderId="0" xfId="32" applyNumberFormat="1">
      <alignment vertical="top"/>
    </xf>
    <xf numFmtId="10" fontId="5" fillId="11" borderId="0" xfId="16" applyNumberFormat="1" applyFont="1" applyFill="1" applyAlignment="1">
      <alignment vertical="top"/>
    </xf>
    <xf numFmtId="10" fontId="5" fillId="9" borderId="0" xfId="16" applyNumberFormat="1" applyFont="1" applyFill="1" applyAlignment="1">
      <alignment vertical="top"/>
    </xf>
    <xf numFmtId="41" fontId="5" fillId="22" borderId="0" xfId="37">
      <alignment vertical="top"/>
    </xf>
    <xf numFmtId="14" fontId="5" fillId="0" borderId="0" xfId="4" applyNumberFormat="1" applyAlignment="1">
      <alignment horizontal="left" vertical="top"/>
    </xf>
    <xf numFmtId="41" fontId="5" fillId="22" borderId="0" xfId="28" applyFill="1" applyAlignment="1">
      <alignment horizontal="center" vertical="top"/>
    </xf>
    <xf numFmtId="41" fontId="5" fillId="22" borderId="0" xfId="28" applyFill="1">
      <alignment vertical="top"/>
    </xf>
    <xf numFmtId="1" fontId="0" fillId="0" borderId="0" xfId="0" applyNumberFormat="1"/>
    <xf numFmtId="49" fontId="13" fillId="5" borderId="1" xfId="5" applyFont="1">
      <alignment vertical="top"/>
    </xf>
    <xf numFmtId="0" fontId="1" fillId="0" borderId="0" xfId="0" applyFont="1"/>
    <xf numFmtId="170" fontId="5" fillId="22" borderId="0" xfId="37" applyNumberFormat="1">
      <alignment vertical="top"/>
    </xf>
    <xf numFmtId="14" fontId="5" fillId="0" borderId="2" xfId="4" applyNumberFormat="1" applyBorder="1" applyAlignment="1">
      <alignment horizontal="left" vertical="top" wrapText="1"/>
    </xf>
    <xf numFmtId="41" fontId="5" fillId="11" borderId="0" xfId="29" quotePrefix="1">
      <alignment vertical="top"/>
    </xf>
    <xf numFmtId="41" fontId="5" fillId="9" borderId="0" xfId="30" quotePrefix="1">
      <alignment vertical="top"/>
    </xf>
    <xf numFmtId="41" fontId="5" fillId="23" borderId="0" xfId="37" applyFill="1">
      <alignment vertical="top"/>
    </xf>
    <xf numFmtId="41" fontId="5" fillId="23" borderId="0" xfId="28" applyFill="1">
      <alignment vertical="top"/>
    </xf>
    <xf numFmtId="0" fontId="5" fillId="0" borderId="0" xfId="4" applyAlignment="1">
      <alignment horizontal="left" vertical="top" wrapText="1"/>
    </xf>
    <xf numFmtId="0" fontId="5" fillId="0" borderId="0" xfId="4" applyAlignment="1">
      <alignment vertical="top" wrapText="1"/>
    </xf>
    <xf numFmtId="0" fontId="29" fillId="0" borderId="0" xfId="0" applyFont="1"/>
  </cellXfs>
  <cellStyles count="38">
    <cellStyle name="_kop1 Bladtitel" xfId="5" xr:uid="{00000000-0005-0000-0000-000001000000}"/>
    <cellStyle name="_kop2 Bloktitel" xfId="6" xr:uid="{00000000-0005-0000-0000-000002000000}"/>
    <cellStyle name="_kop3 Subkop" xfId="7" xr:uid="{00000000-0005-0000-0000-000003000000}"/>
    <cellStyle name="Bad" xfId="18" hidden="1" xr:uid="{00000000-0005-0000-0000-000004000000}"/>
    <cellStyle name="Berekening" xfId="12" builtinId="22" hidden="1"/>
    <cellStyle name="Cel (tussen)resultaat" xfId="31" xr:uid="{345A4045-E60E-4133-9E9E-63578FB86D81}"/>
    <cellStyle name="Cel Berekening" xfId="30" xr:uid="{769DB5F7-FE8A-4298-BE3E-D40C1C998853}"/>
    <cellStyle name="Cel Bijzonderheid" xfId="33" xr:uid="{BF953E95-6A2F-41F1-934E-D2B920A2A381}"/>
    <cellStyle name="Cel Dataverzoek" xfId="35" xr:uid="{36385A59-5128-4031-963C-CA1838E42CC4}"/>
    <cellStyle name="Cel Input" xfId="28" xr:uid="{95300006-1290-491D-907C-5ED4B248E1A3}"/>
    <cellStyle name="Cel input database" xfId="37" xr:uid="{2BB3C96E-A087-493E-9B46-86DEEB59DF9D}"/>
    <cellStyle name="Cel n.v.t. (leeg)" xfId="32" xr:uid="{B5933555-6ED6-4346-AC53-F70DA50C011A}"/>
    <cellStyle name="Cel PM extern" xfId="34" xr:uid="{47B2E52A-414C-4F1A-BAAC-BCA475FB06A9}"/>
    <cellStyle name="Cel Verwijzing" xfId="29" xr:uid="{FE69BC37-1EF9-43E8-AE71-B78A0E65379F}"/>
    <cellStyle name="Check Cell" xfId="21" hidden="1" xr:uid="{00000000-0005-0000-0000-00000D000000}"/>
    <cellStyle name="Controlecel" xfId="14" builtinId="23" hidden="1"/>
    <cellStyle name="Explanatory Text" xfId="27" hidden="1" xr:uid="{00000000-0005-0000-0000-00000F000000}"/>
    <cellStyle name="Gekoppelde cel" xfId="13" builtinId="24" hidden="1"/>
    <cellStyle name="Goed" xfId="1" builtinId="26" hidden="1"/>
    <cellStyle name="Heading 1" xfId="23" hidden="1" xr:uid="{00000000-0005-0000-0000-000012000000}"/>
    <cellStyle name="Heading 2" xfId="24" hidden="1" xr:uid="{00000000-0005-0000-0000-000013000000}"/>
    <cellStyle name="Heading 3" xfId="25" hidden="1" xr:uid="{00000000-0005-0000-0000-000014000000}"/>
    <cellStyle name="Heading 4" xfId="26" hidden="1" xr:uid="{00000000-0005-0000-0000-000015000000}"/>
    <cellStyle name="Hyperlink" xfId="36" builtinId="8"/>
    <cellStyle name="Input" xfId="19" hidden="1" xr:uid="{00000000-0005-0000-0000-000017000000}"/>
    <cellStyle name="Invoer" xfId="10" builtinId="20" hidden="1"/>
    <cellStyle name="Komma" xfId="17" builtinId="3"/>
    <cellStyle name="Neutraal" xfId="3" builtinId="28" hidden="1"/>
    <cellStyle name="Note" xfId="22" hidden="1" xr:uid="{00000000-0005-0000-0000-00001B000000}"/>
    <cellStyle name="Notitie" xfId="15" builtinId="10" hidden="1"/>
    <cellStyle name="Ongeldig" xfId="2" builtinId="27" hidden="1"/>
    <cellStyle name="Opm. INTERN" xfId="8" xr:uid="{00000000-0005-0000-0000-00001E000000}"/>
    <cellStyle name="Output" xfId="20" hidden="1" xr:uid="{00000000-0005-0000-0000-00001F000000}"/>
    <cellStyle name="Procent" xfId="16" builtinId="5"/>
    <cellStyle name="Standaard" xfId="0" builtinId="0"/>
    <cellStyle name="Standaard ACM-DE" xfId="4" xr:uid="{00000000-0005-0000-0000-000023000000}"/>
    <cellStyle name="Toelichting" xfId="9" xr:uid="{00000000-0005-0000-0000-000025000000}"/>
    <cellStyle name="Uitvoer" xfId="11" builtinId="21" hidden="1"/>
  </cellStyles>
  <dxfs count="3">
    <dxf>
      <fill>
        <patternFill patternType="solid">
          <fgColor indexed="64"/>
          <bgColor theme="1"/>
        </patternFill>
      </fill>
    </dxf>
    <dxf>
      <numFmt numFmtId="170" formatCode="0_ ;\-0\ "/>
    </dxf>
    <dxf>
      <border outline="0">
        <top style="thin">
          <color indexed="64"/>
        </top>
      </border>
    </dxf>
  </dxfs>
  <tableStyles count="0" defaultTableStyle="TableStyleMedium2" defaultPivotStyle="PivotStyleLight16"/>
  <colors>
    <mruColors>
      <color rgb="FFCCCCFF"/>
      <color rgb="FF5F1F7A"/>
      <color rgb="FFCCC8D9"/>
      <color rgb="FFE1FFE1"/>
      <color rgb="FFCCFFCC"/>
      <color rgb="FFFFFFCC"/>
      <color rgb="FFFFCC99"/>
      <color rgb="FF66FF66"/>
      <color rgb="FFFF99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16</xdr:row>
      <xdr:rowOff>78442</xdr:rowOff>
    </xdr:from>
    <xdr:to>
      <xdr:col>5</xdr:col>
      <xdr:colOff>360000</xdr:colOff>
      <xdr:row>20</xdr:row>
      <xdr:rowOff>56869</xdr:rowOff>
    </xdr:to>
    <xdr:cxnSp macro="">
      <xdr:nvCxnSpPr>
        <xdr:cNvPr id="13" name="Rechte verbindingslijn met pijl 12">
          <a:extLst>
            <a:ext uri="{FF2B5EF4-FFF2-40B4-BE49-F238E27FC236}">
              <a16:creationId xmlns:a16="http://schemas.microsoft.com/office/drawing/2014/main" id="{709E4B67-178F-456A-AB0D-8425E4D050DD}"/>
            </a:ext>
          </a:extLst>
        </xdr:cNvPr>
        <xdr:cNvCxnSpPr/>
      </xdr:nvCxnSpPr>
      <xdr:spPr>
        <a:xfrm>
          <a:off x="4171950" y="2821642"/>
          <a:ext cx="360000" cy="740427"/>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16</xdr:row>
      <xdr:rowOff>78441</xdr:rowOff>
    </xdr:from>
    <xdr:to>
      <xdr:col>9</xdr:col>
      <xdr:colOff>341735</xdr:colOff>
      <xdr:row>16</xdr:row>
      <xdr:rowOff>78441</xdr:rowOff>
    </xdr:to>
    <xdr:cxnSp macro="">
      <xdr:nvCxnSpPr>
        <xdr:cNvPr id="14" name="Rechte verbindingslijn met pijl 13">
          <a:extLst>
            <a:ext uri="{FF2B5EF4-FFF2-40B4-BE49-F238E27FC236}">
              <a16:creationId xmlns:a16="http://schemas.microsoft.com/office/drawing/2014/main" id="{72F654F4-A5C8-4378-BF2C-446B4B1C10AD}"/>
            </a:ext>
          </a:extLst>
        </xdr:cNvPr>
        <xdr:cNvCxnSpPr/>
      </xdr:nvCxnSpPr>
      <xdr:spPr>
        <a:xfrm>
          <a:off x="4171950" y="2821641"/>
          <a:ext cx="313256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16</xdr:row>
      <xdr:rowOff>134471</xdr:rowOff>
    </xdr:from>
    <xdr:to>
      <xdr:col>9</xdr:col>
      <xdr:colOff>360000</xdr:colOff>
      <xdr:row>20</xdr:row>
      <xdr:rowOff>112899</xdr:rowOff>
    </xdr:to>
    <xdr:cxnSp macro="">
      <xdr:nvCxnSpPr>
        <xdr:cNvPr id="15" name="Rechte verbindingslijn met pijl 14">
          <a:extLst>
            <a:ext uri="{FF2B5EF4-FFF2-40B4-BE49-F238E27FC236}">
              <a16:creationId xmlns:a16="http://schemas.microsoft.com/office/drawing/2014/main" id="{330C53C5-9D7E-42B0-B5C6-7A2F7B1523DE}"/>
            </a:ext>
          </a:extLst>
        </xdr:cNvPr>
        <xdr:cNvCxnSpPr/>
      </xdr:nvCxnSpPr>
      <xdr:spPr>
        <a:xfrm flipV="1">
          <a:off x="6962775" y="2877671"/>
          <a:ext cx="360000" cy="740428"/>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8804</xdr:colOff>
      <xdr:row>34</xdr:row>
      <xdr:rowOff>98452</xdr:rowOff>
    </xdr:from>
    <xdr:to>
      <xdr:col>7</xdr:col>
      <xdr:colOff>1622804</xdr:colOff>
      <xdr:row>34</xdr:row>
      <xdr:rowOff>98452</xdr:rowOff>
    </xdr:to>
    <xdr:cxnSp macro="">
      <xdr:nvCxnSpPr>
        <xdr:cNvPr id="20" name="Rechte verbindingslijn met pijl 19">
          <a:extLst>
            <a:ext uri="{FF2B5EF4-FFF2-40B4-BE49-F238E27FC236}">
              <a16:creationId xmlns:a16="http://schemas.microsoft.com/office/drawing/2014/main" id="{83C1E5D6-19A8-4B55-8FC4-D84D9F51D530}"/>
            </a:ext>
          </a:extLst>
        </xdr:cNvPr>
        <xdr:cNvCxnSpPr/>
      </xdr:nvCxnSpPr>
      <xdr:spPr>
        <a:xfrm flipV="1">
          <a:off x="4186197" y="6289702"/>
          <a:ext cx="2376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1644063</xdr:colOff>
      <xdr:row>28</xdr:row>
      <xdr:rowOff>87246</xdr:rowOff>
    </xdr:from>
    <xdr:to>
      <xdr:col>9</xdr:col>
      <xdr:colOff>327775</xdr:colOff>
      <xdr:row>34</xdr:row>
      <xdr:rowOff>96246</xdr:rowOff>
    </xdr:to>
    <xdr:cxnSp macro="">
      <xdr:nvCxnSpPr>
        <xdr:cNvPr id="23" name="Rechte verbindingslijn met pijl 22">
          <a:extLst>
            <a:ext uri="{FF2B5EF4-FFF2-40B4-BE49-F238E27FC236}">
              <a16:creationId xmlns:a16="http://schemas.microsoft.com/office/drawing/2014/main" id="{8619C09F-9E72-43C4-A8EF-D1EE3C70D69C}"/>
            </a:ext>
          </a:extLst>
        </xdr:cNvPr>
        <xdr:cNvCxnSpPr/>
      </xdr:nvCxnSpPr>
      <xdr:spPr>
        <a:xfrm flipV="1">
          <a:off x="6583456" y="5135496"/>
          <a:ext cx="711176" cy="115200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xdr:colOff>
      <xdr:row>22</xdr:row>
      <xdr:rowOff>82826</xdr:rowOff>
    </xdr:from>
    <xdr:to>
      <xdr:col>15</xdr:col>
      <xdr:colOff>1201772</xdr:colOff>
      <xdr:row>47</xdr:row>
      <xdr:rowOff>130827</xdr:rowOff>
    </xdr:to>
    <xdr:grpSp>
      <xdr:nvGrpSpPr>
        <xdr:cNvPr id="28" name="Groep 27">
          <a:extLst>
            <a:ext uri="{FF2B5EF4-FFF2-40B4-BE49-F238E27FC236}">
              <a16:creationId xmlns:a16="http://schemas.microsoft.com/office/drawing/2014/main" id="{F2D3219E-05F5-4965-82A2-256A5E504C5E}"/>
            </a:ext>
          </a:extLst>
        </xdr:cNvPr>
        <xdr:cNvGrpSpPr/>
      </xdr:nvGrpSpPr>
      <xdr:grpSpPr>
        <a:xfrm>
          <a:off x="4168589" y="3904032"/>
          <a:ext cx="7544301" cy="4810501"/>
          <a:chOff x="4169229" y="3747248"/>
          <a:chExt cx="7550109" cy="3159209"/>
        </a:xfrm>
      </xdr:grpSpPr>
      <xdr:cxnSp macro="">
        <xdr:nvCxnSpPr>
          <xdr:cNvPr id="29" name="Verbindingslijn: gebogen 28">
            <a:extLst>
              <a:ext uri="{FF2B5EF4-FFF2-40B4-BE49-F238E27FC236}">
                <a16:creationId xmlns:a16="http://schemas.microsoft.com/office/drawing/2014/main" id="{306DAB17-396A-416B-8FC2-5A361E61898E}"/>
              </a:ext>
            </a:extLst>
          </xdr:cNvPr>
          <xdr:cNvCxnSpPr/>
        </xdr:nvCxnSpPr>
        <xdr:spPr>
          <a:xfrm>
            <a:off x="4947876" y="3747249"/>
            <a:ext cx="6771462" cy="3159208"/>
          </a:xfrm>
          <a:prstGeom prst="bentConnector3">
            <a:avLst>
              <a:gd name="adj1" fmla="val 99839"/>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0" name="Verbindingslijn: gebogen 29">
            <a:extLst>
              <a:ext uri="{FF2B5EF4-FFF2-40B4-BE49-F238E27FC236}">
                <a16:creationId xmlns:a16="http://schemas.microsoft.com/office/drawing/2014/main" id="{3C707C42-66D6-460C-B8A8-3245AF32B257}"/>
              </a:ext>
            </a:extLst>
          </xdr:cNvPr>
          <xdr:cNvCxnSpPr/>
        </xdr:nvCxnSpPr>
        <xdr:spPr>
          <a:xfrm rot="5400000">
            <a:off x="3863470" y="4053007"/>
            <a:ext cx="1395930" cy="784412"/>
          </a:xfrm>
          <a:prstGeom prst="bentConnector3">
            <a:avLst>
              <a:gd name="adj1" fmla="val 100246"/>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13</xdr:col>
      <xdr:colOff>66260</xdr:colOff>
      <xdr:row>24</xdr:row>
      <xdr:rowOff>24848</xdr:rowOff>
    </xdr:from>
    <xdr:to>
      <xdr:col>13</xdr:col>
      <xdr:colOff>379224</xdr:colOff>
      <xdr:row>45</xdr:row>
      <xdr:rowOff>38100</xdr:rowOff>
    </xdr:to>
    <xdr:sp macro="" textlink="">
      <xdr:nvSpPr>
        <xdr:cNvPr id="31" name="Vierkante haak rechts 30">
          <a:extLst>
            <a:ext uri="{FF2B5EF4-FFF2-40B4-BE49-F238E27FC236}">
              <a16:creationId xmlns:a16="http://schemas.microsoft.com/office/drawing/2014/main" id="{87C9281A-962A-478C-A8BC-21EE30DECA34}"/>
            </a:ext>
          </a:extLst>
        </xdr:cNvPr>
        <xdr:cNvSpPr/>
      </xdr:nvSpPr>
      <xdr:spPr>
        <a:xfrm>
          <a:off x="9819860" y="4292048"/>
          <a:ext cx="312964" cy="2489752"/>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nl-NL" sz="1100"/>
        </a:p>
      </xdr:txBody>
    </xdr:sp>
    <xdr:clientData/>
  </xdr:twoCellAnchor>
  <xdr:twoCellAnchor>
    <xdr:from>
      <xdr:col>13</xdr:col>
      <xdr:colOff>379224</xdr:colOff>
      <xdr:row>34</xdr:row>
      <xdr:rowOff>126724</xdr:rowOff>
    </xdr:from>
    <xdr:to>
      <xdr:col>15</xdr:col>
      <xdr:colOff>419280</xdr:colOff>
      <xdr:row>47</xdr:row>
      <xdr:rowOff>130516</xdr:rowOff>
    </xdr:to>
    <xdr:cxnSp macro="">
      <xdr:nvCxnSpPr>
        <xdr:cNvPr id="32" name="Verbindingslijn: gebogen 31">
          <a:extLst>
            <a:ext uri="{FF2B5EF4-FFF2-40B4-BE49-F238E27FC236}">
              <a16:creationId xmlns:a16="http://schemas.microsoft.com/office/drawing/2014/main" id="{2864D524-0136-4377-AD93-89A71360C47F}"/>
            </a:ext>
          </a:extLst>
        </xdr:cNvPr>
        <xdr:cNvCxnSpPr>
          <a:stCxn id="31" idx="2"/>
        </xdr:cNvCxnSpPr>
      </xdr:nvCxnSpPr>
      <xdr:spPr>
        <a:xfrm rot="10800000" flipH="1" flipV="1">
          <a:off x="10135545" y="6317974"/>
          <a:ext cx="802056" cy="2480292"/>
        </a:xfrm>
        <a:prstGeom prst="bentConnector4">
          <a:avLst>
            <a:gd name="adj1" fmla="val 100435"/>
            <a:gd name="adj2" fmla="val 9045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13640</xdr:colOff>
      <xdr:row>49</xdr:row>
      <xdr:rowOff>87212</xdr:rowOff>
    </xdr:from>
    <xdr:to>
      <xdr:col>13</xdr:col>
      <xdr:colOff>335162</xdr:colOff>
      <xdr:row>49</xdr:row>
      <xdr:rowOff>87212</xdr:rowOff>
    </xdr:to>
    <xdr:cxnSp macro="">
      <xdr:nvCxnSpPr>
        <xdr:cNvPr id="34" name="Rechte verbindingslijn met pijl 33">
          <a:extLst>
            <a:ext uri="{FF2B5EF4-FFF2-40B4-BE49-F238E27FC236}">
              <a16:creationId xmlns:a16="http://schemas.microsoft.com/office/drawing/2014/main" id="{D2141E9D-8DA1-4F42-8A9F-2964B9876D84}"/>
            </a:ext>
          </a:extLst>
        </xdr:cNvPr>
        <xdr:cNvCxnSpPr/>
      </xdr:nvCxnSpPr>
      <xdr:spPr>
        <a:xfrm flipV="1">
          <a:off x="4185590" y="7402412"/>
          <a:ext cx="5903172"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380999</xdr:colOff>
      <xdr:row>44</xdr:row>
      <xdr:rowOff>163286</xdr:rowOff>
    </xdr:from>
    <xdr:to>
      <xdr:col>9</xdr:col>
      <xdr:colOff>378535</xdr:colOff>
      <xdr:row>44</xdr:row>
      <xdr:rowOff>163286</xdr:rowOff>
    </xdr:to>
    <xdr:cxnSp macro="">
      <xdr:nvCxnSpPr>
        <xdr:cNvPr id="16" name="Rechte verbindingslijn met pijl 15">
          <a:extLst>
            <a:ext uri="{FF2B5EF4-FFF2-40B4-BE49-F238E27FC236}">
              <a16:creationId xmlns:a16="http://schemas.microsoft.com/office/drawing/2014/main" id="{42693965-D184-40E3-9DB5-1057FF59DAA6}"/>
            </a:ext>
          </a:extLst>
        </xdr:cNvPr>
        <xdr:cNvCxnSpPr/>
      </xdr:nvCxnSpPr>
      <xdr:spPr>
        <a:xfrm>
          <a:off x="4177392" y="8259536"/>
          <a:ext cx="3168000" cy="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13928</xdr:colOff>
      <xdr:row>34</xdr:row>
      <xdr:rowOff>76360</xdr:rowOff>
    </xdr:from>
    <xdr:to>
      <xdr:col>9</xdr:col>
      <xdr:colOff>344104</xdr:colOff>
      <xdr:row>40</xdr:row>
      <xdr:rowOff>85360</xdr:rowOff>
    </xdr:to>
    <xdr:cxnSp macro="">
      <xdr:nvCxnSpPr>
        <xdr:cNvPr id="3" name="Rechte verbindingslijn met pijl 2">
          <a:extLst>
            <a:ext uri="{FF2B5EF4-FFF2-40B4-BE49-F238E27FC236}">
              <a16:creationId xmlns:a16="http://schemas.microsoft.com/office/drawing/2014/main" id="{F9FE1C3C-72A9-4992-8D56-3B88516998A1}"/>
            </a:ext>
          </a:extLst>
        </xdr:cNvPr>
        <xdr:cNvCxnSpPr/>
      </xdr:nvCxnSpPr>
      <xdr:spPr>
        <a:xfrm>
          <a:off x="6599785" y="6267610"/>
          <a:ext cx="711176" cy="115200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13928</xdr:colOff>
      <xdr:row>32</xdr:row>
      <xdr:rowOff>49146</xdr:rowOff>
    </xdr:from>
    <xdr:to>
      <xdr:col>9</xdr:col>
      <xdr:colOff>344104</xdr:colOff>
      <xdr:row>34</xdr:row>
      <xdr:rowOff>64146</xdr:rowOff>
    </xdr:to>
    <xdr:cxnSp macro="">
      <xdr:nvCxnSpPr>
        <xdr:cNvPr id="4" name="Rechte verbindingslijn met pijl 3">
          <a:extLst>
            <a:ext uri="{FF2B5EF4-FFF2-40B4-BE49-F238E27FC236}">
              <a16:creationId xmlns:a16="http://schemas.microsoft.com/office/drawing/2014/main" id="{C79704EA-700F-4A9E-A5B8-33C04F480EF9}"/>
            </a:ext>
          </a:extLst>
        </xdr:cNvPr>
        <xdr:cNvCxnSpPr/>
      </xdr:nvCxnSpPr>
      <xdr:spPr>
        <a:xfrm flipV="1">
          <a:off x="6599785" y="5859396"/>
          <a:ext cx="711176" cy="39600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30257</xdr:colOff>
      <xdr:row>34</xdr:row>
      <xdr:rowOff>79082</xdr:rowOff>
    </xdr:from>
    <xdr:to>
      <xdr:col>9</xdr:col>
      <xdr:colOff>360433</xdr:colOff>
      <xdr:row>36</xdr:row>
      <xdr:rowOff>94082</xdr:rowOff>
    </xdr:to>
    <xdr:cxnSp macro="">
      <xdr:nvCxnSpPr>
        <xdr:cNvPr id="5" name="Rechte verbindingslijn met pijl 4">
          <a:extLst>
            <a:ext uri="{FF2B5EF4-FFF2-40B4-BE49-F238E27FC236}">
              <a16:creationId xmlns:a16="http://schemas.microsoft.com/office/drawing/2014/main" id="{7C79660C-EB00-4C6B-8BDF-5D79B0B6763A}"/>
            </a:ext>
          </a:extLst>
        </xdr:cNvPr>
        <xdr:cNvCxnSpPr/>
      </xdr:nvCxnSpPr>
      <xdr:spPr>
        <a:xfrm>
          <a:off x="6616114" y="6270332"/>
          <a:ext cx="711176" cy="39600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27535</xdr:colOff>
      <xdr:row>24</xdr:row>
      <xdr:rowOff>62753</xdr:rowOff>
    </xdr:from>
    <xdr:to>
      <xdr:col>9</xdr:col>
      <xdr:colOff>357711</xdr:colOff>
      <xdr:row>34</xdr:row>
      <xdr:rowOff>65753</xdr:rowOff>
    </xdr:to>
    <xdr:cxnSp macro="">
      <xdr:nvCxnSpPr>
        <xdr:cNvPr id="6" name="Rechte verbindingslijn met pijl 5">
          <a:extLst>
            <a:ext uri="{FF2B5EF4-FFF2-40B4-BE49-F238E27FC236}">
              <a16:creationId xmlns:a16="http://schemas.microsoft.com/office/drawing/2014/main" id="{3827F56E-658F-4D86-B803-C5FF641C6370}"/>
            </a:ext>
          </a:extLst>
        </xdr:cNvPr>
        <xdr:cNvCxnSpPr/>
      </xdr:nvCxnSpPr>
      <xdr:spPr>
        <a:xfrm flipV="1">
          <a:off x="6613392" y="4349003"/>
          <a:ext cx="711176" cy="190800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16649</xdr:colOff>
      <xdr:row>34</xdr:row>
      <xdr:rowOff>65475</xdr:rowOff>
    </xdr:from>
    <xdr:to>
      <xdr:col>9</xdr:col>
      <xdr:colOff>346825</xdr:colOff>
      <xdr:row>44</xdr:row>
      <xdr:rowOff>68475</xdr:rowOff>
    </xdr:to>
    <xdr:cxnSp macro="">
      <xdr:nvCxnSpPr>
        <xdr:cNvPr id="7" name="Rechte verbindingslijn met pijl 6">
          <a:extLst>
            <a:ext uri="{FF2B5EF4-FFF2-40B4-BE49-F238E27FC236}">
              <a16:creationId xmlns:a16="http://schemas.microsoft.com/office/drawing/2014/main" id="{538FE020-DE3A-436F-8A3C-10AD7228F4D6}"/>
            </a:ext>
          </a:extLst>
        </xdr:cNvPr>
        <xdr:cNvCxnSpPr/>
      </xdr:nvCxnSpPr>
      <xdr:spPr>
        <a:xfrm>
          <a:off x="6602506" y="6256725"/>
          <a:ext cx="711176" cy="190800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6D133BCE-A488-4892-B3F8-4EADE77ED9F5}" autoFormatId="16" applyNumberFormats="0" applyBorderFormats="0" applyFontFormats="0" applyPatternFormats="0" applyAlignmentFormats="0" applyWidthHeightFormats="0">
  <queryTableRefresh nextId="10">
    <queryTableFields count="5">
      <queryTableField id="5" name="Methodebesluit" tableColumnId="5"/>
      <queryTableField id="4" name="Segment" tableColumnId="4"/>
      <queryTableField id="3" name="Jaar" tableColumnId="3"/>
      <queryTableField id="2" name="Categorie" tableColumnId="2"/>
      <queryTableField id="1" name="Waarde"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4E4286-AA4E-4310-B595-69EC0CE43061}" name="Realisatie_netverliezen" displayName="Realisatie_netverliezen" ref="B16:F18" tableType="queryTable" totalsRowShown="0" tableBorderDxfId="2" headerRowCellStyle="_kop2 Bloktitel" dataCellStyle="Cel input database">
  <tableColumns count="5">
    <tableColumn id="5" xr3:uid="{171C0ED6-AA6F-4E02-AA61-057C3FCC6A74}" uniqueName="5" name="Methodebesluit" queryTableFieldId="5" dataCellStyle="Cel input database"/>
    <tableColumn id="4" xr3:uid="{C7924BE6-FEE8-40CE-9F47-8C974291AB7E}" uniqueName="4" name="Segment" queryTableFieldId="4" dataCellStyle="Cel input database"/>
    <tableColumn id="3" xr3:uid="{8F1AA111-AC7E-4366-BAA5-9A1DB7C5A4F0}" uniqueName="3" name="Jaar" queryTableFieldId="3" dataDxfId="1" dataCellStyle="Cel input database"/>
    <tableColumn id="2" xr3:uid="{4BE59A13-F721-4F49-8D9A-70A552C98708}" uniqueName="2" name="Categorie" queryTableFieldId="2" dataCellStyle="Cel input database"/>
    <tableColumn id="1" xr3:uid="{B14C44EF-1A3A-452B-A77E-04F8ECFFC429}" uniqueName="1" name="Waarde" queryTableFieldId="1" dataDxfId="0" dataCellStyle="Cel input database"/>
  </tableColumns>
  <tableStyleInfo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s://uitspraken.rechtspraak.nl/inziendocument?id=ECLI:NL:CBB:2019:635" TargetMode="External"/><Relationship Id="rId7" Type="http://schemas.openxmlformats.org/officeDocument/2006/relationships/printerSettings" Target="../printerSettings/printerSettings3.bin"/><Relationship Id="rId2" Type="http://schemas.openxmlformats.org/officeDocument/2006/relationships/hyperlink" Target="https://www.dnb.nl/statistieken/data-zoeken/" TargetMode="External"/><Relationship Id="rId1" Type="http://schemas.openxmlformats.org/officeDocument/2006/relationships/hyperlink" Target="https://opendata.cbs.nl/statline/" TargetMode="External"/><Relationship Id="rId6" Type="http://schemas.openxmlformats.org/officeDocument/2006/relationships/hyperlink" Target="https://www.acm.nl/system/files/documents/rekenmodule-inkomstenbesluit-tennet-2023.xlsx" TargetMode="External"/><Relationship Id="rId5" Type="http://schemas.openxmlformats.org/officeDocument/2006/relationships/hyperlink" Target="https://www.acm.nl/nl/publicaties/methodebesluit-tennet-net-op-zee-2022-2026" TargetMode="External"/><Relationship Id="rId4" Type="http://schemas.openxmlformats.org/officeDocument/2006/relationships/hyperlink" Target="https://www.acm.nl/nl/publicaties/x-factorbesluit-tennet-net-op-zee-2022-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CCC8D9"/>
    <pageSetUpPr autoPageBreaks="0"/>
  </sheetPr>
  <dimension ref="B2:E44"/>
  <sheetViews>
    <sheetView showGridLines="0" tabSelected="1" zoomScale="85" zoomScaleNormal="85" workbookViewId="0">
      <pane ySplit="3" topLeftCell="A4" activePane="bottomLeft" state="frozen"/>
      <selection pane="bottomLeft" activeCell="A4" sqref="A4"/>
    </sheetView>
  </sheetViews>
  <sheetFormatPr defaultColWidth="9.140625" defaultRowHeight="12.75" x14ac:dyDescent="0.25"/>
  <cols>
    <col min="1" max="1" width="5.7109375" style="6" customWidth="1"/>
    <col min="2" max="2" width="43.7109375" style="6" customWidth="1"/>
    <col min="3" max="3" width="91.85546875" style="6" customWidth="1"/>
    <col min="4" max="16384" width="9.140625" style="6"/>
  </cols>
  <sheetData>
    <row r="2" spans="2:3" s="16" customFormat="1" ht="18" x14ac:dyDescent="0.25">
      <c r="B2" s="15" t="s">
        <v>61</v>
      </c>
    </row>
    <row r="6" spans="2:3" x14ac:dyDescent="0.25">
      <c r="B6" s="9"/>
    </row>
    <row r="13" spans="2:3" s="12" customFormat="1" x14ac:dyDescent="0.25">
      <c r="B13" s="12" t="s">
        <v>0</v>
      </c>
    </row>
    <row r="15" spans="2:3" x14ac:dyDescent="0.25">
      <c r="B15" s="13" t="s">
        <v>1</v>
      </c>
      <c r="C15" s="14" t="s">
        <v>123</v>
      </c>
    </row>
    <row r="16" spans="2:3" x14ac:dyDescent="0.25">
      <c r="B16" s="13" t="s">
        <v>2</v>
      </c>
      <c r="C16" s="14" t="s">
        <v>177</v>
      </c>
    </row>
    <row r="17" spans="2:5" x14ac:dyDescent="0.25">
      <c r="B17" s="13" t="s">
        <v>3</v>
      </c>
      <c r="C17" s="14" t="s">
        <v>178</v>
      </c>
    </row>
    <row r="18" spans="2:5" x14ac:dyDescent="0.25">
      <c r="B18" s="13" t="s">
        <v>4</v>
      </c>
      <c r="C18" s="14" t="s">
        <v>179</v>
      </c>
    </row>
    <row r="19" spans="2:5" x14ac:dyDescent="0.25">
      <c r="B19" s="13" t="s">
        <v>5</v>
      </c>
      <c r="C19" s="14" t="s">
        <v>57</v>
      </c>
    </row>
    <row r="20" spans="2:5" x14ac:dyDescent="0.25">
      <c r="B20" s="13" t="s">
        <v>6</v>
      </c>
      <c r="C20" s="14" t="s">
        <v>424</v>
      </c>
    </row>
    <row r="21" spans="2:5" ht="12.75" customHeight="1" x14ac:dyDescent="0.25">
      <c r="B21" s="13" t="s">
        <v>7</v>
      </c>
      <c r="C21" s="14" t="s">
        <v>180</v>
      </c>
    </row>
    <row r="22" spans="2:5" ht="12.75" customHeight="1" x14ac:dyDescent="0.25">
      <c r="B22" s="13" t="s">
        <v>8</v>
      </c>
      <c r="C22" s="14" t="s">
        <v>57</v>
      </c>
    </row>
    <row r="25" spans="2:5" s="12" customFormat="1" x14ac:dyDescent="0.25">
      <c r="B25" s="12" t="s">
        <v>9</v>
      </c>
    </row>
    <row r="27" spans="2:5" x14ac:dyDescent="0.25">
      <c r="B27" s="14" t="s">
        <v>125</v>
      </c>
      <c r="C27" s="14" t="s">
        <v>413</v>
      </c>
    </row>
    <row r="28" spans="2:5" ht="25.5" x14ac:dyDescent="0.25">
      <c r="B28" s="14" t="s">
        <v>126</v>
      </c>
      <c r="C28" s="14" t="s">
        <v>413</v>
      </c>
    </row>
    <row r="29" spans="2:5" x14ac:dyDescent="0.25">
      <c r="B29" s="14" t="s">
        <v>127</v>
      </c>
      <c r="C29" s="106">
        <v>45260</v>
      </c>
      <c r="E29" s="32"/>
    </row>
    <row r="30" spans="2:5" ht="25.5" x14ac:dyDescent="0.25">
      <c r="B30" s="14" t="s">
        <v>128</v>
      </c>
      <c r="C30" s="14" t="s">
        <v>413</v>
      </c>
    </row>
    <row r="31" spans="2:5" ht="25.5" x14ac:dyDescent="0.25">
      <c r="B31" s="14" t="s">
        <v>129</v>
      </c>
      <c r="C31" s="14" t="s">
        <v>122</v>
      </c>
    </row>
    <row r="32" spans="2:5" x14ac:dyDescent="0.25">
      <c r="B32" s="14" t="s">
        <v>8</v>
      </c>
      <c r="C32" s="11" t="s">
        <v>57</v>
      </c>
    </row>
    <row r="33" spans="2:3" x14ac:dyDescent="0.25">
      <c r="B33" s="5"/>
    </row>
    <row r="34" spans="2:3" x14ac:dyDescent="0.25">
      <c r="B34" s="111" t="s">
        <v>130</v>
      </c>
      <c r="C34" s="111"/>
    </row>
    <row r="36" spans="2:3" s="12" customFormat="1" x14ac:dyDescent="0.25">
      <c r="B36" s="12" t="s">
        <v>10</v>
      </c>
    </row>
    <row r="38" spans="2:3" x14ac:dyDescent="0.25">
      <c r="B38" s="6" t="s">
        <v>59</v>
      </c>
    </row>
    <row r="39" spans="2:3" x14ac:dyDescent="0.25">
      <c r="B39" s="6" t="s">
        <v>60</v>
      </c>
    </row>
    <row r="40" spans="2:3" x14ac:dyDescent="0.25">
      <c r="B40" s="6" t="s">
        <v>110</v>
      </c>
    </row>
    <row r="42" spans="2:3" s="12" customFormat="1" x14ac:dyDescent="0.25">
      <c r="B42" s="12" t="s">
        <v>75</v>
      </c>
    </row>
    <row r="44" spans="2:3" x14ac:dyDescent="0.25">
      <c r="B44" s="6" t="s">
        <v>76</v>
      </c>
    </row>
  </sheetData>
  <mergeCells count="1">
    <mergeCell ref="B34:C34"/>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BC272-C4AE-4DCB-A749-69DCC46AAFD2}">
  <sheetPr>
    <tabColor theme="0" tint="-4.9989318521683403E-2"/>
    <pageSetUpPr autoPageBreaks="0"/>
  </sheetPr>
  <dimension ref="A1"/>
  <sheetViews>
    <sheetView showGridLines="0" zoomScale="85" zoomScaleNormal="85" workbookViewId="0"/>
  </sheetViews>
  <sheetFormatPr defaultColWidth="9.140625" defaultRowHeight="12.75" x14ac:dyDescent="0.25"/>
  <cols>
    <col min="1" max="16384" width="9.140625" style="23"/>
  </cols>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6147-010B-4788-9964-6D3CCDBC70CA}">
  <sheetPr>
    <tabColor rgb="FFCCCCFF"/>
  </sheetPr>
  <dimension ref="A2:H19"/>
  <sheetViews>
    <sheetView showGridLines="0" zoomScale="85" zoomScaleNormal="85" workbookViewId="0"/>
  </sheetViews>
  <sheetFormatPr defaultColWidth="9.140625" defaultRowHeight="12.75" customHeight="1" x14ac:dyDescent="0.25"/>
  <cols>
    <col min="1" max="1" width="5.7109375" style="104" customWidth="1"/>
    <col min="2" max="2" width="20.7109375" customWidth="1"/>
    <col min="3" max="4" width="11.7109375" customWidth="1"/>
    <col min="5" max="5" width="30.7109375" customWidth="1"/>
    <col min="6" max="6" width="13.7109375" customWidth="1"/>
    <col min="7" max="7" width="2.7109375" customWidth="1"/>
    <col min="8" max="8" width="35.7109375" customWidth="1"/>
    <col min="9" max="9" width="2.7109375" customWidth="1"/>
    <col min="10" max="23" width="13.7109375" customWidth="1"/>
  </cols>
  <sheetData>
    <row r="2" spans="1:8" s="46" customFormat="1" ht="18" customHeight="1" x14ac:dyDescent="0.25">
      <c r="A2" s="103"/>
      <c r="B2" s="46" t="s">
        <v>264</v>
      </c>
    </row>
    <row r="4" spans="1:8" ht="12.75" customHeight="1" x14ac:dyDescent="0.25">
      <c r="B4" s="34" t="s">
        <v>149</v>
      </c>
    </row>
    <row r="5" spans="1:8" ht="27" customHeight="1" x14ac:dyDescent="0.25">
      <c r="B5" s="112" t="s">
        <v>265</v>
      </c>
      <c r="C5" s="112"/>
      <c r="D5" s="112"/>
      <c r="E5" s="112"/>
      <c r="F5" s="112"/>
      <c r="G5" s="112"/>
    </row>
    <row r="7" spans="1:8" ht="12.75" customHeight="1" x14ac:dyDescent="0.25">
      <c r="B7" s="34" t="s">
        <v>266</v>
      </c>
    </row>
    <row r="8" spans="1:8" ht="12.75" customHeight="1" x14ac:dyDescent="0.25">
      <c r="B8" s="112" t="s">
        <v>319</v>
      </c>
      <c r="C8" s="112"/>
      <c r="D8" s="112"/>
      <c r="E8" s="112"/>
      <c r="F8" s="112"/>
      <c r="G8" s="112"/>
    </row>
    <row r="10" spans="1:8" ht="12.75" customHeight="1" x14ac:dyDescent="0.25">
      <c r="B10" s="34" t="s">
        <v>267</v>
      </c>
    </row>
    <row r="11" spans="1:8" ht="12.75" customHeight="1" x14ac:dyDescent="0.25">
      <c r="B11" s="99">
        <v>45155</v>
      </c>
    </row>
    <row r="13" spans="1:8" ht="12.75" customHeight="1" x14ac:dyDescent="0.25">
      <c r="B13" s="34" t="s">
        <v>268</v>
      </c>
    </row>
    <row r="14" spans="1:8" s="45" customFormat="1" ht="27" customHeight="1" x14ac:dyDescent="0.2">
      <c r="A14" s="104"/>
      <c r="B14" s="112" t="s">
        <v>349</v>
      </c>
      <c r="C14" s="112"/>
      <c r="D14" s="112"/>
      <c r="E14" s="112"/>
      <c r="F14" s="112"/>
      <c r="G14" s="112"/>
    </row>
    <row r="16" spans="1:8" s="12" customFormat="1" x14ac:dyDescent="0.25">
      <c r="B16" s="12" t="s">
        <v>320</v>
      </c>
      <c r="C16" s="12" t="s">
        <v>260</v>
      </c>
      <c r="D16" s="12" t="s">
        <v>259</v>
      </c>
      <c r="E16" s="12" t="s">
        <v>261</v>
      </c>
      <c r="F16" s="12" t="s">
        <v>321</v>
      </c>
      <c r="H16" s="12" t="s">
        <v>124</v>
      </c>
    </row>
    <row r="17" spans="2:8" ht="12.75" customHeight="1" x14ac:dyDescent="0.25">
      <c r="B17" s="98" t="s">
        <v>322</v>
      </c>
      <c r="C17" s="98" t="s">
        <v>97</v>
      </c>
      <c r="D17" s="105">
        <v>2022</v>
      </c>
      <c r="E17" s="98" t="s">
        <v>262</v>
      </c>
      <c r="F17" s="109"/>
      <c r="H17" s="6" t="s">
        <v>425</v>
      </c>
    </row>
    <row r="18" spans="2:8" ht="12.75" customHeight="1" x14ac:dyDescent="0.25">
      <c r="B18" s="98" t="s">
        <v>322</v>
      </c>
      <c r="C18" s="98" t="s">
        <v>97</v>
      </c>
      <c r="D18" s="105">
        <v>2022</v>
      </c>
      <c r="E18" s="98" t="s">
        <v>263</v>
      </c>
      <c r="F18" s="109"/>
      <c r="H18" s="6" t="s">
        <v>425</v>
      </c>
    </row>
    <row r="19" spans="2:8" ht="12.75" customHeight="1" x14ac:dyDescent="0.25">
      <c r="E19" s="102"/>
      <c r="F19" s="102"/>
    </row>
  </sheetData>
  <mergeCells count="3">
    <mergeCell ref="B5:G5"/>
    <mergeCell ref="B8:G8"/>
    <mergeCell ref="B14:G14"/>
  </mergeCells>
  <phoneticPr fontId="26" type="noConversion"/>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0" tint="-4.9989318521683403E-2"/>
    <pageSetUpPr autoPageBreaks="0"/>
  </sheetPr>
  <dimension ref="A1"/>
  <sheetViews>
    <sheetView showGridLines="0" zoomScale="85" zoomScaleNormal="85" workbookViewId="0"/>
  </sheetViews>
  <sheetFormatPr defaultColWidth="9.140625" defaultRowHeight="12.75" x14ac:dyDescent="0.25"/>
  <cols>
    <col min="1" max="16384" width="9.140625" style="23"/>
  </cols>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tabColor rgb="FFFFFFCC"/>
    <pageSetUpPr autoPageBreaks="0" fitToPage="1"/>
  </sheetPr>
  <dimension ref="B2:R49"/>
  <sheetViews>
    <sheetView showGridLines="0" zoomScale="85" zoomScaleNormal="85" workbookViewId="0">
      <pane xSplit="6" ySplit="8" topLeftCell="G9" activePane="bottomRight" state="frozen"/>
      <selection pane="topRight"/>
      <selection pane="bottomLeft"/>
      <selection pane="bottomRight" activeCell="G9" sqref="G9"/>
    </sheetView>
  </sheetViews>
  <sheetFormatPr defaultColWidth="9.140625" defaultRowHeight="12.75" x14ac:dyDescent="0.25"/>
  <cols>
    <col min="1" max="1" width="5.7109375" style="6" customWidth="1"/>
    <col min="2" max="2" width="54" style="6" customWidth="1"/>
    <col min="3" max="5" width="5.7109375" style="6" customWidth="1"/>
    <col min="6" max="6" width="13.7109375" style="6" customWidth="1"/>
    <col min="7" max="7" width="2.7109375" style="6" customWidth="1"/>
    <col min="8" max="8" width="13.7109375" style="6" customWidth="1"/>
    <col min="9" max="9" width="2.7109375" style="6" customWidth="1"/>
    <col min="10" max="10" width="13.7109375" style="6" customWidth="1"/>
    <col min="11" max="11" width="2.7109375" style="6" customWidth="1"/>
    <col min="12" max="16" width="12.5703125" style="6" customWidth="1"/>
    <col min="17" max="17" width="2.7109375" style="6" customWidth="1"/>
    <col min="18" max="18" width="18" style="6" customWidth="1"/>
    <col min="19" max="31" width="13.7109375" style="6" customWidth="1"/>
    <col min="32" max="16384" width="9.140625" style="6"/>
  </cols>
  <sheetData>
    <row r="2" spans="2:18" s="21" customFormat="1" ht="18" x14ac:dyDescent="0.25">
      <c r="B2" s="21" t="s">
        <v>272</v>
      </c>
    </row>
    <row r="4" spans="2:18" x14ac:dyDescent="0.25">
      <c r="B4" s="34" t="s">
        <v>91</v>
      </c>
    </row>
    <row r="5" spans="2:18" ht="40.5" customHeight="1" x14ac:dyDescent="0.25">
      <c r="B5" s="111" t="s">
        <v>257</v>
      </c>
      <c r="C5" s="111"/>
      <c r="D5" s="111"/>
      <c r="E5" s="111"/>
    </row>
    <row r="6" spans="2:18" x14ac:dyDescent="0.25">
      <c r="B6" s="45"/>
      <c r="C6" s="45"/>
      <c r="D6" s="45"/>
      <c r="E6" s="45"/>
    </row>
    <row r="7" spans="2:18" s="12" customFormat="1" x14ac:dyDescent="0.25">
      <c r="F7" s="12" t="s">
        <v>22</v>
      </c>
      <c r="H7" s="12" t="s">
        <v>23</v>
      </c>
      <c r="J7" s="12" t="s">
        <v>41</v>
      </c>
      <c r="L7" s="28">
        <v>2020</v>
      </c>
      <c r="M7" s="28">
        <v>2021</v>
      </c>
      <c r="N7" s="28">
        <v>2022</v>
      </c>
      <c r="O7" s="28">
        <v>2023</v>
      </c>
      <c r="P7" s="28">
        <v>2024</v>
      </c>
      <c r="R7" s="12" t="s">
        <v>39</v>
      </c>
    </row>
    <row r="10" spans="2:18" s="12" customFormat="1" x14ac:dyDescent="0.25">
      <c r="B10" s="12" t="s">
        <v>40</v>
      </c>
    </row>
    <row r="12" spans="2:18" x14ac:dyDescent="0.25">
      <c r="B12" s="34" t="s">
        <v>202</v>
      </c>
    </row>
    <row r="13" spans="2:18" x14ac:dyDescent="0.25">
      <c r="B13" s="6" t="s">
        <v>56</v>
      </c>
      <c r="F13" s="6" t="s">
        <v>49</v>
      </c>
      <c r="L13" s="41"/>
      <c r="M13" s="87">
        <f>'6. Parameters'!M13</f>
        <v>7.0000000000000001E-3</v>
      </c>
      <c r="N13" s="87">
        <f>'6. Parameters'!N13</f>
        <v>2.4E-2</v>
      </c>
      <c r="O13" s="87">
        <f>'6. Parameters'!O13</f>
        <v>0.12</v>
      </c>
      <c r="P13" s="87">
        <f>'6. Parameters'!P13</f>
        <v>0.03</v>
      </c>
    </row>
    <row r="15" spans="2:18" x14ac:dyDescent="0.25">
      <c r="B15" s="8" t="s">
        <v>198</v>
      </c>
    </row>
    <row r="16" spans="2:18" x14ac:dyDescent="0.25">
      <c r="B16" s="6" t="s">
        <v>198</v>
      </c>
      <c r="F16" s="6" t="s">
        <v>49</v>
      </c>
      <c r="L16" s="41"/>
      <c r="M16" s="41"/>
      <c r="N16" s="87">
        <f>'6. Parameters'!N35</f>
        <v>2E-3</v>
      </c>
      <c r="O16" s="87">
        <f>'6. Parameters'!O35</f>
        <v>2E-3</v>
      </c>
      <c r="P16" s="87">
        <f>'6. Parameters'!P35</f>
        <v>2E-3</v>
      </c>
    </row>
    <row r="18" spans="2:18" x14ac:dyDescent="0.25">
      <c r="B18" s="34" t="s">
        <v>83</v>
      </c>
    </row>
    <row r="19" spans="2:18" x14ac:dyDescent="0.25">
      <c r="B19" s="6" t="s">
        <v>84</v>
      </c>
      <c r="F19" s="6" t="s">
        <v>49</v>
      </c>
      <c r="L19" s="64">
        <f>'6. Parameters'!L20</f>
        <v>0.02</v>
      </c>
      <c r="M19" s="64">
        <f>'6. Parameters'!M20</f>
        <v>0.02</v>
      </c>
      <c r="N19" s="64">
        <f>'6. Parameters'!N20</f>
        <v>0.02</v>
      </c>
      <c r="O19" s="64">
        <f>'6. Parameters'!O20</f>
        <v>0.04</v>
      </c>
      <c r="P19" s="64">
        <f>'6. Parameters'!P20</f>
        <v>7.0000000000000007E-2</v>
      </c>
      <c r="R19" s="10"/>
    </row>
    <row r="20" spans="2:18" x14ac:dyDescent="0.25">
      <c r="B20" s="6" t="s">
        <v>85</v>
      </c>
      <c r="F20" s="6" t="s">
        <v>49</v>
      </c>
      <c r="L20" s="64">
        <f>'6. Parameters'!L21</f>
        <v>0.02</v>
      </c>
      <c r="M20" s="64">
        <f>'6. Parameters'!M21</f>
        <v>0.02</v>
      </c>
      <c r="N20" s="64">
        <f>'6. Parameters'!N21</f>
        <v>0.02</v>
      </c>
      <c r="O20" s="64">
        <f>'6. Parameters'!O21</f>
        <v>0.04</v>
      </c>
      <c r="P20" s="64">
        <f>'6. Parameters'!P21</f>
        <v>7.0000000000000007E-2</v>
      </c>
    </row>
    <row r="21" spans="2:18" x14ac:dyDescent="0.25">
      <c r="B21" s="6" t="s">
        <v>86</v>
      </c>
      <c r="F21" s="6" t="s">
        <v>49</v>
      </c>
      <c r="L21" s="64">
        <f>'6. Parameters'!L22</f>
        <v>0.02</v>
      </c>
      <c r="M21" s="64">
        <f>'6. Parameters'!M22</f>
        <v>0.02</v>
      </c>
      <c r="N21" s="64">
        <f>'6. Parameters'!N22</f>
        <v>0.02</v>
      </c>
      <c r="O21" s="64">
        <f>'6. Parameters'!O22</f>
        <v>0.06</v>
      </c>
      <c r="P21" s="40"/>
    </row>
    <row r="22" spans="2:18" x14ac:dyDescent="0.25">
      <c r="B22" s="6" t="s">
        <v>87</v>
      </c>
      <c r="F22" s="6" t="s">
        <v>49</v>
      </c>
      <c r="L22" s="64">
        <f>'6. Parameters'!L23</f>
        <v>0.02</v>
      </c>
      <c r="M22" s="64">
        <f>'6. Parameters'!M23</f>
        <v>0.02</v>
      </c>
      <c r="N22" s="64">
        <f>'6. Parameters'!N23</f>
        <v>0.02</v>
      </c>
      <c r="O22" s="64">
        <f>'6. Parameters'!O23</f>
        <v>0.06</v>
      </c>
      <c r="P22" s="40"/>
    </row>
    <row r="24" spans="2:18" s="12" customFormat="1" x14ac:dyDescent="0.25">
      <c r="B24" s="12" t="s">
        <v>203</v>
      </c>
    </row>
    <row r="26" spans="2:18" x14ac:dyDescent="0.25">
      <c r="B26" s="34" t="s">
        <v>207</v>
      </c>
      <c r="H26" s="6" t="s">
        <v>204</v>
      </c>
    </row>
    <row r="27" spans="2:18" x14ac:dyDescent="0.25">
      <c r="B27" s="6">
        <v>2021</v>
      </c>
      <c r="F27" s="6" t="s">
        <v>102</v>
      </c>
      <c r="L27" s="41"/>
      <c r="M27" s="43">
        <v>1</v>
      </c>
      <c r="N27" s="65">
        <f t="shared" ref="N27" si="0">N28*$H28</f>
        <v>1.024</v>
      </c>
      <c r="O27" s="65">
        <f t="shared" ref="O27" si="1">O28*$H28</f>
        <v>1.1468800000000001</v>
      </c>
      <c r="P27" s="65">
        <f>P28*$H28</f>
        <v>1.1812864000000003</v>
      </c>
    </row>
    <row r="28" spans="2:18" x14ac:dyDescent="0.25">
      <c r="B28" s="6">
        <v>2022</v>
      </c>
      <c r="F28" s="6" t="s">
        <v>102</v>
      </c>
      <c r="H28" s="88">
        <f>1+N13</f>
        <v>1.024</v>
      </c>
      <c r="L28" s="41"/>
      <c r="M28" s="41"/>
      <c r="N28" s="43">
        <v>1</v>
      </c>
      <c r="O28" s="65">
        <f>O29*$H29</f>
        <v>1.1200000000000001</v>
      </c>
      <c r="P28" s="65">
        <f>P29*$H29</f>
        <v>1.1536000000000002</v>
      </c>
    </row>
    <row r="29" spans="2:18" x14ac:dyDescent="0.25">
      <c r="B29" s="6">
        <v>2023</v>
      </c>
      <c r="F29" s="6" t="s">
        <v>102</v>
      </c>
      <c r="H29" s="88">
        <f>1+O13</f>
        <v>1.1200000000000001</v>
      </c>
      <c r="L29" s="41"/>
      <c r="M29" s="41"/>
      <c r="N29" s="41"/>
      <c r="O29" s="43">
        <v>1</v>
      </c>
      <c r="P29" s="65">
        <f>P30*$H30</f>
        <v>1.03</v>
      </c>
    </row>
    <row r="30" spans="2:18" x14ac:dyDescent="0.25">
      <c r="B30" s="6">
        <v>2024</v>
      </c>
      <c r="F30" s="6" t="s">
        <v>102</v>
      </c>
      <c r="H30" s="88">
        <f>1+P13</f>
        <v>1.03</v>
      </c>
      <c r="L30" s="41"/>
      <c r="M30" s="41"/>
      <c r="N30" s="41"/>
      <c r="O30" s="41"/>
      <c r="P30" s="6">
        <v>1</v>
      </c>
    </row>
    <row r="32" spans="2:18" s="12" customFormat="1" x14ac:dyDescent="0.25">
      <c r="B32" s="12" t="s">
        <v>205</v>
      </c>
    </row>
    <row r="34" spans="2:18" x14ac:dyDescent="0.25">
      <c r="B34" s="34" t="s">
        <v>206</v>
      </c>
      <c r="H34" s="6" t="s">
        <v>208</v>
      </c>
    </row>
    <row r="35" spans="2:18" x14ac:dyDescent="0.25">
      <c r="B35" s="6">
        <v>2021</v>
      </c>
      <c r="F35" s="6" t="s">
        <v>209</v>
      </c>
      <c r="L35" s="41"/>
      <c r="M35" s="43">
        <v>1</v>
      </c>
      <c r="N35" s="65">
        <f>$H36*N36</f>
        <v>0.998</v>
      </c>
      <c r="O35" s="65">
        <f t="shared" ref="O35" si="2">$H36*O36</f>
        <v>0.996004</v>
      </c>
      <c r="P35" s="65">
        <f t="shared" ref="O35:P36" si="3">$H36*P36</f>
        <v>0.99401199200000001</v>
      </c>
    </row>
    <row r="36" spans="2:18" x14ac:dyDescent="0.25">
      <c r="B36" s="6">
        <v>2022</v>
      </c>
      <c r="F36" s="6" t="s">
        <v>209</v>
      </c>
      <c r="H36" s="88">
        <f>1-N16</f>
        <v>0.998</v>
      </c>
      <c r="L36" s="41"/>
      <c r="M36" s="41"/>
      <c r="N36" s="43">
        <v>1</v>
      </c>
      <c r="O36" s="65">
        <f t="shared" si="3"/>
        <v>0.998</v>
      </c>
      <c r="P36" s="65">
        <f t="shared" si="3"/>
        <v>0.996004</v>
      </c>
    </row>
    <row r="37" spans="2:18" x14ac:dyDescent="0.25">
      <c r="B37" s="6">
        <v>2023</v>
      </c>
      <c r="F37" s="6" t="s">
        <v>209</v>
      </c>
      <c r="H37" s="88">
        <f>1-O16</f>
        <v>0.998</v>
      </c>
      <c r="L37" s="41"/>
      <c r="M37" s="41"/>
      <c r="N37" s="41"/>
      <c r="O37" s="43">
        <v>1</v>
      </c>
      <c r="P37" s="65">
        <f>$H38*P38</f>
        <v>0.998</v>
      </c>
    </row>
    <row r="38" spans="2:18" x14ac:dyDescent="0.25">
      <c r="B38" s="6">
        <v>2024</v>
      </c>
      <c r="F38" s="6" t="s">
        <v>209</v>
      </c>
      <c r="H38" s="88">
        <f>1-P16</f>
        <v>0.998</v>
      </c>
      <c r="L38" s="41"/>
      <c r="M38" s="41"/>
      <c r="N38" s="41"/>
      <c r="O38" s="41"/>
      <c r="P38" s="6">
        <v>1</v>
      </c>
    </row>
    <row r="40" spans="2:18" s="12" customFormat="1" x14ac:dyDescent="0.25">
      <c r="B40" s="12" t="s">
        <v>88</v>
      </c>
    </row>
    <row r="42" spans="2:18" x14ac:dyDescent="0.25">
      <c r="B42" s="34" t="s">
        <v>89</v>
      </c>
    </row>
    <row r="43" spans="2:18" x14ac:dyDescent="0.25">
      <c r="B43" s="6" t="s">
        <v>90</v>
      </c>
      <c r="F43" s="6" t="s">
        <v>49</v>
      </c>
      <c r="L43" s="41"/>
      <c r="M43" s="66">
        <f>((1+L21)*(1+L22)*(1+M19)*(1+M20))^(1/4)-1</f>
        <v>2.0000000000000018E-2</v>
      </c>
      <c r="N43" s="66">
        <f>((1+M21)*(1+M22)*(1+N19)*(1+N20))^(1/4)-1</f>
        <v>2.0000000000000018E-2</v>
      </c>
      <c r="O43" s="66">
        <f>((1+N21)*(1+N22)*(1+O19)*(1+O20))^(1/4)-1</f>
        <v>2.9951455166698615E-2</v>
      </c>
      <c r="P43" s="66">
        <f>((1+O21)*(1+O22)*(1+P19)*(1+P20))^(1/4)-1</f>
        <v>6.4988262846121803E-2</v>
      </c>
    </row>
    <row r="44" spans="2:18" x14ac:dyDescent="0.25">
      <c r="R44" s="32"/>
    </row>
    <row r="45" spans="2:18" ht="12.75" customHeight="1" x14ac:dyDescent="0.25">
      <c r="B45" s="34" t="s">
        <v>101</v>
      </c>
      <c r="H45" s="6" t="s">
        <v>103</v>
      </c>
    </row>
    <row r="46" spans="2:18" ht="12.75" customHeight="1" x14ac:dyDescent="0.25">
      <c r="B46" s="6">
        <v>2021</v>
      </c>
      <c r="F46" s="6" t="s">
        <v>102</v>
      </c>
      <c r="H46" s="65">
        <f>1+M43</f>
        <v>1.02</v>
      </c>
      <c r="L46" s="41"/>
      <c r="M46" s="43">
        <v>1</v>
      </c>
      <c r="N46" s="65">
        <f>N47*$H47</f>
        <v>1.02</v>
      </c>
      <c r="O46" s="65">
        <f>O47*$H47</f>
        <v>1.0505504842700326</v>
      </c>
      <c r="P46" s="65">
        <f>P47*$H47</f>
        <v>1.1188239352748939</v>
      </c>
    </row>
    <row r="47" spans="2:18" ht="12.75" customHeight="1" x14ac:dyDescent="0.25">
      <c r="B47" s="6">
        <v>2022</v>
      </c>
      <c r="F47" s="6" t="s">
        <v>102</v>
      </c>
      <c r="H47" s="65">
        <f>1+N43</f>
        <v>1.02</v>
      </c>
      <c r="L47" s="41"/>
      <c r="M47" s="41"/>
      <c r="N47" s="43">
        <v>1</v>
      </c>
      <c r="O47" s="65">
        <f>O48*$H48</f>
        <v>1.0299514551666986</v>
      </c>
      <c r="P47" s="65">
        <f>P48*$H48</f>
        <v>1.0968862110538176</v>
      </c>
    </row>
    <row r="48" spans="2:18" ht="12.75" customHeight="1" x14ac:dyDescent="0.25">
      <c r="B48" s="6">
        <v>2023</v>
      </c>
      <c r="F48" s="6" t="s">
        <v>102</v>
      </c>
      <c r="H48" s="65">
        <f>1+O43</f>
        <v>1.0299514551666986</v>
      </c>
      <c r="L48" s="41"/>
      <c r="M48" s="41"/>
      <c r="N48" s="41"/>
      <c r="O48" s="43">
        <v>1</v>
      </c>
      <c r="P48" s="65">
        <f>P49*$H49</f>
        <v>1.0649882628461218</v>
      </c>
    </row>
    <row r="49" spans="2:16" ht="12.75" customHeight="1" x14ac:dyDescent="0.25">
      <c r="B49" s="6">
        <v>2024</v>
      </c>
      <c r="F49" s="6" t="s">
        <v>102</v>
      </c>
      <c r="H49" s="65">
        <f>1+P43</f>
        <v>1.0649882628461218</v>
      </c>
      <c r="L49" s="41"/>
      <c r="M49" s="41"/>
      <c r="N49" s="41"/>
      <c r="O49" s="41"/>
      <c r="P49" s="6">
        <v>1</v>
      </c>
    </row>
  </sheetData>
  <mergeCells count="1">
    <mergeCell ref="B5:E5"/>
  </mergeCells>
  <pageMargins left="0.7" right="0.7" top="0.75" bottom="0.75" header="0.3" footer="0.3"/>
  <pageSetup paperSize="8" scale="43" orientation="portrait" r:id="rId1"/>
  <colBreaks count="2" manualBreakCount="2">
    <brk id="7" max="70" man="1"/>
    <brk id="1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tabColor rgb="FFFFFFCC"/>
    <pageSetUpPr autoPageBreaks="0"/>
  </sheetPr>
  <dimension ref="B2:S28"/>
  <sheetViews>
    <sheetView showGridLines="0" zoomScale="85" zoomScaleNormal="85" workbookViewId="0">
      <pane xSplit="6" ySplit="8" topLeftCell="G9" activePane="bottomRight" state="frozen"/>
      <selection pane="topRight"/>
      <selection pane="bottomLeft"/>
      <selection pane="bottomRight" activeCell="G9" sqref="G9"/>
    </sheetView>
  </sheetViews>
  <sheetFormatPr defaultColWidth="9.140625" defaultRowHeight="12.75" x14ac:dyDescent="0.25"/>
  <cols>
    <col min="1" max="1" width="5.7109375" style="6" customWidth="1"/>
    <col min="2" max="2" width="54.7109375" style="6" customWidth="1"/>
    <col min="3" max="5" width="5.7109375" style="6" customWidth="1"/>
    <col min="6" max="6" width="13.7109375" style="6" customWidth="1"/>
    <col min="7" max="7" width="2.7109375" style="6" customWidth="1"/>
    <col min="8" max="8" width="13.7109375" style="6" customWidth="1"/>
    <col min="9" max="9" width="2.7109375" style="6" customWidth="1"/>
    <col min="10" max="10" width="13.7109375" style="6" customWidth="1"/>
    <col min="11" max="11" width="2.7109375" style="6" customWidth="1"/>
    <col min="12" max="16" width="12.5703125" style="6" customWidth="1"/>
    <col min="17" max="17" width="2.7109375" style="6" customWidth="1"/>
    <col min="18" max="29" width="13.7109375" style="6" customWidth="1"/>
    <col min="30" max="16384" width="9.140625" style="6"/>
  </cols>
  <sheetData>
    <row r="2" spans="2:19" s="21" customFormat="1" ht="18" x14ac:dyDescent="0.25">
      <c r="B2" s="21" t="s">
        <v>396</v>
      </c>
    </row>
    <row r="4" spans="2:19" x14ac:dyDescent="0.25">
      <c r="B4" s="34" t="s">
        <v>150</v>
      </c>
    </row>
    <row r="5" spans="2:19" ht="39" customHeight="1" x14ac:dyDescent="0.25">
      <c r="B5" s="111" t="s">
        <v>151</v>
      </c>
      <c r="C5" s="111"/>
      <c r="D5" s="111"/>
      <c r="E5" s="111"/>
    </row>
    <row r="6" spans="2:19" x14ac:dyDescent="0.25">
      <c r="B6" s="67"/>
      <c r="C6" s="67"/>
      <c r="D6" s="67"/>
      <c r="E6" s="67"/>
    </row>
    <row r="7" spans="2:19" s="12" customFormat="1" x14ac:dyDescent="0.25">
      <c r="B7" s="12" t="s">
        <v>37</v>
      </c>
      <c r="F7" s="12" t="s">
        <v>22</v>
      </c>
      <c r="H7" s="12" t="s">
        <v>23</v>
      </c>
      <c r="J7" s="12" t="s">
        <v>41</v>
      </c>
      <c r="L7" s="28">
        <v>2020</v>
      </c>
      <c r="M7" s="28">
        <v>2021</v>
      </c>
      <c r="N7" s="28">
        <v>2022</v>
      </c>
      <c r="O7" s="28">
        <v>2023</v>
      </c>
      <c r="P7" s="28">
        <v>2024</v>
      </c>
      <c r="R7" s="12" t="s">
        <v>39</v>
      </c>
      <c r="S7" s="29"/>
    </row>
    <row r="10" spans="2:19" s="12" customFormat="1" x14ac:dyDescent="0.25">
      <c r="B10" s="12" t="s">
        <v>40</v>
      </c>
    </row>
    <row r="12" spans="2:19" x14ac:dyDescent="0.25">
      <c r="B12" s="34" t="s">
        <v>104</v>
      </c>
    </row>
    <row r="13" spans="2:19" x14ac:dyDescent="0.25">
      <c r="B13" s="6" t="s">
        <v>56</v>
      </c>
      <c r="F13" s="6" t="s">
        <v>49</v>
      </c>
      <c r="L13" s="30"/>
      <c r="M13" s="68">
        <f>'6. Parameters'!M13</f>
        <v>7.0000000000000001E-3</v>
      </c>
      <c r="N13" s="68">
        <f>'6. Parameters'!N13</f>
        <v>2.4E-2</v>
      </c>
      <c r="O13" s="68">
        <f>'6. Parameters'!O13</f>
        <v>0.12</v>
      </c>
      <c r="P13" s="68">
        <f>'6. Parameters'!P13</f>
        <v>0.03</v>
      </c>
    </row>
    <row r="14" spans="2:19" x14ac:dyDescent="0.25">
      <c r="L14" s="30"/>
      <c r="M14" s="30"/>
      <c r="N14" s="30"/>
      <c r="O14" s="30"/>
      <c r="P14" s="30"/>
    </row>
    <row r="15" spans="2:19" x14ac:dyDescent="0.25">
      <c r="B15" s="34" t="s">
        <v>111</v>
      </c>
      <c r="L15" s="30"/>
      <c r="M15" s="30"/>
      <c r="N15" s="30"/>
      <c r="O15" s="30"/>
      <c r="P15" s="30"/>
    </row>
    <row r="16" spans="2:19" ht="12" customHeight="1" x14ac:dyDescent="0.25">
      <c r="B16" s="6" t="s">
        <v>105</v>
      </c>
      <c r="F16" s="6" t="s">
        <v>49</v>
      </c>
      <c r="H16" s="64">
        <f>'6. Parameters'!H30</f>
        <v>1.2E-2</v>
      </c>
      <c r="L16" s="31"/>
      <c r="M16" s="31"/>
      <c r="N16" s="31"/>
      <c r="O16" s="31"/>
      <c r="P16" s="31"/>
    </row>
    <row r="18" spans="2:18" x14ac:dyDescent="0.25">
      <c r="B18" s="34" t="s">
        <v>106</v>
      </c>
    </row>
    <row r="19" spans="2:18" x14ac:dyDescent="0.25">
      <c r="B19" s="44" t="s">
        <v>116</v>
      </c>
      <c r="F19" s="6" t="s">
        <v>96</v>
      </c>
      <c r="M19" s="51">
        <f>'7. Brondata'!M13</f>
        <v>127402502.05189669</v>
      </c>
      <c r="R19" s="22"/>
    </row>
    <row r="20" spans="2:18" x14ac:dyDescent="0.25">
      <c r="B20" s="44" t="s">
        <v>117</v>
      </c>
      <c r="F20" s="6" t="s">
        <v>96</v>
      </c>
      <c r="M20" s="51">
        <f>'7. Brondata'!M14</f>
        <v>11327501.735966071</v>
      </c>
      <c r="R20" s="22"/>
    </row>
    <row r="21" spans="2:18" x14ac:dyDescent="0.25">
      <c r="B21" s="6" t="s">
        <v>118</v>
      </c>
      <c r="F21" s="6" t="s">
        <v>96</v>
      </c>
      <c r="M21" s="51">
        <f>'7. Brondata'!M15</f>
        <v>138730003.78786278</v>
      </c>
      <c r="R21" s="22"/>
    </row>
    <row r="22" spans="2:18" x14ac:dyDescent="0.2">
      <c r="J22" s="25"/>
    </row>
    <row r="23" spans="2:18" s="12" customFormat="1" x14ac:dyDescent="0.25">
      <c r="B23" s="12" t="s">
        <v>50</v>
      </c>
    </row>
    <row r="25" spans="2:18" x14ac:dyDescent="0.25">
      <c r="B25" s="34" t="s">
        <v>107</v>
      </c>
    </row>
    <row r="26" spans="2:18" x14ac:dyDescent="0.25">
      <c r="B26" s="44" t="s">
        <v>116</v>
      </c>
      <c r="F26" s="6" t="s">
        <v>96</v>
      </c>
      <c r="N26" s="52">
        <f>M19*(1+N$13-$H$16)</f>
        <v>128931332.07651946</v>
      </c>
      <c r="O26" s="52">
        <f t="shared" ref="O26:O28" si="0">N26*(1+O$13-$H$16)</f>
        <v>142855915.94078356</v>
      </c>
      <c r="P26" s="53">
        <f>O26*(1+P$13-$H$16)</f>
        <v>145427322.42771766</v>
      </c>
    </row>
    <row r="27" spans="2:18" x14ac:dyDescent="0.25">
      <c r="B27" s="44" t="s">
        <v>117</v>
      </c>
      <c r="F27" s="6" t="s">
        <v>96</v>
      </c>
      <c r="N27" s="52">
        <f>M20*(1+N$13-$H$16)</f>
        <v>11463431.756797664</v>
      </c>
      <c r="O27" s="52">
        <f t="shared" si="0"/>
        <v>12701482.386531813</v>
      </c>
      <c r="P27" s="53">
        <f>O27*(1+P$13-$H$16)</f>
        <v>12930109.069489386</v>
      </c>
    </row>
    <row r="28" spans="2:18" x14ac:dyDescent="0.25">
      <c r="B28" s="6" t="s">
        <v>393</v>
      </c>
      <c r="F28" s="6" t="s">
        <v>96</v>
      </c>
      <c r="N28" s="52">
        <f>M21*(1+N$13-$H$16)</f>
        <v>140394763.83331713</v>
      </c>
      <c r="O28" s="52">
        <f t="shared" si="0"/>
        <v>155557398.32731539</v>
      </c>
      <c r="P28" s="52">
        <f>O28*(1+P$13-$H$16)</f>
        <v>158357431.49720708</v>
      </c>
    </row>
  </sheetData>
  <mergeCells count="1">
    <mergeCell ref="B5:E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E1406-BBC0-444A-A7AA-F803FC191AD0}">
  <sheetPr>
    <tabColor rgb="FFFFFFCC"/>
    <pageSetUpPr autoPageBreaks="0"/>
  </sheetPr>
  <dimension ref="B2:S67"/>
  <sheetViews>
    <sheetView showGridLines="0" zoomScale="85" zoomScaleNormal="85" workbookViewId="0">
      <pane xSplit="6" ySplit="11" topLeftCell="G12" activePane="bottomRight" state="frozen"/>
      <selection pane="topRight"/>
      <selection pane="bottomLeft"/>
      <selection pane="bottomRight" activeCell="G12" sqref="G12"/>
    </sheetView>
  </sheetViews>
  <sheetFormatPr defaultColWidth="9.140625" defaultRowHeight="12.75" x14ac:dyDescent="0.25"/>
  <cols>
    <col min="1" max="1" width="5.7109375" style="6" customWidth="1"/>
    <col min="2" max="2" width="97.7109375" style="6" customWidth="1"/>
    <col min="3" max="5" width="5.7109375" style="6" customWidth="1"/>
    <col min="6" max="6" width="13.7109375" style="6" customWidth="1"/>
    <col min="7" max="7" width="2.7109375" style="6" customWidth="1"/>
    <col min="8" max="8" width="13.7109375" style="6" customWidth="1"/>
    <col min="9" max="9" width="2.7109375" style="6" customWidth="1"/>
    <col min="10" max="10" width="13.7109375" style="6" customWidth="1"/>
    <col min="11" max="11" width="2.7109375" style="6" customWidth="1"/>
    <col min="12" max="16" width="12.5703125" style="6" customWidth="1"/>
    <col min="17" max="17" width="2.7109375" style="6" customWidth="1"/>
    <col min="18" max="32" width="13.7109375" style="6" customWidth="1"/>
    <col min="33" max="16384" width="9.140625" style="6"/>
  </cols>
  <sheetData>
    <row r="2" spans="2:19" s="21" customFormat="1" ht="18" x14ac:dyDescent="0.25">
      <c r="B2" s="21" t="s">
        <v>395</v>
      </c>
    </row>
    <row r="4" spans="2:19" x14ac:dyDescent="0.25">
      <c r="B4" s="34" t="s">
        <v>91</v>
      </c>
      <c r="C4" s="8"/>
      <c r="D4" s="8"/>
    </row>
    <row r="5" spans="2:19" ht="75.75" customHeight="1" x14ac:dyDescent="0.25">
      <c r="B5" s="111" t="s">
        <v>295</v>
      </c>
      <c r="C5" s="111"/>
      <c r="D5" s="111"/>
      <c r="E5" s="111"/>
      <c r="H5" s="22"/>
    </row>
    <row r="6" spans="2:19" ht="12.75" customHeight="1" x14ac:dyDescent="0.25">
      <c r="B6" s="5"/>
      <c r="C6" s="5"/>
      <c r="D6" s="5"/>
      <c r="E6" s="5"/>
      <c r="H6" s="22"/>
    </row>
    <row r="7" spans="2:19" ht="12.75" customHeight="1" x14ac:dyDescent="0.25">
      <c r="B7" s="35" t="s">
        <v>273</v>
      </c>
      <c r="C7" s="5"/>
      <c r="D7" s="5"/>
      <c r="E7" s="5"/>
      <c r="H7" s="22"/>
    </row>
    <row r="8" spans="2:19" ht="45" customHeight="1" x14ac:dyDescent="0.25">
      <c r="B8" s="111" t="s">
        <v>420</v>
      </c>
      <c r="C8" s="111"/>
      <c r="D8" s="111"/>
      <c r="E8" s="111"/>
      <c r="H8" s="22"/>
    </row>
    <row r="9" spans="2:19" x14ac:dyDescent="0.25">
      <c r="C9" s="39"/>
      <c r="D9" s="39"/>
      <c r="E9" s="39"/>
    </row>
    <row r="10" spans="2:19" s="12" customFormat="1" x14ac:dyDescent="0.25">
      <c r="B10" s="12" t="s">
        <v>37</v>
      </c>
      <c r="F10" s="12" t="s">
        <v>22</v>
      </c>
      <c r="H10" s="12" t="s">
        <v>23</v>
      </c>
      <c r="J10" s="12" t="s">
        <v>41</v>
      </c>
      <c r="L10" s="28">
        <v>2020</v>
      </c>
      <c r="M10" s="28">
        <v>2021</v>
      </c>
      <c r="N10" s="28">
        <v>2022</v>
      </c>
      <c r="O10" s="28">
        <v>2023</v>
      </c>
      <c r="P10" s="28">
        <v>2024</v>
      </c>
      <c r="R10" s="12" t="s">
        <v>39</v>
      </c>
      <c r="S10" s="29"/>
    </row>
    <row r="13" spans="2:19" s="12" customFormat="1" x14ac:dyDescent="0.25">
      <c r="B13" s="12" t="s">
        <v>40</v>
      </c>
    </row>
    <row r="15" spans="2:19" x14ac:dyDescent="0.25">
      <c r="B15" s="34" t="s">
        <v>83</v>
      </c>
      <c r="Q15" s="38"/>
      <c r="R15" s="38"/>
    </row>
    <row r="16" spans="2:19" x14ac:dyDescent="0.25">
      <c r="B16" s="6" t="s">
        <v>243</v>
      </c>
      <c r="F16" s="6" t="s">
        <v>102</v>
      </c>
      <c r="H16" s="70">
        <f>'9. Berekening parameters'!P47</f>
        <v>1.0968862110538176</v>
      </c>
      <c r="Q16" s="38"/>
      <c r="R16" s="38"/>
    </row>
    <row r="17" spans="2:18" x14ac:dyDescent="0.25">
      <c r="B17" s="6" t="s">
        <v>187</v>
      </c>
      <c r="F17" s="6" t="s">
        <v>102</v>
      </c>
      <c r="H17" s="70">
        <f>'9. Berekening parameters'!P48</f>
        <v>1.0649882628461218</v>
      </c>
    </row>
    <row r="19" spans="2:18" x14ac:dyDescent="0.25">
      <c r="B19" s="34" t="s">
        <v>276</v>
      </c>
    </row>
    <row r="20" spans="2:18" x14ac:dyDescent="0.25">
      <c r="B20" s="6" t="s">
        <v>277</v>
      </c>
      <c r="F20" s="6" t="s">
        <v>96</v>
      </c>
      <c r="N20" s="51">
        <f>'7. Brondata'!N43</f>
        <v>206376.23739600694</v>
      </c>
      <c r="O20" s="51">
        <f>'7. Brondata'!O43</f>
        <v>204379.25144132506</v>
      </c>
    </row>
    <row r="21" spans="2:18" x14ac:dyDescent="0.25">
      <c r="B21" s="6" t="s">
        <v>278</v>
      </c>
      <c r="F21" s="6" t="s">
        <v>96</v>
      </c>
      <c r="N21" s="51">
        <f>'7. Brondata'!N44</f>
        <v>152646.12467529287</v>
      </c>
      <c r="O21" s="51">
        <f>'7. Brondata'!O44</f>
        <v>151231.65995070967</v>
      </c>
    </row>
    <row r="23" spans="2:18" x14ac:dyDescent="0.25">
      <c r="B23" s="34" t="s">
        <v>287</v>
      </c>
      <c r="Q23" s="38"/>
      <c r="R23" s="38"/>
    </row>
    <row r="24" spans="2:18" x14ac:dyDescent="0.25">
      <c r="B24" s="6" t="s">
        <v>154</v>
      </c>
      <c r="F24" s="6" t="s">
        <v>96</v>
      </c>
      <c r="N24" s="51">
        <f>'7. Brondata'!N47</f>
        <v>1421324.5033801931</v>
      </c>
      <c r="O24" s="51">
        <f>'7. Brondata'!O47</f>
        <v>2333441.4043927593</v>
      </c>
      <c r="P24" s="51">
        <f>'7. Brondata'!P47</f>
        <v>3248415.4663096829</v>
      </c>
      <c r="Q24" s="38"/>
      <c r="R24" s="38"/>
    </row>
    <row r="25" spans="2:18" x14ac:dyDescent="0.25">
      <c r="B25" s="6" t="s">
        <v>155</v>
      </c>
      <c r="F25" s="6" t="s">
        <v>96</v>
      </c>
      <c r="N25" s="51">
        <f>'7. Brondata'!N48</f>
        <v>51720.375165146717</v>
      </c>
      <c r="O25" s="51">
        <f>'7. Brondata'!O48</f>
        <v>52546.039234283111</v>
      </c>
      <c r="P25" s="51">
        <f>'7. Brondata'!P48</f>
        <v>53384.884204619229</v>
      </c>
      <c r="Q25" s="38"/>
      <c r="R25" s="38"/>
    </row>
    <row r="26" spans="2:18" x14ac:dyDescent="0.25">
      <c r="B26" s="6" t="s">
        <v>181</v>
      </c>
      <c r="F26" s="6" t="s">
        <v>96</v>
      </c>
      <c r="N26" s="51">
        <f>'7. Brondata'!N49</f>
        <v>25860.187582573355</v>
      </c>
      <c r="O26" s="51">
        <f>'7. Brondata'!O49</f>
        <v>52546.039234283126</v>
      </c>
      <c r="P26" s="51">
        <f>'7. Brondata'!P49</f>
        <v>53384.884204619215</v>
      </c>
      <c r="Q26" s="38"/>
      <c r="R26" s="38"/>
    </row>
    <row r="28" spans="2:18" x14ac:dyDescent="0.25">
      <c r="B28" s="34" t="s">
        <v>288</v>
      </c>
    </row>
    <row r="29" spans="2:18" x14ac:dyDescent="0.25">
      <c r="B29" s="6" t="s">
        <v>157</v>
      </c>
      <c r="F29" s="6" t="s">
        <v>96</v>
      </c>
      <c r="N29" s="51">
        <f>'7. Brondata'!N52</f>
        <v>435322.34226236655</v>
      </c>
      <c r="O29" s="51">
        <f>'7. Brondata'!O52</f>
        <v>716451.46751430584</v>
      </c>
      <c r="P29" s="51">
        <f>'7. Brondata'!P52</f>
        <v>998300.64266335254</v>
      </c>
    </row>
    <row r="30" spans="2:18" x14ac:dyDescent="0.25">
      <c r="B30" s="6" t="s">
        <v>158</v>
      </c>
      <c r="F30" s="6" t="s">
        <v>96</v>
      </c>
      <c r="N30" s="51">
        <f>'7. Brondata'!N53</f>
        <v>13361.251767012793</v>
      </c>
      <c r="O30" s="51">
        <f>'7. Brondata'!O53</f>
        <v>13574.550790221383</v>
      </c>
      <c r="P30" s="51">
        <f>'7. Brondata'!P53</f>
        <v>13791.254919036481</v>
      </c>
    </row>
    <row r="31" spans="2:18" x14ac:dyDescent="0.25">
      <c r="B31" s="6" t="s">
        <v>182</v>
      </c>
      <c r="F31" s="6" t="s">
        <v>96</v>
      </c>
      <c r="N31" s="51">
        <f>'7. Brondata'!N54</f>
        <v>6680.6258835063954</v>
      </c>
      <c r="O31" s="51">
        <f>'7. Brondata'!O54</f>
        <v>13574.550790221385</v>
      </c>
      <c r="P31" s="51">
        <f>'7. Brondata'!P54</f>
        <v>13791.254919036477</v>
      </c>
    </row>
    <row r="33" spans="2:16" x14ac:dyDescent="0.25">
      <c r="B33" s="34" t="s">
        <v>289</v>
      </c>
    </row>
    <row r="34" spans="2:16" x14ac:dyDescent="0.25">
      <c r="B34" s="6" t="s">
        <v>219</v>
      </c>
      <c r="F34" s="6" t="s">
        <v>96</v>
      </c>
      <c r="N34" s="51">
        <f>'7. Brondata'!N57</f>
        <v>1597744.3790911438</v>
      </c>
      <c r="O34" s="51">
        <f>'7. Brondata'!O57</f>
        <v>2493329.8323489139</v>
      </c>
      <c r="P34" s="51">
        <f>'7. Brondata'!P57</f>
        <v>3406579.5381682599</v>
      </c>
    </row>
    <row r="35" spans="2:16" x14ac:dyDescent="0.25">
      <c r="B35" s="6" t="s">
        <v>160</v>
      </c>
      <c r="F35" s="6" t="s">
        <v>96</v>
      </c>
      <c r="N35" s="86"/>
      <c r="O35" s="86"/>
      <c r="P35" s="51">
        <f>'7. Brondata'!P58</f>
        <v>76146.812182613008</v>
      </c>
    </row>
    <row r="36" spans="2:16" x14ac:dyDescent="0.25">
      <c r="B36" s="6" t="s">
        <v>183</v>
      </c>
      <c r="F36" s="6" t="s">
        <v>96</v>
      </c>
      <c r="N36" s="51">
        <f>'7. Brondata'!N59</f>
        <v>22638.867749928144</v>
      </c>
      <c r="O36" s="51">
        <f>'7. Brondata'!O59</f>
        <v>46000.549269376002</v>
      </c>
      <c r="P36" s="51">
        <f>'7. Brondata'!P59</f>
        <v>46734.902037912318</v>
      </c>
    </row>
    <row r="38" spans="2:16" x14ac:dyDescent="0.25">
      <c r="B38" s="34" t="s">
        <v>290</v>
      </c>
    </row>
    <row r="39" spans="2:16" x14ac:dyDescent="0.25">
      <c r="B39" s="6" t="s">
        <v>218</v>
      </c>
      <c r="F39" s="6" t="s">
        <v>96</v>
      </c>
      <c r="N39" s="51">
        <f>'7. Brondata'!N62</f>
        <v>587874.07768188976</v>
      </c>
      <c r="O39" s="51">
        <f>'7. Brondata'!O62</f>
        <v>867552.89286827866</v>
      </c>
      <c r="P39" s="51">
        <f>'7. Brondata'!P62</f>
        <v>1147950.3868567115</v>
      </c>
    </row>
    <row r="40" spans="2:16" x14ac:dyDescent="0.25">
      <c r="B40" s="6" t="s">
        <v>159</v>
      </c>
      <c r="F40" s="6" t="s">
        <v>96</v>
      </c>
      <c r="N40" s="86"/>
      <c r="O40" s="86"/>
      <c r="P40" s="51">
        <f>'7. Brondata'!P63</f>
        <v>31727.422546636455</v>
      </c>
    </row>
    <row r="41" spans="2:16" x14ac:dyDescent="0.25">
      <c r="B41" s="6" t="s">
        <v>184</v>
      </c>
      <c r="F41" s="6" t="s">
        <v>96</v>
      </c>
      <c r="N41" s="51">
        <f>'7. Brondata'!N64</f>
        <v>6668.3693850347981</v>
      </c>
      <c r="O41" s="51">
        <f>'7. Brondata'!O64</f>
        <v>13549.64646779499</v>
      </c>
      <c r="P41" s="51">
        <f>'7. Brondata'!P64</f>
        <v>13765.953024006867</v>
      </c>
    </row>
    <row r="43" spans="2:16" s="12" customFormat="1" x14ac:dyDescent="0.25">
      <c r="B43" s="12" t="s">
        <v>417</v>
      </c>
    </row>
    <row r="45" spans="2:16" x14ac:dyDescent="0.25">
      <c r="B45" s="34" t="s">
        <v>271</v>
      </c>
    </row>
    <row r="46" spans="2:16" x14ac:dyDescent="0.25">
      <c r="B46" s="6" t="s">
        <v>281</v>
      </c>
      <c r="F46" s="6" t="s">
        <v>96</v>
      </c>
      <c r="N46" s="52">
        <f>N34-N24</f>
        <v>176419.8757109507</v>
      </c>
      <c r="O46" s="52">
        <f>O34-O24</f>
        <v>159888.42795615457</v>
      </c>
      <c r="P46" s="52">
        <f>P34-P24</f>
        <v>158164.07185857696</v>
      </c>
    </row>
    <row r="47" spans="2:16" x14ac:dyDescent="0.25">
      <c r="B47" s="6" t="s">
        <v>163</v>
      </c>
      <c r="F47" s="6" t="s">
        <v>96</v>
      </c>
      <c r="N47" s="86"/>
      <c r="O47" s="86"/>
      <c r="P47" s="52">
        <f>P35-P25</f>
        <v>22761.927977993779</v>
      </c>
    </row>
    <row r="48" spans="2:16" x14ac:dyDescent="0.25">
      <c r="B48" s="6" t="s">
        <v>269</v>
      </c>
      <c r="F48" s="6" t="s">
        <v>96</v>
      </c>
      <c r="N48" s="52">
        <f>N36-N26</f>
        <v>-3221.3198326452111</v>
      </c>
      <c r="O48" s="52">
        <f>O36-O26</f>
        <v>-6545.4899649071231</v>
      </c>
      <c r="P48" s="52">
        <f>P36-P26</f>
        <v>-6649.9821667068973</v>
      </c>
    </row>
    <row r="50" spans="2:16" x14ac:dyDescent="0.25">
      <c r="B50" s="8" t="s">
        <v>292</v>
      </c>
    </row>
    <row r="51" spans="2:16" x14ac:dyDescent="0.25">
      <c r="B51" s="6" t="s">
        <v>283</v>
      </c>
      <c r="F51" s="6" t="s">
        <v>96</v>
      </c>
      <c r="N51" s="52">
        <f>SUM(N46:N48)-N20</f>
        <v>-33177.681517701451</v>
      </c>
      <c r="O51" s="52">
        <f>SUM(O46:O48)-O20</f>
        <v>-51036.313450077607</v>
      </c>
      <c r="P51" s="52">
        <f>SUM(P46:P48)-P19</f>
        <v>174276.01766986385</v>
      </c>
    </row>
    <row r="53" spans="2:16" x14ac:dyDescent="0.25">
      <c r="B53" s="34" t="s">
        <v>423</v>
      </c>
    </row>
    <row r="54" spans="2:16" x14ac:dyDescent="0.25">
      <c r="B54" s="6" t="s">
        <v>406</v>
      </c>
      <c r="F54" s="6" t="s">
        <v>96</v>
      </c>
      <c r="P54" s="53">
        <f>N51*$H$16+O51*$H$17+P51</f>
        <v>83530.801495093736</v>
      </c>
    </row>
    <row r="56" spans="2:16" s="12" customFormat="1" x14ac:dyDescent="0.25">
      <c r="B56" s="12" t="s">
        <v>421</v>
      </c>
    </row>
    <row r="58" spans="2:16" x14ac:dyDescent="0.25">
      <c r="B58" s="34" t="s">
        <v>294</v>
      </c>
    </row>
    <row r="59" spans="2:16" x14ac:dyDescent="0.25">
      <c r="B59" s="6" t="s">
        <v>282</v>
      </c>
      <c r="F59" s="6" t="s">
        <v>96</v>
      </c>
      <c r="N59" s="52">
        <f>N39-N29</f>
        <v>152551.7354195232</v>
      </c>
      <c r="O59" s="52">
        <f t="shared" ref="O59:P59" si="0">O39-O29</f>
        <v>151101.42535397282</v>
      </c>
      <c r="P59" s="52">
        <f t="shared" si="0"/>
        <v>149649.74419335893</v>
      </c>
    </row>
    <row r="60" spans="2:16" x14ac:dyDescent="0.25">
      <c r="B60" s="6" t="s">
        <v>164</v>
      </c>
      <c r="F60" s="6" t="s">
        <v>96</v>
      </c>
      <c r="N60" s="86"/>
      <c r="O60" s="86"/>
      <c r="P60" s="52">
        <f>P40-P30</f>
        <v>17936.167627599974</v>
      </c>
    </row>
    <row r="61" spans="2:16" x14ac:dyDescent="0.25">
      <c r="B61" s="6" t="s">
        <v>270</v>
      </c>
      <c r="F61" s="6" t="s">
        <v>96</v>
      </c>
      <c r="N61" s="52">
        <f>N41-N31</f>
        <v>-12.256498471597297</v>
      </c>
      <c r="O61" s="52">
        <f>O41-O31</f>
        <v>-24.904322426395083</v>
      </c>
      <c r="P61" s="52">
        <f>P41-P31</f>
        <v>-25.301895029610023</v>
      </c>
    </row>
    <row r="63" spans="2:16" x14ac:dyDescent="0.25">
      <c r="B63" s="8" t="s">
        <v>293</v>
      </c>
    </row>
    <row r="64" spans="2:16" x14ac:dyDescent="0.25">
      <c r="B64" s="6" t="s">
        <v>284</v>
      </c>
      <c r="F64" s="6" t="s">
        <v>96</v>
      </c>
      <c r="N64" s="52">
        <f>SUM(N59:N61)-N21</f>
        <v>-106.64575424126815</v>
      </c>
      <c r="O64" s="52">
        <f>SUM(O59:O61)-O21</f>
        <v>-155.13891916323337</v>
      </c>
      <c r="P64" s="52">
        <f>SUM(P59:P61)-P20</f>
        <v>167560.60992592928</v>
      </c>
    </row>
    <row r="66" spans="2:16" x14ac:dyDescent="0.25">
      <c r="B66" s="34" t="s">
        <v>422</v>
      </c>
    </row>
    <row r="67" spans="2:16" x14ac:dyDescent="0.25">
      <c r="B67" s="6" t="s">
        <v>407</v>
      </c>
      <c r="F67" s="6" t="s">
        <v>96</v>
      </c>
      <c r="P67" s="53">
        <f>N64*$H$16+O64*$H$17+P64</f>
        <v>167278.41054061512</v>
      </c>
    </row>
  </sheetData>
  <mergeCells count="2">
    <mergeCell ref="B5:E5"/>
    <mergeCell ref="B8:E8"/>
  </mergeCells>
  <phoneticPr fontId="26"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D68ED-C193-4688-AF3E-C457FE33BE5C}">
  <sheetPr>
    <tabColor rgb="FFFFFFCC"/>
    <pageSetUpPr autoPageBreaks="0"/>
  </sheetPr>
  <dimension ref="A2:S31"/>
  <sheetViews>
    <sheetView showGridLines="0" zoomScale="85" zoomScaleNormal="85" workbookViewId="0">
      <pane xSplit="6" ySplit="11" topLeftCell="G12" activePane="bottomRight" state="frozen"/>
      <selection pane="topRight"/>
      <selection pane="bottomLeft"/>
      <selection pane="bottomRight" activeCell="G12" sqref="G12"/>
    </sheetView>
  </sheetViews>
  <sheetFormatPr defaultColWidth="9.140625" defaultRowHeight="12.75" x14ac:dyDescent="0.25"/>
  <cols>
    <col min="1" max="1" width="5.7109375" style="6" customWidth="1"/>
    <col min="2" max="2" width="97.7109375" style="6" customWidth="1"/>
    <col min="3" max="5" width="5.7109375" style="6" customWidth="1"/>
    <col min="6" max="6" width="13.7109375" style="6" customWidth="1"/>
    <col min="7" max="7" width="2.7109375" style="6" customWidth="1"/>
    <col min="8" max="8" width="13.7109375" style="6" customWidth="1"/>
    <col min="9" max="9" width="2.7109375" style="6" customWidth="1"/>
    <col min="10" max="10" width="13.7109375" style="6" customWidth="1"/>
    <col min="11" max="11" width="2.7109375" style="6" customWidth="1"/>
    <col min="12" max="16" width="12.5703125" style="6" customWidth="1"/>
    <col min="17" max="17" width="2.7109375" style="6" customWidth="1"/>
    <col min="18" max="32" width="13.7109375" style="6" customWidth="1"/>
    <col min="33" max="16384" width="9.140625" style="6"/>
  </cols>
  <sheetData>
    <row r="2" spans="1:19" s="21" customFormat="1" ht="18" x14ac:dyDescent="0.25">
      <c r="A2" s="46"/>
      <c r="B2" s="21" t="s">
        <v>394</v>
      </c>
    </row>
    <row r="4" spans="1:19" x14ac:dyDescent="0.25">
      <c r="B4" s="34" t="s">
        <v>91</v>
      </c>
      <c r="C4" s="8"/>
      <c r="D4" s="8"/>
    </row>
    <row r="5" spans="1:19" ht="78.75" customHeight="1" x14ac:dyDescent="0.25">
      <c r="B5" s="112" t="s">
        <v>350</v>
      </c>
      <c r="C5" s="112"/>
      <c r="D5" s="112"/>
      <c r="E5" s="112"/>
      <c r="H5" s="22"/>
    </row>
    <row r="6" spans="1:19" ht="12.75" customHeight="1" x14ac:dyDescent="0.25">
      <c r="B6" s="5"/>
      <c r="C6" s="5"/>
      <c r="D6" s="5"/>
      <c r="E6" s="5"/>
      <c r="H6" s="22"/>
    </row>
    <row r="7" spans="1:19" ht="12.75" customHeight="1" x14ac:dyDescent="0.25">
      <c r="B7" s="35" t="s">
        <v>273</v>
      </c>
      <c r="C7" s="5"/>
      <c r="D7" s="5"/>
      <c r="E7" s="5"/>
      <c r="H7" s="22"/>
    </row>
    <row r="8" spans="1:19" ht="27.75" customHeight="1" x14ac:dyDescent="0.25">
      <c r="B8" s="111" t="s">
        <v>416</v>
      </c>
      <c r="C8" s="111"/>
      <c r="D8" s="111"/>
      <c r="E8" s="111"/>
      <c r="H8" s="22"/>
    </row>
    <row r="9" spans="1:19" x14ac:dyDescent="0.25">
      <c r="C9" s="39"/>
      <c r="D9" s="39"/>
      <c r="E9" s="39"/>
    </row>
    <row r="10" spans="1:19" s="12" customFormat="1" x14ac:dyDescent="0.25">
      <c r="B10" s="12" t="s">
        <v>37</v>
      </c>
      <c r="F10" s="12" t="s">
        <v>22</v>
      </c>
      <c r="H10" s="12" t="s">
        <v>23</v>
      </c>
      <c r="J10" s="12" t="s">
        <v>41</v>
      </c>
      <c r="L10" s="28">
        <v>2020</v>
      </c>
      <c r="M10" s="28">
        <v>2021</v>
      </c>
      <c r="N10" s="28">
        <v>2022</v>
      </c>
      <c r="O10" s="28">
        <v>2023</v>
      </c>
      <c r="P10" s="28">
        <v>2024</v>
      </c>
      <c r="R10" s="12" t="s">
        <v>39</v>
      </c>
      <c r="S10" s="29"/>
    </row>
    <row r="13" spans="1:19" s="12" customFormat="1" x14ac:dyDescent="0.25">
      <c r="B13" s="12" t="s">
        <v>40</v>
      </c>
    </row>
    <row r="15" spans="1:19" x14ac:dyDescent="0.25">
      <c r="B15" s="34" t="s">
        <v>83</v>
      </c>
    </row>
    <row r="16" spans="1:19" x14ac:dyDescent="0.25">
      <c r="B16" s="6" t="s">
        <v>243</v>
      </c>
      <c r="F16" s="6" t="s">
        <v>102</v>
      </c>
      <c r="H16" s="69">
        <f>'9. Berekening parameters'!P47</f>
        <v>1.0968862110538176</v>
      </c>
    </row>
    <row r="17" spans="2:16" x14ac:dyDescent="0.25">
      <c r="B17" s="6" t="s">
        <v>187</v>
      </c>
      <c r="F17" s="6" t="s">
        <v>102</v>
      </c>
      <c r="H17" s="69">
        <f>'9. Berekening parameters'!P48</f>
        <v>1.0649882628461218</v>
      </c>
    </row>
    <row r="19" spans="2:16" x14ac:dyDescent="0.25">
      <c r="B19" s="34" t="s">
        <v>324</v>
      </c>
    </row>
    <row r="20" spans="2:16" x14ac:dyDescent="0.25">
      <c r="B20" s="6" t="s">
        <v>331</v>
      </c>
      <c r="F20" s="6" t="s">
        <v>96</v>
      </c>
      <c r="N20" s="51">
        <f>'7. Brondata'!N69</f>
        <v>69536784.232943609</v>
      </c>
      <c r="O20" s="51">
        <f>'7. Brondata'!O69</f>
        <v>68972645.060864329</v>
      </c>
      <c r="P20" s="51">
        <f>'7. Brondata'!P69</f>
        <v>68392718.904164791</v>
      </c>
    </row>
    <row r="22" spans="2:16" x14ac:dyDescent="0.25">
      <c r="B22" s="34" t="s">
        <v>329</v>
      </c>
    </row>
    <row r="23" spans="2:16" x14ac:dyDescent="0.25">
      <c r="B23" s="6" t="s">
        <v>334</v>
      </c>
      <c r="F23" s="6" t="s">
        <v>96</v>
      </c>
      <c r="N23" s="51">
        <f>'7. Brondata'!N72</f>
        <v>69457454.441195711</v>
      </c>
      <c r="O23" s="51">
        <f>'7. Brondata'!O72</f>
        <v>68893959.551492676</v>
      </c>
      <c r="P23" s="51">
        <f>'7. Brondata'!P72</f>
        <v>68314695.699965268</v>
      </c>
    </row>
    <row r="25" spans="2:16" s="12" customFormat="1" x14ac:dyDescent="0.25">
      <c r="B25" s="12" t="s">
        <v>417</v>
      </c>
    </row>
    <row r="27" spans="2:16" x14ac:dyDescent="0.25">
      <c r="B27" s="34" t="s">
        <v>330</v>
      </c>
    </row>
    <row r="28" spans="2:16" x14ac:dyDescent="0.25">
      <c r="B28" s="6" t="s">
        <v>375</v>
      </c>
      <c r="F28" s="6" t="s">
        <v>96</v>
      </c>
      <c r="N28" s="52">
        <f>N23-N20</f>
        <v>-79329.791747897863</v>
      </c>
      <c r="O28" s="52">
        <f>O23-O20</f>
        <v>-78685.509371653199</v>
      </c>
      <c r="P28" s="52">
        <f>P23-P20</f>
        <v>-78023.204199522734</v>
      </c>
    </row>
    <row r="30" spans="2:16" x14ac:dyDescent="0.25">
      <c r="B30" s="34" t="s">
        <v>418</v>
      </c>
    </row>
    <row r="31" spans="2:16" x14ac:dyDescent="0.25">
      <c r="B31" s="6" t="s">
        <v>419</v>
      </c>
      <c r="F31" s="6" t="s">
        <v>96</v>
      </c>
      <c r="P31" s="53">
        <f>N28*H16+O28*H17+P28</f>
        <v>-248838.10283044202</v>
      </c>
    </row>
  </sheetData>
  <mergeCells count="2">
    <mergeCell ref="B5:E5"/>
    <mergeCell ref="B8:E8"/>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A731F-DDC8-4AC6-9AC5-F4878F3B6ED1}">
  <sheetPr>
    <tabColor rgb="FFFFFFCC"/>
    <pageSetUpPr autoPageBreaks="0"/>
  </sheetPr>
  <dimension ref="B2:S43"/>
  <sheetViews>
    <sheetView showGridLines="0" zoomScale="85" zoomScaleNormal="85" workbookViewId="0">
      <pane xSplit="6" ySplit="11" topLeftCell="G12" activePane="bottomRight" state="frozen"/>
      <selection pane="topRight"/>
      <selection pane="bottomLeft"/>
      <selection pane="bottomRight" activeCell="G12" sqref="G12"/>
    </sheetView>
  </sheetViews>
  <sheetFormatPr defaultColWidth="9.140625" defaultRowHeight="12.75" x14ac:dyDescent="0.25"/>
  <cols>
    <col min="1" max="1" width="5.7109375" style="6" customWidth="1"/>
    <col min="2" max="2" width="54.7109375" style="6" customWidth="1"/>
    <col min="3" max="5" width="5.7109375" style="6" customWidth="1"/>
    <col min="6" max="6" width="13.7109375" style="6" customWidth="1"/>
    <col min="7" max="7" width="2.7109375" style="6" customWidth="1"/>
    <col min="8" max="8" width="13.7109375" style="6" customWidth="1"/>
    <col min="9" max="9" width="2.7109375" style="6" customWidth="1"/>
    <col min="10" max="10" width="13.7109375" style="6" customWidth="1"/>
    <col min="11" max="11" width="2.7109375" style="6" customWidth="1"/>
    <col min="12" max="16" width="12.5703125" style="6" customWidth="1"/>
    <col min="17" max="17" width="2.7109375" style="6" customWidth="1"/>
    <col min="18" max="29" width="13.7109375" style="6" customWidth="1"/>
    <col min="30" max="16384" width="9.140625" style="6"/>
  </cols>
  <sheetData>
    <row r="2" spans="2:19" s="21" customFormat="1" ht="18" x14ac:dyDescent="0.25">
      <c r="B2" s="21" t="s">
        <v>327</v>
      </c>
    </row>
    <row r="4" spans="2:19" x14ac:dyDescent="0.25">
      <c r="B4" s="34" t="s">
        <v>150</v>
      </c>
    </row>
    <row r="5" spans="2:19" ht="50.25" customHeight="1" x14ac:dyDescent="0.25">
      <c r="B5" s="111" t="s">
        <v>414</v>
      </c>
      <c r="C5" s="111"/>
      <c r="D5" s="111"/>
      <c r="E5" s="111"/>
    </row>
    <row r="6" spans="2:19" ht="12.75" customHeight="1" x14ac:dyDescent="0.25">
      <c r="B6" s="5"/>
      <c r="C6" s="5"/>
      <c r="D6" s="5"/>
      <c r="E6" s="5"/>
    </row>
    <row r="7" spans="2:19" ht="12.75" customHeight="1" x14ac:dyDescent="0.25">
      <c r="B7" s="35" t="s">
        <v>273</v>
      </c>
      <c r="C7" s="5"/>
      <c r="D7" s="5"/>
      <c r="E7" s="5"/>
    </row>
    <row r="8" spans="2:19" ht="30" customHeight="1" x14ac:dyDescent="0.25">
      <c r="B8" s="111" t="s">
        <v>323</v>
      </c>
      <c r="C8" s="111"/>
      <c r="D8" s="111"/>
      <c r="E8" s="111"/>
    </row>
    <row r="9" spans="2:19" x14ac:dyDescent="0.25">
      <c r="B9" s="67"/>
      <c r="C9" s="67"/>
      <c r="D9" s="67"/>
      <c r="E9" s="67"/>
    </row>
    <row r="10" spans="2:19" s="12" customFormat="1" x14ac:dyDescent="0.25">
      <c r="B10" s="12" t="s">
        <v>37</v>
      </c>
      <c r="F10" s="12" t="s">
        <v>22</v>
      </c>
      <c r="H10" s="12" t="s">
        <v>23</v>
      </c>
      <c r="J10" s="12" t="s">
        <v>41</v>
      </c>
      <c r="L10" s="28">
        <v>2020</v>
      </c>
      <c r="M10" s="28">
        <v>2021</v>
      </c>
      <c r="N10" s="28">
        <v>2022</v>
      </c>
      <c r="O10" s="28">
        <v>2023</v>
      </c>
      <c r="P10" s="28">
        <v>2024</v>
      </c>
      <c r="R10" s="12" t="s">
        <v>39</v>
      </c>
      <c r="S10" s="29"/>
    </row>
    <row r="13" spans="2:19" s="12" customFormat="1" x14ac:dyDescent="0.25">
      <c r="B13" s="12" t="s">
        <v>40</v>
      </c>
    </row>
    <row r="15" spans="2:19" x14ac:dyDescent="0.25">
      <c r="B15" s="34" t="s">
        <v>104</v>
      </c>
      <c r="M15" s="30"/>
      <c r="O15" s="30"/>
      <c r="P15" s="30"/>
      <c r="Q15" s="30"/>
    </row>
    <row r="16" spans="2:19" x14ac:dyDescent="0.25">
      <c r="B16" s="6" t="s">
        <v>211</v>
      </c>
      <c r="F16" s="6" t="s">
        <v>102</v>
      </c>
      <c r="L16" s="30"/>
      <c r="M16" s="30"/>
      <c r="N16" s="89">
        <f>'9. Berekening parameters'!N27</f>
        <v>1.024</v>
      </c>
      <c r="O16" s="30"/>
      <c r="P16" s="30"/>
      <c r="Q16" s="30"/>
    </row>
    <row r="17" spans="2:18" x14ac:dyDescent="0.25">
      <c r="L17" s="30"/>
      <c r="M17" s="30"/>
      <c r="N17" s="30"/>
      <c r="O17" s="30"/>
      <c r="P17" s="30"/>
      <c r="Q17" s="30"/>
    </row>
    <row r="18" spans="2:18" x14ac:dyDescent="0.25">
      <c r="B18" s="34" t="s">
        <v>198</v>
      </c>
      <c r="L18" s="30"/>
      <c r="M18" s="30"/>
      <c r="N18" s="30"/>
      <c r="O18" s="30"/>
      <c r="P18" s="30"/>
      <c r="Q18" s="30"/>
    </row>
    <row r="19" spans="2:18" x14ac:dyDescent="0.25">
      <c r="B19" s="6" t="s">
        <v>212</v>
      </c>
      <c r="F19" s="6" t="s">
        <v>209</v>
      </c>
      <c r="L19" s="30"/>
      <c r="M19" s="30"/>
      <c r="N19" s="89">
        <f>'9. Berekening parameters'!N35</f>
        <v>0.998</v>
      </c>
      <c r="O19" s="30"/>
      <c r="P19" s="30"/>
      <c r="Q19" s="30"/>
    </row>
    <row r="20" spans="2:18" x14ac:dyDescent="0.25">
      <c r="L20" s="30"/>
      <c r="M20" s="30"/>
      <c r="O20" s="30"/>
      <c r="P20" s="30"/>
      <c r="Q20" s="30"/>
    </row>
    <row r="21" spans="2:18" x14ac:dyDescent="0.25">
      <c r="B21" s="34" t="s">
        <v>83</v>
      </c>
    </row>
    <row r="22" spans="2:18" x14ac:dyDescent="0.25">
      <c r="B22" s="44" t="s">
        <v>215</v>
      </c>
      <c r="F22" s="6" t="s">
        <v>102</v>
      </c>
      <c r="H22" s="69">
        <f>'9. Berekening parameters'!P47</f>
        <v>1.0968862110538176</v>
      </c>
      <c r="R22" s="22"/>
    </row>
    <row r="23" spans="2:18" x14ac:dyDescent="0.25">
      <c r="B23" s="8"/>
      <c r="L23" s="30"/>
      <c r="M23" s="30"/>
      <c r="N23" s="30"/>
      <c r="O23" s="30"/>
      <c r="P23" s="30"/>
      <c r="Q23" s="30"/>
    </row>
    <row r="24" spans="2:18" x14ac:dyDescent="0.25">
      <c r="B24" s="34" t="s">
        <v>210</v>
      </c>
      <c r="L24" s="30"/>
      <c r="M24" s="30"/>
      <c r="N24" s="30"/>
      <c r="O24" s="30"/>
      <c r="P24" s="30"/>
    </row>
    <row r="25" spans="2:18" x14ac:dyDescent="0.25">
      <c r="B25" s="6" t="s">
        <v>274</v>
      </c>
      <c r="F25" s="6" t="s">
        <v>96</v>
      </c>
      <c r="L25" s="30"/>
      <c r="M25" s="107" t="s">
        <v>426</v>
      </c>
      <c r="N25" s="30"/>
      <c r="O25" s="30"/>
      <c r="P25" s="30"/>
    </row>
    <row r="26" spans="2:18" x14ac:dyDescent="0.25">
      <c r="B26" s="6" t="s">
        <v>275</v>
      </c>
      <c r="F26" s="6" t="s">
        <v>96</v>
      </c>
      <c r="L26" s="30"/>
      <c r="M26" s="107" t="s">
        <v>427</v>
      </c>
      <c r="N26" s="30"/>
      <c r="O26" s="30"/>
      <c r="P26" s="30"/>
    </row>
    <row r="28" spans="2:18" x14ac:dyDescent="0.25">
      <c r="B28" s="47" t="s">
        <v>286</v>
      </c>
      <c r="R28" s="22"/>
    </row>
    <row r="29" spans="2:18" x14ac:dyDescent="0.25">
      <c r="B29" s="44" t="s">
        <v>262</v>
      </c>
      <c r="F29" s="6" t="s">
        <v>96</v>
      </c>
      <c r="N29" s="107" t="s">
        <v>428</v>
      </c>
      <c r="R29" s="22"/>
    </row>
    <row r="30" spans="2:18" x14ac:dyDescent="0.25">
      <c r="B30" s="44" t="s">
        <v>263</v>
      </c>
      <c r="F30" s="6" t="s">
        <v>96</v>
      </c>
      <c r="N30" s="107" t="s">
        <v>429</v>
      </c>
      <c r="R30" s="22"/>
    </row>
    <row r="31" spans="2:18" x14ac:dyDescent="0.2">
      <c r="J31" s="25"/>
    </row>
    <row r="32" spans="2:18" s="12" customFormat="1" x14ac:dyDescent="0.25">
      <c r="B32" s="12" t="s">
        <v>213</v>
      </c>
    </row>
    <row r="34" spans="2:16" x14ac:dyDescent="0.25">
      <c r="B34" s="34" t="s">
        <v>214</v>
      </c>
    </row>
    <row r="35" spans="2:16" x14ac:dyDescent="0.25">
      <c r="B35" s="44" t="s">
        <v>214</v>
      </c>
      <c r="F35" s="6" t="s">
        <v>96</v>
      </c>
      <c r="N35" s="108" t="s">
        <v>430</v>
      </c>
    </row>
    <row r="36" spans="2:16" x14ac:dyDescent="0.25">
      <c r="B36" s="44"/>
    </row>
    <row r="37" spans="2:16" s="12" customFormat="1" x14ac:dyDescent="0.25">
      <c r="B37" s="12" t="s">
        <v>371</v>
      </c>
    </row>
    <row r="39" spans="2:16" x14ac:dyDescent="0.25">
      <c r="B39" s="90" t="s">
        <v>415</v>
      </c>
    </row>
    <row r="40" spans="2:16" x14ac:dyDescent="0.25">
      <c r="B40" s="44" t="s">
        <v>216</v>
      </c>
      <c r="F40" s="6" t="s">
        <v>96</v>
      </c>
      <c r="N40" s="52">
        <v>15798049.751735775</v>
      </c>
    </row>
    <row r="42" spans="2:16" x14ac:dyDescent="0.25">
      <c r="B42" s="8" t="s">
        <v>371</v>
      </c>
    </row>
    <row r="43" spans="2:16" x14ac:dyDescent="0.25">
      <c r="B43" s="6" t="s">
        <v>403</v>
      </c>
      <c r="F43" s="6" t="s">
        <v>96</v>
      </c>
      <c r="P43" s="53">
        <f>N40*H22</f>
        <v>17328662.934221156</v>
      </c>
    </row>
  </sheetData>
  <mergeCells count="2">
    <mergeCell ref="B5:E5"/>
    <mergeCell ref="B8:E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C0CE9-3092-41BC-B867-B5A217393EA5}">
  <sheetPr>
    <tabColor rgb="FFFFFFCC"/>
    <pageSetUpPr autoPageBreaks="0"/>
  </sheetPr>
  <dimension ref="A2:R79"/>
  <sheetViews>
    <sheetView showGridLines="0" zoomScale="85" zoomScaleNormal="85" workbookViewId="0">
      <pane xSplit="6" ySplit="11" topLeftCell="G12" activePane="bottomRight" state="frozen"/>
      <selection pane="topRight"/>
      <selection pane="bottomLeft"/>
      <selection pane="bottomRight" activeCell="G12" sqref="G12"/>
    </sheetView>
  </sheetViews>
  <sheetFormatPr defaultColWidth="9.140625" defaultRowHeight="12.75" x14ac:dyDescent="0.25"/>
  <cols>
    <col min="1" max="1" width="5.7109375" style="6" customWidth="1"/>
    <col min="2" max="2" width="90" style="6" customWidth="1"/>
    <col min="3" max="5" width="5.7109375" style="6" customWidth="1"/>
    <col min="6" max="6" width="13.7109375" style="6" customWidth="1"/>
    <col min="7" max="7" width="2.7109375" style="6" customWidth="1"/>
    <col min="8" max="8" width="13.7109375" style="6" customWidth="1"/>
    <col min="9" max="9" width="2.7109375" style="6" customWidth="1"/>
    <col min="10" max="10" width="13.7109375" style="6" customWidth="1"/>
    <col min="11" max="11" width="2.7109375" style="6" customWidth="1"/>
    <col min="12" max="16" width="12.85546875" style="6" customWidth="1"/>
    <col min="17" max="29" width="13.7109375" style="6" customWidth="1"/>
    <col min="30" max="16384" width="9.140625" style="6"/>
  </cols>
  <sheetData>
    <row r="2" spans="1:18" s="21" customFormat="1" ht="18" x14ac:dyDescent="0.25">
      <c r="A2" s="46"/>
      <c r="B2" s="21" t="s">
        <v>328</v>
      </c>
    </row>
    <row r="4" spans="1:18" x14ac:dyDescent="0.25">
      <c r="B4" s="34" t="s">
        <v>91</v>
      </c>
      <c r="C4" s="8"/>
      <c r="D4" s="8"/>
    </row>
    <row r="5" spans="1:18" ht="125.25" customHeight="1" x14ac:dyDescent="0.25">
      <c r="B5" s="112" t="s">
        <v>338</v>
      </c>
      <c r="C5" s="112"/>
      <c r="D5" s="112"/>
      <c r="E5" s="112"/>
      <c r="H5" s="22"/>
    </row>
    <row r="6" spans="1:18" ht="12.75" customHeight="1" x14ac:dyDescent="0.25">
      <c r="B6" s="5"/>
      <c r="C6" s="5"/>
      <c r="D6" s="5"/>
      <c r="E6" s="5"/>
      <c r="H6" s="22"/>
    </row>
    <row r="7" spans="1:18" ht="12.75" customHeight="1" x14ac:dyDescent="0.25">
      <c r="B7" s="35" t="s">
        <v>273</v>
      </c>
      <c r="C7" s="5"/>
      <c r="D7" s="5"/>
      <c r="E7" s="5"/>
      <c r="H7" s="22"/>
    </row>
    <row r="8" spans="1:18" ht="12.75" customHeight="1" x14ac:dyDescent="0.25">
      <c r="B8" s="111" t="s">
        <v>323</v>
      </c>
      <c r="C8" s="111"/>
      <c r="D8" s="111"/>
      <c r="E8" s="111"/>
      <c r="H8" s="22"/>
    </row>
    <row r="9" spans="1:18" x14ac:dyDescent="0.25">
      <c r="C9" s="39"/>
      <c r="D9" s="39"/>
      <c r="E9" s="39"/>
    </row>
    <row r="10" spans="1:18" s="12" customFormat="1" x14ac:dyDescent="0.25">
      <c r="B10" s="12" t="s">
        <v>37</v>
      </c>
      <c r="F10" s="12" t="s">
        <v>22</v>
      </c>
      <c r="H10" s="12" t="s">
        <v>23</v>
      </c>
      <c r="J10" s="12" t="s">
        <v>41</v>
      </c>
      <c r="L10" s="28">
        <v>2020</v>
      </c>
      <c r="M10" s="28">
        <v>2021</v>
      </c>
      <c r="N10" s="28">
        <v>2022</v>
      </c>
      <c r="O10" s="28">
        <v>2023</v>
      </c>
      <c r="P10" s="28">
        <v>2024</v>
      </c>
      <c r="R10" s="12" t="s">
        <v>39</v>
      </c>
    </row>
    <row r="13" spans="1:18" s="12" customFormat="1" x14ac:dyDescent="0.25">
      <c r="B13" s="12" t="s">
        <v>40</v>
      </c>
    </row>
    <row r="15" spans="1:18" x14ac:dyDescent="0.25">
      <c r="B15" s="34" t="s">
        <v>83</v>
      </c>
    </row>
    <row r="16" spans="1:18" x14ac:dyDescent="0.25">
      <c r="B16" s="6" t="s">
        <v>243</v>
      </c>
      <c r="F16" s="6" t="s">
        <v>102</v>
      </c>
      <c r="H16" s="69">
        <f>'9. Berekening parameters'!P47</f>
        <v>1.0968862110538176</v>
      </c>
    </row>
    <row r="17" spans="2:16" x14ac:dyDescent="0.25">
      <c r="H17" s="38"/>
      <c r="I17" s="38"/>
      <c r="J17" s="38"/>
      <c r="K17" s="38"/>
      <c r="L17" s="38"/>
      <c r="M17" s="38"/>
    </row>
    <row r="18" spans="2:16" x14ac:dyDescent="0.25">
      <c r="B18" s="34" t="s">
        <v>346</v>
      </c>
      <c r="H18" s="38"/>
      <c r="I18" s="38"/>
      <c r="J18" s="38"/>
      <c r="K18" s="38"/>
      <c r="L18" s="38"/>
      <c r="M18" s="38"/>
    </row>
    <row r="19" spans="2:16" x14ac:dyDescent="0.25">
      <c r="B19" s="6" t="s">
        <v>347</v>
      </c>
      <c r="F19" s="6" t="s">
        <v>49</v>
      </c>
      <c r="H19" s="87">
        <f>'6. Parameters'!H56</f>
        <v>0.98</v>
      </c>
      <c r="I19" s="38"/>
      <c r="J19" s="38"/>
      <c r="K19" s="38"/>
      <c r="L19" s="38"/>
      <c r="M19" s="38"/>
    </row>
    <row r="20" spans="2:16" x14ac:dyDescent="0.25">
      <c r="H20" s="38"/>
      <c r="I20" s="38"/>
      <c r="J20" s="38"/>
      <c r="K20" s="38"/>
      <c r="L20" s="38"/>
      <c r="M20" s="38"/>
    </row>
    <row r="21" spans="2:16" x14ac:dyDescent="0.25">
      <c r="B21" s="34" t="s">
        <v>222</v>
      </c>
    </row>
    <row r="22" spans="2:16" x14ac:dyDescent="0.25">
      <c r="B22" s="6" t="s">
        <v>223</v>
      </c>
      <c r="F22" s="6" t="s">
        <v>49</v>
      </c>
      <c r="N22" s="96">
        <f>'6. Parameters'!N40</f>
        <v>2.4E-2</v>
      </c>
      <c r="O22" s="93"/>
      <c r="P22" s="93"/>
    </row>
    <row r="23" spans="2:16" x14ac:dyDescent="0.25">
      <c r="B23" s="6" t="s">
        <v>224</v>
      </c>
      <c r="F23" s="6" t="s">
        <v>49</v>
      </c>
      <c r="N23" s="96">
        <f>'6. Parameters'!N41</f>
        <v>2.4E-2</v>
      </c>
      <c r="O23" s="93"/>
      <c r="P23" s="93"/>
    </row>
    <row r="24" spans="2:16" x14ac:dyDescent="0.25">
      <c r="N24" s="40"/>
      <c r="O24" s="40"/>
      <c r="P24" s="40"/>
    </row>
    <row r="25" spans="2:16" x14ac:dyDescent="0.25">
      <c r="B25" s="34" t="s">
        <v>225</v>
      </c>
      <c r="N25" s="40"/>
      <c r="O25" s="40"/>
      <c r="P25" s="40"/>
    </row>
    <row r="26" spans="2:16" x14ac:dyDescent="0.25">
      <c r="B26" s="6" t="s">
        <v>226</v>
      </c>
      <c r="F26" s="6" t="s">
        <v>49</v>
      </c>
      <c r="N26" s="96">
        <f>'6. Parameters'!N44</f>
        <v>4.1000000000000002E-2</v>
      </c>
      <c r="O26" s="93"/>
      <c r="P26" s="93"/>
    </row>
    <row r="27" spans="2:16" x14ac:dyDescent="0.25">
      <c r="B27" s="6" t="s">
        <v>227</v>
      </c>
      <c r="F27" s="6" t="s">
        <v>49</v>
      </c>
      <c r="N27" s="96">
        <f>'6. Parameters'!N45</f>
        <v>3.4000000000000002E-2</v>
      </c>
      <c r="O27" s="93"/>
      <c r="P27" s="93"/>
    </row>
    <row r="29" spans="2:16" x14ac:dyDescent="0.25">
      <c r="B29" s="34" t="s">
        <v>335</v>
      </c>
    </row>
    <row r="30" spans="2:16" x14ac:dyDescent="0.25">
      <c r="B30" s="6" t="s">
        <v>233</v>
      </c>
      <c r="F30" s="6" t="s">
        <v>49</v>
      </c>
      <c r="N30" s="94">
        <f>'6. Parameters'!N50</f>
        <v>0</v>
      </c>
      <c r="O30" s="95"/>
      <c r="P30" s="95"/>
    </row>
    <row r="31" spans="2:16" x14ac:dyDescent="0.25">
      <c r="B31" s="6" t="s">
        <v>234</v>
      </c>
      <c r="F31" s="6" t="s">
        <v>49</v>
      </c>
      <c r="N31" s="94">
        <f>'6. Parameters'!N51</f>
        <v>1</v>
      </c>
      <c r="O31" s="95"/>
      <c r="P31" s="95"/>
    </row>
    <row r="33" spans="2:16" x14ac:dyDescent="0.25">
      <c r="B33" s="34" t="s">
        <v>336</v>
      </c>
    </row>
    <row r="34" spans="2:16" x14ac:dyDescent="0.25">
      <c r="B34" s="6" t="s">
        <v>236</v>
      </c>
      <c r="F34" s="6" t="s">
        <v>96</v>
      </c>
      <c r="N34" s="51">
        <f>'7. Brondata'!N77</f>
        <v>784118237.26098323</v>
      </c>
      <c r="O34" s="95"/>
      <c r="P34" s="95"/>
    </row>
    <row r="35" spans="2:16" x14ac:dyDescent="0.25">
      <c r="B35" s="6" t="s">
        <v>237</v>
      </c>
      <c r="F35" s="6" t="s">
        <v>96</v>
      </c>
      <c r="N35" s="51">
        <f>'7. Brondata'!N78</f>
        <v>80468669.030833304</v>
      </c>
      <c r="O35" s="95"/>
      <c r="P35" s="95"/>
    </row>
    <row r="36" spans="2:16" x14ac:dyDescent="0.25">
      <c r="B36" s="6" t="s">
        <v>238</v>
      </c>
      <c r="F36" s="6" t="s">
        <v>96</v>
      </c>
      <c r="N36" s="51">
        <f>'7. Brondata'!N79</f>
        <v>8073059.344754315</v>
      </c>
      <c r="O36" s="95"/>
      <c r="P36" s="95"/>
    </row>
    <row r="37" spans="2:16" x14ac:dyDescent="0.25">
      <c r="B37" s="6" t="s">
        <v>239</v>
      </c>
      <c r="F37" s="6" t="s">
        <v>96</v>
      </c>
      <c r="N37" s="51">
        <f>'7. Brondata'!N80</f>
        <v>10030280.650005961</v>
      </c>
      <c r="O37" s="95"/>
      <c r="P37" s="95"/>
    </row>
    <row r="38" spans="2:16" x14ac:dyDescent="0.25">
      <c r="N38" s="43"/>
      <c r="O38" s="43"/>
      <c r="P38" s="43"/>
    </row>
    <row r="39" spans="2:16" x14ac:dyDescent="0.25">
      <c r="B39" s="34" t="s">
        <v>337</v>
      </c>
    </row>
    <row r="40" spans="2:16" x14ac:dyDescent="0.25">
      <c r="B40" s="6" t="s">
        <v>240</v>
      </c>
      <c r="F40" s="6" t="s">
        <v>96</v>
      </c>
      <c r="N40" s="51">
        <f>'7. Brondata'!N83</f>
        <v>0</v>
      </c>
      <c r="O40" s="95"/>
      <c r="P40" s="95"/>
    </row>
    <row r="41" spans="2:16" x14ac:dyDescent="0.25">
      <c r="B41" s="6" t="s">
        <v>241</v>
      </c>
      <c r="F41" s="6" t="s">
        <v>96</v>
      </c>
      <c r="N41" s="51">
        <f>'7. Brondata'!N84</f>
        <v>904888.00290222489</v>
      </c>
      <c r="O41" s="95"/>
      <c r="P41" s="95"/>
    </row>
    <row r="42" spans="2:16" x14ac:dyDescent="0.25">
      <c r="B42" s="6" t="s">
        <v>242</v>
      </c>
      <c r="F42" s="6" t="s">
        <v>96</v>
      </c>
      <c r="N42" s="51">
        <f>'7. Brondata'!N85</f>
        <v>3712068.5619513169</v>
      </c>
      <c r="O42" s="95"/>
      <c r="P42" s="95"/>
    </row>
    <row r="44" spans="2:16" s="12" customFormat="1" x14ac:dyDescent="0.25">
      <c r="B44" s="12" t="s">
        <v>244</v>
      </c>
    </row>
    <row r="46" spans="2:16" x14ac:dyDescent="0.25">
      <c r="B46" s="34" t="s">
        <v>297</v>
      </c>
    </row>
    <row r="47" spans="2:16" x14ac:dyDescent="0.25">
      <c r="B47" s="6" t="s">
        <v>298</v>
      </c>
      <c r="F47" s="6" t="s">
        <v>245</v>
      </c>
      <c r="N47" s="97">
        <f>N26-N22</f>
        <v>1.7000000000000001E-2</v>
      </c>
    </row>
    <row r="48" spans="2:16" x14ac:dyDescent="0.25">
      <c r="B48" s="6" t="s">
        <v>299</v>
      </c>
      <c r="F48" s="6" t="s">
        <v>245</v>
      </c>
      <c r="N48" s="97">
        <f>N27-N23</f>
        <v>1.0000000000000002E-2</v>
      </c>
    </row>
    <row r="50" spans="2:15" s="12" customFormat="1" x14ac:dyDescent="0.25">
      <c r="B50" s="12" t="s">
        <v>246</v>
      </c>
    </row>
    <row r="51" spans="2:15" x14ac:dyDescent="0.25">
      <c r="N51" s="38"/>
      <c r="O51" s="38"/>
    </row>
    <row r="52" spans="2:15" x14ac:dyDescent="0.25">
      <c r="B52" s="34" t="s">
        <v>247</v>
      </c>
    </row>
    <row r="53" spans="2:15" x14ac:dyDescent="0.25">
      <c r="B53" s="6" t="s">
        <v>300</v>
      </c>
      <c r="F53" s="6" t="s">
        <v>96</v>
      </c>
      <c r="N53" s="52">
        <f>$N$48*N34</f>
        <v>7841182.3726098342</v>
      </c>
    </row>
    <row r="54" spans="2:15" x14ac:dyDescent="0.25">
      <c r="B54" s="6" t="s">
        <v>301</v>
      </c>
      <c r="F54" s="6" t="s">
        <v>96</v>
      </c>
      <c r="N54" s="52">
        <f>$N$48*N35</f>
        <v>804686.69030833314</v>
      </c>
    </row>
    <row r="55" spans="2:15" x14ac:dyDescent="0.25">
      <c r="B55" s="6" t="s">
        <v>302</v>
      </c>
      <c r="F55" s="6" t="s">
        <v>96</v>
      </c>
      <c r="N55" s="52">
        <f>$N$48*N36</f>
        <v>80730.593447543171</v>
      </c>
    </row>
    <row r="57" spans="2:15" x14ac:dyDescent="0.25">
      <c r="B57" s="34" t="s">
        <v>248</v>
      </c>
    </row>
    <row r="58" spans="2:15" x14ac:dyDescent="0.25">
      <c r="B58" s="6" t="s">
        <v>303</v>
      </c>
      <c r="F58" s="6" t="s">
        <v>96</v>
      </c>
      <c r="N58" s="52">
        <f>N37*($N$30*$N$47+$N$31*$N$48)</f>
        <v>100302.80650005963</v>
      </c>
    </row>
    <row r="60" spans="2:15" x14ac:dyDescent="0.25">
      <c r="B60" s="34" t="s">
        <v>249</v>
      </c>
    </row>
    <row r="61" spans="2:15" x14ac:dyDescent="0.25">
      <c r="B61" s="6" t="s">
        <v>250</v>
      </c>
      <c r="F61" s="6" t="s">
        <v>96</v>
      </c>
      <c r="N61" s="52">
        <f>N53*$H$19+N54+N55+N58</f>
        <v>8670078.8154135738</v>
      </c>
    </row>
    <row r="63" spans="2:15" s="12" customFormat="1" x14ac:dyDescent="0.25">
      <c r="B63" s="12" t="s">
        <v>251</v>
      </c>
    </row>
    <row r="64" spans="2:15" x14ac:dyDescent="0.25">
      <c r="N64" s="38"/>
      <c r="O64" s="38"/>
    </row>
    <row r="65" spans="2:16" x14ac:dyDescent="0.25">
      <c r="B65" s="34" t="s">
        <v>247</v>
      </c>
    </row>
    <row r="66" spans="2:16" x14ac:dyDescent="0.25">
      <c r="B66" s="6" t="s">
        <v>304</v>
      </c>
      <c r="F66" s="6" t="s">
        <v>96</v>
      </c>
      <c r="N66" s="52">
        <f>$N$48*N40</f>
        <v>0</v>
      </c>
    </row>
    <row r="67" spans="2:16" x14ac:dyDescent="0.25">
      <c r="B67" s="6" t="s">
        <v>305</v>
      </c>
      <c r="F67" s="6" t="s">
        <v>96</v>
      </c>
      <c r="N67" s="52">
        <f>$N$48*N41</f>
        <v>9048.8800290222498</v>
      </c>
    </row>
    <row r="69" spans="2:16" x14ac:dyDescent="0.25">
      <c r="B69" s="34" t="s">
        <v>248</v>
      </c>
    </row>
    <row r="70" spans="2:16" x14ac:dyDescent="0.25">
      <c r="B70" s="6" t="s">
        <v>252</v>
      </c>
      <c r="F70" s="6" t="s">
        <v>96</v>
      </c>
      <c r="N70" s="52">
        <f>N42*($N$30*$N$47+$N$31*$N$48)</f>
        <v>37120.685619513177</v>
      </c>
    </row>
    <row r="72" spans="2:16" x14ac:dyDescent="0.25">
      <c r="B72" s="34" t="s">
        <v>249</v>
      </c>
    </row>
    <row r="73" spans="2:16" x14ac:dyDescent="0.25">
      <c r="B73" s="6" t="s">
        <v>253</v>
      </c>
      <c r="F73" s="6" t="s">
        <v>96</v>
      </c>
      <c r="N73" s="52">
        <f>N66+N67+N70</f>
        <v>46169.565648535427</v>
      </c>
    </row>
    <row r="75" spans="2:16" s="12" customFormat="1" x14ac:dyDescent="0.25">
      <c r="B75" s="12" t="s">
        <v>306</v>
      </c>
    </row>
    <row r="77" spans="2:16" x14ac:dyDescent="0.25">
      <c r="B77" s="34" t="s">
        <v>307</v>
      </c>
    </row>
    <row r="78" spans="2:16" x14ac:dyDescent="0.25">
      <c r="B78" s="6" t="s">
        <v>308</v>
      </c>
      <c r="F78" s="6" t="s">
        <v>96</v>
      </c>
      <c r="P78" s="53">
        <f>N61*$H$16</f>
        <v>9510089.9013769664</v>
      </c>
    </row>
    <row r="79" spans="2:16" x14ac:dyDescent="0.25">
      <c r="B79" s="6" t="s">
        <v>309</v>
      </c>
      <c r="F79" s="6" t="s">
        <v>96</v>
      </c>
      <c r="P79" s="53">
        <f>N73*$H$16</f>
        <v>50642.759930222514</v>
      </c>
    </row>
  </sheetData>
  <mergeCells count="2">
    <mergeCell ref="B5:E5"/>
    <mergeCell ref="B8:E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CCC8D9"/>
    <pageSetUpPr autoPageBreaks="0"/>
  </sheetPr>
  <dimension ref="B2:R87"/>
  <sheetViews>
    <sheetView showGridLines="0" zoomScale="85" zoomScaleNormal="85" workbookViewId="0">
      <pane ySplit="3" topLeftCell="A4" activePane="bottomLeft" state="frozen"/>
      <selection pane="bottomLeft" activeCell="A4" sqref="A4"/>
    </sheetView>
  </sheetViews>
  <sheetFormatPr defaultColWidth="9.140625" defaultRowHeight="12.75" x14ac:dyDescent="0.25"/>
  <cols>
    <col min="1" max="1" width="5.7109375" style="6" customWidth="1"/>
    <col min="2" max="2" width="20.7109375" style="6" customWidth="1"/>
    <col min="3" max="3" width="5.7109375" style="6" customWidth="1"/>
    <col min="4" max="4" width="24.7109375" style="6" customWidth="1"/>
    <col min="5" max="7" width="5.7109375" style="6" customWidth="1"/>
    <col min="8" max="8" width="24.7109375" style="6" customWidth="1"/>
    <col min="9" max="11" width="5.7109375" style="6" customWidth="1"/>
    <col min="12" max="12" width="24.7109375" style="6" customWidth="1"/>
    <col min="13" max="15" width="5.7109375" style="6" customWidth="1"/>
    <col min="16" max="16" width="24.7109375" style="6" customWidth="1"/>
    <col min="17" max="18" width="5.7109375" style="6" customWidth="1"/>
    <col min="19" max="16384" width="9.140625" style="6"/>
  </cols>
  <sheetData>
    <row r="2" spans="2:18" s="16" customFormat="1" ht="18" x14ac:dyDescent="0.25">
      <c r="B2" s="15" t="s">
        <v>62</v>
      </c>
    </row>
    <row r="5" spans="2:18" s="12" customFormat="1" x14ac:dyDescent="0.25">
      <c r="B5" s="12" t="s">
        <v>11</v>
      </c>
    </row>
    <row r="7" spans="2:18" x14ac:dyDescent="0.25">
      <c r="B7" s="6" t="s">
        <v>193</v>
      </c>
    </row>
    <row r="8" spans="2:18" x14ac:dyDescent="0.25">
      <c r="B8" s="6" t="s">
        <v>194</v>
      </c>
    </row>
    <row r="10" spans="2:18" s="12" customFormat="1" x14ac:dyDescent="0.25">
      <c r="B10" s="12" t="s">
        <v>48</v>
      </c>
    </row>
    <row r="12" spans="2:18" x14ac:dyDescent="0.25">
      <c r="B12" s="6" t="s">
        <v>131</v>
      </c>
    </row>
    <row r="14" spans="2:18" ht="15" x14ac:dyDescent="0.25">
      <c r="B14"/>
      <c r="C14"/>
      <c r="D14" s="57" t="s">
        <v>67</v>
      </c>
      <c r="E14"/>
      <c r="F14"/>
      <c r="G14"/>
      <c r="H14" s="57" t="s">
        <v>100</v>
      </c>
      <c r="I14"/>
      <c r="J14"/>
      <c r="K14"/>
      <c r="L14" s="57" t="s">
        <v>68</v>
      </c>
      <c r="M14"/>
      <c r="N14"/>
      <c r="O14"/>
      <c r="P14" s="57" t="s">
        <v>69</v>
      </c>
      <c r="Q14"/>
      <c r="R14"/>
    </row>
    <row r="15" spans="2:18" ht="15" x14ac:dyDescent="0.25">
      <c r="B15"/>
      <c r="C15"/>
      <c r="D15" s="57"/>
      <c r="E15"/>
      <c r="F15"/>
      <c r="G15"/>
      <c r="H15" s="57"/>
      <c r="I15"/>
      <c r="J15"/>
      <c r="K15"/>
      <c r="L15" s="57"/>
      <c r="M15"/>
      <c r="N15"/>
      <c r="O15"/>
      <c r="P15" s="57"/>
      <c r="Q15"/>
      <c r="R15"/>
    </row>
    <row r="16" spans="2:18" ht="15" x14ac:dyDescent="0.25">
      <c r="B16"/>
      <c r="C16" s="71"/>
      <c r="D16" s="72"/>
      <c r="E16" s="73"/>
      <c r="K16" s="71"/>
      <c r="L16" s="72"/>
      <c r="M16" s="73"/>
      <c r="N16"/>
      <c r="O16"/>
      <c r="P16" s="57"/>
      <c r="Q16"/>
      <c r="R16"/>
    </row>
    <row r="17" spans="2:18" ht="15" x14ac:dyDescent="0.25">
      <c r="B17"/>
      <c r="C17" s="74"/>
      <c r="D17" s="75" t="s">
        <v>132</v>
      </c>
      <c r="E17" s="76"/>
      <c r="K17" s="74"/>
      <c r="L17" s="77" t="s">
        <v>165</v>
      </c>
      <c r="M17" s="76"/>
      <c r="N17"/>
      <c r="O17"/>
      <c r="P17" s="57"/>
      <c r="Q17"/>
      <c r="R17"/>
    </row>
    <row r="18" spans="2:18" ht="15" x14ac:dyDescent="0.25">
      <c r="B18"/>
      <c r="C18" s="78"/>
      <c r="D18" s="79"/>
      <c r="E18" s="80"/>
      <c r="K18" s="78"/>
      <c r="L18" s="79"/>
      <c r="M18" s="80"/>
      <c r="N18"/>
      <c r="O18"/>
      <c r="P18" s="57"/>
      <c r="Q18"/>
      <c r="R18"/>
    </row>
    <row r="19" spans="2:18" ht="15" x14ac:dyDescent="0.25">
      <c r="B19"/>
      <c r="N19"/>
      <c r="O19"/>
      <c r="P19" s="57"/>
      <c r="Q19"/>
      <c r="R19"/>
    </row>
    <row r="20" spans="2:18" ht="15" x14ac:dyDescent="0.25">
      <c r="B20"/>
      <c r="G20" s="71"/>
      <c r="H20" s="72"/>
      <c r="I20" s="73"/>
      <c r="N20"/>
      <c r="O20"/>
      <c r="P20" s="57"/>
      <c r="Q20"/>
      <c r="R20"/>
    </row>
    <row r="21" spans="2:18" ht="15" x14ac:dyDescent="0.25">
      <c r="B21"/>
      <c r="G21" s="74"/>
      <c r="H21" s="81" t="s">
        <v>135</v>
      </c>
      <c r="I21" s="76"/>
      <c r="N21"/>
      <c r="O21"/>
      <c r="P21" s="57"/>
      <c r="Q21"/>
      <c r="R21"/>
    </row>
    <row r="22" spans="2:18" ht="15" x14ac:dyDescent="0.25">
      <c r="B22"/>
      <c r="G22" s="78"/>
      <c r="H22" s="79"/>
      <c r="I22" s="80"/>
      <c r="N22"/>
      <c r="O22"/>
      <c r="P22" s="57"/>
      <c r="Q22"/>
      <c r="R22"/>
    </row>
    <row r="23" spans="2:18" ht="15" x14ac:dyDescent="0.25">
      <c r="B23"/>
      <c r="C23"/>
      <c r="D23"/>
      <c r="E23"/>
      <c r="F23"/>
      <c r="G23"/>
      <c r="H23"/>
      <c r="I23"/>
      <c r="J23"/>
      <c r="K23"/>
      <c r="L23"/>
      <c r="M23"/>
      <c r="N23"/>
      <c r="O23"/>
      <c r="P23"/>
      <c r="Q23"/>
      <c r="R23"/>
    </row>
    <row r="24" spans="2:18" ht="15" x14ac:dyDescent="0.25">
      <c r="B24"/>
      <c r="F24"/>
      <c r="G24"/>
      <c r="H24"/>
      <c r="I24"/>
      <c r="J24"/>
      <c r="K24" s="1"/>
      <c r="L24" s="7"/>
      <c r="M24" s="2"/>
      <c r="N24"/>
      <c r="O24"/>
      <c r="P24"/>
      <c r="Q24"/>
      <c r="R24"/>
    </row>
    <row r="25" spans="2:18" ht="15" x14ac:dyDescent="0.25">
      <c r="B25"/>
      <c r="F25"/>
      <c r="G25"/>
      <c r="H25"/>
      <c r="I25"/>
      <c r="J25"/>
      <c r="K25" s="3"/>
      <c r="L25" s="81" t="s">
        <v>136</v>
      </c>
      <c r="M25" s="58"/>
      <c r="N25"/>
      <c r="O25"/>
      <c r="P25"/>
      <c r="Q25"/>
      <c r="R25"/>
    </row>
    <row r="26" spans="2:18" ht="15" x14ac:dyDescent="0.25">
      <c r="B26"/>
      <c r="F26"/>
      <c r="G26"/>
      <c r="H26"/>
      <c r="I26"/>
      <c r="J26"/>
      <c r="K26" s="59"/>
      <c r="L26" s="4"/>
      <c r="M26" s="60"/>
      <c r="N26"/>
      <c r="O26"/>
      <c r="P26"/>
      <c r="Q26"/>
      <c r="R26"/>
    </row>
    <row r="27" spans="2:18" ht="15" x14ac:dyDescent="0.25">
      <c r="B27"/>
      <c r="C27"/>
      <c r="D27"/>
      <c r="E27"/>
      <c r="F27"/>
      <c r="G27"/>
      <c r="H27"/>
      <c r="I27"/>
      <c r="J27"/>
      <c r="K27"/>
      <c r="L27"/>
      <c r="M27"/>
      <c r="N27"/>
      <c r="O27"/>
      <c r="P27"/>
      <c r="Q27"/>
      <c r="R27"/>
    </row>
    <row r="28" spans="2:18" ht="15" x14ac:dyDescent="0.25">
      <c r="B28"/>
      <c r="F28"/>
      <c r="G28"/>
      <c r="H28"/>
      <c r="I28"/>
      <c r="J28"/>
      <c r="K28" s="1"/>
      <c r="L28" s="7"/>
      <c r="M28" s="2"/>
      <c r="N28"/>
      <c r="R28"/>
    </row>
    <row r="29" spans="2:18" ht="15" x14ac:dyDescent="0.25">
      <c r="B29"/>
      <c r="F29"/>
      <c r="G29"/>
      <c r="H29"/>
      <c r="I29"/>
      <c r="J29"/>
      <c r="K29" s="3"/>
      <c r="L29" s="81" t="s">
        <v>137</v>
      </c>
      <c r="M29" s="58"/>
      <c r="N29"/>
      <c r="R29"/>
    </row>
    <row r="30" spans="2:18" ht="15" x14ac:dyDescent="0.25">
      <c r="B30"/>
      <c r="F30"/>
      <c r="G30"/>
      <c r="H30"/>
      <c r="I30"/>
      <c r="J30"/>
      <c r="K30" s="59"/>
      <c r="L30" s="4"/>
      <c r="M30" s="60"/>
      <c r="N30"/>
      <c r="R30"/>
    </row>
    <row r="31" spans="2:18" ht="15" x14ac:dyDescent="0.25">
      <c r="B31"/>
      <c r="F31"/>
      <c r="G31"/>
      <c r="H31"/>
      <c r="I31"/>
      <c r="J31"/>
      <c r="K31"/>
      <c r="L31"/>
      <c r="M31"/>
      <c r="N31"/>
      <c r="O31"/>
      <c r="P31"/>
      <c r="Q31"/>
      <c r="R31"/>
    </row>
    <row r="32" spans="2:18" ht="15" x14ac:dyDescent="0.25">
      <c r="B32"/>
      <c r="F32"/>
      <c r="G32"/>
      <c r="H32"/>
      <c r="I32"/>
      <c r="J32"/>
      <c r="K32" s="1"/>
      <c r="L32" s="7"/>
      <c r="M32" s="2"/>
      <c r="N32"/>
      <c r="R32"/>
    </row>
    <row r="33" spans="2:18" ht="15" x14ac:dyDescent="0.25">
      <c r="B33"/>
      <c r="F33"/>
      <c r="G33"/>
      <c r="H33"/>
      <c r="I33"/>
      <c r="J33"/>
      <c r="K33" s="3"/>
      <c r="L33" s="81" t="s">
        <v>397</v>
      </c>
      <c r="M33" s="58"/>
      <c r="N33"/>
      <c r="R33"/>
    </row>
    <row r="34" spans="2:18" ht="15" x14ac:dyDescent="0.25">
      <c r="B34"/>
      <c r="C34" s="1"/>
      <c r="D34" s="7"/>
      <c r="E34" s="2"/>
      <c r="F34"/>
      <c r="G34"/>
      <c r="H34"/>
      <c r="I34"/>
      <c r="J34"/>
      <c r="K34" s="59"/>
      <c r="L34" s="4"/>
      <c r="M34" s="60"/>
      <c r="N34"/>
      <c r="R34"/>
    </row>
    <row r="35" spans="2:18" ht="15" x14ac:dyDescent="0.25">
      <c r="B35"/>
      <c r="C35" s="3"/>
      <c r="D35" s="75" t="s">
        <v>133</v>
      </c>
      <c r="E35" s="58"/>
      <c r="F35"/>
      <c r="G35"/>
      <c r="H35"/>
      <c r="I35"/>
      <c r="J35"/>
      <c r="K35"/>
      <c r="L35"/>
      <c r="M35"/>
      <c r="N35"/>
      <c r="R35"/>
    </row>
    <row r="36" spans="2:18" ht="15" x14ac:dyDescent="0.25">
      <c r="B36"/>
      <c r="C36" s="59"/>
      <c r="D36" s="4"/>
      <c r="E36" s="60"/>
      <c r="F36"/>
      <c r="G36"/>
      <c r="H36"/>
      <c r="I36"/>
      <c r="J36"/>
      <c r="K36" s="1"/>
      <c r="L36" s="7"/>
      <c r="M36" s="2"/>
      <c r="N36"/>
      <c r="R36"/>
    </row>
    <row r="37" spans="2:18" ht="15" x14ac:dyDescent="0.25">
      <c r="B37"/>
      <c r="C37"/>
      <c r="D37"/>
      <c r="E37"/>
      <c r="F37"/>
      <c r="G37"/>
      <c r="H37"/>
      <c r="I37"/>
      <c r="J37"/>
      <c r="K37" s="3"/>
      <c r="L37" s="81" t="s">
        <v>398</v>
      </c>
      <c r="M37" s="58"/>
      <c r="N37"/>
      <c r="R37"/>
    </row>
    <row r="38" spans="2:18" ht="15" x14ac:dyDescent="0.25">
      <c r="B38"/>
      <c r="C38"/>
      <c r="D38"/>
      <c r="E38"/>
      <c r="F38"/>
      <c r="G38"/>
      <c r="H38"/>
      <c r="I38"/>
      <c r="J38"/>
      <c r="K38" s="59"/>
      <c r="L38" s="4"/>
      <c r="M38" s="60"/>
      <c r="N38"/>
      <c r="R38"/>
    </row>
    <row r="39" spans="2:18" ht="15" x14ac:dyDescent="0.25">
      <c r="B39"/>
      <c r="C39"/>
      <c r="D39"/>
      <c r="E39"/>
      <c r="F39"/>
      <c r="G39"/>
      <c r="H39"/>
      <c r="I39"/>
      <c r="J39"/>
      <c r="K39"/>
      <c r="L39"/>
      <c r="M39"/>
      <c r="N39"/>
      <c r="R39"/>
    </row>
    <row r="40" spans="2:18" ht="15" x14ac:dyDescent="0.25">
      <c r="B40"/>
      <c r="C40"/>
      <c r="D40"/>
      <c r="E40"/>
      <c r="F40"/>
      <c r="G40"/>
      <c r="H40"/>
      <c r="I40"/>
      <c r="J40"/>
      <c r="K40" s="1"/>
      <c r="L40" s="7"/>
      <c r="M40" s="2"/>
      <c r="N40"/>
      <c r="R40"/>
    </row>
    <row r="41" spans="2:18" ht="15" x14ac:dyDescent="0.25">
      <c r="B41"/>
      <c r="C41"/>
      <c r="D41"/>
      <c r="E41"/>
      <c r="F41"/>
      <c r="G41"/>
      <c r="H41"/>
      <c r="I41"/>
      <c r="J41"/>
      <c r="K41" s="3"/>
      <c r="L41" s="81" t="s">
        <v>333</v>
      </c>
      <c r="M41" s="58"/>
      <c r="N41"/>
      <c r="R41"/>
    </row>
    <row r="42" spans="2:18" ht="15" x14ac:dyDescent="0.25">
      <c r="B42"/>
      <c r="C42"/>
      <c r="D42"/>
      <c r="E42"/>
      <c r="F42"/>
      <c r="G42"/>
      <c r="H42"/>
      <c r="I42"/>
      <c r="J42"/>
      <c r="K42" s="59"/>
      <c r="L42" s="4"/>
      <c r="M42" s="60"/>
      <c r="N42"/>
      <c r="R42"/>
    </row>
    <row r="43" spans="2:18" ht="15" x14ac:dyDescent="0.25">
      <c r="B43"/>
      <c r="F43"/>
      <c r="G43"/>
      <c r="H43"/>
      <c r="I43"/>
      <c r="J43"/>
      <c r="K43"/>
      <c r="L43"/>
      <c r="M43"/>
      <c r="N43"/>
      <c r="O43"/>
      <c r="P43"/>
      <c r="Q43"/>
      <c r="R43"/>
    </row>
    <row r="44" spans="2:18" ht="15" x14ac:dyDescent="0.25">
      <c r="B44"/>
      <c r="C44" s="1"/>
      <c r="D44" s="7"/>
      <c r="E44" s="2"/>
      <c r="F44"/>
      <c r="G44"/>
      <c r="H44"/>
      <c r="I44"/>
      <c r="J44"/>
      <c r="K44" s="1"/>
      <c r="L44" s="7"/>
      <c r="M44" s="2"/>
      <c r="N44"/>
      <c r="O44"/>
      <c r="P44"/>
      <c r="Q44"/>
      <c r="R44"/>
    </row>
    <row r="45" spans="2:18" ht="15" x14ac:dyDescent="0.25">
      <c r="B45"/>
      <c r="C45" s="3"/>
      <c r="D45" s="100" t="s">
        <v>296</v>
      </c>
      <c r="E45" s="58"/>
      <c r="F45"/>
      <c r="G45"/>
      <c r="H45"/>
      <c r="I45"/>
      <c r="J45"/>
      <c r="K45" s="3"/>
      <c r="L45" s="81" t="s">
        <v>332</v>
      </c>
      <c r="M45" s="58"/>
      <c r="N45"/>
      <c r="O45"/>
      <c r="P45"/>
      <c r="Q45"/>
      <c r="R45"/>
    </row>
    <row r="46" spans="2:18" ht="15" x14ac:dyDescent="0.25">
      <c r="B46"/>
      <c r="C46" s="59"/>
      <c r="D46" s="4"/>
      <c r="E46" s="60"/>
      <c r="F46"/>
      <c r="G46"/>
      <c r="H46"/>
      <c r="I46"/>
      <c r="J46"/>
      <c r="K46" s="59"/>
      <c r="L46" s="4"/>
      <c r="M46" s="60"/>
      <c r="N46"/>
      <c r="O46"/>
      <c r="P46"/>
      <c r="Q46"/>
      <c r="R46"/>
    </row>
    <row r="47" spans="2:18" ht="15" x14ac:dyDescent="0.25">
      <c r="B47"/>
      <c r="F47"/>
      <c r="G47"/>
      <c r="H47"/>
      <c r="I47"/>
      <c r="J47"/>
      <c r="K47"/>
      <c r="L47"/>
      <c r="M47"/>
      <c r="N47"/>
      <c r="O47"/>
      <c r="P47"/>
      <c r="Q47"/>
      <c r="R47"/>
    </row>
    <row r="48" spans="2:18" ht="15" x14ac:dyDescent="0.25">
      <c r="B48"/>
      <c r="C48"/>
      <c r="D48"/>
      <c r="E48"/>
      <c r="F48"/>
      <c r="G48"/>
      <c r="H48"/>
      <c r="I48"/>
      <c r="J48"/>
      <c r="K48"/>
      <c r="L48"/>
      <c r="M48"/>
      <c r="N48"/>
      <c r="O48"/>
      <c r="P48"/>
      <c r="Q48"/>
      <c r="R48"/>
    </row>
    <row r="49" spans="2:18" ht="15" x14ac:dyDescent="0.25">
      <c r="B49"/>
      <c r="C49" s="1"/>
      <c r="D49" s="7"/>
      <c r="E49" s="2"/>
      <c r="F49"/>
      <c r="G49"/>
      <c r="H49"/>
      <c r="I49"/>
      <c r="J49"/>
      <c r="K49"/>
      <c r="L49"/>
      <c r="M49"/>
      <c r="N49"/>
      <c r="O49" s="1"/>
      <c r="P49" s="7"/>
      <c r="Q49" s="2"/>
      <c r="R49"/>
    </row>
    <row r="50" spans="2:18" ht="15" x14ac:dyDescent="0.25">
      <c r="B50"/>
      <c r="C50" s="3"/>
      <c r="D50" s="56" t="s">
        <v>134</v>
      </c>
      <c r="E50" s="58"/>
      <c r="F50"/>
      <c r="G50"/>
      <c r="H50"/>
      <c r="I50"/>
      <c r="J50"/>
      <c r="K50"/>
      <c r="L50"/>
      <c r="M50"/>
      <c r="N50"/>
      <c r="O50" s="3"/>
      <c r="P50" s="82" t="s">
        <v>311</v>
      </c>
      <c r="Q50" s="58"/>
      <c r="R50"/>
    </row>
    <row r="51" spans="2:18" ht="15" x14ac:dyDescent="0.25">
      <c r="B51"/>
      <c r="C51" s="59"/>
      <c r="D51" s="4"/>
      <c r="E51" s="60"/>
      <c r="F51"/>
      <c r="G51"/>
      <c r="H51"/>
      <c r="I51"/>
      <c r="J51"/>
      <c r="K51"/>
      <c r="L51"/>
      <c r="M51"/>
      <c r="N51"/>
      <c r="O51" s="59"/>
      <c r="P51" s="4"/>
      <c r="Q51" s="60"/>
      <c r="R51"/>
    </row>
    <row r="52" spans="2:18" ht="15" x14ac:dyDescent="0.25">
      <c r="B52"/>
      <c r="C52"/>
      <c r="D52"/>
      <c r="E52"/>
      <c r="F52"/>
      <c r="G52"/>
      <c r="H52"/>
      <c r="I52"/>
      <c r="J52"/>
      <c r="K52"/>
      <c r="L52"/>
      <c r="M52"/>
      <c r="N52"/>
      <c r="O52"/>
      <c r="P52"/>
      <c r="Q52"/>
      <c r="R52"/>
    </row>
    <row r="53" spans="2:18" ht="15" x14ac:dyDescent="0.25">
      <c r="B53"/>
      <c r="C53"/>
      <c r="D53"/>
      <c r="E53"/>
      <c r="F53"/>
      <c r="G53"/>
      <c r="H53"/>
      <c r="I53"/>
      <c r="J53"/>
      <c r="K53"/>
      <c r="L53"/>
      <c r="M53"/>
      <c r="N53"/>
      <c r="O53"/>
      <c r="P53"/>
      <c r="Q53"/>
      <c r="R53"/>
    </row>
    <row r="54" spans="2:18" ht="15" x14ac:dyDescent="0.25">
      <c r="B54"/>
      <c r="C54"/>
      <c r="D54"/>
      <c r="E54"/>
      <c r="F54"/>
      <c r="G54"/>
      <c r="H54"/>
      <c r="I54"/>
      <c r="J54"/>
      <c r="K54"/>
      <c r="L54"/>
      <c r="M54"/>
      <c r="N54"/>
      <c r="O54"/>
      <c r="P54"/>
      <c r="Q54"/>
      <c r="R54"/>
    </row>
    <row r="56" spans="2:18" s="12" customFormat="1" x14ac:dyDescent="0.25">
      <c r="B56" s="12" t="s">
        <v>12</v>
      </c>
    </row>
    <row r="58" spans="2:18" x14ac:dyDescent="0.25">
      <c r="B58" s="34" t="s">
        <v>31</v>
      </c>
      <c r="D58" s="34" t="s">
        <v>13</v>
      </c>
    </row>
    <row r="60" spans="2:18" x14ac:dyDescent="0.25">
      <c r="B60" s="48">
        <v>123</v>
      </c>
      <c r="D60" s="6" t="s">
        <v>77</v>
      </c>
    </row>
    <row r="61" spans="2:18" x14ac:dyDescent="0.25">
      <c r="B61" s="51">
        <f>B60</f>
        <v>123</v>
      </c>
      <c r="D61" s="6" t="s">
        <v>14</v>
      </c>
    </row>
    <row r="62" spans="2:18" x14ac:dyDescent="0.25">
      <c r="B62" s="52">
        <f>B61+B60</f>
        <v>246</v>
      </c>
      <c r="D62" s="6" t="s">
        <v>15</v>
      </c>
    </row>
    <row r="63" spans="2:18" x14ac:dyDescent="0.25">
      <c r="B63" s="53">
        <f>B61+B62</f>
        <v>369</v>
      </c>
      <c r="D63" s="6" t="s">
        <v>78</v>
      </c>
      <c r="E63" s="10"/>
    </row>
    <row r="64" spans="2:18" x14ac:dyDescent="0.25">
      <c r="B64" s="98">
        <v>123</v>
      </c>
      <c r="D64" s="6" t="s">
        <v>312</v>
      </c>
      <c r="E64" s="10"/>
      <c r="F64" s="10"/>
    </row>
    <row r="65" spans="2:5" x14ac:dyDescent="0.25">
      <c r="B65" s="17"/>
      <c r="D65" s="6" t="s">
        <v>16</v>
      </c>
      <c r="E65" s="10"/>
    </row>
    <row r="67" spans="2:5" x14ac:dyDescent="0.25">
      <c r="B67" s="35" t="s">
        <v>17</v>
      </c>
    </row>
    <row r="68" spans="2:5" x14ac:dyDescent="0.25">
      <c r="B68" s="54">
        <f>B63+16</f>
        <v>385</v>
      </c>
      <c r="D68" s="6" t="s">
        <v>79</v>
      </c>
    </row>
    <row r="69" spans="2:5" x14ac:dyDescent="0.25">
      <c r="B69" s="55">
        <f>B61*PI()</f>
        <v>386.41589639154455</v>
      </c>
      <c r="C69" s="18"/>
      <c r="D69" s="6" t="s">
        <v>18</v>
      </c>
    </row>
    <row r="70" spans="2:5" x14ac:dyDescent="0.25">
      <c r="B70" s="18"/>
      <c r="C70" s="18"/>
    </row>
    <row r="71" spans="2:5" x14ac:dyDescent="0.25">
      <c r="B71" s="35" t="s">
        <v>19</v>
      </c>
      <c r="C71" s="19"/>
    </row>
    <row r="72" spans="2:5" x14ac:dyDescent="0.25">
      <c r="B72" s="56">
        <v>123</v>
      </c>
      <c r="C72" s="19"/>
      <c r="D72" s="6" t="s">
        <v>80</v>
      </c>
    </row>
    <row r="73" spans="2:5" x14ac:dyDescent="0.25">
      <c r="B73" s="50">
        <v>124</v>
      </c>
      <c r="C73" s="19"/>
      <c r="D73" s="6" t="s">
        <v>81</v>
      </c>
    </row>
    <row r="74" spans="2:5" x14ac:dyDescent="0.25">
      <c r="B74" s="42">
        <f>B72-B73</f>
        <v>-1</v>
      </c>
      <c r="C74" s="20"/>
      <c r="D74" s="6" t="s">
        <v>47</v>
      </c>
    </row>
    <row r="77" spans="2:5" x14ac:dyDescent="0.25">
      <c r="B77" s="34" t="s">
        <v>27</v>
      </c>
    </row>
    <row r="78" spans="2:5" x14ac:dyDescent="0.25">
      <c r="B78" s="8"/>
    </row>
    <row r="79" spans="2:5" x14ac:dyDescent="0.25">
      <c r="B79" s="35" t="s">
        <v>32</v>
      </c>
    </row>
    <row r="80" spans="2:5" x14ac:dyDescent="0.25">
      <c r="B80" s="53" t="s">
        <v>26</v>
      </c>
      <c r="D80" s="6" t="s">
        <v>35</v>
      </c>
    </row>
    <row r="81" spans="2:4" x14ac:dyDescent="0.25">
      <c r="B81" s="48" t="s">
        <v>24</v>
      </c>
      <c r="D81" s="6" t="s">
        <v>28</v>
      </c>
    </row>
    <row r="82" spans="2:4" x14ac:dyDescent="0.25">
      <c r="B82" s="101" t="s">
        <v>313</v>
      </c>
      <c r="D82" s="6" t="s">
        <v>314</v>
      </c>
    </row>
    <row r="83" spans="2:4" x14ac:dyDescent="0.25">
      <c r="B83" s="52" t="s">
        <v>25</v>
      </c>
      <c r="D83" s="6" t="s">
        <v>29</v>
      </c>
    </row>
    <row r="85" spans="2:4" x14ac:dyDescent="0.25">
      <c r="B85" s="35" t="s">
        <v>34</v>
      </c>
    </row>
    <row r="86" spans="2:4" x14ac:dyDescent="0.25">
      <c r="B86" s="23" t="s">
        <v>30</v>
      </c>
      <c r="D86" s="6" t="s">
        <v>36</v>
      </c>
    </row>
    <row r="87" spans="2:4" x14ac:dyDescent="0.25">
      <c r="B87" s="36" t="s">
        <v>33</v>
      </c>
      <c r="D87" s="6" t="s">
        <v>82</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EE95-0E59-43F0-986C-DCAEDDFE2358}">
  <sheetPr>
    <tabColor rgb="FFCCC8D9"/>
  </sheetPr>
  <dimension ref="B2:I36"/>
  <sheetViews>
    <sheetView showGridLines="0" zoomScale="85" zoomScaleNormal="85" workbookViewId="0">
      <pane ySplit="3" topLeftCell="A4" activePane="bottomLeft" state="frozen"/>
      <selection pane="bottomLeft" activeCell="A4" sqref="A4"/>
    </sheetView>
  </sheetViews>
  <sheetFormatPr defaultColWidth="9.140625" defaultRowHeight="12.75" x14ac:dyDescent="0.25"/>
  <cols>
    <col min="1" max="1" width="5.7109375" style="6" customWidth="1"/>
    <col min="2" max="2" width="7.5703125" style="6" customWidth="1"/>
    <col min="3" max="3" width="96.140625" style="6" customWidth="1"/>
    <col min="4" max="4" width="55" style="6" customWidth="1"/>
    <col min="5" max="5" width="36.28515625" style="6" customWidth="1"/>
    <col min="6" max="6" width="40.7109375" style="6" customWidth="1"/>
    <col min="7" max="7" width="49.7109375" style="6" customWidth="1"/>
    <col min="8" max="8" width="5.7109375" style="6" customWidth="1"/>
    <col min="9" max="16384" width="9.140625" style="6"/>
  </cols>
  <sheetData>
    <row r="2" spans="2:9" s="46" customFormat="1" ht="18" x14ac:dyDescent="0.25">
      <c r="B2" s="46" t="s">
        <v>63</v>
      </c>
    </row>
    <row r="5" spans="2:9" s="12" customFormat="1" x14ac:dyDescent="0.25">
      <c r="B5" s="12" t="s">
        <v>20</v>
      </c>
    </row>
    <row r="7" spans="2:9" x14ac:dyDescent="0.25">
      <c r="B7" s="35" t="s">
        <v>138</v>
      </c>
    </row>
    <row r="8" spans="2:9" x14ac:dyDescent="0.25">
      <c r="B8" s="35" t="s">
        <v>139</v>
      </c>
    </row>
    <row r="10" spans="2:9" x14ac:dyDescent="0.25">
      <c r="B10" s="49" t="s">
        <v>45</v>
      </c>
      <c r="C10" s="49" t="s">
        <v>46</v>
      </c>
      <c r="D10" s="49" t="s">
        <v>140</v>
      </c>
      <c r="E10" s="49" t="s">
        <v>141</v>
      </c>
      <c r="F10" s="49" t="s">
        <v>142</v>
      </c>
      <c r="G10" s="49" t="s">
        <v>72</v>
      </c>
      <c r="I10" s="32"/>
    </row>
    <row r="11" spans="2:9" x14ac:dyDescent="0.25">
      <c r="B11" s="24"/>
      <c r="C11" s="24" t="s">
        <v>143</v>
      </c>
      <c r="D11" s="24" t="s">
        <v>21</v>
      </c>
      <c r="E11" s="24" t="s">
        <v>144</v>
      </c>
      <c r="F11" s="24" t="s">
        <v>145</v>
      </c>
      <c r="G11" s="24"/>
    </row>
    <row r="12" spans="2:9" x14ac:dyDescent="0.25">
      <c r="B12" s="11">
        <v>1</v>
      </c>
      <c r="C12" s="11" t="s">
        <v>58</v>
      </c>
      <c r="D12" s="11"/>
      <c r="E12" s="11"/>
      <c r="F12" s="83" t="s">
        <v>166</v>
      </c>
      <c r="G12" s="11"/>
    </row>
    <row r="13" spans="2:9" x14ac:dyDescent="0.25">
      <c r="B13" s="11">
        <v>2</v>
      </c>
      <c r="C13" s="11" t="s">
        <v>113</v>
      </c>
      <c r="D13" s="11"/>
      <c r="E13" s="11"/>
      <c r="F13" s="83" t="s">
        <v>166</v>
      </c>
      <c r="G13" s="11"/>
    </row>
    <row r="14" spans="2:9" x14ac:dyDescent="0.25">
      <c r="B14" s="11">
        <v>3</v>
      </c>
      <c r="C14" s="11" t="s">
        <v>167</v>
      </c>
      <c r="D14" s="11"/>
      <c r="E14" s="11"/>
      <c r="F14" s="83" t="s">
        <v>166</v>
      </c>
      <c r="G14" s="11"/>
    </row>
    <row r="15" spans="2:9" x14ac:dyDescent="0.25">
      <c r="B15" s="11">
        <v>4</v>
      </c>
      <c r="C15" s="11" t="s">
        <v>168</v>
      </c>
      <c r="D15" s="11" t="s">
        <v>169</v>
      </c>
      <c r="E15" s="11"/>
      <c r="F15" s="11" t="s">
        <v>170</v>
      </c>
      <c r="G15" s="11"/>
    </row>
    <row r="16" spans="2:9" x14ac:dyDescent="0.25">
      <c r="B16" s="11">
        <v>5</v>
      </c>
      <c r="C16" s="11" t="s">
        <v>171</v>
      </c>
      <c r="D16" s="11" t="s">
        <v>172</v>
      </c>
      <c r="E16" s="11"/>
      <c r="F16" s="11" t="s">
        <v>170</v>
      </c>
      <c r="G16" s="11"/>
    </row>
    <row r="17" spans="2:7" x14ac:dyDescent="0.25">
      <c r="B17" s="11">
        <v>6</v>
      </c>
      <c r="C17" s="84" t="s">
        <v>173</v>
      </c>
      <c r="D17" s="11"/>
      <c r="E17" s="11"/>
      <c r="F17" s="83" t="s">
        <v>166</v>
      </c>
      <c r="G17" s="11"/>
    </row>
    <row r="18" spans="2:7" x14ac:dyDescent="0.25">
      <c r="B18" s="11">
        <v>7</v>
      </c>
      <c r="C18" s="84" t="s">
        <v>235</v>
      </c>
      <c r="D18" s="11"/>
      <c r="E18" s="11"/>
      <c r="F18" s="11" t="s">
        <v>170</v>
      </c>
      <c r="G18" s="11"/>
    </row>
    <row r="19" spans="2:7" x14ac:dyDescent="0.25">
      <c r="B19" s="11">
        <v>8</v>
      </c>
      <c r="C19" s="11" t="s">
        <v>315</v>
      </c>
      <c r="D19" s="11"/>
      <c r="E19" s="11"/>
      <c r="F19" s="11" t="s">
        <v>170</v>
      </c>
      <c r="G19" s="11"/>
    </row>
    <row r="20" spans="2:7" x14ac:dyDescent="0.25">
      <c r="B20" s="11">
        <v>9</v>
      </c>
      <c r="C20" s="11" t="s">
        <v>174</v>
      </c>
      <c r="D20" s="11"/>
      <c r="E20" s="11"/>
      <c r="F20" s="11" t="s">
        <v>170</v>
      </c>
      <c r="G20" s="11"/>
    </row>
    <row r="21" spans="2:7" x14ac:dyDescent="0.25">
      <c r="B21" s="11">
        <v>10</v>
      </c>
      <c r="C21" s="11" t="s">
        <v>199</v>
      </c>
      <c r="D21" s="11" t="s">
        <v>200</v>
      </c>
      <c r="E21" s="11" t="s">
        <v>201</v>
      </c>
      <c r="F21" s="83" t="s">
        <v>166</v>
      </c>
      <c r="G21" s="11" t="s">
        <v>372</v>
      </c>
    </row>
    <row r="22" spans="2:7" x14ac:dyDescent="0.2">
      <c r="B22" s="11">
        <v>11</v>
      </c>
      <c r="C22" s="11" t="s">
        <v>229</v>
      </c>
      <c r="D22" s="113" t="s">
        <v>432</v>
      </c>
      <c r="E22" s="11"/>
      <c r="F22" s="11"/>
      <c r="G22" s="11"/>
    </row>
    <row r="23" spans="2:7" x14ac:dyDescent="0.25">
      <c r="B23" s="11">
        <v>12</v>
      </c>
      <c r="C23" s="11" t="s">
        <v>285</v>
      </c>
      <c r="D23" s="11" t="s">
        <v>285</v>
      </c>
      <c r="E23" s="11"/>
      <c r="F23" s="83" t="s">
        <v>166</v>
      </c>
      <c r="G23" s="11"/>
    </row>
    <row r="24" spans="2:7" x14ac:dyDescent="0.25">
      <c r="B24" s="11">
        <v>13</v>
      </c>
      <c r="C24" s="11" t="s">
        <v>168</v>
      </c>
      <c r="D24" s="11" t="s">
        <v>316</v>
      </c>
      <c r="E24" s="11"/>
      <c r="F24" s="11" t="s">
        <v>170</v>
      </c>
      <c r="G24" s="11"/>
    </row>
    <row r="25" spans="2:7" x14ac:dyDescent="0.25">
      <c r="B25" s="11">
        <v>14</v>
      </c>
      <c r="C25" s="11" t="s">
        <v>171</v>
      </c>
      <c r="D25" s="11" t="s">
        <v>317</v>
      </c>
      <c r="E25" s="11"/>
      <c r="F25" s="11" t="s">
        <v>170</v>
      </c>
      <c r="G25" s="11"/>
    </row>
    <row r="27" spans="2:7" s="12" customFormat="1" x14ac:dyDescent="0.25">
      <c r="B27" s="12" t="s">
        <v>44</v>
      </c>
    </row>
    <row r="29" spans="2:7" x14ac:dyDescent="0.25">
      <c r="B29" s="35" t="s">
        <v>42</v>
      </c>
    </row>
    <row r="30" spans="2:7" x14ac:dyDescent="0.25">
      <c r="B30" s="35" t="s">
        <v>43</v>
      </c>
    </row>
    <row r="32" spans="2:7" ht="25.5" customHeight="1" x14ac:dyDescent="0.25">
      <c r="B32" s="111" t="s">
        <v>374</v>
      </c>
      <c r="C32" s="111"/>
      <c r="D32" s="111"/>
      <c r="E32" s="111"/>
    </row>
    <row r="36" spans="2:2" x14ac:dyDescent="0.25">
      <c r="B36" s="35"/>
    </row>
  </sheetData>
  <mergeCells count="1">
    <mergeCell ref="B32:E32"/>
  </mergeCells>
  <hyperlinks>
    <hyperlink ref="F12" r:id="rId1" location="/CBS/nl/dataset/70936ned/table?ts=1532343719053." xr:uid="{D95F678E-66F8-409F-950F-801899601B9F}"/>
    <hyperlink ref="F13" r:id="rId2" location="/details/wettelijke-rente/dataset/2ed0b77d-72c5-47e8-8a3d-0c213048e11d/resource/b363a333-1ce1-4ba0-83b9-80bdf6f78fa0" xr:uid="{3F7C7780-39D5-4B01-9560-DFCB675A56B4}"/>
    <hyperlink ref="F14" r:id="rId3" xr:uid="{CA5D73DF-D987-4B98-9393-F15EE52B0149}"/>
    <hyperlink ref="F17" r:id="rId4" xr:uid="{D47B8B78-DEE0-451E-BBD1-F1B69B75E5B9}"/>
    <hyperlink ref="F21" r:id="rId5" xr:uid="{9FF578ED-E52D-4B02-BF39-527FC8C28EDB}"/>
    <hyperlink ref="F23" r:id="rId6" xr:uid="{30E50FC4-F4F7-4E64-AA80-1E2D6E42CA7D}"/>
  </hyperlinks>
  <pageMargins left="0.75" right="0.75" top="1" bottom="1" header="0.5" footer="0.5"/>
  <pageSetup paperSize="9" orientation="portrait"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rgb="FFCCFFFF"/>
    <pageSetUpPr autoPageBreaks="0"/>
  </sheetPr>
  <dimension ref="B2:M43"/>
  <sheetViews>
    <sheetView showGridLines="0" zoomScale="85" zoomScaleNormal="85" workbookViewId="0">
      <pane xSplit="6" ySplit="11" topLeftCell="G12" activePane="bottomRight" state="frozen"/>
      <selection pane="topRight"/>
      <selection pane="bottomLeft"/>
      <selection pane="bottomRight" activeCell="G12" sqref="G12"/>
    </sheetView>
  </sheetViews>
  <sheetFormatPr defaultColWidth="9.140625" defaultRowHeight="12.75" x14ac:dyDescent="0.25"/>
  <cols>
    <col min="1" max="1" width="5.7109375" style="6" customWidth="1"/>
    <col min="2" max="2" width="66.28515625" style="6" customWidth="1"/>
    <col min="3" max="5" width="5.7109375" style="6" customWidth="1"/>
    <col min="6" max="6" width="13.7109375" style="6" customWidth="1"/>
    <col min="7" max="7" width="2.7109375" style="6" customWidth="1"/>
    <col min="8" max="9" width="13.7109375" style="6" customWidth="1"/>
    <col min="10" max="12" width="2.7109375" style="6" customWidth="1"/>
    <col min="13" max="27" width="13.7109375" style="6" customWidth="1"/>
    <col min="28" max="16384" width="9.140625" style="6"/>
  </cols>
  <sheetData>
    <row r="2" spans="2:13" s="21" customFormat="1" ht="18" x14ac:dyDescent="0.25">
      <c r="B2" s="21" t="s">
        <v>189</v>
      </c>
    </row>
    <row r="4" spans="2:13" x14ac:dyDescent="0.25">
      <c r="B4" s="34" t="s">
        <v>146</v>
      </c>
    </row>
    <row r="5" spans="2:13" ht="117.75" customHeight="1" x14ac:dyDescent="0.25">
      <c r="B5" s="111" t="s">
        <v>192</v>
      </c>
      <c r="C5" s="111"/>
      <c r="D5" s="111"/>
      <c r="E5" s="111"/>
    </row>
    <row r="6" spans="2:13" x14ac:dyDescent="0.25">
      <c r="B6" s="45"/>
      <c r="C6" s="45"/>
      <c r="D6" s="45"/>
      <c r="E6" s="45"/>
    </row>
    <row r="7" spans="2:13" x14ac:dyDescent="0.25">
      <c r="B7" s="35" t="s">
        <v>273</v>
      </c>
      <c r="C7" s="45"/>
      <c r="D7" s="45"/>
      <c r="E7" s="45"/>
    </row>
    <row r="8" spans="2:13" x14ac:dyDescent="0.25">
      <c r="B8" s="45" t="s">
        <v>147</v>
      </c>
      <c r="C8" s="45"/>
      <c r="D8" s="45"/>
      <c r="E8" s="45"/>
    </row>
    <row r="9" spans="2:13" x14ac:dyDescent="0.25">
      <c r="B9" s="45"/>
      <c r="C9" s="45"/>
      <c r="D9" s="45"/>
      <c r="E9" s="45"/>
    </row>
    <row r="10" spans="2:13" s="12" customFormat="1" x14ac:dyDescent="0.25">
      <c r="B10" s="12" t="s">
        <v>37</v>
      </c>
      <c r="F10" s="12" t="s">
        <v>22</v>
      </c>
      <c r="H10" s="12" t="s">
        <v>97</v>
      </c>
      <c r="I10" s="12" t="s">
        <v>98</v>
      </c>
      <c r="M10" s="12" t="s">
        <v>39</v>
      </c>
    </row>
    <row r="13" spans="2:13" s="12" customFormat="1" x14ac:dyDescent="0.25">
      <c r="B13" s="12" t="s">
        <v>52</v>
      </c>
    </row>
    <row r="15" spans="2:13" s="12" customFormat="1" x14ac:dyDescent="0.25">
      <c r="B15" s="12" t="s">
        <v>70</v>
      </c>
    </row>
    <row r="16" spans="2:13" x14ac:dyDescent="0.25">
      <c r="B16" s="8"/>
    </row>
    <row r="17" spans="2:13" x14ac:dyDescent="0.25">
      <c r="B17" s="6" t="s">
        <v>393</v>
      </c>
      <c r="F17" s="6" t="s">
        <v>188</v>
      </c>
      <c r="H17" s="53">
        <f>'10. Wettelijke formule'!P26</f>
        <v>145427322.42771766</v>
      </c>
      <c r="I17" s="53">
        <f>'10. Wettelijke formule'!P27</f>
        <v>12930109.069489386</v>
      </c>
      <c r="M17" s="32"/>
    </row>
    <row r="18" spans="2:13" x14ac:dyDescent="0.25">
      <c r="B18" s="6" t="s">
        <v>408</v>
      </c>
      <c r="F18" s="6" t="s">
        <v>188</v>
      </c>
      <c r="H18" s="53">
        <f>'5. Toevoeging kosten RCR'!J12</f>
        <v>0</v>
      </c>
      <c r="I18" s="53">
        <f>'5. Toevoeging kosten RCR'!K12</f>
        <v>120442104.7242597</v>
      </c>
      <c r="M18" s="33"/>
    </row>
    <row r="19" spans="2:13" x14ac:dyDescent="0.25">
      <c r="B19" s="6" t="s">
        <v>409</v>
      </c>
      <c r="F19" s="6" t="s">
        <v>188</v>
      </c>
      <c r="H19" s="53">
        <f>'5. Toevoeging kosten RCR'!J13</f>
        <v>115881389.55257572</v>
      </c>
      <c r="I19" s="53">
        <f>'5. Toevoeging kosten RCR'!K13</f>
        <v>32121611.995326117</v>
      </c>
      <c r="M19" s="33"/>
    </row>
    <row r="20" spans="2:13" x14ac:dyDescent="0.25">
      <c r="B20" s="6" t="s">
        <v>410</v>
      </c>
      <c r="F20" s="6" t="s">
        <v>188</v>
      </c>
      <c r="H20" s="53">
        <f>'7. Brondata'!P32</f>
        <v>-6195928.75323286</v>
      </c>
      <c r="I20" s="86"/>
      <c r="M20" s="33"/>
    </row>
    <row r="21" spans="2:13" x14ac:dyDescent="0.25">
      <c r="H21" s="26"/>
      <c r="I21" s="26"/>
    </row>
    <row r="22" spans="2:13" x14ac:dyDescent="0.25">
      <c r="B22" s="6" t="s">
        <v>258</v>
      </c>
      <c r="F22" s="6" t="s">
        <v>188</v>
      </c>
      <c r="H22" s="53">
        <f>SUM(H17:H20)</f>
        <v>255112783.22706053</v>
      </c>
      <c r="I22" s="53">
        <f>SUM(I17:I20)</f>
        <v>165493825.7890752</v>
      </c>
      <c r="M22" s="32"/>
    </row>
    <row r="24" spans="2:13" s="12" customFormat="1" x14ac:dyDescent="0.25">
      <c r="B24" s="12" t="s">
        <v>71</v>
      </c>
    </row>
    <row r="26" spans="2:13" x14ac:dyDescent="0.25">
      <c r="B26" s="6" t="s">
        <v>404</v>
      </c>
      <c r="F26" s="6" t="s">
        <v>188</v>
      </c>
      <c r="H26" s="53">
        <f>'14. Correctie WACC'!P78</f>
        <v>9510089.9013769664</v>
      </c>
      <c r="I26" s="53">
        <f>'14. Correctie WACC'!P79</f>
        <v>50642.759930222514</v>
      </c>
    </row>
    <row r="27" spans="2:13" x14ac:dyDescent="0.25">
      <c r="B27" s="6" t="s">
        <v>399</v>
      </c>
      <c r="F27" s="6" t="s">
        <v>188</v>
      </c>
      <c r="H27" s="53">
        <f>'7. Brondata'!P20</f>
        <v>7203196.0031359177</v>
      </c>
      <c r="I27" s="53">
        <f>'7. Brondata'!P21</f>
        <v>7577990.1019993452</v>
      </c>
    </row>
    <row r="28" spans="2:13" x14ac:dyDescent="0.25">
      <c r="B28" s="6" t="s">
        <v>400</v>
      </c>
      <c r="F28" s="6" t="s">
        <v>188</v>
      </c>
      <c r="H28" s="53">
        <f>'7. Brondata'!P24</f>
        <v>13996495.015532784</v>
      </c>
      <c r="I28" s="86"/>
    </row>
    <row r="29" spans="2:13" x14ac:dyDescent="0.25">
      <c r="B29" s="6" t="s">
        <v>401</v>
      </c>
      <c r="F29" s="6" t="s">
        <v>188</v>
      </c>
      <c r="H29" s="53">
        <f>'7. Brondata'!P27</f>
        <v>3503984.2619239641</v>
      </c>
      <c r="I29" s="86"/>
    </row>
    <row r="30" spans="2:13" x14ac:dyDescent="0.25">
      <c r="B30" s="6" t="s">
        <v>402</v>
      </c>
      <c r="F30" s="6" t="s">
        <v>188</v>
      </c>
      <c r="H30" s="53">
        <f>'7. Brondata'!P28</f>
        <v>2113091.2395584136</v>
      </c>
      <c r="I30" s="86"/>
    </row>
    <row r="31" spans="2:13" x14ac:dyDescent="0.25">
      <c r="B31" s="6" t="s">
        <v>405</v>
      </c>
      <c r="F31" s="6" t="s">
        <v>188</v>
      </c>
      <c r="H31" s="53">
        <f>'7. Brondata'!P31</f>
        <v>18681963.499093406</v>
      </c>
      <c r="I31" s="86"/>
    </row>
    <row r="32" spans="2:13" x14ac:dyDescent="0.25">
      <c r="B32" s="6" t="s">
        <v>403</v>
      </c>
      <c r="F32" s="6" t="s">
        <v>188</v>
      </c>
      <c r="H32" s="53">
        <f>'13. Correctie netverliezen'!P43</f>
        <v>17328662.934221156</v>
      </c>
      <c r="I32" s="86"/>
    </row>
    <row r="33" spans="2:9" x14ac:dyDescent="0.25">
      <c r="B33" s="6" t="s">
        <v>411</v>
      </c>
      <c r="F33" s="6" t="s">
        <v>188</v>
      </c>
      <c r="H33" s="53">
        <f>'11. Correctie bijschatten'!P54</f>
        <v>83530.801495093736</v>
      </c>
      <c r="I33" s="53">
        <f>'11. Correctie bijschatten'!P67</f>
        <v>167278.41054061512</v>
      </c>
    </row>
    <row r="34" spans="2:9" x14ac:dyDescent="0.25">
      <c r="B34" s="6" t="s">
        <v>412</v>
      </c>
      <c r="F34" s="6" t="s">
        <v>188</v>
      </c>
      <c r="H34" s="53">
        <f>'12. Correctie afloopinv. WUI'!P31</f>
        <v>-248838.10283044202</v>
      </c>
      <c r="I34" s="86"/>
    </row>
    <row r="35" spans="2:9" ht="12.75" customHeight="1" x14ac:dyDescent="0.25">
      <c r="H35" s="37"/>
      <c r="I35" s="37"/>
    </row>
    <row r="36" spans="2:9" x14ac:dyDescent="0.25">
      <c r="B36" s="6" t="s">
        <v>190</v>
      </c>
      <c r="F36" s="6" t="s">
        <v>188</v>
      </c>
      <c r="H36" s="53">
        <f>SUM(H26:H34)</f>
        <v>72172175.553507254</v>
      </c>
      <c r="I36" s="53">
        <f>SUM(I26:I34)</f>
        <v>7795911.2724701827</v>
      </c>
    </row>
    <row r="38" spans="2:9" s="12" customFormat="1" x14ac:dyDescent="0.25">
      <c r="B38" s="12" t="s">
        <v>53</v>
      </c>
    </row>
    <row r="40" spans="2:9" x14ac:dyDescent="0.25">
      <c r="B40" s="6" t="s">
        <v>191</v>
      </c>
      <c r="F40" s="6" t="s">
        <v>188</v>
      </c>
      <c r="H40" s="53">
        <f>H22+H36</f>
        <v>327284958.78056777</v>
      </c>
      <c r="I40" s="53">
        <f>I22+I36</f>
        <v>173289737.06154537</v>
      </c>
    </row>
    <row r="43" spans="2:9" ht="12.75" customHeight="1" x14ac:dyDescent="0.25">
      <c r="H43" s="37"/>
      <c r="I43" s="37"/>
    </row>
  </sheetData>
  <mergeCells count="1">
    <mergeCell ref="B5:E5"/>
  </mergeCells>
  <phoneticPr fontId="2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4.9989318521683403E-2"/>
    <pageSetUpPr autoPageBreaks="0"/>
  </sheetPr>
  <dimension ref="A1"/>
  <sheetViews>
    <sheetView showGridLines="0" zoomScaleNormal="100" workbookViewId="0"/>
  </sheetViews>
  <sheetFormatPr defaultColWidth="9.140625" defaultRowHeight="12.75" x14ac:dyDescent="0.25"/>
  <cols>
    <col min="1" max="16384" width="9.140625" style="23"/>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rgb="FFE1FFE1"/>
    <pageSetUpPr autoPageBreaks="0"/>
  </sheetPr>
  <dimension ref="B2:Q13"/>
  <sheetViews>
    <sheetView showGridLines="0" zoomScale="85" zoomScaleNormal="85" workbookViewId="0">
      <pane xSplit="6" ySplit="8" topLeftCell="G9" activePane="bottomRight" state="frozen"/>
      <selection pane="topRight"/>
      <selection pane="bottomLeft"/>
      <selection pane="bottomRight" activeCell="G9" sqref="G9"/>
    </sheetView>
  </sheetViews>
  <sheetFormatPr defaultColWidth="9.140625" defaultRowHeight="12.75" x14ac:dyDescent="0.25"/>
  <cols>
    <col min="1" max="1" width="5.7109375" style="6" customWidth="1"/>
    <col min="2" max="2" width="64.85546875" style="6" customWidth="1"/>
    <col min="3" max="5" width="5.7109375" style="6" customWidth="1"/>
    <col min="6" max="6" width="13.7109375" style="6" customWidth="1"/>
    <col min="7" max="7" width="2.7109375" style="6" customWidth="1"/>
    <col min="8" max="8" width="13.7109375" style="6" customWidth="1"/>
    <col min="9" max="9" width="2.7109375" style="6" customWidth="1"/>
    <col min="10" max="11" width="12.5703125" style="6" customWidth="1"/>
    <col min="12" max="12" width="2.7109375" style="6" customWidth="1"/>
    <col min="13" max="13" width="18.85546875" style="6" customWidth="1"/>
    <col min="14" max="14" width="2.7109375" style="6" customWidth="1"/>
    <col min="15" max="29" width="13.7109375" style="6" customWidth="1"/>
    <col min="30" max="16384" width="9.140625" style="6"/>
  </cols>
  <sheetData>
    <row r="2" spans="2:17" s="21" customFormat="1" ht="18" x14ac:dyDescent="0.25">
      <c r="B2" s="21" t="s">
        <v>64</v>
      </c>
    </row>
    <row r="4" spans="2:17" x14ac:dyDescent="0.25">
      <c r="B4" s="34" t="s">
        <v>148</v>
      </c>
    </row>
    <row r="5" spans="2:17" ht="39" customHeight="1" x14ac:dyDescent="0.25">
      <c r="B5" s="111" t="s">
        <v>195</v>
      </c>
      <c r="C5" s="111"/>
      <c r="D5" s="111"/>
      <c r="E5" s="111"/>
    </row>
    <row r="6" spans="2:17" x14ac:dyDescent="0.25">
      <c r="B6" s="45"/>
      <c r="C6" s="45"/>
      <c r="D6" s="45"/>
      <c r="E6" s="45"/>
    </row>
    <row r="7" spans="2:17" s="12" customFormat="1" x14ac:dyDescent="0.25">
      <c r="B7" s="12" t="s">
        <v>37</v>
      </c>
      <c r="F7" s="12" t="s">
        <v>22</v>
      </c>
      <c r="H7" s="12" t="s">
        <v>41</v>
      </c>
      <c r="J7" s="12" t="s">
        <v>97</v>
      </c>
      <c r="K7" s="12" t="s">
        <v>98</v>
      </c>
      <c r="M7" s="12" t="s">
        <v>38</v>
      </c>
      <c r="O7" s="12" t="s">
        <v>39</v>
      </c>
    </row>
    <row r="10" spans="2:17" s="12" customFormat="1" x14ac:dyDescent="0.25">
      <c r="B10" s="12" t="s">
        <v>99</v>
      </c>
    </row>
    <row r="12" spans="2:17" x14ac:dyDescent="0.25">
      <c r="B12" s="6" t="s">
        <v>380</v>
      </c>
      <c r="F12" s="6" t="s">
        <v>188</v>
      </c>
      <c r="J12" s="56">
        <v>0</v>
      </c>
      <c r="K12" s="56">
        <v>120442104.7242597</v>
      </c>
      <c r="M12" s="6" t="s">
        <v>369</v>
      </c>
      <c r="O12" s="32"/>
      <c r="Q12" s="10"/>
    </row>
    <row r="13" spans="2:17" x14ac:dyDescent="0.25">
      <c r="B13" s="6" t="s">
        <v>381</v>
      </c>
      <c r="F13" s="6" t="s">
        <v>188</v>
      </c>
      <c r="J13" s="56">
        <v>115881389.55257572</v>
      </c>
      <c r="K13" s="56">
        <v>32121611.995326117</v>
      </c>
      <c r="M13" s="6" t="s">
        <v>370</v>
      </c>
    </row>
  </sheetData>
  <mergeCells count="1">
    <mergeCell ref="B5:E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tabColor theme="0" tint="-4.9989318521683403E-2"/>
    <pageSetUpPr autoPageBreaks="0"/>
  </sheetPr>
  <dimension ref="A1"/>
  <sheetViews>
    <sheetView showGridLines="0" zoomScale="85" zoomScaleNormal="85" workbookViewId="0"/>
  </sheetViews>
  <sheetFormatPr defaultColWidth="9.140625" defaultRowHeight="12.75" x14ac:dyDescent="0.25"/>
  <cols>
    <col min="1" max="16384" width="9.140625" style="23"/>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rgb="FFE1FFE1"/>
    <pageSetUpPr autoPageBreaks="0"/>
  </sheetPr>
  <dimension ref="B2:U56"/>
  <sheetViews>
    <sheetView showGridLines="0" zoomScale="85" zoomScaleNormal="85" workbookViewId="0">
      <pane xSplit="6" ySplit="8" topLeftCell="G9" activePane="bottomRight" state="frozen"/>
      <selection pane="topRight"/>
      <selection pane="bottomLeft"/>
      <selection pane="bottomRight" activeCell="G9" sqref="G9"/>
    </sheetView>
  </sheetViews>
  <sheetFormatPr defaultColWidth="9.140625" defaultRowHeight="12.75" x14ac:dyDescent="0.25"/>
  <cols>
    <col min="1" max="1" width="5.7109375" style="6" customWidth="1"/>
    <col min="2" max="2" width="69.85546875" style="6" customWidth="1"/>
    <col min="3" max="5" width="5.7109375" style="6" customWidth="1"/>
    <col min="6" max="6" width="13.7109375" style="6" customWidth="1"/>
    <col min="7" max="7" width="2.7109375" style="6" customWidth="1"/>
    <col min="8" max="8" width="13.7109375" style="6" customWidth="1"/>
    <col min="9" max="9" width="2.7109375" style="6" customWidth="1"/>
    <col min="10" max="10" width="13.7109375" style="6" customWidth="1"/>
    <col min="11" max="11" width="2.7109375" style="6" customWidth="1"/>
    <col min="12" max="16" width="12.5703125" style="6" customWidth="1"/>
    <col min="17" max="17" width="2.7109375" style="6" customWidth="1"/>
    <col min="18" max="18" width="39.140625" style="6" customWidth="1"/>
    <col min="19" max="19" width="2.7109375" style="6" customWidth="1"/>
    <col min="20" max="20" width="13.7109375" style="6" customWidth="1"/>
    <col min="21" max="21" width="2.7109375" style="6" customWidth="1"/>
    <col min="22" max="36" width="13.7109375" style="6" customWidth="1"/>
    <col min="37" max="16384" width="9.140625" style="6"/>
  </cols>
  <sheetData>
    <row r="2" spans="2:21" s="21" customFormat="1" ht="18" x14ac:dyDescent="0.25">
      <c r="B2" s="21" t="s">
        <v>65</v>
      </c>
    </row>
    <row r="4" spans="2:21" x14ac:dyDescent="0.25">
      <c r="B4" s="34" t="s">
        <v>149</v>
      </c>
    </row>
    <row r="5" spans="2:21" ht="42.75" customHeight="1" x14ac:dyDescent="0.25">
      <c r="B5" s="111" t="s">
        <v>254</v>
      </c>
      <c r="C5" s="111"/>
      <c r="D5" s="111"/>
      <c r="E5" s="111"/>
    </row>
    <row r="7" spans="2:21" s="12" customFormat="1" x14ac:dyDescent="0.25">
      <c r="B7" s="12" t="s">
        <v>37</v>
      </c>
      <c r="F7" s="12" t="s">
        <v>22</v>
      </c>
      <c r="H7" s="12" t="s">
        <v>23</v>
      </c>
      <c r="J7" s="12" t="s">
        <v>41</v>
      </c>
      <c r="L7" s="28">
        <v>2020</v>
      </c>
      <c r="M7" s="28">
        <v>2021</v>
      </c>
      <c r="N7" s="28">
        <v>2022</v>
      </c>
      <c r="O7" s="28">
        <v>2023</v>
      </c>
      <c r="P7" s="28">
        <v>2024</v>
      </c>
      <c r="R7" s="12" t="s">
        <v>38</v>
      </c>
      <c r="T7" s="12" t="s">
        <v>39</v>
      </c>
      <c r="U7" s="29"/>
    </row>
    <row r="10" spans="2:21" s="12" customFormat="1" x14ac:dyDescent="0.25">
      <c r="B10" s="12" t="s">
        <v>94</v>
      </c>
    </row>
    <row r="12" spans="2:21" x14ac:dyDescent="0.25">
      <c r="B12" s="34" t="s">
        <v>55</v>
      </c>
      <c r="T12" s="34" t="s">
        <v>51</v>
      </c>
    </row>
    <row r="13" spans="2:21" x14ac:dyDescent="0.25">
      <c r="B13" s="6" t="s">
        <v>56</v>
      </c>
      <c r="F13" s="6" t="s">
        <v>49</v>
      </c>
      <c r="L13" s="61">
        <v>2.8000000000000001E-2</v>
      </c>
      <c r="M13" s="61">
        <v>7.0000000000000001E-3</v>
      </c>
      <c r="N13" s="61">
        <v>2.4E-2</v>
      </c>
      <c r="O13" s="61">
        <v>0.12</v>
      </c>
      <c r="P13" s="61">
        <v>0.03</v>
      </c>
      <c r="R13" s="6" t="s">
        <v>379</v>
      </c>
      <c r="T13" s="6" t="s">
        <v>73</v>
      </c>
    </row>
    <row r="14" spans="2:21" x14ac:dyDescent="0.25">
      <c r="T14" s="6" t="s">
        <v>431</v>
      </c>
    </row>
    <row r="15" spans="2:21" x14ac:dyDescent="0.25">
      <c r="T15" s="6" t="s">
        <v>74</v>
      </c>
    </row>
    <row r="16" spans="2:21" ht="15" x14ac:dyDescent="0.25">
      <c r="T16"/>
    </row>
    <row r="17" spans="2:20" s="12" customFormat="1" x14ac:dyDescent="0.25">
      <c r="B17" s="12" t="s">
        <v>95</v>
      </c>
    </row>
    <row r="18" spans="2:20" ht="15" x14ac:dyDescent="0.25">
      <c r="T18"/>
    </row>
    <row r="19" spans="2:20" x14ac:dyDescent="0.25">
      <c r="B19" s="34" t="s">
        <v>115</v>
      </c>
      <c r="T19" s="34" t="s">
        <v>92</v>
      </c>
    </row>
    <row r="20" spans="2:20" x14ac:dyDescent="0.25">
      <c r="B20" s="6" t="s">
        <v>84</v>
      </c>
      <c r="F20" s="6" t="s">
        <v>49</v>
      </c>
      <c r="L20" s="62">
        <v>0.02</v>
      </c>
      <c r="M20" s="62">
        <v>0.02</v>
      </c>
      <c r="N20" s="62">
        <v>0.02</v>
      </c>
      <c r="O20" s="85">
        <v>0.04</v>
      </c>
      <c r="P20" s="63">
        <v>7.0000000000000007E-2</v>
      </c>
      <c r="R20" s="6" t="s">
        <v>113</v>
      </c>
      <c r="T20" s="6" t="s">
        <v>109</v>
      </c>
    </row>
    <row r="21" spans="2:20" x14ac:dyDescent="0.25">
      <c r="B21" s="6" t="s">
        <v>85</v>
      </c>
      <c r="F21" s="6" t="s">
        <v>49</v>
      </c>
      <c r="L21" s="62">
        <v>0.02</v>
      </c>
      <c r="M21" s="62">
        <v>0.02</v>
      </c>
      <c r="N21" s="62">
        <v>0.02</v>
      </c>
      <c r="O21" s="85">
        <v>0.04</v>
      </c>
      <c r="P21" s="63">
        <v>7.0000000000000007E-2</v>
      </c>
      <c r="R21" s="6" t="s">
        <v>113</v>
      </c>
      <c r="T21" s="6" t="s">
        <v>93</v>
      </c>
    </row>
    <row r="22" spans="2:20" x14ac:dyDescent="0.25">
      <c r="B22" s="6" t="s">
        <v>86</v>
      </c>
      <c r="F22" s="6" t="s">
        <v>49</v>
      </c>
      <c r="L22" s="62">
        <v>0.02</v>
      </c>
      <c r="M22" s="62">
        <v>0.02</v>
      </c>
      <c r="N22" s="85">
        <v>0.02</v>
      </c>
      <c r="O22" s="85">
        <v>0.06</v>
      </c>
      <c r="P22" s="40"/>
      <c r="R22" s="6" t="s">
        <v>113</v>
      </c>
      <c r="T22" s="6" t="s">
        <v>114</v>
      </c>
    </row>
    <row r="23" spans="2:20" x14ac:dyDescent="0.25">
      <c r="B23" s="6" t="s">
        <v>87</v>
      </c>
      <c r="F23" s="6" t="s">
        <v>49</v>
      </c>
      <c r="L23" s="62">
        <v>0.02</v>
      </c>
      <c r="M23" s="62">
        <v>0.02</v>
      </c>
      <c r="N23" s="85">
        <v>0.02</v>
      </c>
      <c r="O23" s="62">
        <v>0.06</v>
      </c>
      <c r="P23" s="40"/>
      <c r="R23" s="6" t="s">
        <v>113</v>
      </c>
      <c r="T23" s="6" t="s">
        <v>376</v>
      </c>
    </row>
    <row r="24" spans="2:20" x14ac:dyDescent="0.25">
      <c r="M24" s="40"/>
      <c r="N24" s="40"/>
      <c r="O24" s="40"/>
      <c r="P24" s="40"/>
      <c r="T24" s="6" t="s">
        <v>377</v>
      </c>
    </row>
    <row r="25" spans="2:20" x14ac:dyDescent="0.25">
      <c r="M25" s="40"/>
      <c r="N25" s="40"/>
      <c r="O25" s="40"/>
      <c r="P25" s="40"/>
      <c r="T25" s="6" t="s">
        <v>378</v>
      </c>
    </row>
    <row r="26" spans="2:20" x14ac:dyDescent="0.25">
      <c r="M26" s="40"/>
      <c r="N26" s="40"/>
      <c r="O26" s="40"/>
      <c r="P26" s="40"/>
    </row>
    <row r="27" spans="2:20" s="12" customFormat="1" x14ac:dyDescent="0.25">
      <c r="B27" s="12" t="s">
        <v>112</v>
      </c>
    </row>
    <row r="29" spans="2:20" x14ac:dyDescent="0.25">
      <c r="B29" s="34" t="s">
        <v>111</v>
      </c>
    </row>
    <row r="30" spans="2:20" x14ac:dyDescent="0.2">
      <c r="B30" s="27" t="s">
        <v>105</v>
      </c>
      <c r="F30" s="6" t="s">
        <v>49</v>
      </c>
      <c r="H30" s="62">
        <v>1.2E-2</v>
      </c>
      <c r="R30" s="6" t="s">
        <v>121</v>
      </c>
      <c r="T30" s="10"/>
    </row>
    <row r="32" spans="2:20" s="12" customFormat="1" x14ac:dyDescent="0.25">
      <c r="B32" s="12" t="s">
        <v>198</v>
      </c>
    </row>
    <row r="34" spans="2:18" x14ac:dyDescent="0.25">
      <c r="B34" s="34" t="s">
        <v>255</v>
      </c>
    </row>
    <row r="35" spans="2:18" x14ac:dyDescent="0.25">
      <c r="B35" s="6" t="s">
        <v>198</v>
      </c>
      <c r="F35" s="6" t="s">
        <v>49</v>
      </c>
      <c r="N35" s="61">
        <v>2E-3</v>
      </c>
      <c r="O35" s="61">
        <v>2E-3</v>
      </c>
      <c r="P35" s="61">
        <v>2E-3</v>
      </c>
      <c r="R35" s="6" t="s">
        <v>318</v>
      </c>
    </row>
    <row r="37" spans="2:18" s="12" customFormat="1" x14ac:dyDescent="0.25">
      <c r="B37" s="12" t="s">
        <v>221</v>
      </c>
    </row>
    <row r="39" spans="2:18" x14ac:dyDescent="0.25">
      <c r="B39" s="34" t="s">
        <v>222</v>
      </c>
    </row>
    <row r="40" spans="2:18" x14ac:dyDescent="0.25">
      <c r="B40" s="6" t="s">
        <v>223</v>
      </c>
      <c r="F40" s="6" t="s">
        <v>49</v>
      </c>
      <c r="N40" s="92">
        <v>2.4E-2</v>
      </c>
      <c r="O40" s="92">
        <v>2.4E-2</v>
      </c>
      <c r="P40" s="92">
        <v>2.4E-2</v>
      </c>
      <c r="R40" s="6" t="s">
        <v>228</v>
      </c>
    </row>
    <row r="41" spans="2:18" x14ac:dyDescent="0.25">
      <c r="B41" s="6" t="s">
        <v>224</v>
      </c>
      <c r="F41" s="6" t="s">
        <v>49</v>
      </c>
      <c r="N41" s="92">
        <v>2.4E-2</v>
      </c>
      <c r="O41" s="92">
        <v>2.4E-2</v>
      </c>
      <c r="P41" s="92">
        <v>2.4E-2</v>
      </c>
      <c r="R41" s="6" t="s">
        <v>228</v>
      </c>
    </row>
    <row r="43" spans="2:18" x14ac:dyDescent="0.25">
      <c r="B43" s="34" t="s">
        <v>225</v>
      </c>
    </row>
    <row r="44" spans="2:18" x14ac:dyDescent="0.25">
      <c r="B44" s="6" t="s">
        <v>226</v>
      </c>
      <c r="F44" s="6" t="s">
        <v>49</v>
      </c>
      <c r="N44" s="92">
        <v>4.1000000000000002E-2</v>
      </c>
      <c r="O44" s="91"/>
      <c r="P44" s="91"/>
      <c r="R44" s="6" t="s">
        <v>230</v>
      </c>
    </row>
    <row r="45" spans="2:18" x14ac:dyDescent="0.25">
      <c r="B45" s="6" t="s">
        <v>227</v>
      </c>
      <c r="F45" s="6" t="s">
        <v>49</v>
      </c>
      <c r="N45" s="92">
        <v>3.4000000000000002E-2</v>
      </c>
      <c r="O45" s="91"/>
      <c r="P45" s="91"/>
      <c r="R45" s="6" t="s">
        <v>231</v>
      </c>
    </row>
    <row r="47" spans="2:18" s="12" customFormat="1" x14ac:dyDescent="0.25">
      <c r="B47" s="12" t="s">
        <v>232</v>
      </c>
    </row>
    <row r="48" spans="2:18" x14ac:dyDescent="0.25">
      <c r="N48" s="40"/>
      <c r="O48" s="40"/>
      <c r="P48" s="40"/>
    </row>
    <row r="49" spans="2:20" x14ac:dyDescent="0.25">
      <c r="B49" s="34" t="s">
        <v>361</v>
      </c>
      <c r="N49" s="40"/>
      <c r="O49" s="40"/>
      <c r="P49" s="40"/>
    </row>
    <row r="50" spans="2:20" x14ac:dyDescent="0.25">
      <c r="B50" s="6" t="s">
        <v>233</v>
      </c>
      <c r="F50" s="6" t="s">
        <v>49</v>
      </c>
      <c r="N50" s="92">
        <v>0</v>
      </c>
      <c r="O50" s="93"/>
      <c r="P50" s="93"/>
      <c r="R50" s="6" t="s">
        <v>359</v>
      </c>
      <c r="T50" s="32"/>
    </row>
    <row r="51" spans="2:20" x14ac:dyDescent="0.25">
      <c r="B51" s="6" t="s">
        <v>234</v>
      </c>
      <c r="F51" s="6" t="s">
        <v>49</v>
      </c>
      <c r="N51" s="92">
        <v>1</v>
      </c>
      <c r="O51" s="93"/>
      <c r="P51" s="93"/>
      <c r="R51" s="6" t="s">
        <v>360</v>
      </c>
      <c r="T51" s="32"/>
    </row>
    <row r="53" spans="2:20" s="12" customFormat="1" x14ac:dyDescent="0.25">
      <c r="B53" s="12" t="s">
        <v>346</v>
      </c>
    </row>
    <row r="55" spans="2:20" x14ac:dyDescent="0.25">
      <c r="B55" s="34" t="s">
        <v>346</v>
      </c>
    </row>
    <row r="56" spans="2:20" x14ac:dyDescent="0.25">
      <c r="B56" s="6" t="s">
        <v>347</v>
      </c>
      <c r="F56" s="6" t="s">
        <v>49</v>
      </c>
      <c r="H56" s="92">
        <v>0.98</v>
      </c>
      <c r="R56" s="6" t="s">
        <v>348</v>
      </c>
    </row>
  </sheetData>
  <mergeCells count="1">
    <mergeCell ref="B5:E5"/>
  </mergeCells>
  <phoneticPr fontId="2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rgb="FFE1FFE1"/>
    <pageSetUpPr autoPageBreaks="0"/>
  </sheetPr>
  <dimension ref="B2:W85"/>
  <sheetViews>
    <sheetView showGridLines="0" zoomScale="70" zoomScaleNormal="70" workbookViewId="0">
      <pane xSplit="6" ySplit="8" topLeftCell="G9" activePane="bottomRight" state="frozen"/>
      <selection pane="topRight"/>
      <selection pane="bottomLeft"/>
      <selection pane="bottomRight" activeCell="G9" sqref="G9"/>
    </sheetView>
  </sheetViews>
  <sheetFormatPr defaultColWidth="9.140625" defaultRowHeight="12.75" x14ac:dyDescent="0.25"/>
  <cols>
    <col min="1" max="1" width="5.7109375" style="6" customWidth="1"/>
    <col min="2" max="2" width="100.28515625" style="6" customWidth="1"/>
    <col min="3" max="5" width="5.7109375" style="6" customWidth="1"/>
    <col min="6" max="6" width="13.7109375" style="6" customWidth="1"/>
    <col min="7" max="7" width="2.7109375" style="6" customWidth="1"/>
    <col min="8" max="8" width="13.7109375" style="6" customWidth="1"/>
    <col min="9" max="9" width="2.7109375" style="6" customWidth="1"/>
    <col min="10" max="10" width="13.7109375" style="6" customWidth="1"/>
    <col min="11" max="11" width="2.7109375" style="6" customWidth="1"/>
    <col min="12" max="12" width="13.85546875" style="6" customWidth="1"/>
    <col min="13" max="16" width="13.7109375" style="6" customWidth="1"/>
    <col min="17" max="17" width="2.7109375" style="6" customWidth="1"/>
    <col min="18" max="18" width="49" style="6" customWidth="1"/>
    <col min="19" max="19" width="2.7109375" style="6" customWidth="1"/>
    <col min="20" max="20" width="13.5703125" style="6" customWidth="1"/>
    <col min="21" max="35" width="13.7109375" style="6" customWidth="1"/>
    <col min="36" max="16384" width="9.140625" style="6"/>
  </cols>
  <sheetData>
    <row r="2" spans="2:20" s="21" customFormat="1" ht="18" x14ac:dyDescent="0.25">
      <c r="B2" s="21" t="s">
        <v>66</v>
      </c>
    </row>
    <row r="4" spans="2:20" x14ac:dyDescent="0.25">
      <c r="B4" s="34" t="s">
        <v>149</v>
      </c>
    </row>
    <row r="5" spans="2:20" ht="27" customHeight="1" x14ac:dyDescent="0.25">
      <c r="B5" s="111" t="s">
        <v>256</v>
      </c>
      <c r="C5" s="111"/>
      <c r="D5" s="111"/>
      <c r="E5" s="111"/>
    </row>
    <row r="7" spans="2:20" s="12" customFormat="1" x14ac:dyDescent="0.25">
      <c r="B7" s="12" t="s">
        <v>37</v>
      </c>
      <c r="F7" s="12" t="s">
        <v>22</v>
      </c>
      <c r="H7" s="12" t="s">
        <v>23</v>
      </c>
      <c r="J7" s="12" t="s">
        <v>41</v>
      </c>
      <c r="L7" s="28">
        <v>2020</v>
      </c>
      <c r="M7" s="28">
        <v>2021</v>
      </c>
      <c r="N7" s="28">
        <v>2022</v>
      </c>
      <c r="O7" s="28">
        <v>2023</v>
      </c>
      <c r="P7" s="28">
        <v>2024</v>
      </c>
      <c r="R7" s="12" t="s">
        <v>38</v>
      </c>
      <c r="T7" s="12" t="s">
        <v>39</v>
      </c>
    </row>
    <row r="10" spans="2:20" s="12" customFormat="1" x14ac:dyDescent="0.25">
      <c r="B10" s="12" t="s">
        <v>54</v>
      </c>
    </row>
    <row r="11" spans="2:20" ht="12.75" customHeight="1" x14ac:dyDescent="0.25"/>
    <row r="12" spans="2:20" ht="12.75" customHeight="1" x14ac:dyDescent="0.25">
      <c r="B12" s="34" t="s">
        <v>106</v>
      </c>
    </row>
    <row r="13" spans="2:20" ht="12.75" customHeight="1" x14ac:dyDescent="0.25">
      <c r="B13" s="44" t="s">
        <v>116</v>
      </c>
      <c r="F13" s="6" t="s">
        <v>96</v>
      </c>
      <c r="J13" s="37"/>
      <c r="M13" s="48">
        <v>127402502.05189669</v>
      </c>
      <c r="N13" s="37"/>
      <c r="O13" s="37"/>
      <c r="P13" s="37"/>
      <c r="R13" s="6" t="s">
        <v>108</v>
      </c>
      <c r="T13" s="32"/>
    </row>
    <row r="14" spans="2:20" ht="12.75" customHeight="1" x14ac:dyDescent="0.25">
      <c r="B14" s="44" t="s">
        <v>117</v>
      </c>
      <c r="F14" s="6" t="s">
        <v>96</v>
      </c>
      <c r="J14" s="37"/>
      <c r="M14" s="48">
        <v>11327501.735966071</v>
      </c>
      <c r="N14" s="37"/>
      <c r="O14" s="37"/>
      <c r="P14" s="37"/>
      <c r="R14" s="6" t="s">
        <v>120</v>
      </c>
      <c r="T14" s="32"/>
    </row>
    <row r="15" spans="2:20" ht="12.75" customHeight="1" x14ac:dyDescent="0.25">
      <c r="B15" s="6" t="s">
        <v>118</v>
      </c>
      <c r="F15" s="6" t="s">
        <v>96</v>
      </c>
      <c r="J15" s="37"/>
      <c r="M15" s="48">
        <v>138730003.78786278</v>
      </c>
      <c r="N15" s="37"/>
      <c r="O15" s="37"/>
      <c r="P15" s="37"/>
      <c r="R15" s="6" t="s">
        <v>119</v>
      </c>
      <c r="T15" s="32"/>
    </row>
    <row r="16" spans="2:20" ht="12.75" customHeight="1" x14ac:dyDescent="0.25"/>
    <row r="17" spans="2:23" s="12" customFormat="1" x14ac:dyDescent="0.25">
      <c r="B17" s="12" t="s">
        <v>176</v>
      </c>
    </row>
    <row r="19" spans="2:23" ht="12.75" customHeight="1" x14ac:dyDescent="0.25">
      <c r="B19" s="34" t="s">
        <v>383</v>
      </c>
    </row>
    <row r="20" spans="2:23" ht="12.75" customHeight="1" x14ac:dyDescent="0.25">
      <c r="B20" s="6" t="s">
        <v>382</v>
      </c>
      <c r="F20" s="6" t="s">
        <v>96</v>
      </c>
      <c r="J20" s="37"/>
      <c r="P20" s="48">
        <v>7203196.0031359177</v>
      </c>
      <c r="R20" s="6" t="s">
        <v>363</v>
      </c>
      <c r="W20" s="10"/>
    </row>
    <row r="21" spans="2:23" ht="12.75" customHeight="1" x14ac:dyDescent="0.25">
      <c r="B21" s="6" t="s">
        <v>384</v>
      </c>
      <c r="F21" s="6" t="s">
        <v>96</v>
      </c>
      <c r="J21" s="37"/>
      <c r="P21" s="48">
        <v>7577990.1019993452</v>
      </c>
      <c r="R21" s="6" t="s">
        <v>373</v>
      </c>
      <c r="W21" s="10"/>
    </row>
    <row r="22" spans="2:23" ht="12.75" customHeight="1" x14ac:dyDescent="0.25"/>
    <row r="23" spans="2:23" ht="12.75" customHeight="1" x14ac:dyDescent="0.25">
      <c r="B23" s="34" t="s">
        <v>385</v>
      </c>
    </row>
    <row r="24" spans="2:23" ht="12.75" customHeight="1" x14ac:dyDescent="0.25">
      <c r="B24" s="6" t="s">
        <v>386</v>
      </c>
      <c r="F24" s="6" t="s">
        <v>96</v>
      </c>
      <c r="P24" s="48">
        <v>13996495.015532784</v>
      </c>
      <c r="R24" s="6" t="s">
        <v>364</v>
      </c>
    </row>
    <row r="25" spans="2:23" ht="12.75" customHeight="1" x14ac:dyDescent="0.25"/>
    <row r="26" spans="2:23" ht="12.75" customHeight="1" x14ac:dyDescent="0.25">
      <c r="B26" s="34" t="s">
        <v>387</v>
      </c>
    </row>
    <row r="27" spans="2:23" ht="12.75" customHeight="1" x14ac:dyDescent="0.25">
      <c r="B27" s="6" t="s">
        <v>388</v>
      </c>
      <c r="F27" s="6" t="s">
        <v>96</v>
      </c>
      <c r="P27" s="48">
        <v>3503984.2619239641</v>
      </c>
      <c r="R27" s="6" t="s">
        <v>365</v>
      </c>
    </row>
    <row r="28" spans="2:23" ht="12.75" customHeight="1" x14ac:dyDescent="0.25">
      <c r="B28" s="6" t="s">
        <v>389</v>
      </c>
      <c r="F28" s="6" t="s">
        <v>96</v>
      </c>
      <c r="P28" s="48">
        <v>2113091.2395584136</v>
      </c>
      <c r="R28" s="6" t="s">
        <v>366</v>
      </c>
    </row>
    <row r="29" spans="2:23" ht="12.75" customHeight="1" x14ac:dyDescent="0.25"/>
    <row r="30" spans="2:23" ht="12.75" customHeight="1" x14ac:dyDescent="0.25">
      <c r="B30" s="34" t="s">
        <v>390</v>
      </c>
    </row>
    <row r="31" spans="2:23" ht="12.75" customHeight="1" x14ac:dyDescent="0.25">
      <c r="B31" s="6" t="s">
        <v>392</v>
      </c>
      <c r="F31" s="6" t="s">
        <v>96</v>
      </c>
      <c r="P31" s="48">
        <v>18681963.499093406</v>
      </c>
      <c r="R31" s="6" t="s">
        <v>367</v>
      </c>
    </row>
    <row r="32" spans="2:23" ht="12.75" customHeight="1" x14ac:dyDescent="0.25">
      <c r="B32" s="6" t="s">
        <v>391</v>
      </c>
      <c r="F32" s="6" t="s">
        <v>96</v>
      </c>
      <c r="P32" s="48">
        <v>-6195928.75323286</v>
      </c>
      <c r="R32" s="6" t="s">
        <v>368</v>
      </c>
    </row>
    <row r="33" spans="2:20" ht="12.75" customHeight="1" x14ac:dyDescent="0.25"/>
    <row r="34" spans="2:20" s="12" customFormat="1" x14ac:dyDescent="0.25">
      <c r="B34" s="12" t="s">
        <v>175</v>
      </c>
    </row>
    <row r="36" spans="2:20" x14ac:dyDescent="0.25">
      <c r="B36" s="34" t="s">
        <v>210</v>
      </c>
    </row>
    <row r="37" spans="2:20" x14ac:dyDescent="0.25">
      <c r="B37" s="6" t="s">
        <v>274</v>
      </c>
      <c r="F37" s="6" t="s">
        <v>96</v>
      </c>
      <c r="M37" s="110"/>
      <c r="R37" s="6" t="s">
        <v>196</v>
      </c>
      <c r="T37" s="6" t="s">
        <v>425</v>
      </c>
    </row>
    <row r="38" spans="2:20" x14ac:dyDescent="0.25">
      <c r="B38" s="6" t="s">
        <v>275</v>
      </c>
      <c r="F38" s="6" t="s">
        <v>96</v>
      </c>
      <c r="M38" s="110"/>
      <c r="R38" s="6" t="s">
        <v>197</v>
      </c>
      <c r="T38" s="6" t="s">
        <v>425</v>
      </c>
    </row>
    <row r="40" spans="2:20" s="12" customFormat="1" x14ac:dyDescent="0.25">
      <c r="B40" s="12" t="s">
        <v>152</v>
      </c>
    </row>
    <row r="42" spans="2:20" x14ac:dyDescent="0.25">
      <c r="B42" s="34" t="s">
        <v>276</v>
      </c>
    </row>
    <row r="43" spans="2:20" x14ac:dyDescent="0.25">
      <c r="B43" s="6" t="s">
        <v>277</v>
      </c>
      <c r="F43" s="6" t="s">
        <v>96</v>
      </c>
      <c r="N43" s="48">
        <v>206376.23739600694</v>
      </c>
      <c r="O43" s="48">
        <v>204379.25144132506</v>
      </c>
      <c r="R43" s="6" t="s">
        <v>279</v>
      </c>
    </row>
    <row r="44" spans="2:20" x14ac:dyDescent="0.25">
      <c r="B44" s="6" t="s">
        <v>278</v>
      </c>
      <c r="F44" s="6" t="s">
        <v>96</v>
      </c>
      <c r="N44" s="48">
        <v>152646.12467529287</v>
      </c>
      <c r="O44" s="48">
        <v>151231.65995070967</v>
      </c>
      <c r="R44" s="6" t="s">
        <v>280</v>
      </c>
    </row>
    <row r="46" spans="2:20" x14ac:dyDescent="0.25">
      <c r="B46" s="34" t="s">
        <v>153</v>
      </c>
    </row>
    <row r="47" spans="2:20" x14ac:dyDescent="0.25">
      <c r="B47" s="6" t="s">
        <v>154</v>
      </c>
      <c r="F47" s="6" t="s">
        <v>96</v>
      </c>
      <c r="N47" s="48">
        <v>1421324.5033801931</v>
      </c>
      <c r="O47" s="48">
        <v>2333441.4043927593</v>
      </c>
      <c r="P47" s="48">
        <v>3248415.4663096829</v>
      </c>
      <c r="R47" s="6" t="s">
        <v>161</v>
      </c>
    </row>
    <row r="48" spans="2:20" x14ac:dyDescent="0.25">
      <c r="B48" s="6" t="s">
        <v>155</v>
      </c>
      <c r="F48" s="6" t="s">
        <v>96</v>
      </c>
      <c r="N48" s="48">
        <v>51720.375165146717</v>
      </c>
      <c r="O48" s="48">
        <v>52546.039234283111</v>
      </c>
      <c r="P48" s="48">
        <v>53384.884204619229</v>
      </c>
      <c r="R48" s="6" t="s">
        <v>217</v>
      </c>
    </row>
    <row r="49" spans="2:18" x14ac:dyDescent="0.25">
      <c r="B49" s="6" t="s">
        <v>181</v>
      </c>
      <c r="F49" s="6" t="s">
        <v>96</v>
      </c>
      <c r="N49" s="48">
        <v>25860.187582573355</v>
      </c>
      <c r="O49" s="48">
        <v>52546.039234283126</v>
      </c>
      <c r="P49" s="48">
        <v>53384.884204619215</v>
      </c>
      <c r="R49" s="6" t="s">
        <v>185</v>
      </c>
    </row>
    <row r="51" spans="2:18" x14ac:dyDescent="0.25">
      <c r="B51" s="34" t="s">
        <v>156</v>
      </c>
    </row>
    <row r="52" spans="2:18" x14ac:dyDescent="0.25">
      <c r="B52" s="6" t="s">
        <v>157</v>
      </c>
      <c r="F52" s="6" t="s">
        <v>96</v>
      </c>
      <c r="N52" s="48">
        <v>435322.34226236655</v>
      </c>
      <c r="O52" s="48">
        <v>716451.46751430584</v>
      </c>
      <c r="P52" s="48">
        <v>998300.64266335254</v>
      </c>
      <c r="R52" s="6" t="s">
        <v>162</v>
      </c>
    </row>
    <row r="53" spans="2:18" x14ac:dyDescent="0.25">
      <c r="B53" s="6" t="s">
        <v>158</v>
      </c>
      <c r="F53" s="6" t="s">
        <v>96</v>
      </c>
      <c r="N53" s="48">
        <v>13361.251767012793</v>
      </c>
      <c r="O53" s="48">
        <v>13574.550790221383</v>
      </c>
      <c r="P53" s="48">
        <v>13791.254919036481</v>
      </c>
      <c r="R53" s="6" t="s">
        <v>220</v>
      </c>
    </row>
    <row r="54" spans="2:18" x14ac:dyDescent="0.25">
      <c r="B54" s="6" t="s">
        <v>182</v>
      </c>
      <c r="F54" s="6" t="s">
        <v>96</v>
      </c>
      <c r="N54" s="48">
        <v>6680.6258835063954</v>
      </c>
      <c r="O54" s="48">
        <v>13574.550790221385</v>
      </c>
      <c r="P54" s="48">
        <v>13791.254919036477</v>
      </c>
      <c r="R54" s="6" t="s">
        <v>186</v>
      </c>
    </row>
    <row r="56" spans="2:18" x14ac:dyDescent="0.25">
      <c r="B56" s="34" t="s">
        <v>289</v>
      </c>
    </row>
    <row r="57" spans="2:18" x14ac:dyDescent="0.25">
      <c r="B57" s="6" t="s">
        <v>219</v>
      </c>
      <c r="F57" s="6" t="s">
        <v>96</v>
      </c>
      <c r="N57" s="48">
        <v>1597744.3790911438</v>
      </c>
      <c r="O57" s="48">
        <v>2493329.8323489139</v>
      </c>
      <c r="P57" s="48">
        <v>3406579.5381682599</v>
      </c>
      <c r="R57" s="6" t="s">
        <v>353</v>
      </c>
    </row>
    <row r="58" spans="2:18" x14ac:dyDescent="0.25">
      <c r="B58" s="6" t="s">
        <v>160</v>
      </c>
      <c r="F58" s="6" t="s">
        <v>96</v>
      </c>
      <c r="N58" s="86"/>
      <c r="O58" s="86"/>
      <c r="P58" s="48">
        <v>76146.812182613008</v>
      </c>
      <c r="R58" s="6" t="s">
        <v>354</v>
      </c>
    </row>
    <row r="59" spans="2:18" x14ac:dyDescent="0.25">
      <c r="B59" s="6" t="s">
        <v>183</v>
      </c>
      <c r="F59" s="6" t="s">
        <v>96</v>
      </c>
      <c r="N59" s="48">
        <v>22638.867749928144</v>
      </c>
      <c r="O59" s="48">
        <v>46000.549269376002</v>
      </c>
      <c r="P59" s="48">
        <v>46734.902037912318</v>
      </c>
      <c r="R59" s="6" t="s">
        <v>355</v>
      </c>
    </row>
    <row r="61" spans="2:18" x14ac:dyDescent="0.25">
      <c r="B61" s="34" t="s">
        <v>291</v>
      </c>
    </row>
    <row r="62" spans="2:18" x14ac:dyDescent="0.25">
      <c r="B62" s="6" t="s">
        <v>218</v>
      </c>
      <c r="F62" s="6" t="s">
        <v>96</v>
      </c>
      <c r="N62" s="48">
        <v>587874.07768188976</v>
      </c>
      <c r="O62" s="48">
        <v>867552.89286827866</v>
      </c>
      <c r="P62" s="48">
        <v>1147950.3868567115</v>
      </c>
      <c r="R62" s="6" t="s">
        <v>356</v>
      </c>
    </row>
    <row r="63" spans="2:18" x14ac:dyDescent="0.25">
      <c r="B63" s="6" t="s">
        <v>159</v>
      </c>
      <c r="F63" s="6" t="s">
        <v>96</v>
      </c>
      <c r="N63" s="86"/>
      <c r="O63" s="86"/>
      <c r="P63" s="48">
        <v>31727.422546636455</v>
      </c>
      <c r="R63" s="6" t="s">
        <v>357</v>
      </c>
    </row>
    <row r="64" spans="2:18" x14ac:dyDescent="0.25">
      <c r="B64" s="6" t="s">
        <v>184</v>
      </c>
      <c r="F64" s="6" t="s">
        <v>96</v>
      </c>
      <c r="N64" s="48">
        <v>6668.3693850347981</v>
      </c>
      <c r="O64" s="48">
        <v>13549.64646779499</v>
      </c>
      <c r="P64" s="48">
        <v>13765.953024006867</v>
      </c>
      <c r="R64" s="6" t="s">
        <v>358</v>
      </c>
    </row>
    <row r="66" spans="2:18" s="12" customFormat="1" x14ac:dyDescent="0.25">
      <c r="B66" s="12" t="s">
        <v>325</v>
      </c>
    </row>
    <row r="67" spans="2:18" x14ac:dyDescent="0.25">
      <c r="R67" s="32"/>
    </row>
    <row r="68" spans="2:18" x14ac:dyDescent="0.25">
      <c r="B68" s="34" t="s">
        <v>324</v>
      </c>
      <c r="R68" s="32"/>
    </row>
    <row r="69" spans="2:18" x14ac:dyDescent="0.25">
      <c r="B69" s="6" t="s">
        <v>331</v>
      </c>
      <c r="F69" s="6" t="s">
        <v>96</v>
      </c>
      <c r="N69" s="48">
        <v>69536784.232943609</v>
      </c>
      <c r="O69" s="48">
        <v>68972645.060864329</v>
      </c>
      <c r="P69" s="48">
        <v>68392718.904164791</v>
      </c>
      <c r="R69" s="6" t="s">
        <v>326</v>
      </c>
    </row>
    <row r="70" spans="2:18" x14ac:dyDescent="0.25">
      <c r="R70" s="32"/>
    </row>
    <row r="71" spans="2:18" x14ac:dyDescent="0.25">
      <c r="B71" s="34" t="s">
        <v>329</v>
      </c>
    </row>
    <row r="72" spans="2:18" x14ac:dyDescent="0.25">
      <c r="B72" s="6" t="s">
        <v>334</v>
      </c>
      <c r="F72" s="6" t="s">
        <v>96</v>
      </c>
      <c r="N72" s="48">
        <v>69457454.441195711</v>
      </c>
      <c r="O72" s="48">
        <v>68893959.551492676</v>
      </c>
      <c r="P72" s="48">
        <v>68314695.699965268</v>
      </c>
      <c r="R72" s="6" t="s">
        <v>362</v>
      </c>
    </row>
    <row r="74" spans="2:18" s="12" customFormat="1" x14ac:dyDescent="0.25">
      <c r="B74" s="12" t="s">
        <v>310</v>
      </c>
    </row>
    <row r="76" spans="2:18" x14ac:dyDescent="0.25">
      <c r="B76" s="34" t="s">
        <v>352</v>
      </c>
    </row>
    <row r="77" spans="2:18" x14ac:dyDescent="0.25">
      <c r="B77" s="6" t="s">
        <v>236</v>
      </c>
      <c r="F77" s="6" t="s">
        <v>96</v>
      </c>
      <c r="N77" s="48">
        <v>784118237.26098323</v>
      </c>
      <c r="O77" s="86"/>
      <c r="P77" s="86"/>
      <c r="R77" s="6" t="s">
        <v>339</v>
      </c>
    </row>
    <row r="78" spans="2:18" x14ac:dyDescent="0.25">
      <c r="B78" s="6" t="s">
        <v>237</v>
      </c>
      <c r="F78" s="6" t="s">
        <v>96</v>
      </c>
      <c r="N78" s="48">
        <v>80468669.030833304</v>
      </c>
      <c r="O78" s="86"/>
      <c r="P78" s="86"/>
      <c r="R78" s="6" t="s">
        <v>340</v>
      </c>
    </row>
    <row r="79" spans="2:18" x14ac:dyDescent="0.25">
      <c r="B79" s="6" t="s">
        <v>238</v>
      </c>
      <c r="F79" s="6" t="s">
        <v>96</v>
      </c>
      <c r="N79" s="48">
        <v>8073059.344754315</v>
      </c>
      <c r="O79" s="86"/>
      <c r="P79" s="86"/>
      <c r="R79" s="6" t="s">
        <v>341</v>
      </c>
    </row>
    <row r="80" spans="2:18" x14ac:dyDescent="0.25">
      <c r="B80" s="6" t="s">
        <v>239</v>
      </c>
      <c r="F80" s="6" t="s">
        <v>96</v>
      </c>
      <c r="N80" s="48">
        <v>10030280.650005961</v>
      </c>
      <c r="O80" s="86"/>
      <c r="P80" s="86"/>
      <c r="R80" s="6" t="s">
        <v>344</v>
      </c>
    </row>
    <row r="82" spans="2:18" x14ac:dyDescent="0.25">
      <c r="B82" s="34" t="s">
        <v>351</v>
      </c>
    </row>
    <row r="83" spans="2:18" x14ac:dyDescent="0.25">
      <c r="B83" s="6" t="s">
        <v>240</v>
      </c>
      <c r="F83" s="6" t="s">
        <v>96</v>
      </c>
      <c r="N83" s="48">
        <v>0</v>
      </c>
      <c r="O83" s="86"/>
      <c r="P83" s="86"/>
      <c r="R83" s="6" t="s">
        <v>342</v>
      </c>
    </row>
    <row r="84" spans="2:18" x14ac:dyDescent="0.25">
      <c r="B84" s="6" t="s">
        <v>241</v>
      </c>
      <c r="F84" s="6" t="s">
        <v>96</v>
      </c>
      <c r="N84" s="48">
        <v>904888.00290222489</v>
      </c>
      <c r="O84" s="86"/>
      <c r="P84" s="86"/>
      <c r="R84" s="6" t="s">
        <v>343</v>
      </c>
    </row>
    <row r="85" spans="2:18" x14ac:dyDescent="0.25">
      <c r="B85" s="6" t="s">
        <v>242</v>
      </c>
      <c r="F85" s="6" t="s">
        <v>96</v>
      </c>
      <c r="N85" s="48">
        <v>3712068.5619513169</v>
      </c>
      <c r="O85" s="86"/>
      <c r="P85" s="86"/>
      <c r="R85" s="6" t="s">
        <v>345</v>
      </c>
    </row>
  </sheetData>
  <mergeCells count="1">
    <mergeCell ref="B5:E5"/>
  </mergeCells>
  <phoneticPr fontId="26"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3 5 4 3 0 3 9 - 5 3 9 1 - 4 3 4 3 - 9 a 8 d - a 3 2 b 8 9 5 8 7 b 5 2 "   x m l n s = " h t t p : / / s c h e m a s . m i c r o s o f t . c o m / D a t a M a s h u p " > A A A A A B U D A A B Q S w M E F A A C A A g A e G V x V w Y b K P K l A A A A 9 w A A A B I A H A B D b 2 5 m a W c v U G F j a 2 F n Z S 5 4 b W w g o h g A K K A U A A A A A A A A A A A A A A A A A A A A A A A A A A A A h Y + 9 D o I w H M R f h X S n X z g Y U s r g C s b E x L g 2 p W I j / D G 0 W N 7 N w U f y F c Q o 6 u Z 4 d 7 9 L 7 u 7 X m 8 j H t o k u p n e 2 g w w x T F F k Q H e V h T p D g z / E S 5 R L s V H 6 p G o T T T C 4 d H Q 2 Q 0 f v z y k h I Q Q c E t z 1 N e G U M r I v i 6 0 + m l b F F p x X o A 3 6 t K r / L S T F 7 j V G c s z Y A n P O E 0 w F m V 1 R W v g S f B r 8 T H 9 M s R o a P / R G Q h O v C 0 F m K c j 7 h H w A U E s D B B Q A A g A I A H h l c 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4 Z X F X K I p H u A 4 A A A A R A A A A E w A c A E Z v c m 1 1 b G F z L 1 N l Y 3 R p b 2 4 x L m 0 g o h g A K K A U A A A A A A A A A A A A A A A A A A A A A A A A A A A A K 0 5 N L s n M z 1 M I h t C G 1 g B Q S w E C L Q A U A A I A C A B 4 Z X F X B h s o 8 q U A A A D 3 A A A A E g A A A A A A A A A A A A A A A A A A A A A A Q 2 9 u Z m l n L 1 B h Y 2 t h Z 2 U u e G 1 s U E s B A i 0 A F A A C A A g A e G V x V w / K 6 a u k A A A A 6 Q A A A B M A A A A A A A A A A A A A A A A A 8 Q A A A F t D b 2 5 0 Z W 5 0 X 1 R 5 c G V z X S 5 4 b W x Q S w E C L Q A U A A I A C A B 4 Z X F X 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u m 5 L V A n 2 U K 7 2 d W K Z 7 o t / w A A A A A C A A A A A A A D Z g A A w A A A A B A A A A C 6 y 6 L H + R V k V p p f J K l A w d t J A A A A A A S A A A C g A A A A E A A A A K d a T r J 1 s / G f 0 r L b N U j k + 2 5 Q A A A A f S g I A M / Y G Q x u 5 H D i J N 8 1 a 3 q E W P S 4 r B R m e J 6 8 s g J e n P F F 5 5 + x 1 8 d 7 T O 4 n F D g L o m P f 9 T o 3 8 y J n H V / a G A 0 f U H E C e 2 Z K t Z p k M P u L W C c / J 9 4 K G Q Q U A A A A x R U J Z s h T e a N / Y z W f g 9 W x S c 1 r 8 w 0 = < / D a t a M a s h u p > 
</file>

<file path=customXml/itemProps1.xml><?xml version="1.0" encoding="utf-8"?>
<ds:datastoreItem xmlns:ds="http://schemas.openxmlformats.org/officeDocument/2006/customXml" ds:itemID="{19E5D8BD-F36F-477B-871E-B6FB6D3CCC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18</vt:i4>
      </vt:variant>
      <vt:variant>
        <vt:lpstr>Benoemde bereiken</vt:lpstr>
      </vt:variant>
      <vt:variant>
        <vt:i4>1</vt:i4>
      </vt:variant>
    </vt:vector>
  </HeadingPairs>
  <TitlesOfParts>
    <vt:vector size="19" baseType="lpstr">
      <vt:lpstr>1. Titelblad</vt:lpstr>
      <vt:lpstr>2. Toelichting</vt:lpstr>
      <vt:lpstr>3. Bronnen en toepassingen</vt:lpstr>
      <vt:lpstr>4. Totale inkomsten 2024</vt:lpstr>
      <vt:lpstr>Input (Dataverzoek TenneT) --&gt;</vt:lpstr>
      <vt:lpstr>5. Toevoeging kosten RCR</vt:lpstr>
      <vt:lpstr>Input (Data door ACM) --&gt;</vt:lpstr>
      <vt:lpstr>6. Parameters</vt:lpstr>
      <vt:lpstr>7. Brondata</vt:lpstr>
      <vt:lpstr>Input (Database) --&gt;</vt:lpstr>
      <vt:lpstr>8. Inkoopkosten netverliezen</vt:lpstr>
      <vt:lpstr>Berekeningen --&gt;</vt:lpstr>
      <vt:lpstr>9. Berekening parameters</vt:lpstr>
      <vt:lpstr>10. Wettelijke formule</vt:lpstr>
      <vt:lpstr>11. Correctie bijschatten</vt:lpstr>
      <vt:lpstr>12. Correctie afloopinv. WUI</vt:lpstr>
      <vt:lpstr>13. Correctie netverliezen</vt:lpstr>
      <vt:lpstr>14. Correctie WACC</vt:lpstr>
      <vt:lpstr>'9. Berekening parameters'!Afdrukbereik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Autoriteit Consument &amp; Markt</dc:creator>
  <cp:lastModifiedBy>Bekkers, Maaike</cp:lastModifiedBy>
  <cp:lastPrinted>2018-07-11T14:40:53Z</cp:lastPrinted>
  <dcterms:created xsi:type="dcterms:W3CDTF">2017-12-20T09:39:51Z</dcterms:created>
  <dcterms:modified xsi:type="dcterms:W3CDTF">2023-11-23T13:43:40Z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0x01010049E878650FBD2D4392CD8EF4C647E9D5</vt:lpwstr>
  </property>
</Properties>
</file>