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xr:revisionPtr revIDLastSave="0" documentId="8_{34AA8F48-0827-42CE-9699-1953EDD59FA6}" xr6:coauthVersionLast="47" xr6:coauthVersionMax="47" xr10:uidLastSave="{00000000-0000-0000-0000-000000000000}"/>
  <bookViews>
    <workbookView xWindow="-120" yWindow="-120" windowWidth="29040" windowHeight="17640" tabRatio="942"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ncidentele correcties" sheetId="38" r:id="rId11"/>
    <sheet name="8. Input capaciteit" sheetId="35" r:id="rId12"/>
    <sheet name="Input database --&gt;" sheetId="52" r:id="rId13"/>
    <sheet name="9. Investeringen (WUI &amp; ombouw)" sheetId="83" r:id="rId14"/>
    <sheet name="10. Investeringen (bijschatten)" sheetId="79" r:id="rId15"/>
    <sheet name="11. Desinvesteringen" sheetId="80" r:id="rId16"/>
    <sheet name="12. Omzet" sheetId="81" r:id="rId17"/>
    <sheet name="13. Operationele kosten" sheetId="84" r:id="rId18"/>
    <sheet name="14. Volumes stikstof" sheetId="82" r:id="rId19"/>
    <sheet name="Berekeningen --&gt;" sheetId="15" r:id="rId20"/>
    <sheet name="15. WUI &amp; ombouwtaak" sheetId="42" r:id="rId21"/>
    <sheet name="16. Nacalculatie bijschatten" sheetId="50" r:id="rId22"/>
    <sheet name="17. Nacalculatie desinv." sheetId="65" r:id="rId23"/>
    <sheet name="18. Indexatie desinvesteringen" sheetId="40" r:id="rId24"/>
    <sheet name="19. Nacalculaties" sheetId="25" r:id="rId25"/>
    <sheet name="20. Correctie WQA" sheetId="68" r:id="rId26"/>
    <sheet name="21. Correctie inkoop energie" sheetId="62" r:id="rId27"/>
    <sheet name="22. Correctie assetoverdracht" sheetId="37" r:id="rId28"/>
    <sheet name="23. Correctie peakshaver" sheetId="66" r:id="rId29"/>
    <sheet name="24. Toegestane inkomsten" sheetId="32" r:id="rId30"/>
    <sheet name="25. RPM" sheetId="34" r:id="rId31"/>
    <sheet name="26. Entry- en exittarieven " sheetId="36"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3" hidden="1">'18. Indexatie desinvesteringen'!$D$16:$G$434</definedName>
    <definedName name="AF">[1]ORI!#REF!</definedName>
    <definedName name="afd">'[2]PwC - Afdelingen'!$A$2:$B$109</definedName>
    <definedName name="afdtennet">'[2]TenneT - Afdelingen'!$D$3:$E$70</definedName>
    <definedName name="afwijking" localSheetId="28">#REF!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28">#REF!</definedName>
    <definedName name="dd">#REF!</definedName>
    <definedName name="DF_GRID_3" localSheetId="28">[1]ORI!#REF!</definedName>
    <definedName name="DF_GRID_3">[1]ORI!#REF!</definedName>
    <definedName name="ee" localSheetId="28">[1]ORI!#REF!</definedName>
    <definedName name="ee">[1]ORI!#REF!</definedName>
    <definedName name="eeee">'[7]Toegestane Omzet'!#REF!</definedName>
    <definedName name="Eigenaar">[3]Lijsten!$G$2:$G$11</definedName>
    <definedName name="eur" localSheetId="28">#REF!</definedName>
    <definedName name="eur">#REF!</definedName>
    <definedName name="factor" localSheetId="28">#REF!</definedName>
    <definedName name="factor">#REF!</definedName>
    <definedName name="fik">[8]cockpit!$B$9</definedName>
    <definedName name="Financiering">[3]Lijsten!$P$2:$P$9</definedName>
    <definedName name="Jaar">[3]Lijsten!$A$2:$A$19</definedName>
    <definedName name="Kwartaal">[3]Lijsten!$B$2:$B$5</definedName>
    <definedName name="METHODE" localSheetId="28">#REF!</definedName>
    <definedName name="METHODE">#REF!</definedName>
    <definedName name="Naam">[9]Lijsten!$B$3:$B$10</definedName>
    <definedName name="NAAM_NE">'[7]Toegestane Omzet'!$M$1</definedName>
    <definedName name="NAAM_VOL">[4]Adresgegevens!$D$8</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28">'[7]Toegestane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28">#REF!</definedName>
    <definedName name="required_x">#REF!</definedName>
    <definedName name="s" localSheetId="28">[10]Data!#REF!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'[2]PwC - TI-projecten'!$B$1:$E$303</definedName>
    <definedName name="TTTI">'[2]TenneT - Projecten TI'!$B$2:$G$221</definedName>
    <definedName name="VerbruikstarRC" localSheetId="28">[11]Tarievenvoorstel!#REF!</definedName>
    <definedName name="VerbruikstarRC">[11]Tarievenvoorstel!#REF!</definedName>
    <definedName name="wac" localSheetId="28">[10]Data!#REF!</definedName>
    <definedName name="wac">[10]Data!#REF!</definedName>
    <definedName name="wacc" localSheetId="28">[10]Data!#REF!</definedName>
    <definedName name="wacc">[10]Data!#REF!</definedName>
    <definedName name="wacc_exc_tax">[10]constants!$E$3</definedName>
    <definedName name="wacc_inc_tax">[10]constants!$E$4</definedName>
    <definedName name="WvD">'[2]TenneT - WvD'!$A$2:$A$274</definedName>
  </definedNames>
  <calcPr calcId="191028"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4" i="66" l="1"/>
  <c r="F77" i="36" l="1"/>
  <c r="O116" i="66"/>
  <c r="Q72" i="24"/>
  <c r="P72" i="24"/>
  <c r="K102" i="25"/>
  <c r="M73" i="62" l="1"/>
  <c r="M74" i="62" s="1"/>
  <c r="I82" i="66"/>
  <c r="J82" i="66"/>
  <c r="H82" i="66"/>
  <c r="Q32" i="66"/>
  <c r="Q33" i="66"/>
  <c r="Q34" i="66"/>
  <c r="P32" i="66"/>
  <c r="P33" i="66"/>
  <c r="O32" i="66"/>
  <c r="N31" i="66"/>
  <c r="M29" i="66"/>
  <c r="M30" i="66"/>
  <c r="L29" i="66"/>
  <c r="L28" i="66"/>
  <c r="M28" i="66"/>
  <c r="K28" i="66"/>
  <c r="O75" i="24" l="1"/>
  <c r="O31" i="66" s="1"/>
  <c r="Q77" i="24" l="1"/>
  <c r="P76" i="24"/>
  <c r="Q76" i="24" s="1"/>
  <c r="P75" i="24"/>
  <c r="N73" i="24"/>
  <c r="N74" i="24"/>
  <c r="N72" i="24"/>
  <c r="N28" i="66" s="1"/>
  <c r="O72" i="24" l="1"/>
  <c r="O28" i="66" s="1"/>
  <c r="O73" i="24"/>
  <c r="O29" i="66" s="1"/>
  <c r="N29" i="66"/>
  <c r="O74" i="24"/>
  <c r="O30" i="66" s="1"/>
  <c r="N30" i="66"/>
  <c r="P73" i="24"/>
  <c r="Q75" i="24"/>
  <c r="Q31" i="66" s="1"/>
  <c r="P31" i="66"/>
  <c r="P74" i="24" l="1"/>
  <c r="Q28" i="66"/>
  <c r="P28" i="66"/>
  <c r="Q73" i="24"/>
  <c r="Q29" i="66" s="1"/>
  <c r="P29" i="66"/>
  <c r="Q74" i="24" l="1"/>
  <c r="Q30" i="66" s="1"/>
  <c r="P30" i="66"/>
  <c r="M73" i="24"/>
  <c r="M72" i="24"/>
  <c r="L72" i="24"/>
  <c r="M68" i="62" l="1"/>
  <c r="M21" i="62"/>
  <c r="M67" i="62"/>
  <c r="I21" i="62" l="1"/>
  <c r="J21" i="62"/>
  <c r="H21" i="62"/>
  <c r="M19" i="62"/>
  <c r="F61" i="62"/>
  <c r="J102" i="25"/>
  <c r="M75" i="62" l="1"/>
  <c r="M76" i="62" s="1"/>
  <c r="H65" i="42"/>
  <c r="I65" i="42"/>
  <c r="J65" i="42"/>
  <c r="K65" i="42"/>
  <c r="F65" i="42"/>
  <c r="F60" i="42"/>
  <c r="B11" i="69" a="1"/>
  <c r="B11" i="69" s="1"/>
  <c r="M77" i="62" l="1"/>
  <c r="M20" i="62"/>
  <c r="J87" i="25"/>
  <c r="B17" i="84"/>
  <c r="L128" i="66"/>
  <c r="D703" i="40"/>
  <c r="H184" i="50"/>
  <c r="I184" i="50"/>
  <c r="H185" i="50"/>
  <c r="I185" i="50"/>
  <c r="H186" i="50"/>
  <c r="I186" i="50"/>
  <c r="H187" i="50"/>
  <c r="I187" i="50"/>
  <c r="H188" i="50"/>
  <c r="I188" i="50"/>
  <c r="H189" i="50"/>
  <c r="I189" i="50"/>
  <c r="H190" i="50"/>
  <c r="I190" i="50"/>
  <c r="H191" i="50"/>
  <c r="I191" i="50"/>
  <c r="H192" i="50"/>
  <c r="I192" i="50"/>
  <c r="H193" i="50"/>
  <c r="I193" i="50"/>
  <c r="H194" i="50"/>
  <c r="I194" i="50"/>
  <c r="H195" i="50"/>
  <c r="I195" i="50"/>
  <c r="H196" i="50"/>
  <c r="I196" i="50"/>
  <c r="H197" i="50"/>
  <c r="I197" i="50"/>
  <c r="H198" i="50"/>
  <c r="I198" i="50"/>
  <c r="H199" i="50"/>
  <c r="I199" i="50"/>
  <c r="H200" i="50"/>
  <c r="I200" i="50"/>
  <c r="H201" i="50"/>
  <c r="I201" i="50"/>
  <c r="H202" i="50"/>
  <c r="I202" i="50"/>
  <c r="H203" i="50"/>
  <c r="I203" i="50"/>
  <c r="H204" i="50"/>
  <c r="I204" i="50"/>
  <c r="H205" i="50"/>
  <c r="I205" i="50"/>
  <c r="H206" i="50"/>
  <c r="I206" i="50"/>
  <c r="H207" i="50"/>
  <c r="I207" i="50"/>
  <c r="H208" i="50"/>
  <c r="I208" i="50"/>
  <c r="H209" i="50"/>
  <c r="I209" i="50"/>
  <c r="H210" i="50"/>
  <c r="I210" i="50"/>
  <c r="H211" i="50"/>
  <c r="I211" i="50"/>
  <c r="H212" i="50"/>
  <c r="I212" i="50"/>
  <c r="H213" i="50"/>
  <c r="I213" i="50"/>
  <c r="H214" i="50"/>
  <c r="I214" i="50"/>
  <c r="H215" i="50"/>
  <c r="I215" i="50"/>
  <c r="H216" i="50"/>
  <c r="I216" i="50"/>
  <c r="H217" i="50"/>
  <c r="I217" i="50"/>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I183" i="50"/>
  <c r="H183" i="50"/>
  <c r="B65" i="42"/>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L74" i="25"/>
  <c r="H85" i="25"/>
  <c r="M16" i="62"/>
  <c r="L16" i="62"/>
  <c r="K16" i="62"/>
  <c r="J16" i="62"/>
  <c r="I16" i="62"/>
  <c r="H16" i="62"/>
  <c r="B17" i="82"/>
  <c r="J79" i="25"/>
  <c r="J70" i="25"/>
  <c r="J61" i="25"/>
  <c r="J54" i="25"/>
  <c r="B17" i="81"/>
  <c r="G434" i="40"/>
  <c r="F434" i="40"/>
  <c r="E434" i="40"/>
  <c r="D434" i="40"/>
  <c r="B434" i="40"/>
  <c r="G433" i="40"/>
  <c r="F433" i="40"/>
  <c r="E433" i="40"/>
  <c r="D433" i="40"/>
  <c r="B433" i="40"/>
  <c r="G432" i="40"/>
  <c r="F432" i="40"/>
  <c r="E432" i="40"/>
  <c r="D432" i="40"/>
  <c r="B432" i="40"/>
  <c r="G431" i="40"/>
  <c r="F431" i="40"/>
  <c r="E431" i="40"/>
  <c r="D431" i="40"/>
  <c r="B431" i="40"/>
  <c r="G430" i="40"/>
  <c r="F430" i="40"/>
  <c r="E430" i="40"/>
  <c r="D430" i="40"/>
  <c r="B430" i="40"/>
  <c r="G429" i="40"/>
  <c r="F429" i="40"/>
  <c r="E429" i="40"/>
  <c r="D429" i="40"/>
  <c r="B429" i="40"/>
  <c r="G428" i="40"/>
  <c r="F428" i="40"/>
  <c r="E428" i="40"/>
  <c r="D428" i="40"/>
  <c r="B428" i="40"/>
  <c r="G427" i="40"/>
  <c r="F427" i="40"/>
  <c r="E427" i="40"/>
  <c r="D427" i="40"/>
  <c r="B427" i="40"/>
  <c r="G426" i="40"/>
  <c r="F426" i="40"/>
  <c r="E426" i="40"/>
  <c r="D426" i="40"/>
  <c r="B426" i="40"/>
  <c r="G425" i="40"/>
  <c r="F425" i="40"/>
  <c r="E425" i="40"/>
  <c r="D425" i="40"/>
  <c r="B425" i="40"/>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50" i="65"/>
  <c r="I150" i="65"/>
  <c r="H150" i="65"/>
  <c r="G150" i="65"/>
  <c r="B150" i="65"/>
  <c r="J149" i="65"/>
  <c r="I149" i="65"/>
  <c r="H149" i="65"/>
  <c r="G149" i="65"/>
  <c r="B149" i="65"/>
  <c r="J148" i="65"/>
  <c r="I148" i="65"/>
  <c r="H148" i="65"/>
  <c r="G148" i="65"/>
  <c r="B148" i="65"/>
  <c r="J147" i="65"/>
  <c r="I147" i="65"/>
  <c r="H147" i="65"/>
  <c r="G147" i="65"/>
  <c r="B147" i="65"/>
  <c r="J146" i="65"/>
  <c r="I146" i="65"/>
  <c r="H146" i="65"/>
  <c r="G146" i="65"/>
  <c r="B146" i="65"/>
  <c r="J145" i="65"/>
  <c r="I145" i="65"/>
  <c r="H145" i="65"/>
  <c r="G145" i="65"/>
  <c r="B145" i="65"/>
  <c r="J144" i="65"/>
  <c r="I144" i="65"/>
  <c r="H144" i="65"/>
  <c r="G144" i="65"/>
  <c r="B144" i="65"/>
  <c r="J143" i="65"/>
  <c r="I143" i="65"/>
  <c r="H143" i="65"/>
  <c r="G143" i="65"/>
  <c r="B143" i="65"/>
  <c r="J142" i="65"/>
  <c r="I142" i="65"/>
  <c r="H142" i="65"/>
  <c r="G142" i="65"/>
  <c r="B142" i="65"/>
  <c r="J141" i="65"/>
  <c r="I141" i="65"/>
  <c r="H141" i="65"/>
  <c r="G141" i="65"/>
  <c r="B141" i="65"/>
  <c r="J140" i="65"/>
  <c r="I140" i="65"/>
  <c r="H140" i="65"/>
  <c r="G140" i="65"/>
  <c r="B140" i="65"/>
  <c r="J139" i="65"/>
  <c r="I139" i="65"/>
  <c r="H139" i="65"/>
  <c r="G139" i="65"/>
  <c r="B139" i="65"/>
  <c r="J138" i="65"/>
  <c r="I138" i="65"/>
  <c r="H138" i="65"/>
  <c r="G138" i="65"/>
  <c r="B138" i="65"/>
  <c r="J137" i="65"/>
  <c r="I137" i="65"/>
  <c r="H137" i="65"/>
  <c r="G137" i="65"/>
  <c r="B137" i="65"/>
  <c r="J136" i="65"/>
  <c r="I136" i="65"/>
  <c r="H136" i="65"/>
  <c r="G136" i="65"/>
  <c r="B136" i="65"/>
  <c r="J135" i="65"/>
  <c r="I135" i="65"/>
  <c r="H135" i="65"/>
  <c r="G135" i="65"/>
  <c r="B135" i="65"/>
  <c r="J134" i="65"/>
  <c r="I134" i="65"/>
  <c r="H134" i="65"/>
  <c r="G134" i="65"/>
  <c r="B134" i="65"/>
  <c r="J133" i="65"/>
  <c r="I133" i="65"/>
  <c r="H133" i="65"/>
  <c r="G133" i="65"/>
  <c r="B133" i="65"/>
  <c r="J132" i="65"/>
  <c r="I132" i="65"/>
  <c r="H132" i="65"/>
  <c r="G132" i="65"/>
  <c r="B132" i="65"/>
  <c r="J131" i="65"/>
  <c r="I131" i="65"/>
  <c r="H131" i="65"/>
  <c r="G131" i="65"/>
  <c r="B131" i="65"/>
  <c r="J130" i="65"/>
  <c r="I130" i="65"/>
  <c r="H130" i="65"/>
  <c r="G130" i="65"/>
  <c r="B130" i="65"/>
  <c r="J129" i="65"/>
  <c r="I129" i="65"/>
  <c r="H129" i="65"/>
  <c r="G129" i="65"/>
  <c r="B129" i="65"/>
  <c r="J128" i="65"/>
  <c r="I128" i="65"/>
  <c r="H128" i="65"/>
  <c r="G128" i="65"/>
  <c r="B128" i="65"/>
  <c r="J127" i="65"/>
  <c r="I127" i="65"/>
  <c r="H127" i="65"/>
  <c r="G127" i="65"/>
  <c r="B127" i="65"/>
  <c r="J126" i="65"/>
  <c r="I126" i="65"/>
  <c r="H126" i="65"/>
  <c r="G126" i="65"/>
  <c r="B126" i="65"/>
  <c r="J125" i="65"/>
  <c r="I125" i="65"/>
  <c r="H125" i="65"/>
  <c r="G125" i="65"/>
  <c r="B125" i="65"/>
  <c r="J124" i="65"/>
  <c r="I124" i="65"/>
  <c r="H124" i="65"/>
  <c r="G124" i="65"/>
  <c r="B124" i="65"/>
  <c r="J123" i="65"/>
  <c r="I123" i="65"/>
  <c r="H123" i="65"/>
  <c r="G123" i="65"/>
  <c r="B123" i="65"/>
  <c r="J122" i="65"/>
  <c r="I122" i="65"/>
  <c r="H122" i="65"/>
  <c r="G122" i="65"/>
  <c r="B122" i="65"/>
  <c r="J121" i="65"/>
  <c r="I121" i="65"/>
  <c r="H121" i="65"/>
  <c r="G121" i="65"/>
  <c r="B121" i="65"/>
  <c r="J120" i="65"/>
  <c r="I120" i="65"/>
  <c r="H120" i="65"/>
  <c r="G120" i="65"/>
  <c r="B120" i="65"/>
  <c r="J119" i="65"/>
  <c r="I119" i="65"/>
  <c r="H119" i="65"/>
  <c r="G119" i="65"/>
  <c r="B119" i="65"/>
  <c r="J118" i="65"/>
  <c r="I118" i="65"/>
  <c r="H118" i="65"/>
  <c r="G118" i="65"/>
  <c r="B118" i="65"/>
  <c r="J117" i="65"/>
  <c r="I117" i="65"/>
  <c r="H117" i="65"/>
  <c r="G117" i="65"/>
  <c r="B117" i="65"/>
  <c r="J116" i="65"/>
  <c r="I116" i="65"/>
  <c r="H116" i="65"/>
  <c r="G116" i="65"/>
  <c r="B116" i="65"/>
  <c r="J115" i="65"/>
  <c r="I115" i="65"/>
  <c r="H115" i="65"/>
  <c r="G115" i="65"/>
  <c r="B115" i="65"/>
  <c r="J114" i="65"/>
  <c r="I114" i="65"/>
  <c r="H114" i="65"/>
  <c r="G114" i="65"/>
  <c r="B114" i="65"/>
  <c r="J113" i="65"/>
  <c r="I113" i="65"/>
  <c r="H113" i="65"/>
  <c r="G113" i="65"/>
  <c r="B113" i="65"/>
  <c r="J112" i="65"/>
  <c r="I112" i="65"/>
  <c r="H112" i="65"/>
  <c r="G112" i="65"/>
  <c r="B112" i="65"/>
  <c r="J111" i="65"/>
  <c r="I111" i="65"/>
  <c r="H111" i="65"/>
  <c r="G111" i="65"/>
  <c r="B111" i="65"/>
  <c r="J110" i="65"/>
  <c r="I110" i="65"/>
  <c r="H110" i="65"/>
  <c r="G110" i="65"/>
  <c r="B110" i="65"/>
  <c r="J109" i="65"/>
  <c r="I109" i="65"/>
  <c r="H109" i="65"/>
  <c r="G109" i="65"/>
  <c r="B109" i="65"/>
  <c r="J108" i="65"/>
  <c r="I108" i="65"/>
  <c r="H108" i="65"/>
  <c r="G108" i="65"/>
  <c r="B108" i="65"/>
  <c r="J107" i="65"/>
  <c r="I107" i="65"/>
  <c r="H107" i="65"/>
  <c r="G107" i="65"/>
  <c r="B107" i="65"/>
  <c r="J106" i="65"/>
  <c r="I106" i="65"/>
  <c r="H106" i="65"/>
  <c r="G106" i="65"/>
  <c r="B106" i="65"/>
  <c r="J105" i="65"/>
  <c r="I105" i="65"/>
  <c r="H105" i="65"/>
  <c r="G105" i="65"/>
  <c r="B105" i="65"/>
  <c r="J104" i="65"/>
  <c r="I104" i="65"/>
  <c r="H104" i="65"/>
  <c r="G104" i="65"/>
  <c r="B104" i="65"/>
  <c r="J103" i="65"/>
  <c r="I103" i="65"/>
  <c r="H103" i="65"/>
  <c r="G103" i="65"/>
  <c r="B103" i="65"/>
  <c r="J102" i="65"/>
  <c r="I102" i="65"/>
  <c r="H102" i="65"/>
  <c r="G102" i="65"/>
  <c r="B102" i="65"/>
  <c r="J101" i="65"/>
  <c r="I101" i="65"/>
  <c r="H101" i="65"/>
  <c r="G101" i="65"/>
  <c r="B101" i="65"/>
  <c r="J100" i="65"/>
  <c r="I100" i="65"/>
  <c r="H100" i="65"/>
  <c r="G100" i="65"/>
  <c r="B100" i="65"/>
  <c r="J99" i="65"/>
  <c r="I99" i="65"/>
  <c r="H99" i="65"/>
  <c r="G99" i="65"/>
  <c r="B99" i="65"/>
  <c r="J98" i="65"/>
  <c r="I98" i="65"/>
  <c r="H98" i="65"/>
  <c r="G98" i="65"/>
  <c r="B98" i="65"/>
  <c r="J97" i="65"/>
  <c r="I97" i="65"/>
  <c r="H97" i="65"/>
  <c r="G97" i="65"/>
  <c r="B97" i="65"/>
  <c r="J96" i="65"/>
  <c r="I96" i="65"/>
  <c r="H96" i="65"/>
  <c r="G96" i="65"/>
  <c r="B96" i="65"/>
  <c r="J95" i="65"/>
  <c r="I95" i="65"/>
  <c r="H95" i="65"/>
  <c r="G95" i="65"/>
  <c r="B95" i="65"/>
  <c r="J94" i="65"/>
  <c r="I94" i="65"/>
  <c r="H94" i="65"/>
  <c r="G94" i="65"/>
  <c r="B94" i="65"/>
  <c r="J93" i="65"/>
  <c r="I93" i="65"/>
  <c r="H93" i="65"/>
  <c r="G93" i="65"/>
  <c r="B93" i="65"/>
  <c r="J92" i="65"/>
  <c r="I92" i="65"/>
  <c r="H92" i="65"/>
  <c r="G92" i="65"/>
  <c r="B92" i="65"/>
  <c r="J91" i="65"/>
  <c r="I91" i="65"/>
  <c r="H91" i="65"/>
  <c r="G91" i="65"/>
  <c r="B91" i="65"/>
  <c r="J90" i="65"/>
  <c r="I90" i="65"/>
  <c r="H90" i="65"/>
  <c r="G90" i="65"/>
  <c r="B90" i="65"/>
  <c r="J89" i="65"/>
  <c r="I89" i="65"/>
  <c r="H89" i="65"/>
  <c r="G89" i="65"/>
  <c r="B89" i="65"/>
  <c r="J88" i="65"/>
  <c r="I88" i="65"/>
  <c r="H88" i="65"/>
  <c r="G88" i="65"/>
  <c r="B88" i="65"/>
  <c r="J87" i="65"/>
  <c r="I87" i="65"/>
  <c r="H87" i="65"/>
  <c r="G87" i="65"/>
  <c r="B87" i="65"/>
  <c r="J86" i="65"/>
  <c r="I86" i="65"/>
  <c r="H86" i="65"/>
  <c r="G86" i="65"/>
  <c r="B86" i="65"/>
  <c r="J85" i="65"/>
  <c r="I85" i="65"/>
  <c r="H85" i="65"/>
  <c r="G85" i="65"/>
  <c r="B85" i="65"/>
  <c r="J84" i="65"/>
  <c r="I84" i="65"/>
  <c r="H84" i="65"/>
  <c r="G84" i="65"/>
  <c r="B84" i="65"/>
  <c r="J83" i="65"/>
  <c r="I83" i="65"/>
  <c r="H83" i="65"/>
  <c r="G83" i="65"/>
  <c r="B83" i="65"/>
  <c r="J82" i="65"/>
  <c r="I82" i="65"/>
  <c r="H82" i="65"/>
  <c r="G82" i="65"/>
  <c r="B82" i="65"/>
  <c r="J81" i="65"/>
  <c r="I81" i="65"/>
  <c r="H81" i="65"/>
  <c r="G81" i="65"/>
  <c r="B81" i="65"/>
  <c r="J80" i="65"/>
  <c r="I80" i="65"/>
  <c r="H80" i="65"/>
  <c r="G80" i="65"/>
  <c r="B80" i="65"/>
  <c r="J79" i="65"/>
  <c r="I79" i="65"/>
  <c r="H79" i="65"/>
  <c r="G79" i="65"/>
  <c r="B79" i="65"/>
  <c r="J78" i="65"/>
  <c r="I78" i="65"/>
  <c r="H78" i="65"/>
  <c r="G78" i="65"/>
  <c r="B78" i="65"/>
  <c r="J77" i="65"/>
  <c r="I77" i="65"/>
  <c r="H77" i="65"/>
  <c r="G77" i="65"/>
  <c r="B77" i="65"/>
  <c r="J76" i="65"/>
  <c r="I76" i="65"/>
  <c r="H76" i="65"/>
  <c r="G76" i="65"/>
  <c r="B76" i="65"/>
  <c r="J75" i="65"/>
  <c r="I75" i="65"/>
  <c r="H75" i="65"/>
  <c r="G75" i="65"/>
  <c r="B75" i="65"/>
  <c r="J74" i="65"/>
  <c r="I74" i="65"/>
  <c r="H74" i="65"/>
  <c r="G74" i="65"/>
  <c r="B74" i="65"/>
  <c r="J73" i="65"/>
  <c r="I73" i="65"/>
  <c r="H73" i="65"/>
  <c r="G73" i="65"/>
  <c r="B73" i="65"/>
  <c r="J72" i="65"/>
  <c r="I72" i="65"/>
  <c r="H72" i="65"/>
  <c r="G72" i="65"/>
  <c r="B72" i="65"/>
  <c r="J71" i="65"/>
  <c r="I71" i="65"/>
  <c r="H71" i="65"/>
  <c r="G71" i="65"/>
  <c r="B71" i="65"/>
  <c r="J70" i="65"/>
  <c r="I70" i="65"/>
  <c r="H70" i="65"/>
  <c r="G70" i="65"/>
  <c r="B70" i="65"/>
  <c r="J69" i="65"/>
  <c r="I69" i="65"/>
  <c r="H69" i="65"/>
  <c r="G69" i="65"/>
  <c r="B69" i="65"/>
  <c r="J68" i="65"/>
  <c r="I68" i="65"/>
  <c r="H68" i="65"/>
  <c r="G68" i="65"/>
  <c r="B68" i="65"/>
  <c r="J67" i="65"/>
  <c r="I67" i="65"/>
  <c r="H67" i="65"/>
  <c r="G67" i="65"/>
  <c r="B67" i="65"/>
  <c r="J66" i="65"/>
  <c r="I66" i="65"/>
  <c r="H66" i="65"/>
  <c r="G66" i="65"/>
  <c r="B66" i="65"/>
  <c r="J65" i="65"/>
  <c r="I65" i="65"/>
  <c r="H65" i="65"/>
  <c r="G65" i="65"/>
  <c r="B65" i="65"/>
  <c r="J64" i="65"/>
  <c r="I64" i="65"/>
  <c r="H64" i="65"/>
  <c r="G64" i="65"/>
  <c r="B64" i="65"/>
  <c r="J63" i="65"/>
  <c r="I63" i="65"/>
  <c r="H63" i="65"/>
  <c r="G63" i="65"/>
  <c r="B63" i="65"/>
  <c r="J62" i="65"/>
  <c r="I62" i="65"/>
  <c r="H62" i="65"/>
  <c r="G62" i="65"/>
  <c r="B62" i="65"/>
  <c r="J61" i="65"/>
  <c r="I61" i="65"/>
  <c r="H61" i="65"/>
  <c r="G61" i="65"/>
  <c r="B61" i="65"/>
  <c r="J60" i="65"/>
  <c r="I60" i="65"/>
  <c r="H60" i="65"/>
  <c r="G60" i="65"/>
  <c r="B60" i="65"/>
  <c r="J59" i="65"/>
  <c r="I59" i="65"/>
  <c r="H59" i="65"/>
  <c r="G59" i="65"/>
  <c r="B59" i="65"/>
  <c r="J58" i="65"/>
  <c r="I58" i="65"/>
  <c r="H58" i="65"/>
  <c r="G58" i="65"/>
  <c r="B58" i="65"/>
  <c r="J57" i="65"/>
  <c r="I57" i="65"/>
  <c r="H57" i="65"/>
  <c r="G57" i="65"/>
  <c r="B57" i="65"/>
  <c r="J56" i="65"/>
  <c r="I56" i="65"/>
  <c r="H56" i="65"/>
  <c r="G56" i="65"/>
  <c r="B56" i="65"/>
  <c r="J55" i="65"/>
  <c r="I55" i="65"/>
  <c r="H55" i="65"/>
  <c r="G55" i="65"/>
  <c r="B55" i="65"/>
  <c r="J54" i="65"/>
  <c r="I54" i="65"/>
  <c r="H54" i="65"/>
  <c r="G54" i="65"/>
  <c r="B54" i="65"/>
  <c r="J53" i="65"/>
  <c r="I53" i="65"/>
  <c r="H53" i="65"/>
  <c r="G53" i="65"/>
  <c r="B53" i="65"/>
  <c r="J52" i="65"/>
  <c r="I52" i="65"/>
  <c r="H52" i="65"/>
  <c r="G52" i="65"/>
  <c r="B52" i="65"/>
  <c r="J51" i="65"/>
  <c r="I51" i="65"/>
  <c r="H51" i="65"/>
  <c r="G51" i="65"/>
  <c r="B51" i="65"/>
  <c r="B17" i="80"/>
  <c r="B184" i="50"/>
  <c r="F184" i="50"/>
  <c r="B185" i="50"/>
  <c r="F185" i="50"/>
  <c r="B186" i="50"/>
  <c r="F186" i="50"/>
  <c r="B187" i="50"/>
  <c r="F187" i="50"/>
  <c r="B188" i="50"/>
  <c r="F188" i="50"/>
  <c r="B189" i="50"/>
  <c r="F189" i="50"/>
  <c r="B190" i="50"/>
  <c r="F190" i="50"/>
  <c r="B191" i="50"/>
  <c r="F191" i="50"/>
  <c r="B192" i="50"/>
  <c r="F192" i="50"/>
  <c r="B193" i="50"/>
  <c r="F193" i="50"/>
  <c r="B194" i="50"/>
  <c r="F194" i="50"/>
  <c r="B195" i="50"/>
  <c r="F195" i="50"/>
  <c r="B196" i="50"/>
  <c r="F196" i="50"/>
  <c r="B197" i="50"/>
  <c r="F197" i="50"/>
  <c r="B198" i="50"/>
  <c r="F198" i="50"/>
  <c r="B199" i="50"/>
  <c r="F199" i="50"/>
  <c r="B200" i="50"/>
  <c r="F200" i="50"/>
  <c r="B201" i="50"/>
  <c r="F201" i="50"/>
  <c r="B202" i="50"/>
  <c r="F202" i="50"/>
  <c r="B203" i="50"/>
  <c r="F203" i="50"/>
  <c r="B204" i="50"/>
  <c r="F204" i="50"/>
  <c r="B205" i="50"/>
  <c r="F205" i="50"/>
  <c r="B206" i="50"/>
  <c r="F206" i="50"/>
  <c r="B207" i="50"/>
  <c r="F207" i="50"/>
  <c r="B208" i="50"/>
  <c r="F208" i="50"/>
  <c r="B209" i="50"/>
  <c r="F209" i="50"/>
  <c r="B210" i="50"/>
  <c r="F210" i="50"/>
  <c r="B211" i="50"/>
  <c r="F211" i="50"/>
  <c r="B212" i="50"/>
  <c r="F212" i="50"/>
  <c r="B213" i="50"/>
  <c r="F213" i="50"/>
  <c r="B214" i="50"/>
  <c r="F214" i="50"/>
  <c r="B215" i="50"/>
  <c r="F215" i="50"/>
  <c r="B216" i="50"/>
  <c r="F216" i="50"/>
  <c r="B217" i="50"/>
  <c r="F217" i="50"/>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F183" i="50"/>
  <c r="B183" i="50"/>
  <c r="B17" i="79"/>
  <c r="L111" i="25" l="1"/>
  <c r="M111" i="25"/>
  <c r="N111" i="25"/>
  <c r="K111" i="25"/>
  <c r="J111" i="25"/>
  <c r="O110" i="25"/>
  <c r="K109" i="25"/>
  <c r="L109" i="25"/>
  <c r="M109" i="25"/>
  <c r="N109" i="25"/>
  <c r="J109" i="25"/>
  <c r="K108" i="25"/>
  <c r="L108" i="25"/>
  <c r="M108" i="25"/>
  <c r="N108" i="25"/>
  <c r="J108" i="25"/>
  <c r="M15" i="66"/>
  <c r="K16" i="34" l="1"/>
  <c r="K15" i="34"/>
  <c r="K13" i="34"/>
  <c r="K12" i="34"/>
  <c r="J78" i="66"/>
  <c r="F51" i="65" l="1"/>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72" i="66"/>
  <c r="P72" i="66"/>
  <c r="O72" i="66"/>
  <c r="N72" i="66"/>
  <c r="Q71" i="66"/>
  <c r="P71" i="66"/>
  <c r="O71" i="66"/>
  <c r="N71" i="66"/>
  <c r="Q68" i="66"/>
  <c r="P68" i="66"/>
  <c r="O68" i="66"/>
  <c r="N68" i="66"/>
  <c r="Q67" i="66"/>
  <c r="P67" i="66"/>
  <c r="O67" i="66"/>
  <c r="N67" i="66"/>
  <c r="N75" i="66"/>
  <c r="O75" i="66"/>
  <c r="P75" i="66"/>
  <c r="Q75" i="66"/>
  <c r="P44" i="66"/>
  <c r="Q44" i="66"/>
  <c r="P45" i="66"/>
  <c r="Q45" i="66"/>
  <c r="Q46" i="66"/>
  <c r="P49" i="66"/>
  <c r="Q49" i="66"/>
  <c r="P50" i="66"/>
  <c r="Q50" i="66"/>
  <c r="P51" i="66"/>
  <c r="Q51" i="66"/>
  <c r="P52" i="66"/>
  <c r="Q52" i="66"/>
  <c r="P53" i="66"/>
  <c r="Q53" i="66"/>
  <c r="P54" i="66"/>
  <c r="Q54" i="66"/>
  <c r="P55" i="66"/>
  <c r="Q55" i="66"/>
  <c r="P56" i="66"/>
  <c r="Q56" i="66"/>
  <c r="P57" i="66"/>
  <c r="Q57" i="66"/>
  <c r="Q58" i="66"/>
  <c r="F25" i="66"/>
  <c r="M75" i="66"/>
  <c r="L75" i="66"/>
  <c r="K75" i="66"/>
  <c r="M72" i="66"/>
  <c r="M71" i="66"/>
  <c r="F64" i="66" l="1"/>
  <c r="F126" i="65" l="1"/>
  <c r="F22" i="66"/>
  <c r="F21" i="66"/>
  <c r="J79" i="66"/>
  <c r="M68" i="66"/>
  <c r="M67" i="66"/>
  <c r="F18" i="66"/>
  <c r="O56" i="66"/>
  <c r="O55" i="66"/>
  <c r="N55" i="66"/>
  <c r="O54" i="66"/>
  <c r="N54" i="66"/>
  <c r="M54" i="66"/>
  <c r="O53" i="66"/>
  <c r="N53" i="66"/>
  <c r="M53" i="66"/>
  <c r="L53" i="66"/>
  <c r="O52" i="66"/>
  <c r="N52" i="66"/>
  <c r="M52" i="66"/>
  <c r="L52" i="66"/>
  <c r="K52" i="66"/>
  <c r="O51" i="66"/>
  <c r="N51" i="66"/>
  <c r="M51" i="66"/>
  <c r="L51" i="66"/>
  <c r="K51" i="66"/>
  <c r="J51" i="66"/>
  <c r="O50" i="66"/>
  <c r="N50" i="66"/>
  <c r="M50" i="66"/>
  <c r="L50" i="66"/>
  <c r="K50" i="66"/>
  <c r="J50" i="66"/>
  <c r="I50" i="66"/>
  <c r="O49" i="66"/>
  <c r="N49" i="66"/>
  <c r="M49" i="66"/>
  <c r="L49" i="66"/>
  <c r="K49" i="66"/>
  <c r="J49" i="66"/>
  <c r="I49" i="66"/>
  <c r="H49" i="66"/>
  <c r="O44" i="66"/>
  <c r="N43" i="66"/>
  <c r="N42" i="66"/>
  <c r="M42" i="66"/>
  <c r="N41" i="66"/>
  <c r="M41" i="66"/>
  <c r="L41" i="66"/>
  <c r="N40" i="66"/>
  <c r="M40" i="66"/>
  <c r="L40" i="66"/>
  <c r="K40" i="66"/>
  <c r="N39" i="66"/>
  <c r="M39" i="66"/>
  <c r="M101" i="66" s="1"/>
  <c r="L39" i="66"/>
  <c r="K39" i="66"/>
  <c r="J39" i="66"/>
  <c r="N38" i="66"/>
  <c r="M38" i="66"/>
  <c r="L38" i="66"/>
  <c r="K38" i="66"/>
  <c r="J38" i="66"/>
  <c r="I38" i="66"/>
  <c r="N37" i="66"/>
  <c r="M37" i="66"/>
  <c r="L37" i="66"/>
  <c r="K37" i="66"/>
  <c r="J37" i="66"/>
  <c r="I37" i="66"/>
  <c r="H37" i="66"/>
  <c r="M94" i="66" l="1"/>
  <c r="M95" i="66" s="1"/>
  <c r="O96" i="66" s="1"/>
  <c r="M104" i="66"/>
  <c r="M105" i="66"/>
  <c r="M106" i="66"/>
  <c r="M87" i="66"/>
  <c r="M88" i="66" s="1"/>
  <c r="O89" i="66" s="1"/>
  <c r="M108" i="66" l="1"/>
  <c r="O110" i="66" l="1"/>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L61" i="42" l="1"/>
  <c r="M61" i="42"/>
  <c r="L62" i="42"/>
  <c r="M62" i="42"/>
  <c r="O62" i="42" s="1"/>
  <c r="L63" i="42"/>
  <c r="M63" i="42"/>
  <c r="L64" i="42"/>
  <c r="M64" i="42"/>
  <c r="L65" i="42"/>
  <c r="M65" i="42"/>
  <c r="BD62" i="42" l="1"/>
  <c r="P61" i="42"/>
  <c r="V61" i="42"/>
  <c r="O61" i="42"/>
  <c r="R61" i="42" s="1"/>
  <c r="S61" i="42" s="1"/>
  <c r="U61" i="42" s="1"/>
  <c r="P64" i="42"/>
  <c r="V64" i="42"/>
  <c r="O64" i="42"/>
  <c r="R64" i="42" s="1"/>
  <c r="P63" i="42"/>
  <c r="V63" i="42"/>
  <c r="O63" i="42"/>
  <c r="R63" i="42" s="1"/>
  <c r="P65" i="42"/>
  <c r="V65" i="42"/>
  <c r="R65" i="42"/>
  <c r="S65" i="42" s="1"/>
  <c r="U65" i="42" s="1"/>
  <c r="O65" i="42"/>
  <c r="P62" i="42"/>
  <c r="V62" i="42"/>
  <c r="R62" i="42"/>
  <c r="D934" i="40"/>
  <c r="E934" i="40"/>
  <c r="F934" i="40"/>
  <c r="D935" i="40"/>
  <c r="E935" i="40"/>
  <c r="F935" i="40"/>
  <c r="D936" i="40"/>
  <c r="E936" i="40"/>
  <c r="F936" i="40"/>
  <c r="D937" i="40"/>
  <c r="E937" i="40"/>
  <c r="F937" i="40"/>
  <c r="D938" i="40"/>
  <c r="E938" i="40"/>
  <c r="F938" i="40"/>
  <c r="D939" i="40"/>
  <c r="E939" i="40"/>
  <c r="F939" i="40"/>
  <c r="D940" i="40"/>
  <c r="E940" i="40"/>
  <c r="F940" i="40"/>
  <c r="D941" i="40"/>
  <c r="E941" i="40"/>
  <c r="F941" i="40"/>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Q94" i="65" s="1"/>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43" i="65"/>
  <c r="K143" i="65"/>
  <c r="F144" i="65"/>
  <c r="K144" i="65"/>
  <c r="F145" i="65"/>
  <c r="K145" i="65"/>
  <c r="F146" i="65"/>
  <c r="K146" i="65"/>
  <c r="F147" i="65"/>
  <c r="K147" i="65"/>
  <c r="F148" i="65"/>
  <c r="M148" i="65"/>
  <c r="R148" i="65" s="1"/>
  <c r="F918" i="40"/>
  <c r="E918" i="40"/>
  <c r="F919" i="40"/>
  <c r="E919" i="40"/>
  <c r="F920" i="40"/>
  <c r="E920" i="40"/>
  <c r="F921" i="40"/>
  <c r="E921" i="40"/>
  <c r="F922" i="40"/>
  <c r="E922" i="40"/>
  <c r="F923" i="40"/>
  <c r="E923" i="40"/>
  <c r="F924" i="40"/>
  <c r="E924" i="40"/>
  <c r="F925" i="40"/>
  <c r="E925" i="40"/>
  <c r="F926" i="40"/>
  <c r="E926" i="40"/>
  <c r="F927" i="40"/>
  <c r="E927" i="40"/>
  <c r="F928" i="40"/>
  <c r="E928" i="40"/>
  <c r="F929" i="40"/>
  <c r="E929" i="40"/>
  <c r="F930" i="40"/>
  <c r="E930" i="40"/>
  <c r="F931" i="40"/>
  <c r="E931" i="40"/>
  <c r="F932" i="40"/>
  <c r="E932" i="40"/>
  <c r="F933" i="40"/>
  <c r="E933" i="40"/>
  <c r="E917" i="40"/>
  <c r="F917" i="40"/>
  <c r="E916" i="40"/>
  <c r="F916" i="40"/>
  <c r="E915" i="40"/>
  <c r="F915" i="40"/>
  <c r="E914" i="40"/>
  <c r="F914" i="40"/>
  <c r="E913" i="40"/>
  <c r="F913" i="40"/>
  <c r="E912" i="40"/>
  <c r="F912" i="40"/>
  <c r="E911" i="40"/>
  <c r="F911" i="40"/>
  <c r="E910" i="40"/>
  <c r="F910" i="40"/>
  <c r="E909" i="40"/>
  <c r="F909" i="40"/>
  <c r="E908" i="40"/>
  <c r="F908" i="40"/>
  <c r="E907" i="40"/>
  <c r="F907" i="40"/>
  <c r="E906" i="40"/>
  <c r="F906" i="40"/>
  <c r="E905" i="40"/>
  <c r="F905" i="40"/>
  <c r="E904" i="40"/>
  <c r="F904" i="40"/>
  <c r="E903" i="40"/>
  <c r="F903" i="40"/>
  <c r="E902" i="40"/>
  <c r="F902" i="40"/>
  <c r="E901" i="40"/>
  <c r="F901" i="40"/>
  <c r="E900" i="40"/>
  <c r="F900" i="40"/>
  <c r="E899" i="40"/>
  <c r="F899" i="40"/>
  <c r="E898" i="40"/>
  <c r="F898" i="40"/>
  <c r="E897" i="40"/>
  <c r="F897" i="40"/>
  <c r="E896" i="40"/>
  <c r="F896" i="40"/>
  <c r="E895" i="40"/>
  <c r="F895" i="40"/>
  <c r="E894" i="40"/>
  <c r="F894" i="40"/>
  <c r="E893" i="40"/>
  <c r="F893" i="40"/>
  <c r="E892" i="40"/>
  <c r="F892" i="40"/>
  <c r="E891" i="40"/>
  <c r="F891" i="40"/>
  <c r="E890" i="40"/>
  <c r="F890" i="40"/>
  <c r="E889" i="40"/>
  <c r="F889" i="40"/>
  <c r="E888" i="40"/>
  <c r="F888" i="40"/>
  <c r="E887" i="40"/>
  <c r="F887" i="40"/>
  <c r="E886" i="40"/>
  <c r="F886" i="40"/>
  <c r="E885" i="40"/>
  <c r="F885" i="40"/>
  <c r="E884" i="40"/>
  <c r="F884" i="40"/>
  <c r="E883" i="40"/>
  <c r="F883" i="40"/>
  <c r="E882" i="40"/>
  <c r="F882" i="40"/>
  <c r="E881" i="40"/>
  <c r="F881" i="40"/>
  <c r="E880" i="40"/>
  <c r="F880" i="40"/>
  <c r="E879" i="40"/>
  <c r="F879" i="40"/>
  <c r="E878" i="40"/>
  <c r="F878" i="40"/>
  <c r="E877" i="40"/>
  <c r="F877" i="40"/>
  <c r="E876" i="40"/>
  <c r="F876" i="40"/>
  <c r="E875" i="40"/>
  <c r="F875" i="40"/>
  <c r="E874" i="40"/>
  <c r="F874" i="40"/>
  <c r="E873" i="40"/>
  <c r="F873" i="40"/>
  <c r="E872" i="40"/>
  <c r="F872" i="40"/>
  <c r="E871" i="40"/>
  <c r="F871" i="40"/>
  <c r="E870" i="40"/>
  <c r="F870" i="40"/>
  <c r="E869" i="40"/>
  <c r="F869" i="40"/>
  <c r="E868" i="40"/>
  <c r="F868" i="40"/>
  <c r="E867" i="40"/>
  <c r="F867" i="40"/>
  <c r="E866" i="40"/>
  <c r="F866" i="40"/>
  <c r="E865" i="40"/>
  <c r="F865" i="40"/>
  <c r="E864" i="40"/>
  <c r="F864" i="40"/>
  <c r="E863" i="40"/>
  <c r="F863" i="40"/>
  <c r="E862" i="40"/>
  <c r="F862" i="40"/>
  <c r="E861" i="40"/>
  <c r="F861" i="40"/>
  <c r="E860" i="40"/>
  <c r="F860" i="40"/>
  <c r="E859" i="40"/>
  <c r="F859" i="40"/>
  <c r="F856" i="40"/>
  <c r="E856" i="40"/>
  <c r="F857" i="40"/>
  <c r="E857" i="40"/>
  <c r="F858" i="40"/>
  <c r="E858" i="40"/>
  <c r="S63" i="42" l="1"/>
  <c r="U63" i="42" s="1"/>
  <c r="S64" i="42"/>
  <c r="U64" i="42" s="1"/>
  <c r="S62" i="42"/>
  <c r="U62" i="42" s="1"/>
  <c r="M142" i="65"/>
  <c r="W142" i="65" s="1"/>
  <c r="Z94" i="65"/>
  <c r="Z92" i="65"/>
  <c r="M67" i="65"/>
  <c r="N67" i="65" s="1"/>
  <c r="Z67" i="65" s="1"/>
  <c r="M105" i="65"/>
  <c r="Z105" i="65" s="1"/>
  <c r="M144" i="65"/>
  <c r="R144" i="65" s="1"/>
  <c r="K140" i="65"/>
  <c r="M146" i="65"/>
  <c r="R146" i="65" s="1"/>
  <c r="K130" i="65"/>
  <c r="M106" i="65"/>
  <c r="Y106" i="65" s="1"/>
  <c r="M101" i="65"/>
  <c r="W101" i="65" s="1"/>
  <c r="M103" i="65"/>
  <c r="X103" i="65" s="1"/>
  <c r="K97" i="65"/>
  <c r="V95" i="65"/>
  <c r="AJ86" i="65"/>
  <c r="D917" i="40"/>
  <c r="K134" i="65"/>
  <c r="K128" i="65"/>
  <c r="K124" i="65"/>
  <c r="K82" i="65"/>
  <c r="M79" i="65"/>
  <c r="M107" i="65"/>
  <c r="Z107" i="65" s="1"/>
  <c r="Q88" i="65"/>
  <c r="P97" i="65"/>
  <c r="W97" i="65"/>
  <c r="T97" i="65"/>
  <c r="D932" i="40"/>
  <c r="T101" i="65"/>
  <c r="AJ88" i="65"/>
  <c r="Z86" i="65"/>
  <c r="D933" i="40"/>
  <c r="D930" i="40"/>
  <c r="W134" i="65"/>
  <c r="Z109" i="65"/>
  <c r="Q92" i="65"/>
  <c r="Z88" i="65"/>
  <c r="K86" i="65"/>
  <c r="M83" i="65"/>
  <c r="N83" i="65" s="1"/>
  <c r="K78" i="65"/>
  <c r="K75" i="65"/>
  <c r="N73" i="65"/>
  <c r="T73" i="65" s="1"/>
  <c r="M69" i="65"/>
  <c r="N69" i="65" s="1"/>
  <c r="Q69" i="65" s="1"/>
  <c r="K60" i="65"/>
  <c r="M54" i="65"/>
  <c r="W54" i="65" s="1"/>
  <c r="K148" i="65"/>
  <c r="AJ107" i="65"/>
  <c r="AL106" i="65"/>
  <c r="P105" i="65"/>
  <c r="N94" i="65"/>
  <c r="M71" i="65"/>
  <c r="N71" i="65" s="1"/>
  <c r="T71" i="65" s="1"/>
  <c r="K62" i="65"/>
  <c r="K56" i="65"/>
  <c r="N122" i="65"/>
  <c r="S122" i="65"/>
  <c r="AK122" i="65"/>
  <c r="Q120" i="65"/>
  <c r="S120" i="65"/>
  <c r="AL120" i="65"/>
  <c r="K110" i="65"/>
  <c r="M110" i="65"/>
  <c r="AL110" i="65" s="1"/>
  <c r="Z60" i="65"/>
  <c r="AJ60" i="65"/>
  <c r="D931" i="40"/>
  <c r="K126" i="65"/>
  <c r="M126" i="65"/>
  <c r="T99" i="65"/>
  <c r="Z99" i="65"/>
  <c r="K132" i="65"/>
  <c r="M132" i="65"/>
  <c r="R128" i="65"/>
  <c r="AK128" i="65"/>
  <c r="S121" i="65"/>
  <c r="AL121" i="65"/>
  <c r="S119" i="65"/>
  <c r="AL119" i="65"/>
  <c r="Z73" i="65"/>
  <c r="K138" i="65"/>
  <c r="M138" i="65"/>
  <c r="AK138" i="65" s="1"/>
  <c r="K136" i="65"/>
  <c r="M136" i="65"/>
  <c r="S136" i="65" s="1"/>
  <c r="K109" i="65"/>
  <c r="T107" i="65"/>
  <c r="AJ105" i="65"/>
  <c r="Q105" i="65"/>
  <c r="Z103" i="65"/>
  <c r="M102" i="65"/>
  <c r="Y102" i="65" s="1"/>
  <c r="P101" i="65"/>
  <c r="K99" i="65"/>
  <c r="M98" i="65"/>
  <c r="Y97" i="65"/>
  <c r="AH94" i="65"/>
  <c r="T94" i="65"/>
  <c r="AJ92" i="65"/>
  <c r="K90" i="65"/>
  <c r="K88" i="65"/>
  <c r="M81" i="65"/>
  <c r="N81" i="65" s="1"/>
  <c r="Y81" i="65" s="1"/>
  <c r="K70" i="65"/>
  <c r="K66" i="65"/>
  <c r="R54" i="65"/>
  <c r="M52" i="65"/>
  <c r="X52" i="65" s="1"/>
  <c r="W105" i="65"/>
  <c r="AK95" i="65"/>
  <c r="AJ94" i="65"/>
  <c r="X94" i="65"/>
  <c r="P94" i="65"/>
  <c r="M76" i="65"/>
  <c r="N76" i="65" s="1"/>
  <c r="W76" i="65" s="1"/>
  <c r="Q73" i="65"/>
  <c r="M64" i="65"/>
  <c r="M58" i="65"/>
  <c r="N58" i="65" s="1"/>
  <c r="P58" i="65" s="1"/>
  <c r="AK54" i="65"/>
  <c r="T105" i="65"/>
  <c r="AF105" i="65" s="1"/>
  <c r="AI97" i="65"/>
  <c r="M96" i="65"/>
  <c r="AI96" i="65" s="1"/>
  <c r="K95" i="65"/>
  <c r="R95" i="65"/>
  <c r="AI94" i="65"/>
  <c r="V94" i="65"/>
  <c r="K92" i="65"/>
  <c r="K84" i="65"/>
  <c r="K80" i="65"/>
  <c r="N77" i="65"/>
  <c r="Z77" i="65" s="1"/>
  <c r="K65" i="65"/>
  <c r="BE64" i="42"/>
  <c r="BE62" i="42"/>
  <c r="BE65" i="42"/>
  <c r="BE63" i="42"/>
  <c r="BD61" i="42"/>
  <c r="BE61" i="42"/>
  <c r="BD65" i="42"/>
  <c r="BD63" i="42"/>
  <c r="BD64" i="42"/>
  <c r="W148" i="65"/>
  <c r="N144" i="65"/>
  <c r="S144" i="65"/>
  <c r="X144" i="65"/>
  <c r="AD144" i="65" s="1"/>
  <c r="P144" i="65"/>
  <c r="T144" i="65"/>
  <c r="Y144" i="65"/>
  <c r="V144" i="65"/>
  <c r="Z144" i="65"/>
  <c r="N136" i="65"/>
  <c r="X136" i="65"/>
  <c r="AH136" i="65"/>
  <c r="AL136" i="65"/>
  <c r="T136" i="65"/>
  <c r="Y136" i="65"/>
  <c r="AI136" i="65"/>
  <c r="V136" i="65"/>
  <c r="Z136" i="65"/>
  <c r="AJ136" i="65"/>
  <c r="N128" i="65"/>
  <c r="S128" i="65"/>
  <c r="X128" i="65"/>
  <c r="AD128" i="65" s="1"/>
  <c r="AP128" i="65" s="1"/>
  <c r="AH128" i="65"/>
  <c r="AL128" i="65"/>
  <c r="P128" i="65"/>
  <c r="T128" i="65"/>
  <c r="Y128" i="65"/>
  <c r="AI128" i="65"/>
  <c r="Q128" i="65"/>
  <c r="V128" i="65"/>
  <c r="Z128" i="65"/>
  <c r="AJ128" i="65"/>
  <c r="N126" i="65"/>
  <c r="Z126" i="65" s="1"/>
  <c r="Z146" i="65"/>
  <c r="AK140" i="65"/>
  <c r="Z138" i="65"/>
  <c r="N130" i="65"/>
  <c r="W130" i="65" s="1"/>
  <c r="N142" i="65"/>
  <c r="S142" i="65"/>
  <c r="X142" i="65"/>
  <c r="AH142" i="65"/>
  <c r="AL142" i="65"/>
  <c r="Q142" i="65"/>
  <c r="AC142" i="65" s="1"/>
  <c r="V142" i="65"/>
  <c r="Z142" i="65"/>
  <c r="AJ142" i="65"/>
  <c r="P142" i="65"/>
  <c r="T142" i="65"/>
  <c r="Y142" i="65"/>
  <c r="AI142" i="65"/>
  <c r="N134" i="65"/>
  <c r="S134" i="65"/>
  <c r="X134" i="65"/>
  <c r="AH134" i="65"/>
  <c r="AL134" i="65"/>
  <c r="P134" i="65"/>
  <c r="T134" i="65"/>
  <c r="Y134" i="65"/>
  <c r="AI134" i="65"/>
  <c r="Q134" i="65"/>
  <c r="AC134" i="65" s="1"/>
  <c r="V134" i="65"/>
  <c r="Z134" i="65"/>
  <c r="AJ134" i="65"/>
  <c r="N148" i="65"/>
  <c r="S148" i="65"/>
  <c r="X148" i="65"/>
  <c r="AD148" i="65" s="1"/>
  <c r="AH148" i="65"/>
  <c r="AI148" i="65" s="1"/>
  <c r="AJ148" i="65" s="1"/>
  <c r="AK148" i="65" s="1"/>
  <c r="AL148" i="65" s="1"/>
  <c r="P148" i="65"/>
  <c r="T148" i="65"/>
  <c r="Y148" i="65"/>
  <c r="Q148" i="65"/>
  <c r="AC148" i="65" s="1"/>
  <c r="V148" i="65"/>
  <c r="Z148" i="65"/>
  <c r="AK142" i="65"/>
  <c r="R142" i="65"/>
  <c r="N140" i="65"/>
  <c r="Y140" i="65" s="1"/>
  <c r="AL140" i="65"/>
  <c r="Z140" i="65"/>
  <c r="T140" i="65"/>
  <c r="W136" i="65"/>
  <c r="AK134" i="65"/>
  <c r="R134" i="65"/>
  <c r="AD134" i="65" s="1"/>
  <c r="N132" i="65"/>
  <c r="W132" i="65" s="1"/>
  <c r="W128" i="65"/>
  <c r="N124" i="65"/>
  <c r="P124" i="65" s="1"/>
  <c r="AL102" i="65"/>
  <c r="P121" i="65"/>
  <c r="T121" i="65"/>
  <c r="Y121" i="65"/>
  <c r="AE121" i="65" s="1"/>
  <c r="AI121" i="65"/>
  <c r="R121" i="65"/>
  <c r="W121" i="65"/>
  <c r="AK121" i="65"/>
  <c r="AJ120" i="65"/>
  <c r="Z120" i="65"/>
  <c r="P119" i="65"/>
  <c r="T119" i="65"/>
  <c r="Y119" i="65"/>
  <c r="AI119" i="65"/>
  <c r="R119" i="65"/>
  <c r="W119" i="65"/>
  <c r="AK119" i="65"/>
  <c r="N110" i="65"/>
  <c r="Q110" i="65" s="1"/>
  <c r="N109" i="65"/>
  <c r="Q109" i="65" s="1"/>
  <c r="AL109" i="65"/>
  <c r="AK109" i="65"/>
  <c r="Q106" i="65"/>
  <c r="Z106" i="65"/>
  <c r="N106" i="65"/>
  <c r="P106" i="65" s="1"/>
  <c r="T106" i="65"/>
  <c r="AH106" i="65"/>
  <c r="X106" i="65"/>
  <c r="AK106" i="65"/>
  <c r="K100" i="65"/>
  <c r="M100" i="65"/>
  <c r="X95" i="65"/>
  <c r="K87" i="65"/>
  <c r="M87" i="65"/>
  <c r="AJ122" i="65"/>
  <c r="Z122" i="65"/>
  <c r="Q122" i="65"/>
  <c r="R120" i="65"/>
  <c r="W120" i="65"/>
  <c r="AC120" i="65" s="1"/>
  <c r="AK120" i="65"/>
  <c r="P120" i="65"/>
  <c r="T120" i="65"/>
  <c r="Y120" i="65"/>
  <c r="AI120" i="65"/>
  <c r="AJ119" i="65"/>
  <c r="Z119" i="65"/>
  <c r="Q119" i="65"/>
  <c r="AC119" i="65" s="1"/>
  <c r="M147" i="65"/>
  <c r="M145" i="65"/>
  <c r="M143" i="65"/>
  <c r="M141" i="65"/>
  <c r="M139" i="65"/>
  <c r="M137" i="65"/>
  <c r="M135" i="65"/>
  <c r="M133" i="65"/>
  <c r="M131" i="65"/>
  <c r="M129" i="65"/>
  <c r="M127" i="65"/>
  <c r="M125" i="65"/>
  <c r="M123" i="65"/>
  <c r="AH122" i="65"/>
  <c r="X122" i="65"/>
  <c r="AH121" i="65"/>
  <c r="X121" i="65"/>
  <c r="N121" i="65"/>
  <c r="AH120" i="65"/>
  <c r="X120" i="65"/>
  <c r="N120" i="65"/>
  <c r="AH119" i="65"/>
  <c r="X119" i="65"/>
  <c r="N119" i="65"/>
  <c r="N118" i="65"/>
  <c r="R118" i="65" s="1"/>
  <c r="N117" i="65"/>
  <c r="P117" i="65" s="1"/>
  <c r="N116" i="65"/>
  <c r="N115" i="65"/>
  <c r="R115" i="65" s="1"/>
  <c r="N114" i="65"/>
  <c r="R114" i="65" s="1"/>
  <c r="N113" i="65"/>
  <c r="P113" i="65" s="1"/>
  <c r="N112" i="65"/>
  <c r="W112" i="65" s="1"/>
  <c r="N111" i="65"/>
  <c r="P111" i="65" s="1"/>
  <c r="K104" i="65"/>
  <c r="M104" i="65"/>
  <c r="N99" i="65"/>
  <c r="S99" i="65"/>
  <c r="X99" i="65"/>
  <c r="AH99" i="65"/>
  <c r="AL99" i="65"/>
  <c r="P99" i="65"/>
  <c r="V99" i="65"/>
  <c r="AI99" i="65"/>
  <c r="Q99" i="65"/>
  <c r="W99" i="65"/>
  <c r="AJ99" i="65"/>
  <c r="R99" i="65"/>
  <c r="Y99" i="65"/>
  <c r="AK99" i="65"/>
  <c r="R90" i="65"/>
  <c r="W90" i="65"/>
  <c r="AK90" i="65"/>
  <c r="N90" i="65"/>
  <c r="S90" i="65"/>
  <c r="X90" i="65"/>
  <c r="AH90" i="65"/>
  <c r="AL90" i="65"/>
  <c r="T90" i="65"/>
  <c r="V90" i="65"/>
  <c r="P90" i="65"/>
  <c r="Y90" i="65"/>
  <c r="AI90" i="65"/>
  <c r="AJ90" i="65"/>
  <c r="Q90" i="65"/>
  <c r="Q102" i="65"/>
  <c r="V102" i="65"/>
  <c r="Z102" i="65"/>
  <c r="AJ102" i="65"/>
  <c r="N102" i="65"/>
  <c r="T102" i="65"/>
  <c r="AH102" i="65"/>
  <c r="P102" i="65"/>
  <c r="W102" i="65"/>
  <c r="AI102" i="65"/>
  <c r="R102" i="65"/>
  <c r="X102" i="65"/>
  <c r="AK102" i="65"/>
  <c r="R122" i="65"/>
  <c r="W122" i="65"/>
  <c r="P122" i="65"/>
  <c r="T122" i="65"/>
  <c r="Y122" i="65"/>
  <c r="AI122" i="65"/>
  <c r="AJ121" i="65"/>
  <c r="Z121" i="65"/>
  <c r="Q121" i="65"/>
  <c r="AL122" i="65"/>
  <c r="V122" i="65"/>
  <c r="K122" i="65"/>
  <c r="V121" i="65"/>
  <c r="K121" i="65"/>
  <c r="V120" i="65"/>
  <c r="K120" i="65"/>
  <c r="V119" i="65"/>
  <c r="K119" i="65"/>
  <c r="V118" i="65"/>
  <c r="K118" i="65"/>
  <c r="K117" i="65"/>
  <c r="K116" i="65"/>
  <c r="K115" i="65"/>
  <c r="K114" i="65"/>
  <c r="K113" i="65"/>
  <c r="K112" i="65"/>
  <c r="K111" i="65"/>
  <c r="T109" i="65"/>
  <c r="M108" i="65"/>
  <c r="N107" i="65"/>
  <c r="P107" i="65" s="1"/>
  <c r="X107" i="65"/>
  <c r="AL107" i="65"/>
  <c r="AI107" i="65"/>
  <c r="Y107" i="65"/>
  <c r="AK107" i="65"/>
  <c r="S106" i="65"/>
  <c r="AK103" i="65"/>
  <c r="S102" i="65"/>
  <c r="AE102" i="65" s="1"/>
  <c r="Z90" i="65"/>
  <c r="AI105" i="65"/>
  <c r="V105" i="65"/>
  <c r="AB105" i="65" s="1"/>
  <c r="Q98" i="65"/>
  <c r="V98" i="65"/>
  <c r="Z98" i="65"/>
  <c r="AJ98" i="65"/>
  <c r="N98" i="65"/>
  <c r="S98" i="65"/>
  <c r="X98" i="65"/>
  <c r="AH98" i="65"/>
  <c r="AL98" i="65"/>
  <c r="N97" i="65"/>
  <c r="S97" i="65"/>
  <c r="X97" i="65"/>
  <c r="AH97" i="65"/>
  <c r="AL97" i="65"/>
  <c r="Q97" i="65"/>
  <c r="AC97" i="65" s="1"/>
  <c r="V97" i="65"/>
  <c r="Z97" i="65"/>
  <c r="AJ97" i="65"/>
  <c r="AH95" i="65"/>
  <c r="R92" i="65"/>
  <c r="W92" i="65"/>
  <c r="AK92" i="65"/>
  <c r="N92" i="65"/>
  <c r="S92" i="65"/>
  <c r="X92" i="65"/>
  <c r="AH92" i="65"/>
  <c r="AL92" i="65"/>
  <c r="T92" i="65"/>
  <c r="AF92" i="65" s="1"/>
  <c r="V92" i="65"/>
  <c r="P92" i="65"/>
  <c r="Y92" i="65"/>
  <c r="AI92" i="65"/>
  <c r="K89" i="65"/>
  <c r="M89" i="65"/>
  <c r="N84" i="65"/>
  <c r="R84" i="65" s="1"/>
  <c r="N105" i="65"/>
  <c r="S105" i="65"/>
  <c r="X105" i="65"/>
  <c r="AH105" i="65"/>
  <c r="AL105" i="65"/>
  <c r="X101" i="65"/>
  <c r="AH101" i="65"/>
  <c r="Z96" i="65"/>
  <c r="X96" i="65"/>
  <c r="P95" i="65"/>
  <c r="AB95" i="65" s="1"/>
  <c r="T95" i="65"/>
  <c r="Y95" i="65"/>
  <c r="AI95" i="65"/>
  <c r="S95" i="65"/>
  <c r="Z95" i="65"/>
  <c r="AL95" i="65"/>
  <c r="Q95" i="65"/>
  <c r="W95" i="65"/>
  <c r="AJ95" i="65"/>
  <c r="K91" i="65"/>
  <c r="M91" i="65"/>
  <c r="R86" i="65"/>
  <c r="W86" i="65"/>
  <c r="AK86" i="65"/>
  <c r="N86" i="65"/>
  <c r="S86" i="65"/>
  <c r="X86" i="65"/>
  <c r="AH86" i="65"/>
  <c r="AL86" i="65"/>
  <c r="T86" i="65"/>
  <c r="AF86" i="65" s="1"/>
  <c r="V86" i="65"/>
  <c r="P86" i="65"/>
  <c r="Y86" i="65"/>
  <c r="AI86" i="65"/>
  <c r="AK105" i="65"/>
  <c r="Y105" i="65"/>
  <c r="R105" i="65"/>
  <c r="AK101" i="65"/>
  <c r="Y101" i="65"/>
  <c r="AK98" i="65"/>
  <c r="R98" i="65"/>
  <c r="AK97" i="65"/>
  <c r="R97" i="65"/>
  <c r="N95" i="65"/>
  <c r="K93" i="65"/>
  <c r="M93" i="65"/>
  <c r="R88" i="65"/>
  <c r="W88" i="65"/>
  <c r="AK88" i="65"/>
  <c r="N88" i="65"/>
  <c r="S88" i="65"/>
  <c r="X88" i="65"/>
  <c r="AH88" i="65"/>
  <c r="AL88" i="65"/>
  <c r="T88" i="65"/>
  <c r="AF88" i="65" s="1"/>
  <c r="V88" i="65"/>
  <c r="P88" i="65"/>
  <c r="Y88" i="65"/>
  <c r="AI88" i="65"/>
  <c r="Q86" i="65"/>
  <c r="K85" i="65"/>
  <c r="M85" i="65"/>
  <c r="R94" i="65"/>
  <c r="AD94" i="65" s="1"/>
  <c r="W94" i="65"/>
  <c r="AC94" i="65" s="1"/>
  <c r="AK94" i="65"/>
  <c r="N79" i="65"/>
  <c r="R79" i="65" s="1"/>
  <c r="N78" i="65"/>
  <c r="T78" i="65" s="1"/>
  <c r="K74" i="65"/>
  <c r="M74" i="65"/>
  <c r="N80" i="65"/>
  <c r="Y80" i="65" s="1"/>
  <c r="P73" i="65"/>
  <c r="V73" i="65"/>
  <c r="N65" i="65"/>
  <c r="S65" i="65" s="1"/>
  <c r="AL94" i="65"/>
  <c r="Y94" i="65"/>
  <c r="S94" i="65"/>
  <c r="K94" i="65"/>
  <c r="N82" i="65"/>
  <c r="T82" i="65" s="1"/>
  <c r="M72" i="65"/>
  <c r="K72" i="65"/>
  <c r="K77" i="65"/>
  <c r="S73" i="65"/>
  <c r="K73" i="65"/>
  <c r="N70" i="65"/>
  <c r="R70" i="65" s="1"/>
  <c r="M68" i="65"/>
  <c r="K68" i="65"/>
  <c r="N75" i="65"/>
  <c r="X75" i="65" s="1"/>
  <c r="W77" i="65"/>
  <c r="W73" i="65"/>
  <c r="N56" i="65"/>
  <c r="S56" i="65"/>
  <c r="X56" i="65"/>
  <c r="AH56" i="65"/>
  <c r="AL56" i="65"/>
  <c r="P56" i="65"/>
  <c r="T56" i="65"/>
  <c r="Y56" i="65"/>
  <c r="AI56" i="65"/>
  <c r="Q56" i="65"/>
  <c r="V56" i="65"/>
  <c r="Z56" i="65"/>
  <c r="AJ56" i="65"/>
  <c r="R56" i="65"/>
  <c r="AK56" i="65"/>
  <c r="W56" i="65"/>
  <c r="V69" i="65"/>
  <c r="X69" i="65"/>
  <c r="N66" i="65"/>
  <c r="R66" i="65" s="1"/>
  <c r="K63" i="65"/>
  <c r="M63" i="65"/>
  <c r="K61" i="65"/>
  <c r="M61" i="65"/>
  <c r="K59" i="65"/>
  <c r="M59" i="65"/>
  <c r="N64" i="65"/>
  <c r="P64" i="65" s="1"/>
  <c r="N62" i="65"/>
  <c r="Y62" i="65" s="1"/>
  <c r="AL62" i="65"/>
  <c r="N60" i="65"/>
  <c r="P60" i="65" s="1"/>
  <c r="S60" i="65"/>
  <c r="AL60" i="65"/>
  <c r="T60" i="65"/>
  <c r="AF60" i="65" s="1"/>
  <c r="Y60" i="65"/>
  <c r="AH58" i="65"/>
  <c r="AL52" i="65"/>
  <c r="AJ52" i="65"/>
  <c r="V62" i="65"/>
  <c r="AK60" i="65"/>
  <c r="AK58" i="65"/>
  <c r="N54" i="65"/>
  <c r="S54" i="65"/>
  <c r="X54" i="65"/>
  <c r="AH54" i="65"/>
  <c r="AL54" i="65"/>
  <c r="P54" i="65"/>
  <c r="T54" i="65"/>
  <c r="Y54" i="65"/>
  <c r="AI54" i="65"/>
  <c r="Q54" i="65"/>
  <c r="AC54" i="65" s="1"/>
  <c r="V54" i="65"/>
  <c r="Z54" i="65"/>
  <c r="AJ54" i="65"/>
  <c r="M57" i="65"/>
  <c r="M55" i="65"/>
  <c r="M53" i="65"/>
  <c r="Q52" i="65" l="1"/>
  <c r="S52" i="65"/>
  <c r="R77" i="65"/>
  <c r="X77" i="65"/>
  <c r="AD77" i="65" s="1"/>
  <c r="S77" i="65"/>
  <c r="V77" i="65"/>
  <c r="S96" i="65"/>
  <c r="AE96" i="65" s="1"/>
  <c r="V96" i="65"/>
  <c r="AB96" i="65" s="1"/>
  <c r="AN96" i="65" s="1"/>
  <c r="W103" i="65"/>
  <c r="Y138" i="65"/>
  <c r="X146" i="65"/>
  <c r="AD146" i="65" s="1"/>
  <c r="AD54" i="65"/>
  <c r="AP54" i="65" s="1"/>
  <c r="AI52" i="65"/>
  <c r="N52" i="65"/>
  <c r="AC73" i="65"/>
  <c r="Y77" i="65"/>
  <c r="P77" i="65"/>
  <c r="T96" i="65"/>
  <c r="AF96" i="65" s="1"/>
  <c r="AR96" i="65" s="1"/>
  <c r="AL96" i="65"/>
  <c r="N96" i="65"/>
  <c r="Q96" i="65"/>
  <c r="S101" i="65"/>
  <c r="Y96" i="65"/>
  <c r="V101" i="65"/>
  <c r="AB101" i="65" s="1"/>
  <c r="AN101" i="65" s="1"/>
  <c r="P103" i="65"/>
  <c r="AE119" i="65"/>
  <c r="AH138" i="65"/>
  <c r="Q101" i="65"/>
  <c r="AC101" i="65" s="1"/>
  <c r="AO101" i="65" s="1"/>
  <c r="AB94" i="65"/>
  <c r="Z101" i="65"/>
  <c r="W52" i="65"/>
  <c r="AC52" i="65" s="1"/>
  <c r="AO52" i="65" s="1"/>
  <c r="P52" i="65"/>
  <c r="AB52" i="65" s="1"/>
  <c r="AN52" i="65" s="1"/>
  <c r="AI58" i="65"/>
  <c r="R73" i="65"/>
  <c r="X73" i="65"/>
  <c r="Y73" i="65"/>
  <c r="AE73" i="65" s="1"/>
  <c r="R101" i="65"/>
  <c r="AH96" i="65"/>
  <c r="AJ96" i="65"/>
  <c r="AL101" i="65"/>
  <c r="N101" i="65"/>
  <c r="AO97" i="65"/>
  <c r="AI101" i="65"/>
  <c r="S103" i="65"/>
  <c r="AE103" i="65" s="1"/>
  <c r="AQ103" i="65" s="1"/>
  <c r="R107" i="65"/>
  <c r="S107" i="65"/>
  <c r="S110" i="65"/>
  <c r="R106" i="65"/>
  <c r="AD106" i="65" s="1"/>
  <c r="AP106" i="65" s="1"/>
  <c r="AJ106" i="65"/>
  <c r="Q136" i="65"/>
  <c r="P136" i="65"/>
  <c r="Q144" i="65"/>
  <c r="AC144" i="65" s="1"/>
  <c r="AO144" i="65" s="1"/>
  <c r="AH144" i="65"/>
  <c r="AI144" i="65" s="1"/>
  <c r="AJ144" i="65" s="1"/>
  <c r="AK144" i="65" s="1"/>
  <c r="AL144" i="65" s="1"/>
  <c r="AJ101" i="65"/>
  <c r="AI106" i="65"/>
  <c r="W106" i="65"/>
  <c r="AC106" i="65" s="1"/>
  <c r="AO106" i="65" s="1"/>
  <c r="W144" i="65"/>
  <c r="T62" i="65"/>
  <c r="AF73" i="65"/>
  <c r="AD97" i="65"/>
  <c r="V113" i="65"/>
  <c r="AB113" i="65" s="1"/>
  <c r="AH113" i="65" s="1"/>
  <c r="V130" i="65"/>
  <c r="AB130" i="65" s="1"/>
  <c r="AE97" i="65"/>
  <c r="AQ97" i="65" s="1"/>
  <c r="AE120" i="65"/>
  <c r="AF94" i="65"/>
  <c r="AR94" i="65" s="1"/>
  <c r="AF107" i="65"/>
  <c r="AR107" i="65" s="1"/>
  <c r="AE106" i="65"/>
  <c r="AQ106" i="65" s="1"/>
  <c r="AF97" i="65"/>
  <c r="V115" i="65"/>
  <c r="T130" i="65"/>
  <c r="R126" i="65"/>
  <c r="V140" i="65"/>
  <c r="AB134" i="65"/>
  <c r="AF142" i="65"/>
  <c r="AR142" i="65" s="1"/>
  <c r="V138" i="65"/>
  <c r="T138" i="65"/>
  <c r="AF138" i="65" s="1"/>
  <c r="X138" i="65"/>
  <c r="Y146" i="65"/>
  <c r="V146" i="65"/>
  <c r="S146" i="65"/>
  <c r="Z52" i="65"/>
  <c r="Y52" i="65"/>
  <c r="AH52" i="65"/>
  <c r="Y103" i="65"/>
  <c r="Q103" i="65"/>
  <c r="AL103" i="65"/>
  <c r="N103" i="65"/>
  <c r="V52" i="65"/>
  <c r="T52" i="65"/>
  <c r="P70" i="65"/>
  <c r="AB97" i="65"/>
  <c r="AN97" i="65" s="1"/>
  <c r="R103" i="65"/>
  <c r="AD103" i="65" s="1"/>
  <c r="AI103" i="65"/>
  <c r="AH103" i="65"/>
  <c r="AC121" i="65"/>
  <c r="Q138" i="65"/>
  <c r="P138" i="65"/>
  <c r="S138" i="65"/>
  <c r="AE138" i="65" s="1"/>
  <c r="AQ138" i="65" s="1"/>
  <c r="T146" i="65"/>
  <c r="AF146" i="65" s="1"/>
  <c r="Q146" i="65"/>
  <c r="AC146" i="65" s="1"/>
  <c r="N146" i="65"/>
  <c r="T103" i="65"/>
  <c r="AF103" i="65" s="1"/>
  <c r="AR103" i="65" s="1"/>
  <c r="AF101" i="65"/>
  <c r="AC92" i="65"/>
  <c r="AJ103" i="65"/>
  <c r="V103" i="65"/>
  <c r="AD95" i="65"/>
  <c r="AF140" i="65"/>
  <c r="AR140" i="65" s="1"/>
  <c r="X140" i="65"/>
  <c r="AJ138" i="65"/>
  <c r="AI138" i="65"/>
  <c r="AL138" i="65"/>
  <c r="N138" i="65"/>
  <c r="P146" i="65"/>
  <c r="AH146" i="65"/>
  <c r="AI146" i="65" s="1"/>
  <c r="AJ146" i="65" s="1"/>
  <c r="AK146" i="65" s="1"/>
  <c r="AL146" i="65" s="1"/>
  <c r="X126" i="65"/>
  <c r="AD126" i="65" s="1"/>
  <c r="W146" i="65"/>
  <c r="Z79" i="65"/>
  <c r="W67" i="65"/>
  <c r="T70" i="65"/>
  <c r="Q79" i="65"/>
  <c r="T132" i="65"/>
  <c r="T79" i="65"/>
  <c r="AE77" i="65"/>
  <c r="X79" i="65"/>
  <c r="AF120" i="65"/>
  <c r="Q83" i="65"/>
  <c r="T83" i="65"/>
  <c r="Y58" i="65"/>
  <c r="X58" i="65"/>
  <c r="S62" i="65"/>
  <c r="AE62" i="65" s="1"/>
  <c r="Y69" i="65"/>
  <c r="Z69" i="65"/>
  <c r="Y76" i="65"/>
  <c r="W69" i="65"/>
  <c r="AC69" i="65" s="1"/>
  <c r="AO94" i="65"/>
  <c r="AB92" i="65"/>
  <c r="AN92" i="65" s="1"/>
  <c r="X132" i="65"/>
  <c r="T69" i="65"/>
  <c r="AF69" i="65" s="1"/>
  <c r="S69" i="65"/>
  <c r="AC88" i="65"/>
  <c r="V114" i="65"/>
  <c r="AE122" i="65"/>
  <c r="AQ122" i="65" s="1"/>
  <c r="T58" i="65"/>
  <c r="S58" i="65"/>
  <c r="R58" i="65"/>
  <c r="AL58" i="65"/>
  <c r="X60" i="65"/>
  <c r="P62" i="65"/>
  <c r="R69" i="65"/>
  <c r="AD69" i="65" s="1"/>
  <c r="P69" i="65"/>
  <c r="AB69" i="65" s="1"/>
  <c r="AH69" i="65" s="1"/>
  <c r="AI69" i="65" s="1"/>
  <c r="AF109" i="65"/>
  <c r="AE60" i="65"/>
  <c r="AQ60" i="65" s="1"/>
  <c r="R64" i="65"/>
  <c r="AR60" i="65"/>
  <c r="X62" i="65"/>
  <c r="R71" i="65"/>
  <c r="Q70" i="65"/>
  <c r="S82" i="65"/>
  <c r="Z82" i="65"/>
  <c r="AF82" i="65" s="1"/>
  <c r="Y83" i="65"/>
  <c r="S83" i="65"/>
  <c r="V79" i="65"/>
  <c r="P79" i="65"/>
  <c r="AR88" i="65"/>
  <c r="AE88" i="65"/>
  <c r="AQ88" i="65" s="1"/>
  <c r="AR105" i="65"/>
  <c r="X84" i="65"/>
  <c r="AD84" i="65" s="1"/>
  <c r="AO134" i="65"/>
  <c r="Q82" i="65"/>
  <c r="T76" i="65"/>
  <c r="W79" i="65"/>
  <c r="AC79" i="65" s="1"/>
  <c r="W82" i="65"/>
  <c r="Z83" i="65"/>
  <c r="P83" i="65"/>
  <c r="Y79" i="65"/>
  <c r="S79" i="65"/>
  <c r="Y84" i="65"/>
  <c r="W84" i="65"/>
  <c r="X113" i="65"/>
  <c r="P130" i="65"/>
  <c r="X82" i="65"/>
  <c r="R82" i="65"/>
  <c r="V83" i="65"/>
  <c r="X83" i="65"/>
  <c r="S76" i="65"/>
  <c r="AE105" i="65"/>
  <c r="AQ105" i="65" s="1"/>
  <c r="V84" i="65"/>
  <c r="Y113" i="65"/>
  <c r="Z130" i="65"/>
  <c r="S130" i="65"/>
  <c r="AC105" i="65"/>
  <c r="AO105" i="65" s="1"/>
  <c r="AQ120" i="65"/>
  <c r="AO120" i="65"/>
  <c r="P115" i="65"/>
  <c r="AB115" i="65" s="1"/>
  <c r="AQ119" i="65"/>
  <c r="P96" i="65"/>
  <c r="R96" i="65"/>
  <c r="AD96" i="65" s="1"/>
  <c r="W96" i="65"/>
  <c r="AC96" i="65" s="1"/>
  <c r="AO96" i="65" s="1"/>
  <c r="AK96" i="65"/>
  <c r="P98" i="65"/>
  <c r="AI98" i="65"/>
  <c r="T98" i="65"/>
  <c r="AF98" i="65" s="1"/>
  <c r="AR98" i="65" s="1"/>
  <c r="W98" i="65"/>
  <c r="AC98" i="65" s="1"/>
  <c r="Y98" i="65"/>
  <c r="W78" i="65"/>
  <c r="Q78" i="65"/>
  <c r="V111" i="65"/>
  <c r="AB111" i="65" s="1"/>
  <c r="X111" i="65"/>
  <c r="V110" i="65"/>
  <c r="Y114" i="65"/>
  <c r="Y117" i="65"/>
  <c r="T124" i="65"/>
  <c r="R52" i="65"/>
  <c r="AD52" i="65" s="1"/>
  <c r="AP52" i="65" s="1"/>
  <c r="AK52" i="65"/>
  <c r="R138" i="65"/>
  <c r="AD138" i="65" s="1"/>
  <c r="W138" i="65"/>
  <c r="AF54" i="65"/>
  <c r="AR54" i="65" s="1"/>
  <c r="W64" i="65"/>
  <c r="AF52" i="65"/>
  <c r="AR52" i="65" s="1"/>
  <c r="AB62" i="65"/>
  <c r="AH62" i="65" s="1"/>
  <c r="AC56" i="65"/>
  <c r="X78" i="65"/>
  <c r="R78" i="65"/>
  <c r="AQ102" i="65"/>
  <c r="V107" i="65"/>
  <c r="AB107" i="65" s="1"/>
  <c r="AC99" i="65"/>
  <c r="AO99" i="65" s="1"/>
  <c r="X117" i="65"/>
  <c r="R111" i="65"/>
  <c r="W114" i="65"/>
  <c r="Y118" i="65"/>
  <c r="Z124" i="65"/>
  <c r="AE148" i="65"/>
  <c r="AQ148" i="65" s="1"/>
  <c r="Q130" i="65"/>
  <c r="AC130" i="65" s="1"/>
  <c r="T126" i="65"/>
  <c r="AF126" i="65" s="1"/>
  <c r="AF99" i="65"/>
  <c r="AR99" i="65" s="1"/>
  <c r="P66" i="65"/>
  <c r="V78" i="65"/>
  <c r="S64" i="65"/>
  <c r="Z66" i="65"/>
  <c r="AE54" i="65"/>
  <c r="AQ54" i="65" s="1"/>
  <c r="V58" i="65"/>
  <c r="AB58" i="65" s="1"/>
  <c r="AN58" i="65" s="1"/>
  <c r="X64" i="65"/>
  <c r="AE56" i="65"/>
  <c r="AQ56" i="65" s="1"/>
  <c r="V76" i="65"/>
  <c r="R62" i="65"/>
  <c r="V60" i="65"/>
  <c r="AB60" i="65" s="1"/>
  <c r="AH60" i="65" s="1"/>
  <c r="X70" i="65"/>
  <c r="AD70" i="65" s="1"/>
  <c r="Q76" i="65"/>
  <c r="AC76" i="65" s="1"/>
  <c r="V82" i="65"/>
  <c r="Q65" i="65"/>
  <c r="P78" i="65"/>
  <c r="S78" i="65"/>
  <c r="Z78" i="65"/>
  <c r="AF78" i="65" s="1"/>
  <c r="AO88" i="65"/>
  <c r="R76" i="65"/>
  <c r="AR92" i="65"/>
  <c r="AE92" i="65"/>
  <c r="AQ92" i="65" s="1"/>
  <c r="AD92" i="65"/>
  <c r="AP92" i="65" s="1"/>
  <c r="AE98" i="65"/>
  <c r="AQ98" i="65" s="1"/>
  <c r="AB98" i="65"/>
  <c r="AN98" i="65" s="1"/>
  <c r="AN105" i="65"/>
  <c r="V117" i="65"/>
  <c r="AB117" i="65" s="1"/>
  <c r="AH117" i="65" s="1"/>
  <c r="AN117" i="65" s="1"/>
  <c r="AE90" i="65"/>
  <c r="AQ90" i="65" s="1"/>
  <c r="W110" i="65"/>
  <c r="AC110" i="65" s="1"/>
  <c r="X115" i="65"/>
  <c r="AD115" i="65" s="1"/>
  <c r="P109" i="65"/>
  <c r="X110" i="65"/>
  <c r="W118" i="65"/>
  <c r="X124" i="65"/>
  <c r="V132" i="65"/>
  <c r="AB148" i="65"/>
  <c r="AN148" i="65" s="1"/>
  <c r="W126" i="65"/>
  <c r="Y130" i="65"/>
  <c r="X130" i="65"/>
  <c r="V126" i="65"/>
  <c r="W124" i="65"/>
  <c r="AC128" i="65"/>
  <c r="AO128" i="65" s="1"/>
  <c r="AB128" i="65"/>
  <c r="AN128" i="65" s="1"/>
  <c r="R140" i="65"/>
  <c r="AD140" i="65" s="1"/>
  <c r="Z58" i="65"/>
  <c r="AJ58" i="65"/>
  <c r="Q58" i="65"/>
  <c r="W58" i="65"/>
  <c r="T77" i="65"/>
  <c r="AF77" i="65" s="1"/>
  <c r="Q77" i="65"/>
  <c r="AC77" i="65" s="1"/>
  <c r="AK136" i="65"/>
  <c r="R136" i="65"/>
  <c r="AD136" i="65" s="1"/>
  <c r="AP136" i="65" s="1"/>
  <c r="AP134" i="65"/>
  <c r="AF136" i="65"/>
  <c r="AR136" i="65" s="1"/>
  <c r="AE128" i="65"/>
  <c r="AQ128" i="65" s="1"/>
  <c r="AQ121" i="65"/>
  <c r="AD119" i="65"/>
  <c r="AP119" i="65" s="1"/>
  <c r="AF121" i="65"/>
  <c r="AR121" i="65" s="1"/>
  <c r="AO121" i="65"/>
  <c r="AD122" i="65"/>
  <c r="AP122" i="65" s="1"/>
  <c r="AD105" i="65"/>
  <c r="AP105" i="65" s="1"/>
  <c r="AF102" i="65"/>
  <c r="AR102" i="65" s="1"/>
  <c r="AD90" i="65"/>
  <c r="AP90" i="65" s="1"/>
  <c r="AC103" i="65"/>
  <c r="AD88" i="65"/>
  <c r="AP88" i="65" s="1"/>
  <c r="AO92" i="65"/>
  <c r="AR97" i="65"/>
  <c r="AP97" i="65"/>
  <c r="AB88" i="65"/>
  <c r="AN88" i="65" s="1"/>
  <c r="AN95" i="65"/>
  <c r="AC90" i="65"/>
  <c r="AO90" i="65" s="1"/>
  <c r="AB90" i="65"/>
  <c r="AN90" i="65" s="1"/>
  <c r="AF56" i="65"/>
  <c r="AR56" i="65" s="1"/>
  <c r="AP148" i="65"/>
  <c r="Q57" i="65"/>
  <c r="V57" i="65"/>
  <c r="Z57" i="65"/>
  <c r="AJ57" i="65"/>
  <c r="R57" i="65"/>
  <c r="W57" i="65"/>
  <c r="AK57" i="65"/>
  <c r="N57" i="65"/>
  <c r="S57" i="65"/>
  <c r="X57" i="65"/>
  <c r="AH57" i="65"/>
  <c r="AL57" i="65"/>
  <c r="P57" i="65"/>
  <c r="AI57" i="65"/>
  <c r="T57" i="65"/>
  <c r="AF57" i="65" s="1"/>
  <c r="Y57" i="65"/>
  <c r="V75" i="65"/>
  <c r="T80" i="65"/>
  <c r="AF90" i="65"/>
  <c r="AR90" i="65" s="1"/>
  <c r="S116" i="65"/>
  <c r="Q116" i="65"/>
  <c r="Z116" i="65"/>
  <c r="Q139" i="65"/>
  <c r="V139" i="65"/>
  <c r="Z139" i="65"/>
  <c r="AJ139" i="65"/>
  <c r="R139" i="65"/>
  <c r="W139" i="65"/>
  <c r="AK139" i="65"/>
  <c r="N139" i="65"/>
  <c r="S139" i="65"/>
  <c r="X139" i="65"/>
  <c r="AH139" i="65"/>
  <c r="AL139" i="65"/>
  <c r="Y139" i="65"/>
  <c r="T139" i="65"/>
  <c r="P139" i="65"/>
  <c r="AI139" i="65"/>
  <c r="AP144" i="65"/>
  <c r="AO54" i="65"/>
  <c r="AB54" i="65"/>
  <c r="AN54" i="65" s="1"/>
  <c r="R60" i="65"/>
  <c r="Y64" i="65"/>
  <c r="Q64" i="65"/>
  <c r="Z64" i="65"/>
  <c r="T64" i="65"/>
  <c r="V64" i="65"/>
  <c r="AB64" i="65" s="1"/>
  <c r="Z61" i="65"/>
  <c r="AK61" i="65"/>
  <c r="T61" i="65"/>
  <c r="N61" i="65"/>
  <c r="V61" i="65" s="1"/>
  <c r="AL61" i="65"/>
  <c r="S66" i="65"/>
  <c r="Y66" i="65"/>
  <c r="W66" i="65"/>
  <c r="AD56" i="65"/>
  <c r="AP56" i="65" s="1"/>
  <c r="AO56" i="65"/>
  <c r="AB56" i="65"/>
  <c r="AN56" i="65" s="1"/>
  <c r="X67" i="65"/>
  <c r="Q67" i="65"/>
  <c r="V71" i="65"/>
  <c r="W71" i="65"/>
  <c r="Q71" i="65"/>
  <c r="Z71" i="65"/>
  <c r="AF71" i="65" s="1"/>
  <c r="S71" i="65"/>
  <c r="P71" i="65"/>
  <c r="T75" i="65"/>
  <c r="N68" i="65"/>
  <c r="S68" i="65" s="1"/>
  <c r="Y70" i="65"/>
  <c r="S70" i="65"/>
  <c r="V70" i="65"/>
  <c r="W65" i="65"/>
  <c r="P80" i="65"/>
  <c r="AE94" i="65"/>
  <c r="AQ94" i="65" s="1"/>
  <c r="X65" i="65"/>
  <c r="T65" i="65"/>
  <c r="AB73" i="65"/>
  <c r="Z80" i="65"/>
  <c r="Z81" i="65"/>
  <c r="S75" i="65"/>
  <c r="AF79" i="65"/>
  <c r="P85" i="65"/>
  <c r="T85" i="65"/>
  <c r="Y85" i="65"/>
  <c r="AI85" i="65"/>
  <c r="Q85" i="65"/>
  <c r="V85" i="65"/>
  <c r="Z85" i="65"/>
  <c r="AJ85" i="65"/>
  <c r="S85" i="65"/>
  <c r="AL85" i="65"/>
  <c r="W85" i="65"/>
  <c r="N85" i="65"/>
  <c r="X85" i="65"/>
  <c r="AH85" i="65"/>
  <c r="AK85" i="65"/>
  <c r="R85" i="65"/>
  <c r="P93" i="65"/>
  <c r="T93" i="65"/>
  <c r="Y93" i="65"/>
  <c r="AI93" i="65"/>
  <c r="Q93" i="65"/>
  <c r="V93" i="65"/>
  <c r="Z93" i="65"/>
  <c r="S93" i="65"/>
  <c r="AJ93" i="65"/>
  <c r="W93" i="65"/>
  <c r="AK93" i="65"/>
  <c r="N93" i="65"/>
  <c r="X93" i="65"/>
  <c r="AL93" i="65"/>
  <c r="AH93" i="65"/>
  <c r="R93" i="65"/>
  <c r="AD101" i="65"/>
  <c r="AP101" i="65" s="1"/>
  <c r="X76" i="65"/>
  <c r="Z76" i="65"/>
  <c r="AR86" i="65"/>
  <c r="AE86" i="65"/>
  <c r="AQ86" i="65" s="1"/>
  <c r="AD86" i="65"/>
  <c r="AP86" i="65" s="1"/>
  <c r="AF95" i="65"/>
  <c r="AR95" i="65" s="1"/>
  <c r="T84" i="65"/>
  <c r="S84" i="65"/>
  <c r="AE84" i="65" s="1"/>
  <c r="AB103" i="65"/>
  <c r="AN103" i="65" s="1"/>
  <c r="AR109" i="65"/>
  <c r="AF122" i="65"/>
  <c r="AR122" i="65" s="1"/>
  <c r="AC102" i="65"/>
  <c r="AO102" i="65" s="1"/>
  <c r="AP95" i="65"/>
  <c r="AD99" i="65"/>
  <c r="AP99" i="65" s="1"/>
  <c r="W109" i="65"/>
  <c r="AC109" i="65" s="1"/>
  <c r="S111" i="65"/>
  <c r="Q111" i="65"/>
  <c r="Z111" i="65"/>
  <c r="X112" i="65"/>
  <c r="Q115" i="65"/>
  <c r="Z115" i="65"/>
  <c r="S115" i="65"/>
  <c r="X116" i="65"/>
  <c r="Q125" i="65"/>
  <c r="V125" i="65"/>
  <c r="Z125" i="65"/>
  <c r="AJ125" i="65"/>
  <c r="AL125" i="65"/>
  <c r="R125" i="65"/>
  <c r="W125" i="65"/>
  <c r="AK125" i="65"/>
  <c r="N125" i="65"/>
  <c r="S125" i="65"/>
  <c r="X125" i="65"/>
  <c r="AH125" i="65"/>
  <c r="P125" i="65"/>
  <c r="AI125" i="65"/>
  <c r="Y125" i="65"/>
  <c r="T125" i="65"/>
  <c r="Q133" i="65"/>
  <c r="V133" i="65"/>
  <c r="Z133" i="65"/>
  <c r="AJ133" i="65"/>
  <c r="R133" i="65"/>
  <c r="W133" i="65"/>
  <c r="AK133" i="65"/>
  <c r="N133" i="65"/>
  <c r="S133" i="65"/>
  <c r="X133" i="65"/>
  <c r="AH133" i="65"/>
  <c r="AL133" i="65"/>
  <c r="Y133" i="65"/>
  <c r="P133" i="65"/>
  <c r="AB133" i="65" s="1"/>
  <c r="AI133" i="65"/>
  <c r="T133" i="65"/>
  <c r="N141" i="65"/>
  <c r="Q141" i="65" s="1"/>
  <c r="AO119" i="65"/>
  <c r="P87" i="65"/>
  <c r="T87" i="65"/>
  <c r="Y87" i="65"/>
  <c r="AI87" i="65"/>
  <c r="Q87" i="65"/>
  <c r="V87" i="65"/>
  <c r="Z87" i="65"/>
  <c r="AJ87" i="65"/>
  <c r="S87" i="65"/>
  <c r="AL87" i="65"/>
  <c r="W87" i="65"/>
  <c r="N87" i="65"/>
  <c r="X87" i="65"/>
  <c r="AH87" i="65"/>
  <c r="R87" i="65"/>
  <c r="AK87" i="65"/>
  <c r="T110" i="65"/>
  <c r="W113" i="65"/>
  <c r="T113" i="65"/>
  <c r="T114" i="65"/>
  <c r="W117" i="65"/>
  <c r="T117" i="65"/>
  <c r="T118" i="65"/>
  <c r="AD121" i="65"/>
  <c r="AP121" i="65" s="1"/>
  <c r="AB121" i="65"/>
  <c r="AN121" i="65" s="1"/>
  <c r="Y124" i="65"/>
  <c r="Q124" i="65"/>
  <c r="S124" i="65"/>
  <c r="Q132" i="65"/>
  <c r="AC132" i="65" s="1"/>
  <c r="P132" i="65"/>
  <c r="S132" i="65"/>
  <c r="P140" i="65"/>
  <c r="Q140" i="65"/>
  <c r="S140" i="65"/>
  <c r="AE140" i="65" s="1"/>
  <c r="AQ140" i="65" s="1"/>
  <c r="AF134" i="65"/>
  <c r="AR134" i="65" s="1"/>
  <c r="P126" i="65"/>
  <c r="Q126" i="65"/>
  <c r="S126" i="65"/>
  <c r="AF144" i="65"/>
  <c r="AR144" i="65" s="1"/>
  <c r="R124" i="65"/>
  <c r="P67" i="65"/>
  <c r="Q75" i="65"/>
  <c r="Y65" i="65"/>
  <c r="AE65" i="65" s="1"/>
  <c r="R81" i="65"/>
  <c r="W81" i="65"/>
  <c r="N123" i="65"/>
  <c r="Q123" i="65" s="1"/>
  <c r="Q147" i="65"/>
  <c r="V147" i="65"/>
  <c r="Z147" i="65"/>
  <c r="N147" i="65"/>
  <c r="S147" i="65"/>
  <c r="X147" i="65"/>
  <c r="AH147" i="65"/>
  <c r="AI147" i="65" s="1"/>
  <c r="AJ147" i="65" s="1"/>
  <c r="AK147" i="65" s="1"/>
  <c r="AL147" i="65" s="1"/>
  <c r="R147" i="65"/>
  <c r="W147" i="65"/>
  <c r="Y147" i="65"/>
  <c r="P147" i="65"/>
  <c r="T147" i="65"/>
  <c r="Q100" i="65"/>
  <c r="V100" i="65"/>
  <c r="Z100" i="65"/>
  <c r="AJ100" i="65"/>
  <c r="R100" i="65"/>
  <c r="X100" i="65"/>
  <c r="AK100" i="65"/>
  <c r="S100" i="65"/>
  <c r="Y100" i="65"/>
  <c r="AL100" i="65"/>
  <c r="N100" i="65"/>
  <c r="T100" i="65"/>
  <c r="AH100" i="65"/>
  <c r="P100" i="65"/>
  <c r="AB100" i="65" s="1"/>
  <c r="W100" i="65"/>
  <c r="AI100" i="65"/>
  <c r="P112" i="65"/>
  <c r="P116" i="65"/>
  <c r="AB119" i="65"/>
  <c r="AN119" i="65" s="1"/>
  <c r="Q53" i="65"/>
  <c r="V53" i="65"/>
  <c r="Z53" i="65"/>
  <c r="AJ53" i="65"/>
  <c r="R53" i="65"/>
  <c r="W53" i="65"/>
  <c r="AK53" i="65"/>
  <c r="N53" i="65"/>
  <c r="S53" i="65"/>
  <c r="X53" i="65"/>
  <c r="AH53" i="65"/>
  <c r="AL53" i="65"/>
  <c r="T53" i="65"/>
  <c r="Y53" i="65"/>
  <c r="AI53" i="65"/>
  <c r="P53" i="65"/>
  <c r="AN62" i="65"/>
  <c r="R67" i="65"/>
  <c r="Y67" i="65"/>
  <c r="W80" i="65"/>
  <c r="T81" i="65"/>
  <c r="AF81" i="65" s="1"/>
  <c r="N74" i="65"/>
  <c r="Y74" i="65" s="1"/>
  <c r="AP94" i="65"/>
  <c r="P91" i="65"/>
  <c r="T91" i="65"/>
  <c r="Y91" i="65"/>
  <c r="AI91" i="65"/>
  <c r="Q91" i="65"/>
  <c r="V91" i="65"/>
  <c r="Z91" i="65"/>
  <c r="AJ91" i="65"/>
  <c r="S91" i="65"/>
  <c r="AL91" i="65"/>
  <c r="W91" i="65"/>
  <c r="N91" i="65"/>
  <c r="X91" i="65"/>
  <c r="AH91" i="65"/>
  <c r="AK91" i="65"/>
  <c r="R91" i="65"/>
  <c r="AE95" i="65"/>
  <c r="AQ95" i="65" s="1"/>
  <c r="S67" i="65"/>
  <c r="Q84" i="65"/>
  <c r="Z84" i="65"/>
  <c r="P89" i="65"/>
  <c r="T89" i="65"/>
  <c r="Y89" i="65"/>
  <c r="AI89" i="65"/>
  <c r="Q89" i="65"/>
  <c r="V89" i="65"/>
  <c r="Z89" i="65"/>
  <c r="AJ89" i="65"/>
  <c r="S89" i="65"/>
  <c r="AL89" i="65"/>
  <c r="W89" i="65"/>
  <c r="N89" i="65"/>
  <c r="X89" i="65"/>
  <c r="AH89" i="65"/>
  <c r="R89" i="65"/>
  <c r="AK89" i="65"/>
  <c r="AE107" i="65"/>
  <c r="AQ107" i="65" s="1"/>
  <c r="V112" i="65"/>
  <c r="V116" i="65"/>
  <c r="AB122" i="65"/>
  <c r="AN122" i="65" s="1"/>
  <c r="AB102" i="65"/>
  <c r="AN102" i="65" s="1"/>
  <c r="Q104" i="65"/>
  <c r="V104" i="65"/>
  <c r="Z104" i="65"/>
  <c r="AJ104" i="65"/>
  <c r="R104" i="65"/>
  <c r="X104" i="65"/>
  <c r="AK104" i="65"/>
  <c r="S104" i="65"/>
  <c r="Y104" i="65"/>
  <c r="AL104" i="65"/>
  <c r="N104" i="65"/>
  <c r="T104" i="65"/>
  <c r="AH104" i="65"/>
  <c r="W104" i="65"/>
  <c r="P104" i="65"/>
  <c r="AI104" i="65"/>
  <c r="Q114" i="65"/>
  <c r="Z114" i="65"/>
  <c r="S114" i="65"/>
  <c r="AE114" i="65" s="1"/>
  <c r="Q118" i="65"/>
  <c r="AC118" i="65" s="1"/>
  <c r="Z118" i="65"/>
  <c r="S118" i="65"/>
  <c r="N127" i="65"/>
  <c r="V127" i="65" s="1"/>
  <c r="Q135" i="65"/>
  <c r="V135" i="65"/>
  <c r="Z135" i="65"/>
  <c r="AJ135" i="65"/>
  <c r="R135" i="65"/>
  <c r="W135" i="65"/>
  <c r="AK135" i="65"/>
  <c r="N135" i="65"/>
  <c r="S135" i="65"/>
  <c r="X135" i="65"/>
  <c r="AH135" i="65"/>
  <c r="AL135" i="65"/>
  <c r="P135" i="65"/>
  <c r="AI135" i="65"/>
  <c r="T135" i="65"/>
  <c r="Y135" i="65"/>
  <c r="Q143" i="65"/>
  <c r="V143" i="65"/>
  <c r="Z143" i="65"/>
  <c r="N143" i="65"/>
  <c r="S143" i="65"/>
  <c r="X143" i="65"/>
  <c r="AH143" i="65"/>
  <c r="AI143" i="65" s="1"/>
  <c r="AJ143" i="65" s="1"/>
  <c r="AK143" i="65" s="1"/>
  <c r="AL143" i="65" s="1"/>
  <c r="R143" i="65"/>
  <c r="W143" i="65"/>
  <c r="P143" i="65"/>
  <c r="AB143" i="65" s="1"/>
  <c r="T143" i="65"/>
  <c r="AF143" i="65" s="1"/>
  <c r="Y143" i="65"/>
  <c r="AR120" i="65"/>
  <c r="AD120" i="65"/>
  <c r="AP120" i="65" s="1"/>
  <c r="Y109" i="65"/>
  <c r="X109" i="65"/>
  <c r="Y110" i="65"/>
  <c r="AE110" i="65" s="1"/>
  <c r="P110" i="65"/>
  <c r="Y111" i="65"/>
  <c r="Y112" i="65"/>
  <c r="R113" i="65"/>
  <c r="P114" i="65"/>
  <c r="Y115" i="65"/>
  <c r="Y116" i="65"/>
  <c r="W116" i="65"/>
  <c r="R117" i="65"/>
  <c r="P118" i="65"/>
  <c r="AB118" i="65" s="1"/>
  <c r="Y78" i="65"/>
  <c r="AF124" i="65"/>
  <c r="AN134" i="65"/>
  <c r="AE134" i="65"/>
  <c r="AQ134" i="65" s="1"/>
  <c r="W140" i="65"/>
  <c r="AB144" i="65"/>
  <c r="AN144" i="65" s="1"/>
  <c r="AE144" i="65"/>
  <c r="AQ144" i="65" s="1"/>
  <c r="R130" i="65"/>
  <c r="R132" i="65"/>
  <c r="Y75" i="65"/>
  <c r="P75" i="65"/>
  <c r="Z108" i="65"/>
  <c r="AJ108" i="65"/>
  <c r="AK108" i="65"/>
  <c r="N108" i="65"/>
  <c r="V108" i="65" s="1"/>
  <c r="T108" i="65"/>
  <c r="Y108" i="65"/>
  <c r="AL108" i="65"/>
  <c r="P108" i="65"/>
  <c r="S108" i="65"/>
  <c r="S112" i="65"/>
  <c r="Q112" i="65"/>
  <c r="AC112" i="65" s="1"/>
  <c r="Z112" i="65"/>
  <c r="N131" i="65"/>
  <c r="Z131" i="65" s="1"/>
  <c r="AO148" i="65"/>
  <c r="W60" i="65"/>
  <c r="Q60" i="65"/>
  <c r="Z75" i="65"/>
  <c r="W75" i="65"/>
  <c r="Z65" i="65"/>
  <c r="R65" i="65"/>
  <c r="P65" i="65"/>
  <c r="X80" i="65"/>
  <c r="V80" i="65"/>
  <c r="V81" i="65"/>
  <c r="X81" i="65"/>
  <c r="Q55" i="65"/>
  <c r="V55" i="65"/>
  <c r="Z55" i="65"/>
  <c r="AJ55" i="65"/>
  <c r="R55" i="65"/>
  <c r="W55" i="65"/>
  <c r="AK55" i="65"/>
  <c r="N55" i="65"/>
  <c r="S55" i="65"/>
  <c r="X55" i="65"/>
  <c r="AH55" i="65"/>
  <c r="AL55" i="65"/>
  <c r="P55" i="65"/>
  <c r="AI55" i="65"/>
  <c r="T55" i="65"/>
  <c r="AF55" i="65" s="1"/>
  <c r="Y55" i="65"/>
  <c r="AE52" i="65"/>
  <c r="W62" i="65"/>
  <c r="Q62" i="65"/>
  <c r="Z62" i="65"/>
  <c r="Z59" i="65"/>
  <c r="AJ59" i="65"/>
  <c r="R59" i="65"/>
  <c r="AK59" i="65"/>
  <c r="T59" i="65"/>
  <c r="N59" i="65"/>
  <c r="P59" i="65" s="1"/>
  <c r="X59" i="65"/>
  <c r="Y59" i="65"/>
  <c r="AI59" i="65"/>
  <c r="AL59" i="65"/>
  <c r="S59" i="65"/>
  <c r="N63" i="65"/>
  <c r="Z63" i="65" s="1"/>
  <c r="X66" i="65"/>
  <c r="AD66" i="65" s="1"/>
  <c r="AD73" i="65"/>
  <c r="P76" i="65"/>
  <c r="V66" i="65"/>
  <c r="T66" i="65"/>
  <c r="V67" i="65"/>
  <c r="T67" i="65"/>
  <c r="AF67" i="65" s="1"/>
  <c r="X71" i="65"/>
  <c r="Y71" i="65"/>
  <c r="Z70" i="65"/>
  <c r="W70" i="65"/>
  <c r="R75" i="65"/>
  <c r="AD75" i="65" s="1"/>
  <c r="N72" i="65"/>
  <c r="T72" i="65" s="1"/>
  <c r="AB77" i="65"/>
  <c r="Y82" i="65"/>
  <c r="P82" i="65"/>
  <c r="R83" i="65"/>
  <c r="AD83" i="65" s="1"/>
  <c r="W83" i="65"/>
  <c r="AC83" i="65" s="1"/>
  <c r="V65" i="65"/>
  <c r="Q66" i="65"/>
  <c r="S80" i="65"/>
  <c r="AE80" i="65" s="1"/>
  <c r="R80" i="65"/>
  <c r="Q80" i="65"/>
  <c r="Q81" i="65"/>
  <c r="P81" i="65"/>
  <c r="S81" i="65"/>
  <c r="AE81" i="65" s="1"/>
  <c r="AD79" i="65"/>
  <c r="AN94" i="65"/>
  <c r="AC86" i="65"/>
  <c r="AO86" i="65" s="1"/>
  <c r="AD98" i="65"/>
  <c r="AP98" i="65" s="1"/>
  <c r="AB86" i="65"/>
  <c r="AN86" i="65" s="1"/>
  <c r="AC95" i="65"/>
  <c r="AO95" i="65" s="1"/>
  <c r="AE101" i="65"/>
  <c r="AQ101" i="65" s="1"/>
  <c r="P84" i="65"/>
  <c r="AB84" i="65" s="1"/>
  <c r="AD107" i="65"/>
  <c r="AP107" i="65" s="1"/>
  <c r="W107" i="65"/>
  <c r="Q107" i="65"/>
  <c r="AD102" i="65"/>
  <c r="AP102" i="65" s="1"/>
  <c r="AB99" i="65"/>
  <c r="AN99" i="65" s="1"/>
  <c r="AE99" i="65"/>
  <c r="AQ99" i="65" s="1"/>
  <c r="Q113" i="65"/>
  <c r="AC113" i="65" s="1"/>
  <c r="Z113" i="65"/>
  <c r="S113" i="65"/>
  <c r="AE113" i="65" s="1"/>
  <c r="X114" i="65"/>
  <c r="AD114" i="65" s="1"/>
  <c r="S117" i="65"/>
  <c r="AE117" i="65" s="1"/>
  <c r="Q117" i="65"/>
  <c r="Z117" i="65"/>
  <c r="X118" i="65"/>
  <c r="AD118" i="65" s="1"/>
  <c r="N129" i="65"/>
  <c r="Q129" i="65" s="1"/>
  <c r="Q137" i="65"/>
  <c r="V137" i="65"/>
  <c r="Z137" i="65"/>
  <c r="AJ137" i="65"/>
  <c r="R137" i="65"/>
  <c r="W137" i="65"/>
  <c r="AK137" i="65"/>
  <c r="N137" i="65"/>
  <c r="S137" i="65"/>
  <c r="X137" i="65"/>
  <c r="AH137" i="65"/>
  <c r="AL137" i="65"/>
  <c r="T137" i="65"/>
  <c r="Y137" i="65"/>
  <c r="P137" i="65"/>
  <c r="AI137" i="65"/>
  <c r="Q145" i="65"/>
  <c r="V145" i="65"/>
  <c r="Z145" i="65"/>
  <c r="R145" i="65"/>
  <c r="W145" i="65"/>
  <c r="N145" i="65"/>
  <c r="S145" i="65"/>
  <c r="X145" i="65"/>
  <c r="AH145" i="65"/>
  <c r="AI145" i="65" s="1"/>
  <c r="AJ145" i="65" s="1"/>
  <c r="AK145" i="65" s="1"/>
  <c r="AL145" i="65" s="1"/>
  <c r="T145" i="65"/>
  <c r="Y145" i="65"/>
  <c r="P145" i="65"/>
  <c r="AB120" i="65"/>
  <c r="AN120" i="65" s="1"/>
  <c r="AC122" i="65"/>
  <c r="AO122" i="65" s="1"/>
  <c r="AF106" i="65"/>
  <c r="AR106" i="65" s="1"/>
  <c r="V106" i="65"/>
  <c r="AB106" i="65" s="1"/>
  <c r="AN106" i="65" s="1"/>
  <c r="V109" i="65"/>
  <c r="R109" i="65"/>
  <c r="S109" i="65"/>
  <c r="R110" i="65"/>
  <c r="Z110" i="65"/>
  <c r="W111" i="65"/>
  <c r="T111" i="65"/>
  <c r="T112" i="65"/>
  <c r="R112" i="65"/>
  <c r="W115" i="65"/>
  <c r="T115" i="65"/>
  <c r="T116" i="65"/>
  <c r="AF116" i="65" s="1"/>
  <c r="R116" i="65"/>
  <c r="AF119" i="65"/>
  <c r="AR119" i="65" s="1"/>
  <c r="V124" i="65"/>
  <c r="AB124" i="65" s="1"/>
  <c r="Z132" i="65"/>
  <c r="AF132" i="65" s="1"/>
  <c r="Y132" i="65"/>
  <c r="AD142" i="65"/>
  <c r="AP142" i="65" s="1"/>
  <c r="AF148" i="65"/>
  <c r="AR148" i="65" s="1"/>
  <c r="AB142" i="65"/>
  <c r="AN142" i="65" s="1"/>
  <c r="AO142" i="65"/>
  <c r="AE142" i="65"/>
  <c r="AQ142" i="65" s="1"/>
  <c r="Y126" i="65"/>
  <c r="AF128" i="65"/>
  <c r="AR128" i="65" s="1"/>
  <c r="AC136" i="65"/>
  <c r="AO136" i="65" s="1"/>
  <c r="AB136" i="65"/>
  <c r="AN136" i="65" s="1"/>
  <c r="AE136" i="65"/>
  <c r="AR146" i="65" l="1"/>
  <c r="AB146" i="65"/>
  <c r="AN146" i="65" s="1"/>
  <c r="AP146" i="65"/>
  <c r="AO146" i="65"/>
  <c r="AE146" i="65"/>
  <c r="AQ146" i="65" s="1"/>
  <c r="AH130" i="65"/>
  <c r="AN130" i="65"/>
  <c r="AR101" i="65"/>
  <c r="AD109" i="65"/>
  <c r="AF62" i="65"/>
  <c r="AR62" i="65" s="1"/>
  <c r="AF76" i="65"/>
  <c r="AC138" i="65"/>
  <c r="AO138" i="65" s="1"/>
  <c r="AP96" i="65"/>
  <c r="AF130" i="65"/>
  <c r="AB109" i="65"/>
  <c r="AH109" i="65" s="1"/>
  <c r="AI109" i="65" s="1"/>
  <c r="AJ109" i="65" s="1"/>
  <c r="AP109" i="65" s="1"/>
  <c r="AB76" i="65"/>
  <c r="AD117" i="65"/>
  <c r="AD67" i="65"/>
  <c r="AB140" i="65"/>
  <c r="AH140" i="65" s="1"/>
  <c r="AC65" i="65"/>
  <c r="AC67" i="65"/>
  <c r="AB78" i="65"/>
  <c r="AD132" i="65"/>
  <c r="AP138" i="65"/>
  <c r="AD130" i="65"/>
  <c r="AQ136" i="65"/>
  <c r="AB132" i="65"/>
  <c r="AB138" i="65"/>
  <c r="AN138" i="65" s="1"/>
  <c r="AQ52" i="65"/>
  <c r="AD113" i="65"/>
  <c r="AE67" i="65"/>
  <c r="AB66" i="65"/>
  <c r="AC64" i="65"/>
  <c r="AC82" i="65"/>
  <c r="AE83" i="65"/>
  <c r="AC80" i="65"/>
  <c r="AB147" i="65"/>
  <c r="AN147" i="65" s="1"/>
  <c r="AE58" i="65"/>
  <c r="AQ58" i="65" s="1"/>
  <c r="AE130" i="65"/>
  <c r="AD82" i="65"/>
  <c r="AF83" i="65"/>
  <c r="AR57" i="65"/>
  <c r="AP103" i="65"/>
  <c r="AE82" i="65"/>
  <c r="V63" i="65"/>
  <c r="AJ69" i="65"/>
  <c r="AR138" i="65"/>
  <c r="AF112" i="65"/>
  <c r="AF70" i="65"/>
  <c r="AE55" i="65"/>
  <c r="AQ55" i="65" s="1"/>
  <c r="AE112" i="65"/>
  <c r="AE118" i="65"/>
  <c r="AD124" i="65"/>
  <c r="AB70" i="65"/>
  <c r="AO103" i="65"/>
  <c r="AD62" i="65"/>
  <c r="AD111" i="65"/>
  <c r="AE69" i="65"/>
  <c r="AF66" i="65"/>
  <c r="AB114" i="65"/>
  <c r="AH114" i="65" s="1"/>
  <c r="AC84" i="65"/>
  <c r="AE57" i="65"/>
  <c r="AQ57" i="65" s="1"/>
  <c r="AB79" i="65"/>
  <c r="AH79" i="65" s="1"/>
  <c r="AB81" i="65"/>
  <c r="AD143" i="65"/>
  <c r="AP143" i="65" s="1"/>
  <c r="AC124" i="65"/>
  <c r="AE85" i="65"/>
  <c r="AQ85" i="65" s="1"/>
  <c r="AE78" i="65"/>
  <c r="AE64" i="65"/>
  <c r="AD116" i="65"/>
  <c r="AD112" i="65"/>
  <c r="AC66" i="65"/>
  <c r="AB82" i="65"/>
  <c r="AD71" i="65"/>
  <c r="AC78" i="65"/>
  <c r="AE79" i="65"/>
  <c r="AE76" i="65"/>
  <c r="Y63" i="65"/>
  <c r="AK69" i="65"/>
  <c r="AL69" i="65" s="1"/>
  <c r="AR69" i="65" s="1"/>
  <c r="AB104" i="65"/>
  <c r="Z141" i="65"/>
  <c r="AD60" i="65"/>
  <c r="AP60" i="65" s="1"/>
  <c r="AC58" i="65"/>
  <c r="AO58" i="65" s="1"/>
  <c r="AD110" i="65"/>
  <c r="AC70" i="65"/>
  <c r="AB75" i="65"/>
  <c r="AB126" i="65"/>
  <c r="P141" i="65"/>
  <c r="AB83" i="65"/>
  <c r="AD58" i="65"/>
  <c r="AP58" i="65" s="1"/>
  <c r="AF115" i="65"/>
  <c r="W63" i="65"/>
  <c r="AD65" i="65"/>
  <c r="AB110" i="65"/>
  <c r="AC114" i="65"/>
  <c r="AE53" i="65"/>
  <c r="AQ53" i="65" s="1"/>
  <c r="AD53" i="65"/>
  <c r="AC53" i="65"/>
  <c r="W141" i="65"/>
  <c r="AC141" i="65" s="1"/>
  <c r="AD76" i="65"/>
  <c r="AQ96" i="65"/>
  <c r="AF58" i="65"/>
  <c r="AR58" i="65" s="1"/>
  <c r="AD64" i="65"/>
  <c r="AC126" i="65"/>
  <c r="AE145" i="65"/>
  <c r="AQ145" i="65" s="1"/>
  <c r="AB137" i="65"/>
  <c r="AN137" i="65" s="1"/>
  <c r="AD89" i="65"/>
  <c r="AP89" i="65" s="1"/>
  <c r="AF53" i="65"/>
  <c r="AR53" i="65" s="1"/>
  <c r="AP53" i="65"/>
  <c r="AO53" i="65"/>
  <c r="AF100" i="65"/>
  <c r="AR100" i="65" s="1"/>
  <c r="AF147" i="65"/>
  <c r="AR147" i="65" s="1"/>
  <c r="T141" i="65"/>
  <c r="X141" i="65"/>
  <c r="Q108" i="65"/>
  <c r="AC85" i="65"/>
  <c r="AO85" i="65" s="1"/>
  <c r="AF61" i="65"/>
  <c r="AR61" i="65" s="1"/>
  <c r="AN113" i="65"/>
  <c r="AO98" i="65"/>
  <c r="AB145" i="65"/>
  <c r="AN145" i="65" s="1"/>
  <c r="X63" i="65"/>
  <c r="W59" i="65"/>
  <c r="V59" i="65"/>
  <c r="AB59" i="65" s="1"/>
  <c r="AH59" i="65" s="1"/>
  <c r="AN59" i="65" s="1"/>
  <c r="Y141" i="65"/>
  <c r="R141" i="65"/>
  <c r="V141" i="65"/>
  <c r="AH107" i="65"/>
  <c r="AN107" i="65" s="1"/>
  <c r="AE109" i="65"/>
  <c r="AQ109" i="65" s="1"/>
  <c r="AD145" i="65"/>
  <c r="AP145" i="65" s="1"/>
  <c r="Y129" i="65"/>
  <c r="S131" i="65"/>
  <c r="P127" i="65"/>
  <c r="AB127" i="65" s="1"/>
  <c r="AB139" i="65"/>
  <c r="AN139" i="65" s="1"/>
  <c r="AF80" i="65"/>
  <c r="AF135" i="65"/>
  <c r="AR135" i="65" s="1"/>
  <c r="AC140" i="65"/>
  <c r="AF110" i="65"/>
  <c r="AR110" i="65" s="1"/>
  <c r="AI130" i="65"/>
  <c r="AO130" i="65" s="1"/>
  <c r="AF145" i="65"/>
  <c r="P131" i="65"/>
  <c r="R131" i="65"/>
  <c r="R108" i="65"/>
  <c r="AN143" i="65"/>
  <c r="AB53" i="65"/>
  <c r="AN53" i="65" s="1"/>
  <c r="AE124" i="65"/>
  <c r="S141" i="65"/>
  <c r="AE66" i="65"/>
  <c r="AC145" i="65"/>
  <c r="AE137" i="65"/>
  <c r="AQ137" i="65" s="1"/>
  <c r="AD137" i="65"/>
  <c r="AP137" i="65" s="1"/>
  <c r="AC137" i="65"/>
  <c r="AO137" i="65" s="1"/>
  <c r="S72" i="65"/>
  <c r="AC60" i="65"/>
  <c r="AI60" i="65" s="1"/>
  <c r="AO60" i="65" s="1"/>
  <c r="Y131" i="65"/>
  <c r="V131" i="65"/>
  <c r="AE108" i="65"/>
  <c r="AQ108" i="65" s="1"/>
  <c r="AF108" i="65"/>
  <c r="AR108" i="65" s="1"/>
  <c r="AC143" i="65"/>
  <c r="AO143" i="65" s="1"/>
  <c r="AB91" i="65"/>
  <c r="AN91" i="65" s="1"/>
  <c r="AE115" i="65"/>
  <c r="AF93" i="65"/>
  <c r="AR93" i="65" s="1"/>
  <c r="AF85" i="65"/>
  <c r="AR85" i="65" s="1"/>
  <c r="AF65" i="65"/>
  <c r="AB80" i="65"/>
  <c r="AH80" i="65" s="1"/>
  <c r="AI80" i="65" s="1"/>
  <c r="AE71" i="65"/>
  <c r="AD78" i="65"/>
  <c r="AB135" i="65"/>
  <c r="AN135" i="65" s="1"/>
  <c r="AE135" i="65"/>
  <c r="AQ135" i="65" s="1"/>
  <c r="AD135" i="65"/>
  <c r="AP135" i="65" s="1"/>
  <c r="AC135" i="65"/>
  <c r="AO135" i="65" s="1"/>
  <c r="AE104" i="65"/>
  <c r="AQ104" i="65" s="1"/>
  <c r="AE100" i="65"/>
  <c r="AQ100" i="65" s="1"/>
  <c r="AF87" i="65"/>
  <c r="AR87" i="65" s="1"/>
  <c r="AD91" i="65"/>
  <c r="AP91" i="65" s="1"/>
  <c r="AD100" i="65"/>
  <c r="AP100" i="65" s="1"/>
  <c r="AN104" i="65"/>
  <c r="AE87" i="65"/>
  <c r="AQ87" i="65" s="1"/>
  <c r="AC87" i="65"/>
  <c r="AO87" i="65" s="1"/>
  <c r="AR55" i="65"/>
  <c r="AH64" i="65"/>
  <c r="AI64" i="65" s="1"/>
  <c r="W68" i="65"/>
  <c r="R61" i="65"/>
  <c r="Q61" i="65"/>
  <c r="AC116" i="65"/>
  <c r="AF111" i="65"/>
  <c r="AH77" i="65"/>
  <c r="AI77" i="65" s="1"/>
  <c r="R72" i="65"/>
  <c r="R63" i="65"/>
  <c r="Q63" i="65"/>
  <c r="AC63" i="65" s="1"/>
  <c r="AD59" i="65"/>
  <c r="AP59" i="65" s="1"/>
  <c r="Q59" i="65"/>
  <c r="AB55" i="65"/>
  <c r="AN55" i="65" s="1"/>
  <c r="AD55" i="65"/>
  <c r="AP55" i="65" s="1"/>
  <c r="AC55" i="65"/>
  <c r="AO55" i="65" s="1"/>
  <c r="AB65" i="65"/>
  <c r="Q131" i="65"/>
  <c r="AH75" i="65"/>
  <c r="AH66" i="65"/>
  <c r="Y127" i="65"/>
  <c r="AF89" i="65"/>
  <c r="AR89" i="65" s="1"/>
  <c r="X74" i="65"/>
  <c r="Q74" i="65"/>
  <c r="P74" i="65"/>
  <c r="P123" i="65"/>
  <c r="Z123" i="65"/>
  <c r="AD81" i="65"/>
  <c r="AE126" i="65"/>
  <c r="AF114" i="65"/>
  <c r="AB87" i="65"/>
  <c r="AN87" i="65" s="1"/>
  <c r="AN133" i="65"/>
  <c r="AE125" i="65"/>
  <c r="AQ125" i="65" s="1"/>
  <c r="AD125" i="65"/>
  <c r="AP125" i="65" s="1"/>
  <c r="AC111" i="65"/>
  <c r="AC93" i="65"/>
  <c r="AO93" i="65" s="1"/>
  <c r="AB93" i="65"/>
  <c r="AN93" i="65" s="1"/>
  <c r="AB85" i="65"/>
  <c r="AN85" i="65" s="1"/>
  <c r="X68" i="65"/>
  <c r="R68" i="65"/>
  <c r="AH70" i="65"/>
  <c r="S61" i="65"/>
  <c r="P61" i="65"/>
  <c r="AB61" i="65" s="1"/>
  <c r="AH111" i="65"/>
  <c r="AF139" i="65"/>
  <c r="AR139" i="65" s="1"/>
  <c r="AE116" i="65"/>
  <c r="AB57" i="65"/>
  <c r="AN57" i="65" s="1"/>
  <c r="AD57" i="65"/>
  <c r="AP57" i="65" s="1"/>
  <c r="AC57" i="65"/>
  <c r="AO57" i="65" s="1"/>
  <c r="Q127" i="65"/>
  <c r="T74" i="65"/>
  <c r="S123" i="65"/>
  <c r="P68" i="65"/>
  <c r="Y61" i="65"/>
  <c r="AH115" i="65"/>
  <c r="AH124" i="65"/>
  <c r="AI124" i="65" s="1"/>
  <c r="Z129" i="65"/>
  <c r="AD80" i="65"/>
  <c r="V72" i="65"/>
  <c r="P129" i="65"/>
  <c r="X129" i="65"/>
  <c r="W129" i="65"/>
  <c r="AC129" i="65" s="1"/>
  <c r="V129" i="65"/>
  <c r="AC117" i="65"/>
  <c r="AI117" i="65" s="1"/>
  <c r="AJ117" i="65" s="1"/>
  <c r="AH81" i="65"/>
  <c r="X72" i="65"/>
  <c r="W72" i="65"/>
  <c r="Y72" i="65"/>
  <c r="S63" i="65"/>
  <c r="P63" i="65"/>
  <c r="T63" i="65"/>
  <c r="AF63" i="65" s="1"/>
  <c r="AE59" i="65"/>
  <c r="AQ59" i="65" s="1"/>
  <c r="AF59" i="65"/>
  <c r="AR59" i="65" s="1"/>
  <c r="AP69" i="65"/>
  <c r="T131" i="65"/>
  <c r="AF131" i="65" s="1"/>
  <c r="AH118" i="65"/>
  <c r="AI118" i="65" s="1"/>
  <c r="AJ118" i="65" s="1"/>
  <c r="AR143" i="65"/>
  <c r="T127" i="65"/>
  <c r="W127" i="65"/>
  <c r="X127" i="65"/>
  <c r="Z127" i="65"/>
  <c r="AD104" i="65"/>
  <c r="AP104" i="65" s="1"/>
  <c r="AC104" i="65"/>
  <c r="AO104" i="65" s="1"/>
  <c r="AE89" i="65"/>
  <c r="AQ89" i="65" s="1"/>
  <c r="AC89" i="65"/>
  <c r="AO89" i="65" s="1"/>
  <c r="AB89" i="65"/>
  <c r="AN89" i="65" s="1"/>
  <c r="AF91" i="65"/>
  <c r="AR91" i="65" s="1"/>
  <c r="Z74" i="65"/>
  <c r="R74" i="65"/>
  <c r="AB116" i="65"/>
  <c r="AN100" i="65"/>
  <c r="AD147" i="65"/>
  <c r="AP147" i="65" s="1"/>
  <c r="AE147" i="65"/>
  <c r="AQ147" i="65" s="1"/>
  <c r="T123" i="65"/>
  <c r="W123" i="65"/>
  <c r="AC123" i="65" s="1"/>
  <c r="V123" i="65"/>
  <c r="AB67" i="65"/>
  <c r="AE132" i="65"/>
  <c r="AF118" i="65"/>
  <c r="AF113" i="65"/>
  <c r="AE133" i="65"/>
  <c r="AQ133" i="65" s="1"/>
  <c r="AD133" i="65"/>
  <c r="AP133" i="65" s="1"/>
  <c r="AC133" i="65"/>
  <c r="AO133" i="65" s="1"/>
  <c r="AB125" i="65"/>
  <c r="AN125" i="65" s="1"/>
  <c r="AC125" i="65"/>
  <c r="AO125" i="65" s="1"/>
  <c r="AC115" i="65"/>
  <c r="AE111" i="65"/>
  <c r="AF84" i="65"/>
  <c r="AD93" i="65"/>
  <c r="AP93" i="65" s="1"/>
  <c r="AE93" i="65"/>
  <c r="AQ93" i="65" s="1"/>
  <c r="AD85" i="65"/>
  <c r="AP85" i="65" s="1"/>
  <c r="Z68" i="65"/>
  <c r="Y68" i="65"/>
  <c r="AE68" i="65" s="1"/>
  <c r="Q68" i="65"/>
  <c r="AF75" i="65"/>
  <c r="AC71" i="65"/>
  <c r="AF64" i="65"/>
  <c r="AE139" i="65"/>
  <c r="AQ139" i="65" s="1"/>
  <c r="AD139" i="65"/>
  <c r="AP139" i="65" s="1"/>
  <c r="AC139" i="65"/>
  <c r="AO139" i="65" s="1"/>
  <c r="AN60" i="65"/>
  <c r="AB108" i="65"/>
  <c r="W74" i="65"/>
  <c r="AC75" i="65"/>
  <c r="AR145" i="65"/>
  <c r="AO145" i="65"/>
  <c r="AF137" i="65"/>
  <c r="AR137" i="65" s="1"/>
  <c r="T129" i="65"/>
  <c r="S129" i="65"/>
  <c r="AE129" i="65" s="1"/>
  <c r="R129" i="65"/>
  <c r="AC107" i="65"/>
  <c r="AO107" i="65" s="1"/>
  <c r="AH84" i="65"/>
  <c r="AC81" i="65"/>
  <c r="AH82" i="65"/>
  <c r="AI82" i="65" s="1"/>
  <c r="Q72" i="65"/>
  <c r="P72" i="65"/>
  <c r="Z72" i="65"/>
  <c r="AF72" i="65" s="1"/>
  <c r="AH76" i="65"/>
  <c r="AI76" i="65" s="1"/>
  <c r="AJ76" i="65" s="1"/>
  <c r="AK76" i="65" s="1"/>
  <c r="AL76" i="65" s="1"/>
  <c r="AR76" i="65" s="1"/>
  <c r="AC62" i="65"/>
  <c r="X131" i="65"/>
  <c r="W131" i="65"/>
  <c r="W108" i="65"/>
  <c r="AC108" i="65" s="1"/>
  <c r="X108" i="65"/>
  <c r="AH110" i="65"/>
  <c r="AI110" i="65" s="1"/>
  <c r="AE143" i="65"/>
  <c r="AQ143" i="65" s="1"/>
  <c r="R127" i="65"/>
  <c r="S127" i="65"/>
  <c r="AF104" i="65"/>
  <c r="AR104" i="65" s="1"/>
  <c r="AE91" i="65"/>
  <c r="AQ91" i="65" s="1"/>
  <c r="AC91" i="65"/>
  <c r="AO91" i="65" s="1"/>
  <c r="V74" i="65"/>
  <c r="S74" i="65"/>
  <c r="AE74" i="65" s="1"/>
  <c r="AN69" i="65"/>
  <c r="AB112" i="65"/>
  <c r="AC100" i="65"/>
  <c r="AO100" i="65" s="1"/>
  <c r="AC147" i="65"/>
  <c r="AO147" i="65" s="1"/>
  <c r="Y123" i="65"/>
  <c r="X123" i="65"/>
  <c r="R123" i="65"/>
  <c r="AH126" i="65"/>
  <c r="AI126" i="65" s="1"/>
  <c r="AJ126" i="65" s="1"/>
  <c r="AH132" i="65"/>
  <c r="AI132" i="65" s="1"/>
  <c r="AJ132" i="65" s="1"/>
  <c r="AF117" i="65"/>
  <c r="AD87" i="65"/>
  <c r="AP87" i="65" s="1"/>
  <c r="AF133" i="65"/>
  <c r="AR133" i="65" s="1"/>
  <c r="AF125" i="65"/>
  <c r="AR125" i="65" s="1"/>
  <c r="AE75" i="65"/>
  <c r="AH73" i="65"/>
  <c r="AI73" i="65" s="1"/>
  <c r="AE70" i="65"/>
  <c r="V68" i="65"/>
  <c r="T68" i="65"/>
  <c r="AB71" i="65"/>
  <c r="X61" i="65"/>
  <c r="W61" i="65"/>
  <c r="AO69" i="65"/>
  <c r="AI113" i="65"/>
  <c r="AJ113" i="65" l="1"/>
  <c r="AK113" i="65" s="1"/>
  <c r="AD131" i="65"/>
  <c r="AK118" i="65"/>
  <c r="AQ118" i="65" s="1"/>
  <c r="AI70" i="65"/>
  <c r="AJ70" i="65" s="1"/>
  <c r="AP70" i="65" s="1"/>
  <c r="M139" i="66"/>
  <c r="O141" i="66" s="1"/>
  <c r="AE141" i="65"/>
  <c r="AF68" i="65"/>
  <c r="AD108" i="65"/>
  <c r="AP108" i="65" s="1"/>
  <c r="AC59" i="65"/>
  <c r="AO59" i="65" s="1"/>
  <c r="AI78" i="65"/>
  <c r="AO78" i="65" s="1"/>
  <c r="AH78" i="65"/>
  <c r="AN78" i="65"/>
  <c r="AD141" i="65"/>
  <c r="AE63" i="65"/>
  <c r="AE72" i="65"/>
  <c r="AN75" i="65"/>
  <c r="AO118" i="65"/>
  <c r="AO109" i="65"/>
  <c r="AK132" i="65"/>
  <c r="AL132" i="65" s="1"/>
  <c r="AR132" i="65" s="1"/>
  <c r="AC72" i="65"/>
  <c r="AN79" i="65"/>
  <c r="AI79" i="65"/>
  <c r="AE127" i="65"/>
  <c r="AI84" i="65"/>
  <c r="AJ84" i="65" s="1"/>
  <c r="AP84" i="65" s="1"/>
  <c r="AC68" i="65"/>
  <c r="AF123" i="65"/>
  <c r="AI140" i="65"/>
  <c r="AJ140" i="65" s="1"/>
  <c r="AP140" i="65" s="1"/>
  <c r="AJ124" i="65"/>
  <c r="AK124" i="65" s="1"/>
  <c r="AL124" i="65" s="1"/>
  <c r="AR124" i="65" s="1"/>
  <c r="AD74" i="65"/>
  <c r="AB63" i="65"/>
  <c r="AQ69" i="65"/>
  <c r="AJ130" i="65"/>
  <c r="AK130" i="65" s="1"/>
  <c r="AJ64" i="65"/>
  <c r="AK64" i="65" s="1"/>
  <c r="AN118" i="65"/>
  <c r="AI66" i="65"/>
  <c r="AJ66" i="65" s="1"/>
  <c r="AK66" i="65" s="1"/>
  <c r="AL66" i="65" s="1"/>
  <c r="AR66" i="65" s="1"/>
  <c r="AF127" i="65"/>
  <c r="AB141" i="65"/>
  <c r="AH141" i="65" s="1"/>
  <c r="AI141" i="65" s="1"/>
  <c r="AF141" i="65"/>
  <c r="AD123" i="65"/>
  <c r="AO124" i="65"/>
  <c r="AH83" i="65"/>
  <c r="AI83" i="65" s="1"/>
  <c r="AJ83" i="65" s="1"/>
  <c r="AI114" i="65"/>
  <c r="AJ114" i="65" s="1"/>
  <c r="AK114" i="65" s="1"/>
  <c r="AQ114" i="65" s="1"/>
  <c r="AO64" i="65"/>
  <c r="AK126" i="65"/>
  <c r="AL126" i="65" s="1"/>
  <c r="AR126" i="65" s="1"/>
  <c r="AD63" i="65"/>
  <c r="AB72" i="65"/>
  <c r="AI111" i="65"/>
  <c r="AJ111" i="65" s="1"/>
  <c r="AP111" i="65" s="1"/>
  <c r="AK117" i="65"/>
  <c r="AP117" i="65"/>
  <c r="AD127" i="65"/>
  <c r="AF74" i="65"/>
  <c r="AB123" i="65"/>
  <c r="AH123" i="65" s="1"/>
  <c r="AI123" i="65" s="1"/>
  <c r="AJ123" i="65" s="1"/>
  <c r="AP123" i="65" s="1"/>
  <c r="AN77" i="65"/>
  <c r="AP118" i="65"/>
  <c r="AE61" i="65"/>
  <c r="AQ61" i="65" s="1"/>
  <c r="AD129" i="65"/>
  <c r="AB131" i="65"/>
  <c r="AH131" i="65" s="1"/>
  <c r="AE131" i="65"/>
  <c r="AD72" i="65"/>
  <c r="AJ82" i="65"/>
  <c r="AO82" i="65"/>
  <c r="AB68" i="65"/>
  <c r="AO84" i="65"/>
  <c r="AL113" i="65"/>
  <c r="AR113" i="65" s="1"/>
  <c r="AN126" i="65"/>
  <c r="AN110" i="65"/>
  <c r="AI62" i="65"/>
  <c r="AJ62" i="65" s="1"/>
  <c r="AN82" i="65"/>
  <c r="AN84" i="65"/>
  <c r="AO132" i="65"/>
  <c r="AH67" i="65"/>
  <c r="AI67" i="65" s="1"/>
  <c r="AH116" i="65"/>
  <c r="AI116" i="65" s="1"/>
  <c r="AJ116" i="65" s="1"/>
  <c r="AI81" i="65"/>
  <c r="AJ81" i="65" s="1"/>
  <c r="AK81" i="65" s="1"/>
  <c r="AC127" i="65"/>
  <c r="AP126" i="65"/>
  <c r="AQ126" i="65"/>
  <c r="AB74" i="65"/>
  <c r="AC131" i="65"/>
  <c r="AJ73" i="65"/>
  <c r="AO73" i="65"/>
  <c r="AJ110" i="65"/>
  <c r="AO110" i="65"/>
  <c r="AO126" i="65"/>
  <c r="AL114" i="65"/>
  <c r="AR114" i="65" s="1"/>
  <c r="AH72" i="65"/>
  <c r="AQ76" i="65"/>
  <c r="AH108" i="65"/>
  <c r="AI108" i="65" s="1"/>
  <c r="AO108" i="65" s="1"/>
  <c r="AN81" i="65"/>
  <c r="AI115" i="65"/>
  <c r="AJ115" i="65" s="1"/>
  <c r="AH127" i="65"/>
  <c r="AN127" i="65" s="1"/>
  <c r="AN111" i="65"/>
  <c r="AN70" i="65"/>
  <c r="AC74" i="65"/>
  <c r="AN66" i="65"/>
  <c r="AH65" i="65"/>
  <c r="AI65" i="65" s="1"/>
  <c r="AJ77" i="65"/>
  <c r="AO77" i="65"/>
  <c r="AC61" i="65"/>
  <c r="AJ80" i="65"/>
  <c r="AK80" i="65" s="1"/>
  <c r="AO83" i="65"/>
  <c r="AN109" i="65"/>
  <c r="AP64" i="65"/>
  <c r="AK84" i="65"/>
  <c r="AH71" i="65"/>
  <c r="AI71" i="65" s="1"/>
  <c r="AJ71" i="65" s="1"/>
  <c r="AH112" i="65"/>
  <c r="AI112" i="65" s="1"/>
  <c r="AN73" i="65"/>
  <c r="AN132" i="65"/>
  <c r="AN114" i="65"/>
  <c r="AN76" i="65"/>
  <c r="AO113" i="65"/>
  <c r="AF129" i="65"/>
  <c r="AO76" i="65"/>
  <c r="AQ132" i="65"/>
  <c r="AL118" i="65"/>
  <c r="AR118" i="65" s="1"/>
  <c r="AO117" i="65"/>
  <c r="AB129" i="65"/>
  <c r="AQ113" i="65"/>
  <c r="AN124" i="65"/>
  <c r="AN115" i="65"/>
  <c r="AE123" i="65"/>
  <c r="AP132" i="65"/>
  <c r="AH61" i="65"/>
  <c r="AD68" i="65"/>
  <c r="AN140" i="65"/>
  <c r="AI75" i="65"/>
  <c r="AJ75" i="65" s="1"/>
  <c r="AD61" i="65"/>
  <c r="AN80" i="65"/>
  <c r="AP113" i="65"/>
  <c r="AO80" i="65"/>
  <c r="AP114" i="65"/>
  <c r="AN64" i="65"/>
  <c r="AP76" i="65"/>
  <c r="AK70" i="65" l="1"/>
  <c r="AL70" i="65" s="1"/>
  <c r="AR70" i="65" s="1"/>
  <c r="AO70" i="65"/>
  <c r="AJ78" i="65"/>
  <c r="AI72" i="65"/>
  <c r="AO72" i="65" s="1"/>
  <c r="AQ124" i="65"/>
  <c r="AO81" i="65"/>
  <c r="AO114" i="65"/>
  <c r="AP130" i="65"/>
  <c r="AP81" i="65"/>
  <c r="AO140" i="65"/>
  <c r="AO79" i="65"/>
  <c r="AJ79" i="65"/>
  <c r="AH63" i="65"/>
  <c r="AI63" i="65" s="1"/>
  <c r="AJ63" i="65" s="1"/>
  <c r="AN83" i="65"/>
  <c r="AL130" i="65"/>
  <c r="AR130" i="65" s="1"/>
  <c r="AQ130" i="65"/>
  <c r="AP124" i="65"/>
  <c r="AP66" i="65"/>
  <c r="AO66" i="65"/>
  <c r="AN131" i="65"/>
  <c r="AQ66" i="65"/>
  <c r="AO62" i="65"/>
  <c r="AO111" i="65"/>
  <c r="AK111" i="65"/>
  <c r="AK83" i="65"/>
  <c r="AP83" i="65"/>
  <c r="AN123" i="65"/>
  <c r="AI61" i="65"/>
  <c r="AJ61" i="65" s="1"/>
  <c r="AP61" i="65" s="1"/>
  <c r="AN112" i="65"/>
  <c r="AO71" i="65"/>
  <c r="AO75" i="65"/>
  <c r="AL117" i="65"/>
  <c r="AR117" i="65" s="1"/>
  <c r="AQ117" i="65"/>
  <c r="AN108" i="65"/>
  <c r="AN72" i="65"/>
  <c r="AO116" i="65"/>
  <c r="AI127" i="65"/>
  <c r="AJ127" i="65" s="1"/>
  <c r="AK127" i="65" s="1"/>
  <c r="AN67" i="65"/>
  <c r="AL80" i="65"/>
  <c r="AR80" i="65" s="1"/>
  <c r="AQ80" i="65"/>
  <c r="AK75" i="65"/>
  <c r="AP75" i="65"/>
  <c r="AN61" i="65"/>
  <c r="AK71" i="65"/>
  <c r="AP71" i="65"/>
  <c r="AJ65" i="65"/>
  <c r="AO65" i="65"/>
  <c r="AK110" i="65"/>
  <c r="AQ110" i="65" s="1"/>
  <c r="AP110" i="65"/>
  <c r="AH74" i="65"/>
  <c r="AI74" i="65" s="1"/>
  <c r="AJ74" i="65" s="1"/>
  <c r="AK116" i="65"/>
  <c r="AP116" i="65"/>
  <c r="AH129" i="65"/>
  <c r="AI129" i="65" s="1"/>
  <c r="AL84" i="65"/>
  <c r="AR84" i="65" s="1"/>
  <c r="AQ84" i="65"/>
  <c r="AP80" i="65"/>
  <c r="AK73" i="65"/>
  <c r="AP73" i="65"/>
  <c r="AJ141" i="65"/>
  <c r="AO141" i="65"/>
  <c r="AN141" i="65"/>
  <c r="AN71" i="65"/>
  <c r="AN65" i="65"/>
  <c r="AK123" i="65"/>
  <c r="AL123" i="65" s="1"/>
  <c r="AR123" i="65" s="1"/>
  <c r="AL81" i="65"/>
  <c r="AR81" i="65" s="1"/>
  <c r="AQ81" i="65"/>
  <c r="AN116" i="65"/>
  <c r="AO115" i="65"/>
  <c r="AQ70" i="65"/>
  <c r="AJ112" i="65"/>
  <c r="AO112" i="65"/>
  <c r="AL64" i="65"/>
  <c r="AR64" i="65" s="1"/>
  <c r="AQ64" i="65"/>
  <c r="AK77" i="65"/>
  <c r="AP77" i="65"/>
  <c r="AK115" i="65"/>
  <c r="AP115" i="65"/>
  <c r="AI131" i="65"/>
  <c r="AJ131" i="65" s="1"/>
  <c r="AJ67" i="65"/>
  <c r="AO67" i="65"/>
  <c r="AK62" i="65"/>
  <c r="AQ62" i="65" s="1"/>
  <c r="AP62" i="65"/>
  <c r="AH68" i="65"/>
  <c r="AI68" i="65" s="1"/>
  <c r="AK82" i="65"/>
  <c r="AP82" i="65"/>
  <c r="AO123" i="65"/>
  <c r="AJ72" i="65" l="1"/>
  <c r="AK78" i="65"/>
  <c r="AP78" i="65"/>
  <c r="AN63" i="65"/>
  <c r="AO63" i="65"/>
  <c r="AK63" i="65"/>
  <c r="AP63" i="65"/>
  <c r="AO61" i="65"/>
  <c r="AP79" i="65"/>
  <c r="AK79" i="65"/>
  <c r="AL83" i="65"/>
  <c r="AR83" i="65" s="1"/>
  <c r="AQ83" i="65"/>
  <c r="AL111" i="65"/>
  <c r="AR111" i="65" s="1"/>
  <c r="AQ111" i="65"/>
  <c r="AL127" i="65"/>
  <c r="AR127" i="65" s="1"/>
  <c r="AQ127" i="65"/>
  <c r="AP127" i="65"/>
  <c r="AO127" i="65"/>
  <c r="AO131" i="65"/>
  <c r="AL82" i="65"/>
  <c r="AR82" i="65" s="1"/>
  <c r="AQ82" i="65"/>
  <c r="AK74" i="65"/>
  <c r="AP74" i="65"/>
  <c r="AL71" i="65"/>
  <c r="AR71" i="65" s="1"/>
  <c r="AQ71" i="65"/>
  <c r="AL115" i="65"/>
  <c r="AR115" i="65" s="1"/>
  <c r="AQ115" i="65"/>
  <c r="AL73" i="65"/>
  <c r="AR73" i="65" s="1"/>
  <c r="AQ73" i="65"/>
  <c r="AJ129" i="65"/>
  <c r="AO129" i="65"/>
  <c r="AN74" i="65"/>
  <c r="AK65" i="65"/>
  <c r="AP65" i="65"/>
  <c r="AO74" i="65"/>
  <c r="AJ68" i="65"/>
  <c r="AO68" i="65"/>
  <c r="AN68" i="65"/>
  <c r="AK67" i="65"/>
  <c r="AP67" i="65"/>
  <c r="AN129" i="65"/>
  <c r="AL116" i="65"/>
  <c r="AR116" i="65" s="1"/>
  <c r="AQ116" i="65"/>
  <c r="AK131" i="65"/>
  <c r="AP131" i="65"/>
  <c r="AL77" i="65"/>
  <c r="AR77" i="65" s="1"/>
  <c r="AQ77" i="65"/>
  <c r="AK112" i="65"/>
  <c r="AP112" i="65"/>
  <c r="AK141" i="65"/>
  <c r="AP141" i="65"/>
  <c r="AQ123" i="65"/>
  <c r="AL75" i="65"/>
  <c r="AR75" i="65" s="1"/>
  <c r="AQ75" i="65"/>
  <c r="AL78" i="65" l="1"/>
  <c r="AR78" i="65" s="1"/>
  <c r="AQ78" i="65"/>
  <c r="AK72" i="65"/>
  <c r="AP72" i="65"/>
  <c r="AL79" i="65"/>
  <c r="AR79" i="65" s="1"/>
  <c r="AQ79" i="65"/>
  <c r="AL63" i="65"/>
  <c r="AR63" i="65" s="1"/>
  <c r="AQ63" i="65"/>
  <c r="AK129" i="65"/>
  <c r="AP129" i="65"/>
  <c r="AL74" i="65"/>
  <c r="AR74" i="65" s="1"/>
  <c r="AQ74" i="65"/>
  <c r="AL67" i="65"/>
  <c r="AR67" i="65" s="1"/>
  <c r="AQ67" i="65"/>
  <c r="AL65" i="65"/>
  <c r="AR65" i="65" s="1"/>
  <c r="AQ65" i="65"/>
  <c r="AL141" i="65"/>
  <c r="AR141" i="65" s="1"/>
  <c r="AQ141" i="65"/>
  <c r="AL112" i="65"/>
  <c r="AR112" i="65" s="1"/>
  <c r="AQ112" i="65"/>
  <c r="AL131" i="65"/>
  <c r="AR131" i="65" s="1"/>
  <c r="AQ131" i="65"/>
  <c r="AK68" i="65"/>
  <c r="AP68" i="65"/>
  <c r="AL72" i="65" l="1"/>
  <c r="AR72" i="65" s="1"/>
  <c r="AQ72" i="65"/>
  <c r="AL68" i="65"/>
  <c r="AR68" i="65" s="1"/>
  <c r="AQ68" i="65"/>
  <c r="AL129" i="65"/>
  <c r="AR129" i="65" s="1"/>
  <c r="AQ129" i="65"/>
  <c r="K68" i="25" l="1"/>
  <c r="H34" i="68"/>
  <c r="H31" i="68"/>
  <c r="AT61" i="50"/>
  <c r="AR63" i="50"/>
  <c r="F138" i="50"/>
  <c r="H138" i="50"/>
  <c r="I138" i="50"/>
  <c r="J138" i="50"/>
  <c r="K138" i="50"/>
  <c r="F139" i="50"/>
  <c r="H139" i="50"/>
  <c r="I139" i="50"/>
  <c r="J139" i="50"/>
  <c r="V139" i="50" s="1"/>
  <c r="K139" i="50"/>
  <c r="X139" i="50"/>
  <c r="F140" i="50"/>
  <c r="H140" i="50"/>
  <c r="I140" i="50"/>
  <c r="J140" i="50"/>
  <c r="N140" i="50" s="1"/>
  <c r="K140" i="50"/>
  <c r="AE140" i="50"/>
  <c r="F141" i="50"/>
  <c r="H141" i="50"/>
  <c r="I141" i="50"/>
  <c r="J141" i="50"/>
  <c r="W141" i="50" s="1"/>
  <c r="K141" i="50"/>
  <c r="F142" i="50"/>
  <c r="H142" i="50"/>
  <c r="I142" i="50"/>
  <c r="J142" i="50"/>
  <c r="AE142" i="50" s="1"/>
  <c r="K142" i="50"/>
  <c r="F143" i="50"/>
  <c r="H143" i="50"/>
  <c r="I143" i="50"/>
  <c r="J143" i="50"/>
  <c r="Y143" i="50" s="1"/>
  <c r="K143" i="50"/>
  <c r="AC143" i="50"/>
  <c r="AE143" i="50"/>
  <c r="F144" i="50"/>
  <c r="H144" i="50"/>
  <c r="I144" i="50"/>
  <c r="J144" i="50"/>
  <c r="Y144" i="50" s="1"/>
  <c r="K144" i="50"/>
  <c r="F145" i="50"/>
  <c r="H145" i="50"/>
  <c r="I145" i="50"/>
  <c r="J145" i="50"/>
  <c r="AF145" i="50" s="1"/>
  <c r="K145" i="50"/>
  <c r="F146" i="50"/>
  <c r="H146" i="50"/>
  <c r="I146" i="50"/>
  <c r="J146" i="50"/>
  <c r="AD146" i="50" s="1"/>
  <c r="K146" i="50"/>
  <c r="F147" i="50"/>
  <c r="H147" i="50"/>
  <c r="I147" i="50"/>
  <c r="J147" i="50"/>
  <c r="K147" i="50"/>
  <c r="F148" i="50"/>
  <c r="H148" i="50"/>
  <c r="I148" i="50"/>
  <c r="J148" i="50"/>
  <c r="K148" i="50"/>
  <c r="W148" i="50"/>
  <c r="AD148" i="50"/>
  <c r="AF148" i="50"/>
  <c r="F149" i="50"/>
  <c r="H149" i="50"/>
  <c r="I149" i="50"/>
  <c r="J149" i="50"/>
  <c r="Z149" i="50" s="1"/>
  <c r="K149" i="50"/>
  <c r="F150" i="50"/>
  <c r="H150" i="50"/>
  <c r="I150" i="50"/>
  <c r="J150" i="50"/>
  <c r="X150" i="50" s="1"/>
  <c r="K150" i="50"/>
  <c r="F151" i="50"/>
  <c r="H151" i="50"/>
  <c r="I151" i="50"/>
  <c r="J151" i="50"/>
  <c r="V151" i="50" s="1"/>
  <c r="K151" i="50"/>
  <c r="W151" i="50"/>
  <c r="F152" i="50"/>
  <c r="H152" i="50"/>
  <c r="I152" i="50"/>
  <c r="J152" i="50"/>
  <c r="AE152" i="50" s="1"/>
  <c r="K152" i="50"/>
  <c r="F153" i="50"/>
  <c r="H153" i="50"/>
  <c r="I153" i="50"/>
  <c r="J153" i="50"/>
  <c r="K153" i="50"/>
  <c r="F154" i="50"/>
  <c r="H154" i="50"/>
  <c r="I154" i="50"/>
  <c r="J154" i="50"/>
  <c r="K154" i="50"/>
  <c r="F155" i="50"/>
  <c r="H155" i="50"/>
  <c r="I155" i="50"/>
  <c r="J155" i="50"/>
  <c r="P155" i="50" s="1"/>
  <c r="S155" i="50" s="1"/>
  <c r="K155" i="50"/>
  <c r="F156" i="50"/>
  <c r="H156" i="50"/>
  <c r="I156" i="50"/>
  <c r="J156" i="50"/>
  <c r="AE156" i="50" s="1"/>
  <c r="K156" i="50"/>
  <c r="F157" i="50"/>
  <c r="H157" i="50"/>
  <c r="I157" i="50"/>
  <c r="J157" i="50"/>
  <c r="K157" i="50"/>
  <c r="V157" i="50"/>
  <c r="AE157" i="50"/>
  <c r="F158" i="50"/>
  <c r="H158" i="50"/>
  <c r="I158" i="50"/>
  <c r="J158" i="50"/>
  <c r="N158" i="50" s="1"/>
  <c r="K158" i="50"/>
  <c r="B157" i="50"/>
  <c r="B158" i="50"/>
  <c r="B138" i="50"/>
  <c r="B139" i="50"/>
  <c r="B140" i="50"/>
  <c r="B141" i="50"/>
  <c r="B142" i="50"/>
  <c r="B143" i="50"/>
  <c r="B144" i="50"/>
  <c r="B145" i="50"/>
  <c r="B146" i="50"/>
  <c r="B147" i="50"/>
  <c r="B148" i="50"/>
  <c r="B149" i="50"/>
  <c r="B150" i="50"/>
  <c r="B151" i="50"/>
  <c r="B152" i="50"/>
  <c r="B153" i="50"/>
  <c r="B154" i="50"/>
  <c r="B155" i="50"/>
  <c r="B156" i="50"/>
  <c r="Z140" i="50" l="1"/>
  <c r="X140" i="50"/>
  <c r="AB158" i="50"/>
  <c r="AF155" i="50"/>
  <c r="V158" i="50"/>
  <c r="X155" i="50"/>
  <c r="AD150" i="50"/>
  <c r="P148" i="50"/>
  <c r="S148" i="50" s="1"/>
  <c r="AN148" i="50" s="1"/>
  <c r="AD144" i="50"/>
  <c r="V143" i="50"/>
  <c r="AE141" i="50"/>
  <c r="AD140" i="50"/>
  <c r="V140" i="50"/>
  <c r="AB156" i="50"/>
  <c r="AF151" i="50"/>
  <c r="AO147" i="50"/>
  <c r="AP147" i="50" s="1"/>
  <c r="AQ147" i="50" s="1"/>
  <c r="AR147" i="50" s="1"/>
  <c r="T143" i="50"/>
  <c r="AC140" i="50"/>
  <c r="T140" i="50"/>
  <c r="AF158" i="50"/>
  <c r="Z158" i="50"/>
  <c r="T158" i="50"/>
  <c r="Y156" i="50"/>
  <c r="AE155" i="50"/>
  <c r="W155" i="50"/>
  <c r="AD151" i="50"/>
  <c r="T151" i="50"/>
  <c r="AD147" i="50"/>
  <c r="W144" i="50"/>
  <c r="AD142" i="50"/>
  <c r="AD139" i="50"/>
  <c r="T139" i="50"/>
  <c r="AE158" i="50"/>
  <c r="Y158" i="50"/>
  <c r="AK158" i="50" s="1"/>
  <c r="AW158" i="50" s="1"/>
  <c r="M158" i="50"/>
  <c r="V156" i="50"/>
  <c r="AC155" i="50"/>
  <c r="M155" i="50"/>
  <c r="AQ153" i="50"/>
  <c r="AR153" i="50" s="1"/>
  <c r="AB151" i="50"/>
  <c r="M151" i="50"/>
  <c r="Y147" i="50"/>
  <c r="T144" i="50"/>
  <c r="T142" i="50"/>
  <c r="AC139" i="50"/>
  <c r="N139" i="50"/>
  <c r="AD158" i="50"/>
  <c r="W158" i="50"/>
  <c r="P157" i="50"/>
  <c r="S157" i="50" s="1"/>
  <c r="AN157" i="50" s="1"/>
  <c r="Z155" i="50"/>
  <c r="AL155" i="50" s="1"/>
  <c r="AX155" i="50" s="1"/>
  <c r="Y151" i="50"/>
  <c r="T148" i="50"/>
  <c r="AF144" i="50"/>
  <c r="Q141" i="50"/>
  <c r="Y140" i="50"/>
  <c r="Y139" i="50"/>
  <c r="P153" i="50"/>
  <c r="S153" i="50" s="1"/>
  <c r="AN153" i="50" s="1"/>
  <c r="AB148" i="50"/>
  <c r="M148" i="50"/>
  <c r="T147" i="50"/>
  <c r="AE145" i="50"/>
  <c r="AB144" i="50"/>
  <c r="M144" i="50"/>
  <c r="Z143" i="50"/>
  <c r="N143" i="50"/>
  <c r="V141" i="50"/>
  <c r="AF139" i="50"/>
  <c r="AB139" i="50"/>
  <c r="W139" i="50"/>
  <c r="M139" i="50"/>
  <c r="P143" i="50"/>
  <c r="AP157" i="50"/>
  <c r="AC158" i="50"/>
  <c r="X158" i="50"/>
  <c r="AJ158" i="50" s="1"/>
  <c r="AV158" i="50" s="1"/>
  <c r="Z157" i="50"/>
  <c r="P156" i="50"/>
  <c r="S156" i="50" s="1"/>
  <c r="AN156" i="50" s="1"/>
  <c r="AB155" i="50"/>
  <c r="V155" i="50"/>
  <c r="AE153" i="50"/>
  <c r="AP152" i="50"/>
  <c r="AQ152" i="50" s="1"/>
  <c r="AR152" i="50" s="1"/>
  <c r="Y148" i="50"/>
  <c r="AF141" i="50"/>
  <c r="AE139" i="50"/>
  <c r="Z139" i="50"/>
  <c r="P139" i="50"/>
  <c r="P141" i="50"/>
  <c r="AO155" i="50"/>
  <c r="AO154" i="50"/>
  <c r="AP154" i="50"/>
  <c r="AQ154" i="50"/>
  <c r="AR154" i="50" s="1"/>
  <c r="AO149" i="50"/>
  <c r="AP149" i="50" s="1"/>
  <c r="AQ149" i="50" s="1"/>
  <c r="AR149" i="50" s="1"/>
  <c r="P149" i="50"/>
  <c r="S149" i="50" s="1"/>
  <c r="AN149" i="50" s="1"/>
  <c r="P145" i="50"/>
  <c r="S145" i="50" s="1"/>
  <c r="AN145" i="50" s="1"/>
  <c r="AO145" i="50" s="1"/>
  <c r="AP145" i="50" s="1"/>
  <c r="AQ145" i="50" s="1"/>
  <c r="AR145" i="50" s="1"/>
  <c r="S141" i="50"/>
  <c r="AN141" i="50" s="1"/>
  <c r="AO141" i="50" s="1"/>
  <c r="AP141" i="50" s="1"/>
  <c r="AQ141" i="50" s="1"/>
  <c r="AR141" i="50" s="1"/>
  <c r="Q142" i="50"/>
  <c r="AQ158" i="50"/>
  <c r="AR158" i="50"/>
  <c r="AO158" i="50"/>
  <c r="AQ157" i="50"/>
  <c r="AR157" i="50"/>
  <c r="AO157" i="50"/>
  <c r="AF156" i="50"/>
  <c r="AL156" i="50" s="1"/>
  <c r="AX156" i="50" s="1"/>
  <c r="Z156" i="50"/>
  <c r="N155" i="50"/>
  <c r="AP155" i="50"/>
  <c r="AQ155" i="50"/>
  <c r="AR155" i="50" s="1"/>
  <c r="AD154" i="50"/>
  <c r="Y153" i="50"/>
  <c r="AK153" i="50" s="1"/>
  <c r="Z152" i="50"/>
  <c r="AE151" i="50"/>
  <c r="Z151" i="50"/>
  <c r="AP150" i="50"/>
  <c r="AQ150" i="50" s="1"/>
  <c r="AR150" i="50" s="1"/>
  <c r="AF149" i="50"/>
  <c r="W149" i="50"/>
  <c r="AE148" i="50"/>
  <c r="AK148" i="50" s="1"/>
  <c r="AW148" i="50" s="1"/>
  <c r="Z148" i="50"/>
  <c r="V148" i="50"/>
  <c r="AC147" i="50"/>
  <c r="X147" i="50"/>
  <c r="AJ147" i="50" s="1"/>
  <c r="N147" i="50"/>
  <c r="T146" i="50"/>
  <c r="W145" i="50"/>
  <c r="AE144" i="50"/>
  <c r="AK144" i="50" s="1"/>
  <c r="AW144" i="50" s="1"/>
  <c r="Z144" i="50"/>
  <c r="V144" i="50"/>
  <c r="Q143" i="50"/>
  <c r="S143" i="50" s="1"/>
  <c r="AN143" i="50" s="1"/>
  <c r="AO143" i="50" s="1"/>
  <c r="AP143" i="50" s="1"/>
  <c r="AQ143" i="50" s="1"/>
  <c r="AR143" i="50" s="1"/>
  <c r="P152" i="50"/>
  <c r="S152" i="50" s="1"/>
  <c r="AN152" i="50" s="1"/>
  <c r="P144" i="50"/>
  <c r="S144" i="50" s="1"/>
  <c r="AN144" i="50" s="1"/>
  <c r="AO144" i="50" s="1"/>
  <c r="AP144" i="50" s="1"/>
  <c r="AQ144" i="50" s="1"/>
  <c r="AR144" i="50" s="1"/>
  <c r="P140" i="50"/>
  <c r="AP158" i="50"/>
  <c r="AN155" i="50"/>
  <c r="M156" i="50"/>
  <c r="AQ156" i="50"/>
  <c r="AR156" i="50"/>
  <c r="AO156" i="50"/>
  <c r="X154" i="50"/>
  <c r="AJ154" i="50" s="1"/>
  <c r="AV154" i="50" s="1"/>
  <c r="X152" i="50"/>
  <c r="AO151" i="50"/>
  <c r="AP151" i="50"/>
  <c r="AQ151" i="50" s="1"/>
  <c r="AR151" i="50" s="1"/>
  <c r="AE149" i="50"/>
  <c r="V149" i="50"/>
  <c r="AO148" i="50"/>
  <c r="AP148" i="50" s="1"/>
  <c r="AQ148" i="50" s="1"/>
  <c r="AR148" i="50" s="1"/>
  <c r="AF147" i="50"/>
  <c r="AB147" i="50"/>
  <c r="W147" i="50"/>
  <c r="M147" i="50"/>
  <c r="V145" i="50"/>
  <c r="P151" i="50"/>
  <c r="S151" i="50" s="1"/>
  <c r="AN151" i="50" s="1"/>
  <c r="P147" i="50"/>
  <c r="S147" i="50" s="1"/>
  <c r="AN147" i="50" s="1"/>
  <c r="AO152" i="50"/>
  <c r="AD156" i="50"/>
  <c r="W156" i="50"/>
  <c r="AO153" i="50"/>
  <c r="AP153" i="50"/>
  <c r="AF152" i="50"/>
  <c r="AC151" i="50"/>
  <c r="X151" i="50"/>
  <c r="N151" i="50"/>
  <c r="AD149" i="50"/>
  <c r="AC148" i="50"/>
  <c r="X148" i="50"/>
  <c r="N148" i="50"/>
  <c r="AE147" i="50"/>
  <c r="Z147" i="50"/>
  <c r="V147" i="50"/>
  <c r="AE146" i="50"/>
  <c r="AC144" i="50"/>
  <c r="X144" i="50"/>
  <c r="N144" i="50"/>
  <c r="AD143" i="50"/>
  <c r="X143" i="50"/>
  <c r="M143" i="50"/>
  <c r="V142" i="50"/>
  <c r="AF140" i="50"/>
  <c r="AL140" i="50" s="1"/>
  <c r="AX140" i="50" s="1"/>
  <c r="AB140" i="50"/>
  <c r="AH140" i="50" s="1"/>
  <c r="AT140" i="50" s="1"/>
  <c r="W140" i="50"/>
  <c r="M140" i="50"/>
  <c r="P158" i="50"/>
  <c r="S158" i="50" s="1"/>
  <c r="AN158" i="50" s="1"/>
  <c r="P154" i="50"/>
  <c r="S154" i="50" s="1"/>
  <c r="AN154" i="50" s="1"/>
  <c r="P150" i="50"/>
  <c r="S150" i="50" s="1"/>
  <c r="AN150" i="50" s="1"/>
  <c r="P146" i="50"/>
  <c r="S146" i="50" s="1"/>
  <c r="AN146" i="50" s="1"/>
  <c r="AO146" i="50" s="1"/>
  <c r="AP146" i="50" s="1"/>
  <c r="AQ146" i="50" s="1"/>
  <c r="AR146" i="50" s="1"/>
  <c r="P142" i="50"/>
  <c r="S142" i="50" s="1"/>
  <c r="AN142" i="50" s="1"/>
  <c r="AO142" i="50" s="1"/>
  <c r="AP142" i="50" s="1"/>
  <c r="AQ142" i="50" s="1"/>
  <c r="AR142" i="50" s="1"/>
  <c r="P138" i="50"/>
  <c r="AP156" i="50"/>
  <c r="AO150" i="50"/>
  <c r="AI158" i="50"/>
  <c r="AU158" i="50" s="1"/>
  <c r="AK140" i="50"/>
  <c r="AL151" i="50"/>
  <c r="AX151" i="50" s="1"/>
  <c r="AH151" i="50"/>
  <c r="AT151" i="50" s="1"/>
  <c r="AL148" i="50"/>
  <c r="AX148" i="50" s="1"/>
  <c r="AL158" i="50"/>
  <c r="AX158" i="50" s="1"/>
  <c r="AH158" i="50"/>
  <c r="AT158" i="50" s="1"/>
  <c r="AI151" i="50"/>
  <c r="AU151" i="50" s="1"/>
  <c r="AK151" i="50"/>
  <c r="AW151" i="50" s="1"/>
  <c r="AL149" i="50"/>
  <c r="AX149" i="50" s="1"/>
  <c r="AK156" i="50"/>
  <c r="AW156" i="50" s="1"/>
  <c r="AJ148" i="50"/>
  <c r="AI139" i="50"/>
  <c r="AL152" i="50"/>
  <c r="AX152" i="50" s="1"/>
  <c r="AJ150" i="50"/>
  <c r="AV150" i="50" s="1"/>
  <c r="AJ140" i="50"/>
  <c r="AV140" i="50" s="1"/>
  <c r="AL139" i="50"/>
  <c r="AL147" i="50"/>
  <c r="AH147" i="50"/>
  <c r="AT147" i="50" s="1"/>
  <c r="AI144" i="50"/>
  <c r="AH139" i="50"/>
  <c r="AT139" i="50" s="1"/>
  <c r="AK139" i="50"/>
  <c r="AW139" i="50" s="1"/>
  <c r="AK143" i="50"/>
  <c r="AW143" i="50" s="1"/>
  <c r="AJ144" i="50"/>
  <c r="AV144" i="50" s="1"/>
  <c r="AI140" i="50"/>
  <c r="AU140" i="50" s="1"/>
  <c r="AI155" i="50"/>
  <c r="AU155" i="50" s="1"/>
  <c r="AL144" i="50"/>
  <c r="AX144" i="50" s="1"/>
  <c r="AH144" i="50"/>
  <c r="AT144" i="50" s="1"/>
  <c r="W154" i="50"/>
  <c r="AB154" i="50"/>
  <c r="AF154" i="50"/>
  <c r="M153" i="50"/>
  <c r="X153" i="50"/>
  <c r="AC153" i="50"/>
  <c r="W150" i="50"/>
  <c r="AB150" i="50"/>
  <c r="AF150" i="50"/>
  <c r="AU144" i="50"/>
  <c r="W138" i="50"/>
  <c r="AB138" i="50"/>
  <c r="AF138" i="50"/>
  <c r="M138" i="50"/>
  <c r="X138" i="50"/>
  <c r="AC138" i="50"/>
  <c r="V138" i="50"/>
  <c r="AE138" i="50"/>
  <c r="N138" i="50"/>
  <c r="Y138" i="50"/>
  <c r="Z138" i="50"/>
  <c r="AL138" i="50" s="1"/>
  <c r="AD157" i="50"/>
  <c r="Y157" i="50"/>
  <c r="AK157" i="50" s="1"/>
  <c r="T157" i="50"/>
  <c r="N157" i="50"/>
  <c r="AC154" i="50"/>
  <c r="V154" i="50"/>
  <c r="N154" i="50"/>
  <c r="AD153" i="50"/>
  <c r="W153" i="50"/>
  <c r="N152" i="50"/>
  <c r="T152" i="50"/>
  <c r="Y152" i="50"/>
  <c r="AK152" i="50" s="1"/>
  <c r="AD152" i="50"/>
  <c r="AJ152" i="50" s="1"/>
  <c r="AC150" i="50"/>
  <c r="V150" i="50"/>
  <c r="N150" i="50"/>
  <c r="AV148" i="50"/>
  <c r="AI148" i="50"/>
  <c r="AD138" i="50"/>
  <c r="AC157" i="50"/>
  <c r="X157" i="50"/>
  <c r="AJ157" i="50" s="1"/>
  <c r="M157" i="50"/>
  <c r="T156" i="50"/>
  <c r="N156" i="50"/>
  <c r="Z154" i="50"/>
  <c r="AL154" i="50" s="1"/>
  <c r="T154" i="50"/>
  <c r="M154" i="50"/>
  <c r="AB153" i="50"/>
  <c r="V153" i="50"/>
  <c r="N153" i="50"/>
  <c r="AC152" i="50"/>
  <c r="W152" i="50"/>
  <c r="Z150" i="50"/>
  <c r="T150" i="50"/>
  <c r="M150" i="50"/>
  <c r="W146" i="50"/>
  <c r="AB146" i="50"/>
  <c r="AF146" i="50"/>
  <c r="M146" i="50"/>
  <c r="X146" i="50"/>
  <c r="AJ146" i="50" s="1"/>
  <c r="AC146" i="50"/>
  <c r="N146" i="50"/>
  <c r="Y146" i="50"/>
  <c r="Z146" i="50"/>
  <c r="AU139" i="50"/>
  <c r="T138" i="50"/>
  <c r="AF157" i="50"/>
  <c r="AL157" i="50" s="1"/>
  <c r="AB157" i="50"/>
  <c r="AH157" i="50" s="1"/>
  <c r="W157" i="50"/>
  <c r="AC156" i="50"/>
  <c r="AI156" i="50" s="1"/>
  <c r="X156" i="50"/>
  <c r="AJ156" i="50" s="1"/>
  <c r="AD155" i="50"/>
  <c r="Y155" i="50"/>
  <c r="AK155" i="50" s="1"/>
  <c r="T155" i="50"/>
  <c r="AE154" i="50"/>
  <c r="Y154" i="50"/>
  <c r="AF153" i="50"/>
  <c r="Z153" i="50"/>
  <c r="T153" i="50"/>
  <c r="AB152" i="50"/>
  <c r="V152" i="50"/>
  <c r="M152" i="50"/>
  <c r="AE150" i="50"/>
  <c r="Y150" i="50"/>
  <c r="M149" i="50"/>
  <c r="X149" i="50"/>
  <c r="AC149" i="50"/>
  <c r="N149" i="50"/>
  <c r="T149" i="50"/>
  <c r="Y149" i="50"/>
  <c r="AK149" i="50" s="1"/>
  <c r="AB149" i="50"/>
  <c r="AX147" i="50"/>
  <c r="V146" i="50"/>
  <c r="M145" i="50"/>
  <c r="X145" i="50"/>
  <c r="AC145" i="50"/>
  <c r="AI145" i="50" s="1"/>
  <c r="N145" i="50"/>
  <c r="T145" i="50"/>
  <c r="Y145" i="50"/>
  <c r="AK145" i="50" s="1"/>
  <c r="AD145" i="50"/>
  <c r="W142" i="50"/>
  <c r="AB142" i="50"/>
  <c r="AH142" i="50" s="1"/>
  <c r="AF142" i="50"/>
  <c r="M142" i="50"/>
  <c r="X142" i="50"/>
  <c r="AC142" i="50"/>
  <c r="M141" i="50"/>
  <c r="X141" i="50"/>
  <c r="AC141" i="50"/>
  <c r="AI141" i="50" s="1"/>
  <c r="N141" i="50"/>
  <c r="T141" i="50"/>
  <c r="Y141" i="50"/>
  <c r="AK141" i="50" s="1"/>
  <c r="AD141" i="50"/>
  <c r="AJ139" i="50"/>
  <c r="AB145" i="50"/>
  <c r="AH145" i="50" s="1"/>
  <c r="Z142" i="50"/>
  <c r="AB141" i="50"/>
  <c r="AW140" i="50"/>
  <c r="Z145" i="50"/>
  <c r="AL145" i="50" s="1"/>
  <c r="Y142" i="50"/>
  <c r="AK142" i="50" s="1"/>
  <c r="N142" i="50"/>
  <c r="Z141" i="50"/>
  <c r="AX139" i="50"/>
  <c r="AF143" i="50"/>
  <c r="AL143" i="50" s="1"/>
  <c r="AB143" i="50"/>
  <c r="W143" i="50"/>
  <c r="AI143" i="50" s="1"/>
  <c r="AH148" i="50" l="1"/>
  <c r="AJ151" i="50"/>
  <c r="AH156" i="50"/>
  <c r="AT156" i="50" s="1"/>
  <c r="AI149" i="50"/>
  <c r="AU149" i="50" s="1"/>
  <c r="AJ155" i="50"/>
  <c r="AH138" i="50"/>
  <c r="AI147" i="50"/>
  <c r="AU147" i="50" s="1"/>
  <c r="AL141" i="50"/>
  <c r="AK146" i="50"/>
  <c r="AH143" i="50"/>
  <c r="AH141" i="50"/>
  <c r="AT141" i="50" s="1"/>
  <c r="AJ142" i="50"/>
  <c r="AK147" i="50"/>
  <c r="AW147" i="50" s="1"/>
  <c r="AJ143" i="50"/>
  <c r="AH155" i="50"/>
  <c r="AT155" i="50" s="1"/>
  <c r="AW153" i="50"/>
  <c r="AH149" i="50"/>
  <c r="AT149" i="50" s="1"/>
  <c r="AJ149" i="50"/>
  <c r="AH150" i="50"/>
  <c r="AI157" i="50"/>
  <c r="AI153" i="50"/>
  <c r="AU153" i="50" s="1"/>
  <c r="AH146" i="50"/>
  <c r="AT146" i="50" s="1"/>
  <c r="AL142" i="50"/>
  <c r="AL150" i="50"/>
  <c r="AX150" i="50" s="1"/>
  <c r="AT148" i="50"/>
  <c r="AK154" i="50"/>
  <c r="AW154" i="50" s="1"/>
  <c r="AI138" i="50"/>
  <c r="AU138" i="50" s="1"/>
  <c r="AI150" i="50"/>
  <c r="AU150" i="50" s="1"/>
  <c r="AJ145" i="50"/>
  <c r="AV145" i="50" s="1"/>
  <c r="AJ141" i="50"/>
  <c r="AV141" i="50" s="1"/>
  <c r="AK138" i="50"/>
  <c r="AW138" i="50" s="1"/>
  <c r="AH154" i="50"/>
  <c r="AT154" i="50" s="1"/>
  <c r="AJ153" i="50"/>
  <c r="AV153" i="50" s="1"/>
  <c r="AT145" i="50"/>
  <c r="AT142" i="50"/>
  <c r="AT157" i="50"/>
  <c r="AU141" i="50"/>
  <c r="AU145" i="50"/>
  <c r="AU156" i="50"/>
  <c r="AX157" i="50"/>
  <c r="AX143" i="50"/>
  <c r="AV143" i="50"/>
  <c r="AV146" i="50"/>
  <c r="AV155" i="50"/>
  <c r="AV152" i="50"/>
  <c r="AV139" i="50"/>
  <c r="AV142" i="50"/>
  <c r="AV151" i="50"/>
  <c r="AW155" i="50"/>
  <c r="AV156" i="50"/>
  <c r="AL146" i="50"/>
  <c r="AW157" i="50"/>
  <c r="AX138" i="50"/>
  <c r="AU157" i="50"/>
  <c r="AW146" i="50"/>
  <c r="AX154" i="50"/>
  <c r="AV147" i="50"/>
  <c r="AT138" i="50"/>
  <c r="AU143" i="50"/>
  <c r="AW142" i="50"/>
  <c r="AW141" i="50"/>
  <c r="AW149" i="50"/>
  <c r="AV149" i="50"/>
  <c r="AK150" i="50"/>
  <c r="AL153" i="50"/>
  <c r="AI146" i="50"/>
  <c r="AV157" i="50"/>
  <c r="AT150" i="50"/>
  <c r="AW152" i="50"/>
  <c r="AI154" i="50"/>
  <c r="AX145" i="50"/>
  <c r="AT143" i="50"/>
  <c r="AX141" i="50"/>
  <c r="AX142" i="50"/>
  <c r="AI142" i="50"/>
  <c r="AW145" i="50"/>
  <c r="AH152" i="50"/>
  <c r="AI152" i="50"/>
  <c r="AH153" i="50"/>
  <c r="AU148" i="50"/>
  <c r="AJ138" i="50"/>
  <c r="AU152" i="50" l="1"/>
  <c r="AU146" i="50"/>
  <c r="AX153" i="50"/>
  <c r="AV138" i="50"/>
  <c r="AU142" i="50"/>
  <c r="AW150" i="50"/>
  <c r="AT153" i="50"/>
  <c r="AT152" i="50"/>
  <c r="AU154" i="50"/>
  <c r="AX146" i="50"/>
  <c r="M60" i="42" l="1"/>
  <c r="V60" i="42" s="1"/>
  <c r="L60" i="42"/>
  <c r="I19" i="68"/>
  <c r="J19" i="68"/>
  <c r="J20" i="68"/>
  <c r="K20" i="68"/>
  <c r="K21" i="68"/>
  <c r="L22" i="68"/>
  <c r="L21" i="68"/>
  <c r="I18" i="68"/>
  <c r="H18" i="68"/>
  <c r="H52" i="68"/>
  <c r="L40" i="24"/>
  <c r="F842" i="40"/>
  <c r="E842" i="40"/>
  <c r="F843" i="40"/>
  <c r="E843" i="40"/>
  <c r="F844" i="40"/>
  <c r="E844" i="40"/>
  <c r="F845" i="40"/>
  <c r="E845" i="40"/>
  <c r="F846" i="40"/>
  <c r="E846" i="40"/>
  <c r="F847" i="40"/>
  <c r="E847" i="40"/>
  <c r="F848" i="40"/>
  <c r="E848" i="40"/>
  <c r="F849" i="40"/>
  <c r="E849" i="40"/>
  <c r="F850" i="40"/>
  <c r="E850" i="40"/>
  <c r="F851" i="40"/>
  <c r="E851" i="40"/>
  <c r="F852" i="40"/>
  <c r="E852" i="40"/>
  <c r="F853" i="40"/>
  <c r="E853" i="40"/>
  <c r="F854" i="40"/>
  <c r="E854" i="40"/>
  <c r="F855" i="40"/>
  <c r="E855" i="40"/>
  <c r="I40" i="68"/>
  <c r="I41" i="68"/>
  <c r="I42" i="68"/>
  <c r="I43" i="68"/>
  <c r="I39" i="68"/>
  <c r="K57" i="24"/>
  <c r="I55" i="24"/>
  <c r="M42" i="24"/>
  <c r="L41" i="24"/>
  <c r="M41" i="24" s="1"/>
  <c r="N41" i="24" s="1"/>
  <c r="O41" i="24" s="1"/>
  <c r="K40" i="24"/>
  <c r="M40" i="24" s="1"/>
  <c r="N40" i="24" s="1"/>
  <c r="O40" i="24" s="1"/>
  <c r="J39" i="24"/>
  <c r="K39" i="24" s="1"/>
  <c r="L39" i="24" s="1"/>
  <c r="M39" i="24" s="1"/>
  <c r="N39" i="24" s="1"/>
  <c r="O39" i="24" s="1"/>
  <c r="I38" i="24"/>
  <c r="J38" i="24" s="1"/>
  <c r="K38" i="24" s="1"/>
  <c r="L38" i="24" s="1"/>
  <c r="M38" i="24" s="1"/>
  <c r="N38" i="24" s="1"/>
  <c r="O38" i="24" s="1"/>
  <c r="F40" i="68"/>
  <c r="H40" i="68"/>
  <c r="F41" i="68"/>
  <c r="H41" i="68"/>
  <c r="F42" i="68"/>
  <c r="H42" i="68"/>
  <c r="F43" i="68"/>
  <c r="H43" i="68"/>
  <c r="H39" i="68"/>
  <c r="F39" i="68"/>
  <c r="F28" i="68"/>
  <c r="F25" i="68"/>
  <c r="J15" i="68"/>
  <c r="K15" i="68"/>
  <c r="L15" i="68"/>
  <c r="I15" i="68"/>
  <c r="H15" i="68"/>
  <c r="F150" i="65"/>
  <c r="F149" i="65"/>
  <c r="P41" i="24" l="1"/>
  <c r="O40" i="66"/>
  <c r="P38" i="24"/>
  <c r="O37" i="66"/>
  <c r="P40" i="24"/>
  <c r="O39" i="66"/>
  <c r="P39" i="24"/>
  <c r="O38" i="66"/>
  <c r="P239" i="50"/>
  <c r="V239" i="50"/>
  <c r="Z239" i="50"/>
  <c r="AE239" i="50"/>
  <c r="AN239" i="50"/>
  <c r="AR239" i="50"/>
  <c r="Q239" i="50"/>
  <c r="W239" i="50"/>
  <c r="AB239" i="50"/>
  <c r="AF239" i="50"/>
  <c r="AO239" i="50"/>
  <c r="M239" i="50"/>
  <c r="S239" i="50"/>
  <c r="X239" i="50"/>
  <c r="AC239" i="50"/>
  <c r="AP239" i="50"/>
  <c r="N239" i="50"/>
  <c r="T239" i="50"/>
  <c r="Y239" i="50"/>
  <c r="AD239" i="50"/>
  <c r="AQ239" i="50"/>
  <c r="Q235" i="50"/>
  <c r="M235" i="50"/>
  <c r="S235" i="50"/>
  <c r="N235" i="50"/>
  <c r="T235" i="50"/>
  <c r="P235" i="50"/>
  <c r="Q231" i="50"/>
  <c r="M231" i="50"/>
  <c r="S231" i="50"/>
  <c r="N231" i="50"/>
  <c r="T231" i="50"/>
  <c r="P231" i="50"/>
  <c r="M225" i="50"/>
  <c r="S225" i="50"/>
  <c r="N225" i="50"/>
  <c r="P225" i="50"/>
  <c r="T225" i="50"/>
  <c r="Q225" i="50"/>
  <c r="P223" i="50"/>
  <c r="M223" i="50"/>
  <c r="N223" i="50"/>
  <c r="Q223" i="50" s="1"/>
  <c r="S223" i="50" s="1"/>
  <c r="T223" i="50"/>
  <c r="M236" i="50"/>
  <c r="S236" i="50"/>
  <c r="N236" i="50"/>
  <c r="T236" i="50"/>
  <c r="P236" i="50"/>
  <c r="Q236" i="50"/>
  <c r="P234" i="50"/>
  <c r="Q234" i="50"/>
  <c r="M234" i="50"/>
  <c r="S234" i="50"/>
  <c r="T234" i="50"/>
  <c r="N234" i="50"/>
  <c r="P230" i="50"/>
  <c r="Q230" i="50"/>
  <c r="M230" i="50"/>
  <c r="S230" i="50"/>
  <c r="N230" i="50"/>
  <c r="T230" i="50"/>
  <c r="P226" i="50"/>
  <c r="Q226" i="50"/>
  <c r="M226" i="50"/>
  <c r="S226" i="50"/>
  <c r="N226" i="50"/>
  <c r="T226" i="50"/>
  <c r="M224" i="50"/>
  <c r="S224" i="50"/>
  <c r="N224" i="50"/>
  <c r="T224" i="50"/>
  <c r="P224" i="50"/>
  <c r="Q224" i="50"/>
  <c r="M220" i="50"/>
  <c r="N220" i="50"/>
  <c r="Q220" i="50" s="1"/>
  <c r="S220" i="50" s="1"/>
  <c r="T220" i="50"/>
  <c r="P220" i="50"/>
  <c r="N238" i="50"/>
  <c r="T238" i="50"/>
  <c r="P238" i="50"/>
  <c r="Q238" i="50"/>
  <c r="M238" i="50"/>
  <c r="S238" i="50"/>
  <c r="Y238" i="50" s="1"/>
  <c r="M232" i="50"/>
  <c r="S232" i="50"/>
  <c r="N232" i="50"/>
  <c r="T232" i="50"/>
  <c r="P232" i="50"/>
  <c r="Q232" i="50"/>
  <c r="M228" i="50"/>
  <c r="S228" i="50"/>
  <c r="N228" i="50"/>
  <c r="T228" i="50"/>
  <c r="P228" i="50"/>
  <c r="Q228" i="50"/>
  <c r="N222" i="50"/>
  <c r="Q222" i="50" s="1"/>
  <c r="S222" i="50" s="1"/>
  <c r="T222" i="50"/>
  <c r="P222" i="50"/>
  <c r="M222" i="50"/>
  <c r="M237" i="50"/>
  <c r="S237" i="50"/>
  <c r="AN237" i="50" s="1"/>
  <c r="AO237" i="50" s="1"/>
  <c r="AP237" i="50" s="1"/>
  <c r="AQ237" i="50" s="1"/>
  <c r="AR237" i="50" s="1"/>
  <c r="X237" i="50"/>
  <c r="AC237" i="50"/>
  <c r="N237" i="50"/>
  <c r="T237" i="50"/>
  <c r="Y237" i="50"/>
  <c r="AD237" i="50"/>
  <c r="P237" i="50"/>
  <c r="V237" i="50"/>
  <c r="Z237" i="50"/>
  <c r="AE237" i="50"/>
  <c r="Q237" i="50"/>
  <c r="W237" i="50"/>
  <c r="AB237" i="50"/>
  <c r="AF237" i="50"/>
  <c r="N233" i="50"/>
  <c r="T233" i="50"/>
  <c r="P233" i="50"/>
  <c r="Q233" i="50"/>
  <c r="M233" i="50"/>
  <c r="S233" i="50"/>
  <c r="W233" i="50" s="1"/>
  <c r="N229" i="50"/>
  <c r="T229" i="50"/>
  <c r="P229" i="50"/>
  <c r="Q229" i="50"/>
  <c r="M229" i="50"/>
  <c r="S229" i="50"/>
  <c r="AD229" i="50" s="1"/>
  <c r="Q227" i="50"/>
  <c r="M227" i="50"/>
  <c r="S227" i="50"/>
  <c r="N227" i="50"/>
  <c r="T227" i="50"/>
  <c r="P227" i="50"/>
  <c r="P221" i="50"/>
  <c r="V221" i="50"/>
  <c r="Z221" i="50"/>
  <c r="AE221" i="50"/>
  <c r="Q221" i="50"/>
  <c r="S221" i="50" s="1"/>
  <c r="AN221" i="50" s="1"/>
  <c r="AO221" i="50" s="1"/>
  <c r="AP221" i="50" s="1"/>
  <c r="AQ221" i="50" s="1"/>
  <c r="AR221" i="50" s="1"/>
  <c r="W221" i="50"/>
  <c r="AB221" i="50"/>
  <c r="AF221" i="50"/>
  <c r="M221" i="50"/>
  <c r="X221" i="50"/>
  <c r="AC221" i="50"/>
  <c r="AD221" i="50"/>
  <c r="N221" i="50"/>
  <c r="T221" i="50"/>
  <c r="Y221" i="50"/>
  <c r="I47" i="32"/>
  <c r="Y225" i="50" l="1"/>
  <c r="Y228" i="50"/>
  <c r="W232" i="50"/>
  <c r="AE234" i="50"/>
  <c r="AF235" i="50"/>
  <c r="AC228" i="50"/>
  <c r="Y224" i="50"/>
  <c r="Z235" i="50"/>
  <c r="AL235" i="50" s="1"/>
  <c r="Y235" i="50"/>
  <c r="W228" i="50"/>
  <c r="AE235" i="50"/>
  <c r="V235" i="50"/>
  <c r="V226" i="50"/>
  <c r="Z230" i="50"/>
  <c r="AC234" i="50"/>
  <c r="Z234" i="50"/>
  <c r="AB236" i="50"/>
  <c r="AD228" i="50"/>
  <c r="Z225" i="50"/>
  <c r="AI221" i="50"/>
  <c r="AU221" i="50" s="1"/>
  <c r="Y222" i="50"/>
  <c r="X222" i="50"/>
  <c r="V223" i="50"/>
  <c r="Y223" i="50"/>
  <c r="V224" i="50"/>
  <c r="Y226" i="50"/>
  <c r="AC232" i="50"/>
  <c r="AI232" i="50" s="1"/>
  <c r="AU232" i="50" s="1"/>
  <c r="AC224" i="50"/>
  <c r="AD225" i="50"/>
  <c r="AB227" i="50"/>
  <c r="V228" i="50"/>
  <c r="AF232" i="50"/>
  <c r="AD232" i="50"/>
  <c r="W224" i="50"/>
  <c r="AD224" i="50"/>
  <c r="AF236" i="50"/>
  <c r="AF231" i="50"/>
  <c r="Q39" i="24"/>
  <c r="Q38" i="66" s="1"/>
  <c r="P38" i="66"/>
  <c r="Q38" i="24"/>
  <c r="Q37" i="66" s="1"/>
  <c r="P37" i="66"/>
  <c r="Q40" i="24"/>
  <c r="Q39" i="66" s="1"/>
  <c r="P39" i="66"/>
  <c r="Q41" i="24"/>
  <c r="Q40" i="66" s="1"/>
  <c r="P40" i="66"/>
  <c r="AE227" i="50"/>
  <c r="AE233" i="50"/>
  <c r="AE232" i="50"/>
  <c r="AC233" i="50"/>
  <c r="AI233" i="50" s="1"/>
  <c r="AU233" i="50" s="1"/>
  <c r="AE228" i="50"/>
  <c r="AK228" i="50" s="1"/>
  <c r="Z232" i="50"/>
  <c r="AE224" i="50"/>
  <c r="AD226" i="50"/>
  <c r="Y234" i="50"/>
  <c r="V236" i="50"/>
  <c r="W225" i="50"/>
  <c r="X233" i="50"/>
  <c r="AC236" i="50"/>
  <c r="AC220" i="50"/>
  <c r="AI220" i="50" s="1"/>
  <c r="Y220" i="50"/>
  <c r="V220" i="50"/>
  <c r="W220" i="50"/>
  <c r="AF220" i="50"/>
  <c r="AD220" i="50"/>
  <c r="Z220" i="50"/>
  <c r="X220" i="50"/>
  <c r="AE220" i="50"/>
  <c r="AB220" i="50"/>
  <c r="AF227" i="50"/>
  <c r="X227" i="50"/>
  <c r="V227" i="50"/>
  <c r="AH227" i="50" s="1"/>
  <c r="AN227" i="50" s="1"/>
  <c r="AC227" i="50"/>
  <c r="Y227" i="50"/>
  <c r="W227" i="50"/>
  <c r="AD227" i="50"/>
  <c r="AJ227" i="50" s="1"/>
  <c r="Z227" i="50"/>
  <c r="AE229" i="50"/>
  <c r="W229" i="50"/>
  <c r="X229" i="50"/>
  <c r="AJ229" i="50" s="1"/>
  <c r="AB229" i="50"/>
  <c r="AC229" i="50"/>
  <c r="Y229" i="50"/>
  <c r="V229" i="50"/>
  <c r="AF229" i="50"/>
  <c r="Z229" i="50"/>
  <c r="AD222" i="50"/>
  <c r="Z222" i="50"/>
  <c r="W222" i="50"/>
  <c r="AC222" i="50"/>
  <c r="AE222" i="50"/>
  <c r="AB222" i="50"/>
  <c r="AF222" i="50"/>
  <c r="V222" i="50"/>
  <c r="AB238" i="50"/>
  <c r="AB226" i="50"/>
  <c r="X230" i="50"/>
  <c r="AF230" i="50"/>
  <c r="AL230" i="50" s="1"/>
  <c r="V230" i="50"/>
  <c r="AF223" i="50"/>
  <c r="AB231" i="50"/>
  <c r="Z233" i="50"/>
  <c r="AD233" i="50"/>
  <c r="X228" i="50"/>
  <c r="AJ228" i="50" s="1"/>
  <c r="AB232" i="50"/>
  <c r="V232" i="50"/>
  <c r="Y232" i="50"/>
  <c r="W238" i="50"/>
  <c r="AE238" i="50"/>
  <c r="AK238" i="50" s="1"/>
  <c r="X224" i="50"/>
  <c r="W226" i="50"/>
  <c r="AE226" i="50"/>
  <c r="AD230" i="50"/>
  <c r="AB230" i="50"/>
  <c r="X234" i="50"/>
  <c r="AF234" i="50"/>
  <c r="V234" i="50"/>
  <c r="AE236" i="50"/>
  <c r="AD236" i="50"/>
  <c r="X236" i="50"/>
  <c r="AJ236" i="50" s="1"/>
  <c r="W236" i="50"/>
  <c r="AI236" i="50" s="1"/>
  <c r="AU236" i="50" s="1"/>
  <c r="AB223" i="50"/>
  <c r="AE223" i="50"/>
  <c r="AC225" i="50"/>
  <c r="V225" i="50"/>
  <c r="AD231" i="50"/>
  <c r="W231" i="50"/>
  <c r="AB235" i="50"/>
  <c r="AF233" i="50"/>
  <c r="V233" i="50"/>
  <c r="Y233" i="50"/>
  <c r="X232" i="50"/>
  <c r="AC238" i="50"/>
  <c r="Z238" i="50"/>
  <c r="AD238" i="50"/>
  <c r="AC226" i="50"/>
  <c r="AI226" i="50" s="1"/>
  <c r="Z226" i="50"/>
  <c r="Y230" i="50"/>
  <c r="W230" i="50"/>
  <c r="AE230" i="50"/>
  <c r="AB234" i="50"/>
  <c r="Z236" i="50"/>
  <c r="Y236" i="50"/>
  <c r="AC223" i="50"/>
  <c r="W223" i="50"/>
  <c r="Z223" i="50"/>
  <c r="X225" i="50"/>
  <c r="AF225" i="50"/>
  <c r="AL225" i="50" s="1"/>
  <c r="AE231" i="50"/>
  <c r="Y231" i="50"/>
  <c r="AC231" i="50"/>
  <c r="AD235" i="50"/>
  <c r="W235" i="50"/>
  <c r="AB233" i="50"/>
  <c r="AB228" i="50"/>
  <c r="AF228" i="50"/>
  <c r="Z228" i="50"/>
  <c r="X238" i="50"/>
  <c r="AF238" i="50"/>
  <c r="V238" i="50"/>
  <c r="AH238" i="50" s="1"/>
  <c r="AN238" i="50" s="1"/>
  <c r="AB224" i="50"/>
  <c r="AF224" i="50"/>
  <c r="Z224" i="50"/>
  <c r="X226" i="50"/>
  <c r="AF226" i="50"/>
  <c r="AL226" i="50" s="1"/>
  <c r="AC230" i="50"/>
  <c r="AD234" i="50"/>
  <c r="AJ234" i="50" s="1"/>
  <c r="W234" i="50"/>
  <c r="AI234" i="50" s="1"/>
  <c r="AU234" i="50" s="1"/>
  <c r="AD223" i="50"/>
  <c r="X223" i="50"/>
  <c r="AB225" i="50"/>
  <c r="AE225" i="50"/>
  <c r="AK225" i="50" s="1"/>
  <c r="V231" i="50"/>
  <c r="AH231" i="50" s="1"/>
  <c r="AN231" i="50" s="1"/>
  <c r="Z231" i="50"/>
  <c r="AL231" i="50" s="1"/>
  <c r="X231" i="50"/>
  <c r="AC235" i="50"/>
  <c r="AH239" i="50"/>
  <c r="AT239" i="50" s="1"/>
  <c r="X235" i="50"/>
  <c r="AK221" i="50"/>
  <c r="AW221" i="50" s="1"/>
  <c r="AL237" i="50"/>
  <c r="AX237" i="50" s="1"/>
  <c r="AH221" i="50"/>
  <c r="AT221" i="50" s="1"/>
  <c r="AK239" i="50"/>
  <c r="AW239" i="50" s="1"/>
  <c r="AI239" i="50"/>
  <c r="AU239" i="50" s="1"/>
  <c r="AL221" i="50"/>
  <c r="AX221" i="50" s="1"/>
  <c r="AJ237" i="50"/>
  <c r="AV237" i="50" s="1"/>
  <c r="AJ221" i="50"/>
  <c r="AV221" i="50" s="1"/>
  <c r="AH237" i="50"/>
  <c r="AK237" i="50"/>
  <c r="AW237" i="50" s="1"/>
  <c r="AI237" i="50"/>
  <c r="AL239" i="50"/>
  <c r="AJ239" i="50"/>
  <c r="AI228" i="50"/>
  <c r="K149" i="65"/>
  <c r="K70" i="42"/>
  <c r="L70" i="42"/>
  <c r="J70" i="42"/>
  <c r="K43" i="68"/>
  <c r="U43" i="68" s="1"/>
  <c r="K40" i="68"/>
  <c r="O40" i="68" s="1"/>
  <c r="K39" i="68"/>
  <c r="P39" i="68" s="1"/>
  <c r="O39" i="68"/>
  <c r="AK224" i="50" l="1"/>
  <c r="AH233" i="50"/>
  <c r="AN233" i="50" s="1"/>
  <c r="AO233" i="50" s="1"/>
  <c r="AP233" i="50" s="1"/>
  <c r="AQ233" i="50" s="1"/>
  <c r="AR233" i="50" s="1"/>
  <c r="AK234" i="50"/>
  <c r="AJ235" i="50"/>
  <c r="AL228" i="50"/>
  <c r="AI238" i="50"/>
  <c r="AU238" i="50" s="1"/>
  <c r="AI227" i="50"/>
  <c r="AU227" i="50" s="1"/>
  <c r="AJ220" i="50"/>
  <c r="AJ233" i="50"/>
  <c r="AK222" i="50"/>
  <c r="AH226" i="50"/>
  <c r="AN226" i="50" s="1"/>
  <c r="AK235" i="50"/>
  <c r="AJ232" i="50"/>
  <c r="AH235" i="50"/>
  <c r="AT235" i="50" s="1"/>
  <c r="AO227" i="50"/>
  <c r="AP227" i="50" s="1"/>
  <c r="AH236" i="50"/>
  <c r="AN236" i="50" s="1"/>
  <c r="AO236" i="50" s="1"/>
  <c r="AP236" i="50" s="1"/>
  <c r="AH224" i="50"/>
  <c r="AT224" i="50" s="1"/>
  <c r="AL236" i="50"/>
  <c r="AJ226" i="50"/>
  <c r="AJ225" i="50"/>
  <c r="AL234" i="50"/>
  <c r="AJ223" i="50"/>
  <c r="AH232" i="50"/>
  <c r="AN232" i="50" s="1"/>
  <c r="AL222" i="50"/>
  <c r="AL229" i="50"/>
  <c r="AH222" i="50"/>
  <c r="AT222" i="50" s="1"/>
  <c r="AJ238" i="50"/>
  <c r="AI231" i="50"/>
  <c r="AU231" i="50" s="1"/>
  <c r="AH225" i="50"/>
  <c r="AN225" i="50" s="1"/>
  <c r="AK220" i="50"/>
  <c r="AI230" i="50"/>
  <c r="AU230" i="50" s="1"/>
  <c r="AK233" i="50"/>
  <c r="AH228" i="50"/>
  <c r="AT228" i="50" s="1"/>
  <c r="AJ222" i="50"/>
  <c r="AL224" i="50"/>
  <c r="AL238" i="50"/>
  <c r="AH230" i="50"/>
  <c r="AT230" i="50" s="1"/>
  <c r="AH234" i="50"/>
  <c r="AT234" i="50" s="1"/>
  <c r="AK226" i="50"/>
  <c r="AI229" i="50"/>
  <c r="AU229" i="50" s="1"/>
  <c r="AJ230" i="50"/>
  <c r="AL223" i="50"/>
  <c r="AK227" i="50"/>
  <c r="AL220" i="50"/>
  <c r="AI224" i="50"/>
  <c r="AU224" i="50" s="1"/>
  <c r="AT231" i="50"/>
  <c r="AK231" i="50"/>
  <c r="AH223" i="50"/>
  <c r="AT223" i="50" s="1"/>
  <c r="AJ224" i="50"/>
  <c r="AL233" i="50"/>
  <c r="AL227" i="50"/>
  <c r="AH220" i="50"/>
  <c r="AT220" i="50" s="1"/>
  <c r="AL232" i="50"/>
  <c r="AK223" i="50"/>
  <c r="AI223" i="50"/>
  <c r="AU223" i="50" s="1"/>
  <c r="AI225" i="50"/>
  <c r="AU225" i="50" s="1"/>
  <c r="AJ231" i="50"/>
  <c r="AK236" i="50"/>
  <c r="AK232" i="50"/>
  <c r="AI235" i="50"/>
  <c r="AU235" i="50" s="1"/>
  <c r="AK229" i="50"/>
  <c r="AH229" i="50"/>
  <c r="AT229" i="50" s="1"/>
  <c r="M150" i="65"/>
  <c r="W150" i="65" s="1"/>
  <c r="K150" i="65"/>
  <c r="AN235" i="50"/>
  <c r="AO226" i="50"/>
  <c r="AN222" i="50"/>
  <c r="AN220" i="50"/>
  <c r="AO220" i="50" s="1"/>
  <c r="AP220" i="50" s="1"/>
  <c r="AQ220" i="50" s="1"/>
  <c r="AR220" i="50" s="1"/>
  <c r="AN234" i="50"/>
  <c r="AO234" i="50" s="1"/>
  <c r="AP234" i="50" s="1"/>
  <c r="AQ234" i="50" s="1"/>
  <c r="AK230" i="50"/>
  <c r="AO232" i="50"/>
  <c r="AP232" i="50" s="1"/>
  <c r="AQ232" i="50" s="1"/>
  <c r="AO231" i="50"/>
  <c r="AI222" i="50"/>
  <c r="AU222" i="50" s="1"/>
  <c r="AU220" i="50"/>
  <c r="AX239" i="50"/>
  <c r="AU228" i="50"/>
  <c r="AV239" i="50"/>
  <c r="AT226" i="50"/>
  <c r="AT238" i="50"/>
  <c r="AT237" i="50"/>
  <c r="AT225" i="50"/>
  <c r="AU226" i="50"/>
  <c r="AT227" i="50"/>
  <c r="AU237" i="50"/>
  <c r="AT233" i="50"/>
  <c r="M149" i="65"/>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H19" i="62"/>
  <c r="I19" i="62"/>
  <c r="J19" i="62"/>
  <c r="I20" i="62"/>
  <c r="J20" i="62"/>
  <c r="H20" i="62"/>
  <c r="AN228" i="50" l="1"/>
  <c r="AO228" i="50" s="1"/>
  <c r="AP228" i="50" s="1"/>
  <c r="AQ228" i="50" s="1"/>
  <c r="AR228" i="50" s="1"/>
  <c r="AN224" i="50"/>
  <c r="AO238" i="50"/>
  <c r="AP238" i="50" s="1"/>
  <c r="AQ238" i="50" s="1"/>
  <c r="AR234" i="50"/>
  <c r="AN223" i="50"/>
  <c r="AO223" i="50" s="1"/>
  <c r="AP223" i="50" s="1"/>
  <c r="AQ223" i="50" s="1"/>
  <c r="AR223" i="50" s="1"/>
  <c r="AR232" i="50"/>
  <c r="AQ236" i="50"/>
  <c r="AR236" i="50" s="1"/>
  <c r="AP226" i="50"/>
  <c r="AQ226" i="50" s="1"/>
  <c r="AR226" i="50" s="1"/>
  <c r="AQ227" i="50"/>
  <c r="AR227" i="50" s="1"/>
  <c r="AT232" i="50"/>
  <c r="AT236" i="50"/>
  <c r="AP231" i="50"/>
  <c r="AQ231" i="50" s="1"/>
  <c r="AR231" i="50" s="1"/>
  <c r="AN230" i="50"/>
  <c r="AO230" i="50" s="1"/>
  <c r="AP230" i="50" s="1"/>
  <c r="AQ230" i="50" s="1"/>
  <c r="AR230" i="50" s="1"/>
  <c r="AO224" i="50"/>
  <c r="AP224" i="50" s="1"/>
  <c r="AQ224" i="50" s="1"/>
  <c r="AR224" i="50" s="1"/>
  <c r="AR238" i="50"/>
  <c r="N150" i="65"/>
  <c r="T150" i="65"/>
  <c r="R150" i="65"/>
  <c r="AO225" i="50"/>
  <c r="AP225" i="50" s="1"/>
  <c r="AQ225" i="50" s="1"/>
  <c r="AR225" i="50" s="1"/>
  <c r="AN229" i="50"/>
  <c r="AO229" i="50" s="1"/>
  <c r="AO235" i="50"/>
  <c r="AP235" i="50" s="1"/>
  <c r="AQ235" i="50" s="1"/>
  <c r="AR235" i="50" s="1"/>
  <c r="M122" i="66"/>
  <c r="P150" i="65"/>
  <c r="AH150" i="65"/>
  <c r="AI150" i="65" s="1"/>
  <c r="AJ150" i="65" s="1"/>
  <c r="AK150" i="65" s="1"/>
  <c r="AL150" i="65" s="1"/>
  <c r="Z150" i="65"/>
  <c r="AF150" i="65" s="1"/>
  <c r="S150" i="65"/>
  <c r="AE150" i="65" s="1"/>
  <c r="Y150" i="65"/>
  <c r="X150" i="65"/>
  <c r="Q150" i="65"/>
  <c r="AC150" i="65" s="1"/>
  <c r="V150" i="65"/>
  <c r="AB150" i="65" s="1"/>
  <c r="AO222" i="50"/>
  <c r="AP222" i="50" s="1"/>
  <c r="AQ222" i="50" s="1"/>
  <c r="AR222" i="50" s="1"/>
  <c r="S149" i="65"/>
  <c r="X149" i="65"/>
  <c r="AH149" i="65"/>
  <c r="AI149" i="65" s="1"/>
  <c r="AJ149" i="65" s="1"/>
  <c r="AK149" i="65" s="1"/>
  <c r="AL149" i="65" s="1"/>
  <c r="P149" i="65"/>
  <c r="T149" i="65"/>
  <c r="Y149" i="65"/>
  <c r="R149" i="65"/>
  <c r="V149" i="65"/>
  <c r="N149" i="65"/>
  <c r="W149" i="65"/>
  <c r="Q149" i="65"/>
  <c r="Z149" i="65"/>
  <c r="Q41" i="68"/>
  <c r="M41" i="68"/>
  <c r="U41" i="68"/>
  <c r="P42" i="68"/>
  <c r="P41" i="68"/>
  <c r="Z40" i="68"/>
  <c r="O42" i="68"/>
  <c r="AC40" i="68"/>
  <c r="AB43" i="68"/>
  <c r="U42" i="68"/>
  <c r="T42" i="68"/>
  <c r="S41" i="68"/>
  <c r="Y41" i="68" s="1"/>
  <c r="AE41" i="68" s="1"/>
  <c r="Y40" i="68"/>
  <c r="AC43" i="68"/>
  <c r="S42" i="68"/>
  <c r="O41" i="68"/>
  <c r="AB40" i="68"/>
  <c r="V42" i="68"/>
  <c r="N41" i="68"/>
  <c r="AC41" i="68"/>
  <c r="Y43" i="68"/>
  <c r="N42" i="68"/>
  <c r="Z42" i="68" s="1"/>
  <c r="M42" i="68"/>
  <c r="Q42" i="68"/>
  <c r="AC42" i="68" s="1"/>
  <c r="Z39" i="68"/>
  <c r="AE40" i="68"/>
  <c r="AF40" i="68" s="1"/>
  <c r="AG40" i="68" s="1"/>
  <c r="AC39" i="68"/>
  <c r="Z43" i="68"/>
  <c r="V41" i="68"/>
  <c r="AB41" i="68" s="1"/>
  <c r="T41" i="68"/>
  <c r="Y39" i="68"/>
  <c r="I48" i="42"/>
  <c r="J49" i="42"/>
  <c r="K50" i="42"/>
  <c r="L51" i="42"/>
  <c r="M52" i="42"/>
  <c r="N53" i="42"/>
  <c r="H47" i="42"/>
  <c r="AD150" i="65" l="1"/>
  <c r="AP229" i="50"/>
  <c r="AD149" i="65"/>
  <c r="AF149" i="65"/>
  <c r="AB149" i="65"/>
  <c r="AC149" i="65"/>
  <c r="AE149" i="65"/>
  <c r="AA42" i="68"/>
  <c r="AB42" i="68"/>
  <c r="Y42" i="68"/>
  <c r="AA41" i="68"/>
  <c r="AH40" i="68"/>
  <c r="AI40" i="68" s="1"/>
  <c r="AO40" i="68" s="1"/>
  <c r="AE42" i="68"/>
  <c r="AF42" i="68" s="1"/>
  <c r="AG42" i="68" s="1"/>
  <c r="AH42" i="68" s="1"/>
  <c r="AI42" i="68" s="1"/>
  <c r="AO42" i="68" s="1"/>
  <c r="AE39" i="68"/>
  <c r="AF39" i="68" s="1"/>
  <c r="AG39" i="68" s="1"/>
  <c r="AK41" i="68"/>
  <c r="AN40" i="68"/>
  <c r="AL40" i="68"/>
  <c r="AE43" i="68"/>
  <c r="AF43" i="68" s="1"/>
  <c r="AG43" i="68" s="1"/>
  <c r="AK40" i="68"/>
  <c r="AM40" i="68"/>
  <c r="Z41" i="68"/>
  <c r="AQ229" i="50" l="1"/>
  <c r="AR229" i="50" s="1"/>
  <c r="AL39" i="68"/>
  <c r="AL43" i="68"/>
  <c r="AK39" i="68"/>
  <c r="AK43" i="68"/>
  <c r="AL42" i="68"/>
  <c r="AM42" i="68"/>
  <c r="AN42" i="68"/>
  <c r="AF41" i="68"/>
  <c r="AG41" i="68" s="1"/>
  <c r="AH39" i="68"/>
  <c r="AM39" i="68"/>
  <c r="AK42" i="68"/>
  <c r="AH43" i="68"/>
  <c r="AM43" i="68"/>
  <c r="L18" i="32"/>
  <c r="M18" i="32"/>
  <c r="H47" i="68" l="1"/>
  <c r="AI39" i="68"/>
  <c r="AO39" i="68" s="1"/>
  <c r="AN39" i="68"/>
  <c r="AI43" i="68"/>
  <c r="AO43" i="68" s="1"/>
  <c r="AN43" i="68"/>
  <c r="AH41" i="68"/>
  <c r="AM41" i="68"/>
  <c r="J47" i="68" s="1"/>
  <c r="AL41" i="68"/>
  <c r="I47" i="68" s="1"/>
  <c r="AI41" i="68" l="1"/>
  <c r="AO41" i="68" s="1"/>
  <c r="L47" i="68" s="1"/>
  <c r="AN41" i="68"/>
  <c r="K47" i="68" s="1"/>
  <c r="K17" i="42"/>
  <c r="L17" i="42"/>
  <c r="M17" i="42"/>
  <c r="N17" i="42"/>
  <c r="J17" i="42"/>
  <c r="J16" i="50"/>
  <c r="J107" i="25"/>
  <c r="K107" i="25"/>
  <c r="L107" i="25"/>
  <c r="M107" i="25"/>
  <c r="N107" i="25"/>
  <c r="K106" i="25"/>
  <c r="L106" i="25"/>
  <c r="M106" i="25"/>
  <c r="N106" i="25"/>
  <c r="J106" i="25"/>
  <c r="F31" i="65"/>
  <c r="K51" i="65"/>
  <c r="AZ229" i="50" l="1"/>
  <c r="AZ235" i="50"/>
  <c r="AZ239" i="50"/>
  <c r="AZ221" i="50"/>
  <c r="AZ222" i="50"/>
  <c r="AZ231" i="50"/>
  <c r="AZ234" i="50"/>
  <c r="AZ220" i="50"/>
  <c r="AZ223" i="50"/>
  <c r="AZ228" i="50"/>
  <c r="AZ224" i="50"/>
  <c r="AZ230" i="50"/>
  <c r="AZ238" i="50"/>
  <c r="AZ236" i="50"/>
  <c r="AZ225" i="50"/>
  <c r="AZ226" i="50"/>
  <c r="AZ237" i="50"/>
  <c r="AZ233" i="50"/>
  <c r="AZ232" i="50"/>
  <c r="AZ227" i="50"/>
  <c r="AZ155" i="50"/>
  <c r="AZ151" i="50"/>
  <c r="AZ158" i="50"/>
  <c r="AZ143" i="50"/>
  <c r="AZ149" i="50"/>
  <c r="AZ148" i="50"/>
  <c r="AZ146" i="50"/>
  <c r="AZ157" i="50"/>
  <c r="AZ154" i="50"/>
  <c r="AZ145" i="50"/>
  <c r="AZ142" i="50"/>
  <c r="AZ152" i="50"/>
  <c r="K34" i="32"/>
  <c r="J34" i="32"/>
  <c r="I34" i="32"/>
  <c r="F25" i="62" l="1"/>
  <c r="F24" i="62"/>
  <c r="H65" i="62"/>
  <c r="I16" i="65" l="1"/>
  <c r="J16" i="65"/>
  <c r="K16" i="65"/>
  <c r="L16" i="65"/>
  <c r="H16" i="65"/>
  <c r="J49" i="25"/>
  <c r="F28" i="65"/>
  <c r="M51" i="65"/>
  <c r="L45" i="65"/>
  <c r="K44" i="65"/>
  <c r="J43" i="65"/>
  <c r="I42" i="65"/>
  <c r="H41" i="65"/>
  <c r="L38" i="65"/>
  <c r="K37" i="65"/>
  <c r="J36" i="65"/>
  <c r="I35" i="65"/>
  <c r="H34" i="65"/>
  <c r="F25" i="65"/>
  <c r="F22" i="65"/>
  <c r="F19" i="65"/>
  <c r="K48" i="25"/>
  <c r="L48" i="25"/>
  <c r="M48" i="25"/>
  <c r="N48" i="25"/>
  <c r="J48" i="25"/>
  <c r="I50" i="62"/>
  <c r="J51" i="62"/>
  <c r="K52" i="62"/>
  <c r="L53" i="62"/>
  <c r="M54" i="62"/>
  <c r="N55" i="62"/>
  <c r="O56" i="62"/>
  <c r="P57" i="62"/>
  <c r="Q58" i="62"/>
  <c r="H49" i="62"/>
  <c r="O44" i="62"/>
  <c r="P45" i="62"/>
  <c r="Q46" i="62"/>
  <c r="I38" i="62"/>
  <c r="J39" i="62"/>
  <c r="K40" i="62"/>
  <c r="L41" i="62"/>
  <c r="M42" i="62"/>
  <c r="N43" i="62"/>
  <c r="H37" i="62"/>
  <c r="I50" i="50"/>
  <c r="J51" i="50"/>
  <c r="K52" i="50"/>
  <c r="L53" i="50"/>
  <c r="M54" i="50"/>
  <c r="N55" i="50"/>
  <c r="I41" i="50"/>
  <c r="J42" i="50"/>
  <c r="K43" i="50"/>
  <c r="L44" i="50"/>
  <c r="M45" i="50"/>
  <c r="N46" i="50"/>
  <c r="H49" i="50"/>
  <c r="H40" i="50"/>
  <c r="I25" i="25"/>
  <c r="J26" i="25"/>
  <c r="K27" i="25"/>
  <c r="L28" i="25"/>
  <c r="M29" i="25"/>
  <c r="N30" i="25"/>
  <c r="I16" i="25"/>
  <c r="J17" i="25"/>
  <c r="K18" i="25"/>
  <c r="L19" i="25"/>
  <c r="M20" i="25"/>
  <c r="N21" i="25"/>
  <c r="H24" i="25"/>
  <c r="H15" i="25"/>
  <c r="N44" i="42"/>
  <c r="M43" i="42"/>
  <c r="L42" i="42"/>
  <c r="K41" i="42"/>
  <c r="J40" i="42"/>
  <c r="I39" i="42"/>
  <c r="H38" i="42"/>
  <c r="O60" i="42" s="1"/>
  <c r="R60" i="42" s="1"/>
  <c r="J56" i="24"/>
  <c r="L57" i="24"/>
  <c r="M57" i="24" s="1"/>
  <c r="L58" i="24"/>
  <c r="M59" i="24"/>
  <c r="N60" i="24"/>
  <c r="O61" i="24"/>
  <c r="L50" i="42" s="1"/>
  <c r="P62" i="24"/>
  <c r="Q63" i="24"/>
  <c r="I37" i="62"/>
  <c r="J40" i="50"/>
  <c r="N42" i="24"/>
  <c r="N43" i="24"/>
  <c r="O44" i="24"/>
  <c r="O43" i="66" s="1"/>
  <c r="P45" i="24"/>
  <c r="Q46" i="24"/>
  <c r="Q34" i="62"/>
  <c r="P33" i="62"/>
  <c r="O32" i="62"/>
  <c r="N31" i="62"/>
  <c r="M30" i="62"/>
  <c r="L29" i="62"/>
  <c r="K28" i="62"/>
  <c r="J80" i="25"/>
  <c r="J53" i="25"/>
  <c r="J55" i="25" s="1"/>
  <c r="J56" i="25" s="1"/>
  <c r="K156" i="65" l="1"/>
  <c r="I156" i="65"/>
  <c r="J156" i="65"/>
  <c r="AQ150" i="65"/>
  <c r="AQ149" i="65"/>
  <c r="AP150" i="65"/>
  <c r="AP149" i="65"/>
  <c r="AR150" i="65"/>
  <c r="AR149" i="65"/>
  <c r="AO150" i="65"/>
  <c r="AO149" i="65"/>
  <c r="AN150" i="65"/>
  <c r="AN149" i="65"/>
  <c r="N51" i="65"/>
  <c r="W51" i="65" s="1"/>
  <c r="N43" i="42"/>
  <c r="L156" i="65"/>
  <c r="M44" i="50"/>
  <c r="L43" i="50"/>
  <c r="O43" i="24"/>
  <c r="O42" i="62" s="1"/>
  <c r="Q57" i="62"/>
  <c r="N52" i="42"/>
  <c r="J25" i="25"/>
  <c r="J48" i="42"/>
  <c r="O60" i="24"/>
  <c r="K49" i="42"/>
  <c r="P56" i="62"/>
  <c r="M51" i="42"/>
  <c r="M58" i="24"/>
  <c r="I47" i="42"/>
  <c r="Q62" i="24"/>
  <c r="N51" i="42" s="1"/>
  <c r="N59" i="24"/>
  <c r="K48" i="42" s="1"/>
  <c r="K56" i="24"/>
  <c r="L56" i="24" s="1"/>
  <c r="K41" i="50"/>
  <c r="O42" i="24"/>
  <c r="Q45" i="24"/>
  <c r="I41" i="65"/>
  <c r="N42" i="62"/>
  <c r="M41" i="62"/>
  <c r="L40" i="62"/>
  <c r="K39" i="62"/>
  <c r="J38" i="62"/>
  <c r="N53" i="50"/>
  <c r="P61" i="24"/>
  <c r="M50" i="42" s="1"/>
  <c r="O55" i="62"/>
  <c r="L52" i="50"/>
  <c r="O59" i="24"/>
  <c r="L48" i="42" s="1"/>
  <c r="N54" i="62"/>
  <c r="K51" i="50"/>
  <c r="M52" i="62"/>
  <c r="L52" i="62"/>
  <c r="K51" i="62"/>
  <c r="J55" i="24"/>
  <c r="K55" i="24" s="1"/>
  <c r="J38" i="42"/>
  <c r="J39" i="42"/>
  <c r="K40" i="42"/>
  <c r="J15" i="25"/>
  <c r="J86" i="25" s="1"/>
  <c r="M19" i="25"/>
  <c r="L18" i="25"/>
  <c r="K16" i="25"/>
  <c r="I24" i="25"/>
  <c r="N29" i="25"/>
  <c r="N28" i="25"/>
  <c r="K26" i="25"/>
  <c r="I49" i="50"/>
  <c r="N54" i="50"/>
  <c r="M53" i="50"/>
  <c r="L44" i="65"/>
  <c r="Q45" i="62"/>
  <c r="K43" i="65"/>
  <c r="P44" i="62"/>
  <c r="P44" i="24"/>
  <c r="P43" i="66" s="1"/>
  <c r="J42" i="65"/>
  <c r="O43" i="62"/>
  <c r="N41" i="62"/>
  <c r="M40" i="62"/>
  <c r="O54" i="62"/>
  <c r="L51" i="50"/>
  <c r="N53" i="62"/>
  <c r="K50" i="50"/>
  <c r="M53" i="62"/>
  <c r="J50" i="50"/>
  <c r="N57" i="24"/>
  <c r="M51" i="62"/>
  <c r="L51" i="62"/>
  <c r="J50" i="62"/>
  <c r="I49" i="62"/>
  <c r="I38" i="42"/>
  <c r="P60" i="42" s="1"/>
  <c r="K39" i="42"/>
  <c r="L41" i="42"/>
  <c r="M42" i="42"/>
  <c r="I15" i="25"/>
  <c r="N20" i="25"/>
  <c r="K17" i="25"/>
  <c r="J16" i="25"/>
  <c r="J24" i="25"/>
  <c r="M28" i="25"/>
  <c r="L27" i="25"/>
  <c r="L26" i="25"/>
  <c r="I40" i="50"/>
  <c r="N45" i="50"/>
  <c r="K42" i="50"/>
  <c r="J41" i="50"/>
  <c r="J49" i="50"/>
  <c r="J65" i="62"/>
  <c r="I65" i="62"/>
  <c r="I35" i="32"/>
  <c r="J35" i="32"/>
  <c r="J54" i="32" s="1"/>
  <c r="I36" i="32"/>
  <c r="J36" i="32"/>
  <c r="I37" i="32"/>
  <c r="J37" i="32"/>
  <c r="I38" i="32"/>
  <c r="J38" i="32"/>
  <c r="I39" i="32"/>
  <c r="J39" i="32"/>
  <c r="I40" i="32"/>
  <c r="J40" i="32"/>
  <c r="I41" i="32"/>
  <c r="J41" i="32"/>
  <c r="I44" i="32"/>
  <c r="J44" i="32"/>
  <c r="I49" i="32"/>
  <c r="J49" i="32"/>
  <c r="J62" i="25"/>
  <c r="J63" i="25" s="1"/>
  <c r="E841" i="40"/>
  <c r="CE186" i="53"/>
  <c r="CF186" i="53"/>
  <c r="CG186" i="53"/>
  <c r="CH186" i="53"/>
  <c r="CD186" i="53"/>
  <c r="CC13" i="40" s="1"/>
  <c r="S60" i="42" l="1"/>
  <c r="U60" i="42" s="1"/>
  <c r="L42" i="50"/>
  <c r="P43" i="24"/>
  <c r="P42" i="66" s="1"/>
  <c r="AV230" i="50"/>
  <c r="AV231" i="50"/>
  <c r="AV228" i="50"/>
  <c r="AV225" i="50"/>
  <c r="AV227" i="50"/>
  <c r="AV234" i="50"/>
  <c r="AV235" i="50"/>
  <c r="AV224" i="50"/>
  <c r="AV226" i="50"/>
  <c r="AV233" i="50"/>
  <c r="AV238" i="50"/>
  <c r="AV232" i="50"/>
  <c r="AV229" i="50"/>
  <c r="AV236" i="50"/>
  <c r="O42" i="66"/>
  <c r="L40" i="42"/>
  <c r="L17" i="25"/>
  <c r="J41" i="65"/>
  <c r="L39" i="42"/>
  <c r="O41" i="66"/>
  <c r="Q155" i="50"/>
  <c r="Q145" i="50"/>
  <c r="Q139" i="50"/>
  <c r="S139" i="50" s="1"/>
  <c r="AN139" i="50" s="1"/>
  <c r="Q152" i="50"/>
  <c r="Q157" i="50"/>
  <c r="Q148" i="50"/>
  <c r="Q153" i="50"/>
  <c r="Q149" i="50"/>
  <c r="Q156" i="50"/>
  <c r="Q138" i="50"/>
  <c r="S138" i="50" s="1"/>
  <c r="AN138" i="50" s="1"/>
  <c r="Q140" i="50"/>
  <c r="S140" i="50" s="1"/>
  <c r="AN140" i="50" s="1"/>
  <c r="Q151" i="50"/>
  <c r="Q150" i="50"/>
  <c r="Q154" i="50"/>
  <c r="Q158" i="50"/>
  <c r="Q146" i="50"/>
  <c r="Q144" i="50"/>
  <c r="Q147" i="50"/>
  <c r="P51" i="65"/>
  <c r="Z51" i="65"/>
  <c r="S51" i="65"/>
  <c r="R51" i="65"/>
  <c r="V51" i="65"/>
  <c r="T51" i="65"/>
  <c r="Q51" i="65"/>
  <c r="Y51" i="65"/>
  <c r="X51" i="65"/>
  <c r="P42" i="24"/>
  <c r="P41" i="66" s="1"/>
  <c r="K50" i="62"/>
  <c r="Q56" i="62"/>
  <c r="L41" i="50"/>
  <c r="K25" i="25"/>
  <c r="L16" i="25"/>
  <c r="N58" i="24"/>
  <c r="J47" i="42"/>
  <c r="P60" i="24"/>
  <c r="L49" i="42"/>
  <c r="O41" i="62"/>
  <c r="J37" i="62"/>
  <c r="O57" i="24"/>
  <c r="N51" i="62"/>
  <c r="Q44" i="24"/>
  <c r="Q43" i="66" s="1"/>
  <c r="K42" i="65"/>
  <c r="P43" i="62"/>
  <c r="M43" i="50"/>
  <c r="M18" i="25"/>
  <c r="M41" i="42"/>
  <c r="Q61" i="24"/>
  <c r="N50" i="42" s="1"/>
  <c r="P55" i="62"/>
  <c r="M52" i="50"/>
  <c r="M27" i="25"/>
  <c r="K38" i="62"/>
  <c r="L39" i="62"/>
  <c r="M39" i="42"/>
  <c r="M56" i="24"/>
  <c r="L50" i="62"/>
  <c r="N40" i="62"/>
  <c r="K40" i="50"/>
  <c r="K15" i="25"/>
  <c r="K38" i="42"/>
  <c r="J49" i="62"/>
  <c r="O53" i="62"/>
  <c r="L50" i="50"/>
  <c r="L25" i="25"/>
  <c r="P59" i="24"/>
  <c r="M48" i="42" s="1"/>
  <c r="Q43" i="24"/>
  <c r="Q42" i="66" s="1"/>
  <c r="K41" i="65"/>
  <c r="P42" i="62"/>
  <c r="M42" i="50"/>
  <c r="M17" i="25"/>
  <c r="M40" i="42"/>
  <c r="L43" i="65"/>
  <c r="Q44" i="62"/>
  <c r="N44" i="50"/>
  <c r="N19" i="25"/>
  <c r="N42" i="42"/>
  <c r="K18" i="32"/>
  <c r="P41" i="62" l="1"/>
  <c r="AV220" i="50"/>
  <c r="AV223" i="50"/>
  <c r="AV222" i="50"/>
  <c r="M16" i="25"/>
  <c r="Q42" i="24"/>
  <c r="Q41" i="66" s="1"/>
  <c r="AW234" i="50"/>
  <c r="AW224" i="50"/>
  <c r="AW228" i="50"/>
  <c r="AW226" i="50"/>
  <c r="AW227" i="50"/>
  <c r="AW236" i="50"/>
  <c r="AW225" i="50"/>
  <c r="AW235" i="50"/>
  <c r="AW233" i="50"/>
  <c r="AW238" i="50"/>
  <c r="AW231" i="50"/>
  <c r="AW232" i="50"/>
  <c r="AW230" i="50"/>
  <c r="AW229" i="50"/>
  <c r="M41" i="50"/>
  <c r="AO140" i="50"/>
  <c r="AZ140" i="50"/>
  <c r="AO139" i="50"/>
  <c r="AZ139" i="50"/>
  <c r="AO138" i="50"/>
  <c r="AB51" i="65"/>
  <c r="AH51" i="65" s="1"/>
  <c r="H156" i="65" s="1"/>
  <c r="O58" i="24"/>
  <c r="K47" i="42"/>
  <c r="K24" i="25"/>
  <c r="K86" i="25" s="1"/>
  <c r="N52" i="62"/>
  <c r="K49" i="50"/>
  <c r="M49" i="42"/>
  <c r="M26" i="25"/>
  <c r="Q60" i="24"/>
  <c r="P54" i="62"/>
  <c r="M51" i="50"/>
  <c r="K37" i="62"/>
  <c r="Q42" i="62"/>
  <c r="L41" i="65"/>
  <c r="N40" i="42"/>
  <c r="N42" i="50"/>
  <c r="N17" i="25"/>
  <c r="O40" i="62"/>
  <c r="L40" i="50"/>
  <c r="L15" i="25"/>
  <c r="L38" i="42"/>
  <c r="N16" i="25"/>
  <c r="N39" i="42"/>
  <c r="M39" i="62"/>
  <c r="L38" i="62"/>
  <c r="Q55" i="62"/>
  <c r="N52" i="50"/>
  <c r="N27" i="25"/>
  <c r="P57" i="24"/>
  <c r="O51" i="62"/>
  <c r="P53" i="62"/>
  <c r="M50" i="50"/>
  <c r="M25" i="25"/>
  <c r="Q59" i="24"/>
  <c r="N48" i="42" s="1"/>
  <c r="L55" i="24"/>
  <c r="K49" i="62"/>
  <c r="N56" i="24"/>
  <c r="M50" i="62"/>
  <c r="L42" i="65"/>
  <c r="Q43" i="62"/>
  <c r="N41" i="42"/>
  <c r="N43" i="50"/>
  <c r="N18" i="25"/>
  <c r="N41" i="50" l="1"/>
  <c r="Q41" i="62"/>
  <c r="AX233" i="50"/>
  <c r="AX229" i="50"/>
  <c r="AX231" i="50"/>
  <c r="AX234" i="50"/>
  <c r="AX235" i="50"/>
  <c r="AX232" i="50"/>
  <c r="AX224" i="50"/>
  <c r="AX226" i="50"/>
  <c r="AX230" i="50"/>
  <c r="AX238" i="50"/>
  <c r="AX227" i="50"/>
  <c r="AX236" i="50"/>
  <c r="AX225" i="50"/>
  <c r="AX228" i="50"/>
  <c r="AX220" i="50"/>
  <c r="AX222" i="50"/>
  <c r="AX223" i="50"/>
  <c r="AW222" i="50"/>
  <c r="AW223" i="50"/>
  <c r="AW220" i="50"/>
  <c r="AP139" i="50"/>
  <c r="AP138" i="50"/>
  <c r="AP140" i="50"/>
  <c r="N49" i="42"/>
  <c r="Q54" i="62"/>
  <c r="N51" i="50"/>
  <c r="N26" i="25"/>
  <c r="O52" i="62"/>
  <c r="L47" i="42"/>
  <c r="P58" i="24"/>
  <c r="L49" i="50"/>
  <c r="L24" i="25"/>
  <c r="L86" i="25" s="1"/>
  <c r="L37" i="62"/>
  <c r="M55" i="24"/>
  <c r="L49" i="62"/>
  <c r="Q57" i="24"/>
  <c r="Q51" i="62" s="1"/>
  <c r="P51" i="62"/>
  <c r="M38" i="62"/>
  <c r="N39" i="62"/>
  <c r="O56" i="24"/>
  <c r="N50" i="62"/>
  <c r="Q53" i="62"/>
  <c r="N50" i="50"/>
  <c r="N25" i="25"/>
  <c r="P40" i="62"/>
  <c r="M40" i="50"/>
  <c r="M15" i="25"/>
  <c r="M38" i="42"/>
  <c r="AD51" i="65"/>
  <c r="AE51" i="65"/>
  <c r="AC51" i="65"/>
  <c r="AI51" i="65" s="1"/>
  <c r="AF51" i="65"/>
  <c r="M26" i="32"/>
  <c r="L25" i="32"/>
  <c r="K24" i="32"/>
  <c r="J23" i="32"/>
  <c r="I22" i="32"/>
  <c r="H21" i="32"/>
  <c r="AQ138" i="50" l="1"/>
  <c r="AQ140" i="50"/>
  <c r="AQ139" i="50"/>
  <c r="AJ51" i="65"/>
  <c r="AK51" i="65" s="1"/>
  <c r="AL51" i="65" s="1"/>
  <c r="M49" i="50"/>
  <c r="M47" i="42"/>
  <c r="M24" i="25"/>
  <c r="M86" i="25" s="1"/>
  <c r="P52" i="62"/>
  <c r="Q58" i="24"/>
  <c r="M37" i="62"/>
  <c r="O39" i="62"/>
  <c r="N38" i="62"/>
  <c r="Q40" i="62"/>
  <c r="N40" i="50"/>
  <c r="N15" i="25"/>
  <c r="N38" i="42"/>
  <c r="P56" i="24"/>
  <c r="O50" i="62"/>
  <c r="N55" i="24"/>
  <c r="M49" i="62"/>
  <c r="AR140" i="50" l="1"/>
  <c r="AR139" i="50"/>
  <c r="AR138" i="50"/>
  <c r="AN51" i="65"/>
  <c r="N47" i="42"/>
  <c r="N24" i="25"/>
  <c r="N86" i="25" s="1"/>
  <c r="Q52" i="62"/>
  <c r="N49" i="50"/>
  <c r="M66" i="62"/>
  <c r="N37" i="62"/>
  <c r="O55" i="24"/>
  <c r="N49" i="62"/>
  <c r="Q56" i="24"/>
  <c r="Q50" i="62" s="1"/>
  <c r="P50" i="62"/>
  <c r="O38" i="62"/>
  <c r="Q39" i="62"/>
  <c r="P39" i="62"/>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528" i="40"/>
  <c r="F529" i="40"/>
  <c r="F530" i="40"/>
  <c r="F531" i="40"/>
  <c r="F532" i="40"/>
  <c r="F533" i="40"/>
  <c r="F534" i="40"/>
  <c r="F535" i="40"/>
  <c r="F536" i="40"/>
  <c r="F537" i="40"/>
  <c r="F538" i="40"/>
  <c r="F539" i="40"/>
  <c r="F540" i="40"/>
  <c r="F541" i="40"/>
  <c r="F542" i="40"/>
  <c r="F543" i="40"/>
  <c r="F544" i="40"/>
  <c r="F545" i="40"/>
  <c r="F546" i="40"/>
  <c r="F547" i="40"/>
  <c r="F548" i="40"/>
  <c r="F549" i="40"/>
  <c r="F550" i="40"/>
  <c r="F551" i="40"/>
  <c r="F552" i="40"/>
  <c r="F553" i="40"/>
  <c r="F554" i="40"/>
  <c r="F555" i="40"/>
  <c r="F556" i="40"/>
  <c r="F557" i="40"/>
  <c r="F558" i="40"/>
  <c r="F559" i="40"/>
  <c r="F560" i="40"/>
  <c r="F561" i="40"/>
  <c r="F562" i="40"/>
  <c r="F563" i="40"/>
  <c r="F564" i="40"/>
  <c r="F565" i="40"/>
  <c r="F566" i="40"/>
  <c r="F567" i="40"/>
  <c r="F568" i="40"/>
  <c r="F569" i="40"/>
  <c r="F570" i="40"/>
  <c r="F571" i="40"/>
  <c r="F572" i="40"/>
  <c r="F573" i="40"/>
  <c r="F574" i="40"/>
  <c r="F575" i="40"/>
  <c r="F576" i="40"/>
  <c r="F577" i="40"/>
  <c r="F578" i="40"/>
  <c r="F579" i="40"/>
  <c r="F580" i="40"/>
  <c r="F581" i="40"/>
  <c r="F582" i="40"/>
  <c r="F583" i="40"/>
  <c r="F584" i="40"/>
  <c r="F585" i="40"/>
  <c r="F586" i="40"/>
  <c r="F587" i="40"/>
  <c r="F588" i="40"/>
  <c r="F589" i="40"/>
  <c r="F590" i="40"/>
  <c r="F591" i="40"/>
  <c r="F592" i="40"/>
  <c r="F593" i="40"/>
  <c r="F594" i="40"/>
  <c r="F595" i="40"/>
  <c r="F596" i="40"/>
  <c r="F597" i="40"/>
  <c r="F598" i="40"/>
  <c r="F599" i="40"/>
  <c r="F600" i="40"/>
  <c r="F601" i="40"/>
  <c r="F602" i="40"/>
  <c r="F603" i="40"/>
  <c r="F604" i="40"/>
  <c r="F605" i="40"/>
  <c r="F606" i="40"/>
  <c r="F607" i="40"/>
  <c r="F608" i="40"/>
  <c r="F609" i="40"/>
  <c r="F610" i="40"/>
  <c r="F611" i="40"/>
  <c r="F612" i="40"/>
  <c r="F613" i="40"/>
  <c r="F614" i="40"/>
  <c r="F615" i="40"/>
  <c r="F616" i="40"/>
  <c r="F617" i="40"/>
  <c r="F618" i="40"/>
  <c r="F619" i="40"/>
  <c r="F620" i="40"/>
  <c r="F621" i="40"/>
  <c r="F622" i="40"/>
  <c r="F623" i="40"/>
  <c r="F624" i="40"/>
  <c r="F625" i="40"/>
  <c r="F626" i="40"/>
  <c r="F627" i="40"/>
  <c r="F628" i="40"/>
  <c r="F629" i="40"/>
  <c r="F630" i="40"/>
  <c r="F631" i="40"/>
  <c r="F632" i="40"/>
  <c r="F633" i="40"/>
  <c r="F634" i="40"/>
  <c r="F635" i="40"/>
  <c r="F636" i="40"/>
  <c r="F637" i="40"/>
  <c r="F638" i="40"/>
  <c r="F639" i="40"/>
  <c r="F640" i="40"/>
  <c r="F641" i="40"/>
  <c r="F642" i="40"/>
  <c r="F643" i="40"/>
  <c r="F644" i="40"/>
  <c r="F645" i="40"/>
  <c r="F646" i="40"/>
  <c r="F647" i="40"/>
  <c r="F648" i="40"/>
  <c r="F649" i="40"/>
  <c r="F650" i="40"/>
  <c r="F651" i="40"/>
  <c r="F652" i="40"/>
  <c r="F653" i="40"/>
  <c r="F654" i="40"/>
  <c r="F655" i="40"/>
  <c r="F656" i="40"/>
  <c r="F657" i="40"/>
  <c r="F658" i="40"/>
  <c r="F659" i="40"/>
  <c r="F660" i="40"/>
  <c r="F661" i="40"/>
  <c r="F662" i="40"/>
  <c r="F663" i="40"/>
  <c r="F664" i="40"/>
  <c r="F665" i="40"/>
  <c r="F666" i="40"/>
  <c r="F667" i="40"/>
  <c r="F668" i="40"/>
  <c r="F669" i="40"/>
  <c r="F670" i="40"/>
  <c r="F671" i="40"/>
  <c r="F672" i="40"/>
  <c r="F673" i="40"/>
  <c r="F674" i="40"/>
  <c r="F675" i="40"/>
  <c r="F676" i="40"/>
  <c r="F677" i="40"/>
  <c r="F678" i="40"/>
  <c r="F679" i="40"/>
  <c r="F680" i="40"/>
  <c r="F681" i="40"/>
  <c r="F682" i="40"/>
  <c r="F683" i="40"/>
  <c r="F684" i="40"/>
  <c r="F685" i="40"/>
  <c r="F686" i="40"/>
  <c r="F687" i="40"/>
  <c r="F688" i="40"/>
  <c r="F689" i="40"/>
  <c r="F690" i="40"/>
  <c r="F691" i="40"/>
  <c r="F692" i="40"/>
  <c r="F693" i="40"/>
  <c r="F694" i="40"/>
  <c r="F695" i="40"/>
  <c r="F696" i="40"/>
  <c r="F697" i="40"/>
  <c r="F698" i="40"/>
  <c r="F699" i="40"/>
  <c r="F700" i="40"/>
  <c r="F701" i="40"/>
  <c r="F702" i="40"/>
  <c r="F703" i="40"/>
  <c r="F704" i="40"/>
  <c r="F705" i="40"/>
  <c r="F706" i="40"/>
  <c r="F707" i="40"/>
  <c r="F708" i="40"/>
  <c r="F709" i="40"/>
  <c r="F710" i="40"/>
  <c r="F711" i="40"/>
  <c r="F712" i="40"/>
  <c r="F713" i="40"/>
  <c r="F714" i="40"/>
  <c r="F715" i="40"/>
  <c r="F716" i="40"/>
  <c r="F717" i="40"/>
  <c r="F718" i="40"/>
  <c r="F719" i="40"/>
  <c r="F720" i="40"/>
  <c r="F721" i="40"/>
  <c r="F722" i="40"/>
  <c r="F723" i="40"/>
  <c r="F724" i="40"/>
  <c r="F725" i="40"/>
  <c r="F726" i="40"/>
  <c r="F727" i="40"/>
  <c r="F728" i="40"/>
  <c r="F729" i="40"/>
  <c r="F730" i="40"/>
  <c r="F731" i="40"/>
  <c r="F732" i="40"/>
  <c r="F733" i="40"/>
  <c r="F734" i="40"/>
  <c r="F735" i="40"/>
  <c r="F736" i="40"/>
  <c r="F737" i="40"/>
  <c r="F738" i="40"/>
  <c r="F739" i="40"/>
  <c r="F740" i="40"/>
  <c r="F741" i="40"/>
  <c r="F742" i="40"/>
  <c r="F743" i="40"/>
  <c r="F744" i="40"/>
  <c r="F745" i="40"/>
  <c r="F746" i="40"/>
  <c r="F747" i="40"/>
  <c r="F748" i="40"/>
  <c r="F749" i="40"/>
  <c r="F750" i="40"/>
  <c r="F751" i="40"/>
  <c r="F752" i="40"/>
  <c r="F753" i="40"/>
  <c r="F754" i="40"/>
  <c r="F755" i="40"/>
  <c r="F756" i="40"/>
  <c r="F757" i="40"/>
  <c r="F758"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527"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I115" i="50"/>
  <c r="J115" i="50"/>
  <c r="K115" i="50"/>
  <c r="B116" i="50"/>
  <c r="F116" i="50"/>
  <c r="H116" i="50"/>
  <c r="I116" i="50"/>
  <c r="J116" i="50"/>
  <c r="K116" i="50"/>
  <c r="B117" i="50"/>
  <c r="F117" i="50"/>
  <c r="H117" i="50"/>
  <c r="I117" i="50"/>
  <c r="J117" i="50"/>
  <c r="K117" i="50"/>
  <c r="B118" i="50"/>
  <c r="F118" i="50"/>
  <c r="H118" i="50"/>
  <c r="I118" i="50"/>
  <c r="J118" i="50"/>
  <c r="K118" i="50"/>
  <c r="B119" i="50"/>
  <c r="F119" i="50"/>
  <c r="H119" i="50"/>
  <c r="I119" i="50"/>
  <c r="J119" i="50"/>
  <c r="K119" i="50"/>
  <c r="B120" i="50"/>
  <c r="F120" i="50"/>
  <c r="H120" i="50"/>
  <c r="I120" i="50"/>
  <c r="J120" i="50"/>
  <c r="K120" i="50"/>
  <c r="B121" i="50"/>
  <c r="F121" i="50"/>
  <c r="H121" i="50"/>
  <c r="I121" i="50"/>
  <c r="J121" i="50"/>
  <c r="K121" i="50"/>
  <c r="B122" i="50"/>
  <c r="F122" i="50"/>
  <c r="H122" i="50"/>
  <c r="I122" i="50"/>
  <c r="J122" i="50"/>
  <c r="K122" i="50"/>
  <c r="B123" i="50"/>
  <c r="F123" i="50"/>
  <c r="H123" i="50"/>
  <c r="I123" i="50"/>
  <c r="J123" i="50"/>
  <c r="K123" i="50"/>
  <c r="B124" i="50"/>
  <c r="F124" i="50"/>
  <c r="H124" i="50"/>
  <c r="I124" i="50"/>
  <c r="J124" i="50"/>
  <c r="K124" i="50"/>
  <c r="B125" i="50"/>
  <c r="F125" i="50"/>
  <c r="H125" i="50"/>
  <c r="I125" i="50"/>
  <c r="J125" i="50"/>
  <c r="K125" i="50"/>
  <c r="B126" i="50"/>
  <c r="F126" i="50"/>
  <c r="H126" i="50"/>
  <c r="I126" i="50"/>
  <c r="J126" i="50"/>
  <c r="K126" i="50"/>
  <c r="B127" i="50"/>
  <c r="F127" i="50"/>
  <c r="H127" i="50"/>
  <c r="I127" i="50"/>
  <c r="J127" i="50"/>
  <c r="K127" i="50"/>
  <c r="B128" i="50"/>
  <c r="F128" i="50"/>
  <c r="H128" i="50"/>
  <c r="I128" i="50"/>
  <c r="J128" i="50"/>
  <c r="K128" i="50"/>
  <c r="B129" i="50"/>
  <c r="F129" i="50"/>
  <c r="H129" i="50"/>
  <c r="I129" i="50"/>
  <c r="J129" i="50"/>
  <c r="K129" i="50"/>
  <c r="B130" i="50"/>
  <c r="F130" i="50"/>
  <c r="H130" i="50"/>
  <c r="I130" i="50"/>
  <c r="J130" i="50"/>
  <c r="K130" i="50"/>
  <c r="B131" i="50"/>
  <c r="F131" i="50"/>
  <c r="H131" i="50"/>
  <c r="I131" i="50"/>
  <c r="J131" i="50"/>
  <c r="K131" i="50"/>
  <c r="B132" i="50"/>
  <c r="F132" i="50"/>
  <c r="H132" i="50"/>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CG13" i="40"/>
  <c r="CF13" i="40"/>
  <c r="CE13" i="40"/>
  <c r="CD13" i="40"/>
  <c r="J183" i="50"/>
  <c r="J246" i="50" l="1"/>
  <c r="J254" i="50"/>
  <c r="P214" i="50"/>
  <c r="M214" i="50"/>
  <c r="T214" i="50"/>
  <c r="N214" i="50"/>
  <c r="Q214" i="50" s="1"/>
  <c r="S214" i="50" s="1"/>
  <c r="M211" i="50"/>
  <c r="N211" i="50"/>
  <c r="Q211" i="50" s="1"/>
  <c r="S211" i="50" s="1"/>
  <c r="T211" i="50"/>
  <c r="P211" i="50"/>
  <c r="M216" i="50"/>
  <c r="T216" i="50"/>
  <c r="N216" i="50"/>
  <c r="Q216" i="50" s="1"/>
  <c r="S216" i="50" s="1"/>
  <c r="P216" i="50"/>
  <c r="M212" i="50"/>
  <c r="N212" i="50"/>
  <c r="Q212" i="50" s="1"/>
  <c r="S212" i="50" s="1"/>
  <c r="T212" i="50"/>
  <c r="P212" i="50"/>
  <c r="N208" i="50"/>
  <c r="Q208" i="50" s="1"/>
  <c r="S208" i="50" s="1"/>
  <c r="T208" i="50"/>
  <c r="P208" i="50"/>
  <c r="M208" i="50"/>
  <c r="T204" i="50"/>
  <c r="M204" i="50"/>
  <c r="N204" i="50"/>
  <c r="Q204" i="50" s="1"/>
  <c r="S204" i="50" s="1"/>
  <c r="P204" i="50"/>
  <c r="T200" i="50"/>
  <c r="M200" i="50"/>
  <c r="N200" i="50"/>
  <c r="P200" i="50"/>
  <c r="M196" i="50"/>
  <c r="P196" i="50" s="1"/>
  <c r="N196" i="50"/>
  <c r="T196" i="50"/>
  <c r="T192" i="50"/>
  <c r="M192" i="50"/>
  <c r="P192" i="50" s="1"/>
  <c r="N192" i="50"/>
  <c r="N188" i="50"/>
  <c r="T188" i="50"/>
  <c r="M188" i="50"/>
  <c r="P188" i="50" s="1"/>
  <c r="M184" i="50"/>
  <c r="P184" i="50" s="1"/>
  <c r="N184" i="50"/>
  <c r="T184" i="50"/>
  <c r="N219" i="50"/>
  <c r="Q219" i="50" s="1"/>
  <c r="S219" i="50" s="1"/>
  <c r="P219" i="50"/>
  <c r="M219" i="50"/>
  <c r="T219" i="50"/>
  <c r="M217" i="50"/>
  <c r="T217" i="50"/>
  <c r="N217" i="50"/>
  <c r="Q217" i="50" s="1"/>
  <c r="S217" i="50" s="1"/>
  <c r="P217" i="50"/>
  <c r="M213" i="50"/>
  <c r="N213" i="50"/>
  <c r="Q213" i="50" s="1"/>
  <c r="S213" i="50" s="1"/>
  <c r="T213" i="50"/>
  <c r="P213" i="50"/>
  <c r="N209" i="50"/>
  <c r="Q209" i="50" s="1"/>
  <c r="S209" i="50" s="1"/>
  <c r="T209" i="50"/>
  <c r="P209" i="50"/>
  <c r="M209" i="50"/>
  <c r="T205" i="50"/>
  <c r="M205" i="50"/>
  <c r="N205" i="50"/>
  <c r="Q205" i="50" s="1"/>
  <c r="S205" i="50" s="1"/>
  <c r="P205" i="50"/>
  <c r="M201" i="50"/>
  <c r="P201" i="50" s="1"/>
  <c r="N201" i="50"/>
  <c r="T201" i="50"/>
  <c r="T197" i="50"/>
  <c r="M197" i="50"/>
  <c r="P197" i="50" s="1"/>
  <c r="N197" i="50"/>
  <c r="T193" i="50"/>
  <c r="M193" i="50"/>
  <c r="P193" i="50" s="1"/>
  <c r="N193" i="50"/>
  <c r="N189" i="50"/>
  <c r="T189" i="50"/>
  <c r="M189" i="50"/>
  <c r="P189" i="50" s="1"/>
  <c r="T185" i="50"/>
  <c r="M185" i="50"/>
  <c r="P185" i="50" s="1"/>
  <c r="N185" i="50"/>
  <c r="M210" i="50"/>
  <c r="N210" i="50"/>
  <c r="Q210" i="50" s="1"/>
  <c r="S210" i="50" s="1"/>
  <c r="T210" i="50"/>
  <c r="P210" i="50"/>
  <c r="M206" i="50"/>
  <c r="T206" i="50"/>
  <c r="N206" i="50"/>
  <c r="Q206" i="50" s="1"/>
  <c r="S206" i="50" s="1"/>
  <c r="P206" i="50"/>
  <c r="M202" i="50"/>
  <c r="N202" i="50"/>
  <c r="Q202" i="50" s="1"/>
  <c r="S202" i="50" s="1"/>
  <c r="P202" i="50"/>
  <c r="T202" i="50"/>
  <c r="M198" i="50"/>
  <c r="P198" i="50" s="1"/>
  <c r="T198" i="50"/>
  <c r="N198" i="50"/>
  <c r="M194" i="50"/>
  <c r="P194" i="50" s="1"/>
  <c r="T194" i="50"/>
  <c r="N194" i="50"/>
  <c r="T190" i="50"/>
  <c r="M190" i="50"/>
  <c r="P190" i="50" s="1"/>
  <c r="N190" i="50"/>
  <c r="T186" i="50"/>
  <c r="M186" i="50"/>
  <c r="P186" i="50" s="1"/>
  <c r="N186" i="50"/>
  <c r="P218" i="50"/>
  <c r="M218" i="50"/>
  <c r="T218" i="50"/>
  <c r="N218" i="50"/>
  <c r="Q218" i="50" s="1"/>
  <c r="S218" i="50" s="1"/>
  <c r="N215" i="50"/>
  <c r="Q215" i="50" s="1"/>
  <c r="S215" i="50" s="1"/>
  <c r="P215" i="50"/>
  <c r="M215" i="50"/>
  <c r="T215" i="50"/>
  <c r="N207" i="50"/>
  <c r="Q207" i="50" s="1"/>
  <c r="S207" i="50" s="1"/>
  <c r="T207" i="50"/>
  <c r="P207" i="50"/>
  <c r="M207" i="50"/>
  <c r="T203" i="50"/>
  <c r="M203" i="50"/>
  <c r="N203" i="50"/>
  <c r="Q203" i="50" s="1"/>
  <c r="S203" i="50" s="1"/>
  <c r="P203" i="50"/>
  <c r="T199" i="50"/>
  <c r="M199" i="50"/>
  <c r="P199" i="50" s="1"/>
  <c r="N199" i="50"/>
  <c r="M195" i="50"/>
  <c r="P195" i="50" s="1"/>
  <c r="T195" i="50"/>
  <c r="N195" i="50"/>
  <c r="T191" i="50"/>
  <c r="M191" i="50"/>
  <c r="P191" i="50" s="1"/>
  <c r="N191" i="50"/>
  <c r="T187" i="50"/>
  <c r="M187" i="50"/>
  <c r="P187" i="50" s="1"/>
  <c r="N187" i="50"/>
  <c r="AN136" i="50"/>
  <c r="AO136" i="50"/>
  <c r="AP136" i="50"/>
  <c r="P136" i="50"/>
  <c r="S136" i="50" s="1"/>
  <c r="Q136" i="50"/>
  <c r="Q134" i="50"/>
  <c r="P134" i="50"/>
  <c r="S134" i="50" s="1"/>
  <c r="AN134" i="50"/>
  <c r="P132" i="50"/>
  <c r="AQ130" i="50"/>
  <c r="Q130" i="50"/>
  <c r="AN130" i="50"/>
  <c r="AO130" i="50"/>
  <c r="P130" i="50"/>
  <c r="S130" i="50" s="1"/>
  <c r="AP130" i="50"/>
  <c r="AN128" i="50"/>
  <c r="Q128" i="50"/>
  <c r="AO128" i="50"/>
  <c r="P128" i="50"/>
  <c r="S128" i="50" s="1"/>
  <c r="Q126" i="50"/>
  <c r="P126" i="50"/>
  <c r="S126" i="50" s="1"/>
  <c r="Q122" i="50"/>
  <c r="AN122" i="50"/>
  <c r="AO122" i="50"/>
  <c r="AP122" i="50"/>
  <c r="P122" i="50"/>
  <c r="S122" i="50" s="1"/>
  <c r="AQ122" i="50"/>
  <c r="AP120" i="50"/>
  <c r="AQ120" i="50"/>
  <c r="Q120" i="50"/>
  <c r="AN120" i="50"/>
  <c r="AO120" i="50"/>
  <c r="P120" i="50"/>
  <c r="S120" i="50" s="1"/>
  <c r="Q118" i="50"/>
  <c r="AN118" i="50"/>
  <c r="AO118" i="50"/>
  <c r="AP118" i="50"/>
  <c r="AQ118" i="50"/>
  <c r="P118" i="50"/>
  <c r="S118" i="50" s="1"/>
  <c r="AP116" i="50"/>
  <c r="AQ116" i="50"/>
  <c r="Q116" i="50"/>
  <c r="AN116" i="50"/>
  <c r="AO116" i="50"/>
  <c r="P116" i="50"/>
  <c r="S116" i="50" s="1"/>
  <c r="Q114" i="50"/>
  <c r="AN114" i="50"/>
  <c r="AO114" i="50"/>
  <c r="P114" i="50"/>
  <c r="S114" i="50" s="1"/>
  <c r="AP114" i="50"/>
  <c r="AO112" i="50"/>
  <c r="Q112" i="50"/>
  <c r="AP112" i="50"/>
  <c r="P112" i="50"/>
  <c r="S112" i="50" s="1"/>
  <c r="AN112" i="50"/>
  <c r="Q110" i="50"/>
  <c r="AN110" i="50"/>
  <c r="AO110" i="50"/>
  <c r="P110" i="50"/>
  <c r="S110" i="50" s="1"/>
  <c r="AP110" i="50"/>
  <c r="AO108" i="50"/>
  <c r="Q108" i="50"/>
  <c r="AN108" i="50"/>
  <c r="AP108" i="50"/>
  <c r="P108" i="50"/>
  <c r="S108" i="50" s="1"/>
  <c r="Q106" i="50"/>
  <c r="AN106" i="50"/>
  <c r="AO106" i="50"/>
  <c r="P106" i="50"/>
  <c r="S106" i="50" s="1"/>
  <c r="AP106" i="50"/>
  <c r="AO104" i="50"/>
  <c r="Q104" i="50"/>
  <c r="AN104" i="50"/>
  <c r="P104" i="50"/>
  <c r="S104" i="50" s="1"/>
  <c r="Q102" i="50"/>
  <c r="AN102" i="50"/>
  <c r="AO102" i="50"/>
  <c r="P102" i="50"/>
  <c r="S102" i="50" s="1"/>
  <c r="AO100" i="50"/>
  <c r="Q100" i="50"/>
  <c r="AN100" i="50"/>
  <c r="P100" i="50"/>
  <c r="S100" i="50" s="1"/>
  <c r="Q98" i="50"/>
  <c r="AN98" i="50"/>
  <c r="AO98" i="50"/>
  <c r="P98" i="50"/>
  <c r="S98" i="50" s="1"/>
  <c r="Q96" i="50"/>
  <c r="P96" i="50"/>
  <c r="S96" i="50" s="1"/>
  <c r="AN96" i="50"/>
  <c r="Q94" i="50"/>
  <c r="AN94" i="50"/>
  <c r="P94" i="50"/>
  <c r="S94" i="50" s="1"/>
  <c r="Q92" i="50"/>
  <c r="AN92" i="50"/>
  <c r="P92" i="50"/>
  <c r="S92" i="50" s="1"/>
  <c r="Q90" i="50"/>
  <c r="AN90" i="50"/>
  <c r="P90" i="50"/>
  <c r="S90" i="50" s="1"/>
  <c r="Q88" i="50"/>
  <c r="AN88" i="50"/>
  <c r="P88" i="50"/>
  <c r="S88" i="50" s="1"/>
  <c r="Q86" i="50"/>
  <c r="P86" i="50"/>
  <c r="S86" i="50" s="1"/>
  <c r="Q84" i="50"/>
  <c r="P84" i="50"/>
  <c r="S84" i="50" s="1"/>
  <c r="Q82" i="50"/>
  <c r="P82" i="50"/>
  <c r="S82" i="50" s="1"/>
  <c r="Q80" i="50"/>
  <c r="P80" i="50"/>
  <c r="S80" i="50" s="1"/>
  <c r="P78" i="50"/>
  <c r="P76" i="50"/>
  <c r="P74" i="50"/>
  <c r="P72" i="50"/>
  <c r="P70" i="50"/>
  <c r="AO137" i="50"/>
  <c r="AP137" i="50"/>
  <c r="AN137" i="50"/>
  <c r="AQ137" i="50"/>
  <c r="Q137" i="50"/>
  <c r="P137" i="50"/>
  <c r="S137" i="50" s="1"/>
  <c r="AN135" i="50"/>
  <c r="AO135" i="50"/>
  <c r="Q135" i="50"/>
  <c r="P135" i="50"/>
  <c r="S135" i="50" s="1"/>
  <c r="Q133" i="50"/>
  <c r="P133" i="50"/>
  <c r="S133" i="50" s="1"/>
  <c r="AO129" i="50"/>
  <c r="AN129" i="50"/>
  <c r="AP129" i="50"/>
  <c r="Q129" i="50"/>
  <c r="P129" i="50"/>
  <c r="S129" i="50" s="1"/>
  <c r="Q127" i="50"/>
  <c r="P127" i="50"/>
  <c r="S127" i="50" s="1"/>
  <c r="AN127" i="50"/>
  <c r="P125" i="50"/>
  <c r="AO123" i="50"/>
  <c r="AP123" i="50"/>
  <c r="Q123" i="50"/>
  <c r="AN123" i="50"/>
  <c r="AQ123" i="50"/>
  <c r="P123" i="50"/>
  <c r="S123" i="50" s="1"/>
  <c r="AN121" i="50"/>
  <c r="AQ121" i="50"/>
  <c r="AO121" i="50"/>
  <c r="AP121" i="50"/>
  <c r="Q121" i="50"/>
  <c r="P121" i="50"/>
  <c r="S121" i="50" s="1"/>
  <c r="AO119" i="50"/>
  <c r="AP119" i="50"/>
  <c r="Q119" i="50"/>
  <c r="AN119" i="50"/>
  <c r="AQ119" i="50"/>
  <c r="P119" i="50"/>
  <c r="S119" i="50" s="1"/>
  <c r="AN117" i="50"/>
  <c r="AQ117" i="50"/>
  <c r="AO117" i="50"/>
  <c r="Q117" i="50"/>
  <c r="AP117" i="50"/>
  <c r="P117" i="50"/>
  <c r="S117" i="50" s="1"/>
  <c r="AO115" i="50"/>
  <c r="AP115" i="50"/>
  <c r="Q115" i="50"/>
  <c r="AN115" i="50"/>
  <c r="AQ115" i="50"/>
  <c r="P115" i="50"/>
  <c r="S115" i="50" s="1"/>
  <c r="AN113" i="50"/>
  <c r="AO113" i="50"/>
  <c r="AP113" i="50"/>
  <c r="Q113" i="50"/>
  <c r="P113" i="50"/>
  <c r="S113" i="50" s="1"/>
  <c r="AO111" i="50"/>
  <c r="AP111" i="50"/>
  <c r="Q111" i="50"/>
  <c r="AN111" i="50"/>
  <c r="P111" i="50"/>
  <c r="S111" i="50" s="1"/>
  <c r="AN109" i="50"/>
  <c r="AO109" i="50"/>
  <c r="AP109" i="50"/>
  <c r="Q109" i="50"/>
  <c r="P109" i="50"/>
  <c r="S109" i="50" s="1"/>
  <c r="AO107" i="50"/>
  <c r="AP107" i="50"/>
  <c r="Q107" i="50"/>
  <c r="AN107" i="50"/>
  <c r="P107" i="50"/>
  <c r="S107" i="50" s="1"/>
  <c r="AN105" i="50"/>
  <c r="AO105" i="50"/>
  <c r="Q105" i="50"/>
  <c r="P105" i="50"/>
  <c r="S105" i="50" s="1"/>
  <c r="Q103" i="50"/>
  <c r="AN103" i="50"/>
  <c r="AO103" i="50"/>
  <c r="P103" i="50"/>
  <c r="S103" i="50" s="1"/>
  <c r="AN101" i="50"/>
  <c r="AO101" i="50"/>
  <c r="Q101" i="50"/>
  <c r="P101" i="50"/>
  <c r="S101" i="50" s="1"/>
  <c r="Q99" i="50"/>
  <c r="AN99" i="50"/>
  <c r="P99" i="50"/>
  <c r="S99" i="50" s="1"/>
  <c r="AO99" i="50"/>
  <c r="AN97" i="50"/>
  <c r="AO97" i="50"/>
  <c r="Q97" i="50"/>
  <c r="P97" i="50"/>
  <c r="S97" i="50" s="1"/>
  <c r="Q95" i="50"/>
  <c r="AN95" i="50"/>
  <c r="P95" i="50"/>
  <c r="S95" i="50" s="1"/>
  <c r="AN93" i="50"/>
  <c r="Q93" i="50"/>
  <c r="P93" i="50"/>
  <c r="S93" i="50" s="1"/>
  <c r="Q91" i="50"/>
  <c r="AN91" i="50"/>
  <c r="P91" i="50"/>
  <c r="S91" i="50" s="1"/>
  <c r="AN89" i="50"/>
  <c r="Q89" i="50"/>
  <c r="P89" i="50"/>
  <c r="S89" i="50" s="1"/>
  <c r="Q87" i="50"/>
  <c r="P87" i="50"/>
  <c r="S87" i="50" s="1"/>
  <c r="Q85" i="50"/>
  <c r="P85" i="50"/>
  <c r="S85" i="50" s="1"/>
  <c r="Q83" i="50"/>
  <c r="P83" i="50"/>
  <c r="S83" i="50" s="1"/>
  <c r="Q81" i="50"/>
  <c r="P81" i="50"/>
  <c r="S81" i="50" s="1"/>
  <c r="Q79" i="50"/>
  <c r="P79" i="50"/>
  <c r="S79" i="50" s="1"/>
  <c r="P77" i="50"/>
  <c r="P75" i="50"/>
  <c r="P73" i="50"/>
  <c r="P71" i="50"/>
  <c r="M61" i="50"/>
  <c r="P61" i="50" s="1"/>
  <c r="N61" i="50"/>
  <c r="T61" i="50"/>
  <c r="W137" i="50"/>
  <c r="AB137" i="50"/>
  <c r="M137" i="50"/>
  <c r="X137" i="50"/>
  <c r="AC137" i="50"/>
  <c r="N137" i="50"/>
  <c r="T137" i="50"/>
  <c r="Y137" i="50"/>
  <c r="AD137" i="50"/>
  <c r="AE137" i="50"/>
  <c r="V137" i="50"/>
  <c r="M135" i="50"/>
  <c r="N135" i="50"/>
  <c r="T135" i="50"/>
  <c r="AB135" i="50"/>
  <c r="V135" i="50"/>
  <c r="AC135" i="50"/>
  <c r="W135" i="50"/>
  <c r="M133" i="50"/>
  <c r="N133" i="50"/>
  <c r="T133" i="50"/>
  <c r="T131" i="50"/>
  <c r="M131" i="50"/>
  <c r="P131" i="50" s="1"/>
  <c r="N131" i="50"/>
  <c r="V129" i="50"/>
  <c r="W129" i="50"/>
  <c r="AB129" i="50"/>
  <c r="M129" i="50"/>
  <c r="X129" i="50"/>
  <c r="AC129" i="50"/>
  <c r="N129" i="50"/>
  <c r="T129" i="50"/>
  <c r="AD129" i="50"/>
  <c r="V127" i="50"/>
  <c r="AB127" i="50"/>
  <c r="M127" i="50"/>
  <c r="N127" i="50"/>
  <c r="T127" i="50"/>
  <c r="M125" i="50"/>
  <c r="N125" i="50"/>
  <c r="Q125" i="50" s="1"/>
  <c r="T125" i="50"/>
  <c r="V123" i="50"/>
  <c r="AE123" i="50"/>
  <c r="W123" i="50"/>
  <c r="AB123" i="50"/>
  <c r="M123" i="50"/>
  <c r="X123" i="50"/>
  <c r="AC123" i="50"/>
  <c r="N123" i="50"/>
  <c r="T123" i="50"/>
  <c r="Y123" i="50"/>
  <c r="AD123" i="50"/>
  <c r="M121" i="50"/>
  <c r="X121" i="50"/>
  <c r="AC121" i="50"/>
  <c r="N121" i="50"/>
  <c r="T121" i="50"/>
  <c r="Y121" i="50"/>
  <c r="AD121" i="50"/>
  <c r="V121" i="50"/>
  <c r="AE121" i="50"/>
  <c r="AB121" i="50"/>
  <c r="W121" i="50"/>
  <c r="N119" i="50"/>
  <c r="T119" i="50"/>
  <c r="Y119" i="50"/>
  <c r="AD119" i="50"/>
  <c r="V119" i="50"/>
  <c r="AE119" i="50"/>
  <c r="W119" i="50"/>
  <c r="AB119" i="50"/>
  <c r="M119" i="50"/>
  <c r="X119" i="50"/>
  <c r="AC119" i="50"/>
  <c r="N117" i="50"/>
  <c r="T117" i="50"/>
  <c r="Y117" i="50"/>
  <c r="AD117" i="50"/>
  <c r="V117" i="50"/>
  <c r="AE117" i="50"/>
  <c r="AB117" i="50"/>
  <c r="AC117" i="50"/>
  <c r="W117" i="50"/>
  <c r="M117" i="50"/>
  <c r="X117" i="50"/>
  <c r="V115" i="50"/>
  <c r="AE115" i="50"/>
  <c r="W115" i="50"/>
  <c r="AB115" i="50"/>
  <c r="M115" i="50"/>
  <c r="X115" i="50"/>
  <c r="AC115" i="50"/>
  <c r="AD115" i="50"/>
  <c r="N115" i="50"/>
  <c r="T115" i="50"/>
  <c r="Y115" i="50"/>
  <c r="V113" i="50"/>
  <c r="W113" i="50"/>
  <c r="AB113" i="50"/>
  <c r="M113" i="50"/>
  <c r="X113" i="50"/>
  <c r="AC113" i="50"/>
  <c r="T113" i="50"/>
  <c r="AD113" i="50"/>
  <c r="N113" i="50"/>
  <c r="M111" i="50"/>
  <c r="X111" i="50"/>
  <c r="AC111" i="50"/>
  <c r="N111" i="50"/>
  <c r="T111" i="50"/>
  <c r="AD111" i="50"/>
  <c r="V111" i="50"/>
  <c r="W111" i="50"/>
  <c r="AB111" i="50"/>
  <c r="M109" i="50"/>
  <c r="X109" i="50"/>
  <c r="AC109" i="50"/>
  <c r="N109" i="50"/>
  <c r="T109" i="50"/>
  <c r="AD109" i="50"/>
  <c r="V109" i="50"/>
  <c r="W109" i="50"/>
  <c r="AB109" i="50"/>
  <c r="V107" i="50"/>
  <c r="W107" i="50"/>
  <c r="AB107" i="50"/>
  <c r="M107" i="50"/>
  <c r="X107" i="50"/>
  <c r="AC107" i="50"/>
  <c r="N107" i="50"/>
  <c r="T107" i="50"/>
  <c r="AD107" i="50"/>
  <c r="W105" i="50"/>
  <c r="AC105" i="50"/>
  <c r="M105" i="50"/>
  <c r="N105" i="50"/>
  <c r="T105" i="50"/>
  <c r="AB105" i="50"/>
  <c r="V105" i="50"/>
  <c r="M103" i="50"/>
  <c r="N103" i="50"/>
  <c r="T103" i="50"/>
  <c r="V103" i="50"/>
  <c r="AB103" i="50"/>
  <c r="W103" i="50"/>
  <c r="AC103" i="50"/>
  <c r="N101" i="50"/>
  <c r="T101" i="50"/>
  <c r="V101" i="50"/>
  <c r="AB101" i="50"/>
  <c r="W101" i="50"/>
  <c r="AC101" i="50"/>
  <c r="M101" i="50"/>
  <c r="M99" i="50"/>
  <c r="N99" i="50"/>
  <c r="T99" i="50"/>
  <c r="V99" i="50"/>
  <c r="AB99" i="50"/>
  <c r="W99" i="50"/>
  <c r="AC99" i="50"/>
  <c r="W97" i="50"/>
  <c r="AC97" i="50"/>
  <c r="M97" i="50"/>
  <c r="N97" i="50"/>
  <c r="T97" i="50"/>
  <c r="AB97" i="50"/>
  <c r="V97" i="50"/>
  <c r="M95" i="50"/>
  <c r="AB95" i="50"/>
  <c r="N95" i="50"/>
  <c r="T95" i="50"/>
  <c r="V95" i="50"/>
  <c r="AB93" i="50"/>
  <c r="M93" i="50"/>
  <c r="N93" i="50"/>
  <c r="T93" i="50"/>
  <c r="V93" i="50"/>
  <c r="N91" i="50"/>
  <c r="T91" i="50"/>
  <c r="V91" i="50"/>
  <c r="AB91" i="50"/>
  <c r="M91" i="50"/>
  <c r="N89" i="50"/>
  <c r="T89" i="50"/>
  <c r="V89" i="50"/>
  <c r="M89" i="50"/>
  <c r="AB89" i="50"/>
  <c r="M87" i="50"/>
  <c r="N87" i="50"/>
  <c r="T87" i="50"/>
  <c r="N85" i="50"/>
  <c r="T85" i="50"/>
  <c r="M85" i="50"/>
  <c r="N83" i="50"/>
  <c r="T83" i="50"/>
  <c r="M83" i="50"/>
  <c r="N81" i="50"/>
  <c r="M81" i="50"/>
  <c r="T81" i="50"/>
  <c r="M79" i="50"/>
  <c r="N79" i="50"/>
  <c r="T79" i="50"/>
  <c r="M77" i="50"/>
  <c r="T77" i="50"/>
  <c r="N77" i="50"/>
  <c r="Q77" i="50" s="1"/>
  <c r="M75" i="50"/>
  <c r="T75" i="50"/>
  <c r="N75" i="50"/>
  <c r="Q75" i="50" s="1"/>
  <c r="M73" i="50"/>
  <c r="N73" i="50"/>
  <c r="Q73" i="50" s="1"/>
  <c r="T73" i="50"/>
  <c r="M71" i="50"/>
  <c r="T71" i="50"/>
  <c r="N71" i="50"/>
  <c r="Q71" i="50" s="1"/>
  <c r="T69" i="50"/>
  <c r="M69" i="50"/>
  <c r="P69" i="50" s="1"/>
  <c r="N69" i="50"/>
  <c r="M67" i="50"/>
  <c r="P67" i="50" s="1"/>
  <c r="T67" i="50"/>
  <c r="N67" i="50"/>
  <c r="T65" i="50"/>
  <c r="M65" i="50"/>
  <c r="P65" i="50" s="1"/>
  <c r="N65" i="50"/>
  <c r="N63" i="50"/>
  <c r="T63" i="50"/>
  <c r="M63" i="50"/>
  <c r="P63" i="50" s="1"/>
  <c r="N183" i="50"/>
  <c r="M183" i="50"/>
  <c r="P183" i="50" s="1"/>
  <c r="N136" i="50"/>
  <c r="T136" i="50"/>
  <c r="V136" i="50"/>
  <c r="AB136" i="50"/>
  <c r="W136" i="50"/>
  <c r="AC136" i="50"/>
  <c r="M136" i="50"/>
  <c r="X136" i="50"/>
  <c r="AD136" i="50"/>
  <c r="M134" i="50"/>
  <c r="AB134" i="50"/>
  <c r="N134" i="50"/>
  <c r="T134" i="50"/>
  <c r="V134" i="50"/>
  <c r="N132" i="50"/>
  <c r="Q132" i="50" s="1"/>
  <c r="T132" i="50"/>
  <c r="M132" i="50"/>
  <c r="W130" i="50"/>
  <c r="AC130" i="50"/>
  <c r="M130" i="50"/>
  <c r="X130" i="50"/>
  <c r="AD130" i="50"/>
  <c r="N130" i="50"/>
  <c r="T130" i="50"/>
  <c r="Y130" i="50"/>
  <c r="AE130" i="50"/>
  <c r="V130" i="50"/>
  <c r="AB130" i="50"/>
  <c r="N128" i="50"/>
  <c r="T128" i="50"/>
  <c r="AB128" i="50"/>
  <c r="V128" i="50"/>
  <c r="AC128" i="50"/>
  <c r="W128" i="50"/>
  <c r="M128" i="50"/>
  <c r="M126" i="50"/>
  <c r="N126" i="50"/>
  <c r="T126" i="50"/>
  <c r="T124" i="50"/>
  <c r="M124" i="50"/>
  <c r="P124" i="50" s="1"/>
  <c r="N124" i="50"/>
  <c r="V122" i="50"/>
  <c r="AE122" i="50"/>
  <c r="W122" i="50"/>
  <c r="AB122" i="50"/>
  <c r="M122" i="50"/>
  <c r="X122" i="50"/>
  <c r="AC122" i="50"/>
  <c r="T122" i="50"/>
  <c r="Y122" i="50"/>
  <c r="AD122" i="50"/>
  <c r="N122" i="50"/>
  <c r="V120" i="50"/>
  <c r="AE120" i="50"/>
  <c r="W120" i="50"/>
  <c r="AB120" i="50"/>
  <c r="M120" i="50"/>
  <c r="X120" i="50"/>
  <c r="AC120" i="50"/>
  <c r="N120" i="50"/>
  <c r="T120" i="50"/>
  <c r="Y120" i="50"/>
  <c r="AD120" i="50"/>
  <c r="V118" i="50"/>
  <c r="W118" i="50"/>
  <c r="AB118" i="50"/>
  <c r="AC118" i="50"/>
  <c r="T118" i="50"/>
  <c r="AD118" i="50"/>
  <c r="M118" i="50"/>
  <c r="X118" i="50"/>
  <c r="AE118" i="50"/>
  <c r="N118" i="50"/>
  <c r="Y118" i="50"/>
  <c r="W116" i="50"/>
  <c r="AB116" i="50"/>
  <c r="M116" i="50"/>
  <c r="X116" i="50"/>
  <c r="AC116" i="50"/>
  <c r="N116" i="50"/>
  <c r="T116" i="50"/>
  <c r="Y116" i="50"/>
  <c r="AD116" i="50"/>
  <c r="V116" i="50"/>
  <c r="AE116" i="50"/>
  <c r="V114" i="50"/>
  <c r="W114" i="50"/>
  <c r="AB114" i="50"/>
  <c r="M114" i="50"/>
  <c r="X114" i="50"/>
  <c r="AC114" i="50"/>
  <c r="N114" i="50"/>
  <c r="T114" i="50"/>
  <c r="AD114" i="50"/>
  <c r="W112" i="50"/>
  <c r="AB112" i="50"/>
  <c r="M112" i="50"/>
  <c r="X112" i="50"/>
  <c r="AC112" i="50"/>
  <c r="N112" i="50"/>
  <c r="T112" i="50"/>
  <c r="AD112" i="50"/>
  <c r="V112" i="50"/>
  <c r="M110" i="50"/>
  <c r="X110" i="50"/>
  <c r="AC110" i="50"/>
  <c r="N110" i="50"/>
  <c r="T110" i="50"/>
  <c r="AD110" i="50"/>
  <c r="V110" i="50"/>
  <c r="W110" i="50"/>
  <c r="AB110" i="50"/>
  <c r="N108" i="50"/>
  <c r="T108" i="50"/>
  <c r="AD108" i="50"/>
  <c r="V108" i="50"/>
  <c r="W108" i="50"/>
  <c r="AB108" i="50"/>
  <c r="AC108" i="50"/>
  <c r="M108" i="50"/>
  <c r="X108" i="50"/>
  <c r="V106" i="50"/>
  <c r="W106" i="50"/>
  <c r="AB106" i="50"/>
  <c r="M106" i="50"/>
  <c r="X106" i="50"/>
  <c r="AC106" i="50"/>
  <c r="T106" i="50"/>
  <c r="AD106" i="50"/>
  <c r="N106" i="50"/>
  <c r="M104" i="50"/>
  <c r="N104" i="50"/>
  <c r="T104" i="50"/>
  <c r="AB104" i="50"/>
  <c r="V104" i="50"/>
  <c r="AC104" i="50"/>
  <c r="W104" i="50"/>
  <c r="N102" i="50"/>
  <c r="T102" i="50"/>
  <c r="AB102" i="50"/>
  <c r="V102" i="50"/>
  <c r="AC102" i="50"/>
  <c r="W102" i="50"/>
  <c r="M102" i="50"/>
  <c r="M100" i="50"/>
  <c r="AB100" i="50"/>
  <c r="N100" i="50"/>
  <c r="T100" i="50"/>
  <c r="AC100" i="50"/>
  <c r="V100" i="50"/>
  <c r="W100" i="50"/>
  <c r="W98" i="50"/>
  <c r="M98" i="50"/>
  <c r="AB98" i="50"/>
  <c r="N98" i="50"/>
  <c r="T98" i="50"/>
  <c r="AC98" i="50"/>
  <c r="V98" i="50"/>
  <c r="M96" i="50"/>
  <c r="AB96" i="50"/>
  <c r="N96" i="50"/>
  <c r="T96" i="50"/>
  <c r="V96" i="50"/>
  <c r="N94" i="50"/>
  <c r="T94" i="50"/>
  <c r="V94" i="50"/>
  <c r="M94" i="50"/>
  <c r="AB94" i="50"/>
  <c r="N92" i="50"/>
  <c r="T92" i="50"/>
  <c r="AB92" i="50"/>
  <c r="V92" i="50"/>
  <c r="M92" i="50"/>
  <c r="V90" i="50"/>
  <c r="M90" i="50"/>
  <c r="N90" i="50"/>
  <c r="T90" i="50"/>
  <c r="AB90" i="50"/>
  <c r="V88" i="50"/>
  <c r="AB88" i="50"/>
  <c r="M88" i="50"/>
  <c r="T88" i="50"/>
  <c r="N88" i="50"/>
  <c r="M86" i="50"/>
  <c r="N86" i="50"/>
  <c r="T86" i="50"/>
  <c r="M84" i="50"/>
  <c r="N84" i="50"/>
  <c r="T84" i="50"/>
  <c r="M82" i="50"/>
  <c r="N82" i="50"/>
  <c r="T82" i="50"/>
  <c r="M80" i="50"/>
  <c r="N80" i="50"/>
  <c r="T80" i="50"/>
  <c r="N78" i="50"/>
  <c r="Q78" i="50" s="1"/>
  <c r="M78" i="50"/>
  <c r="T78" i="50"/>
  <c r="M76" i="50"/>
  <c r="T76" i="50"/>
  <c r="N76" i="50"/>
  <c r="Q76" i="50" s="1"/>
  <c r="M74" i="50"/>
  <c r="N74" i="50"/>
  <c r="Q74" i="50" s="1"/>
  <c r="T74" i="50"/>
  <c r="N72" i="50"/>
  <c r="Q72" i="50" s="1"/>
  <c r="M72" i="50"/>
  <c r="T72" i="50"/>
  <c r="M70" i="50"/>
  <c r="T70" i="50"/>
  <c r="N70" i="50"/>
  <c r="Q70" i="50" s="1"/>
  <c r="M68" i="50"/>
  <c r="P68" i="50" s="1"/>
  <c r="N68" i="50"/>
  <c r="T68" i="50"/>
  <c r="M66" i="50"/>
  <c r="P66" i="50" s="1"/>
  <c r="T66" i="50"/>
  <c r="N66" i="50"/>
  <c r="T64" i="50"/>
  <c r="M64" i="50"/>
  <c r="P64" i="50" s="1"/>
  <c r="N64" i="50"/>
  <c r="M62" i="50"/>
  <c r="P62" i="50" s="1"/>
  <c r="T62" i="50"/>
  <c r="N62" i="50"/>
  <c r="T183" i="50"/>
  <c r="AO51" i="65"/>
  <c r="I155" i="65" s="1"/>
  <c r="N66" i="62"/>
  <c r="O37" i="62"/>
  <c r="Q38" i="62"/>
  <c r="P38" i="62"/>
  <c r="P55" i="24"/>
  <c r="O49" i="62"/>
  <c r="Q183" i="50" l="1"/>
  <c r="S183" i="50" s="1"/>
  <c r="Q200" i="50"/>
  <c r="S200" i="50" s="1"/>
  <c r="Q191" i="50"/>
  <c r="S191" i="50" s="1"/>
  <c r="Q186" i="50"/>
  <c r="S186" i="50" s="1"/>
  <c r="Q190" i="50"/>
  <c r="S190" i="50" s="1"/>
  <c r="Q201" i="50"/>
  <c r="S201" i="50" s="1"/>
  <c r="Q192" i="50"/>
  <c r="S192" i="50" s="1"/>
  <c r="Q199" i="50"/>
  <c r="S199" i="50" s="1"/>
  <c r="Q198" i="50"/>
  <c r="S198" i="50" s="1"/>
  <c r="Q184" i="50"/>
  <c r="S184" i="50" s="1"/>
  <c r="Q194" i="50"/>
  <c r="S194" i="50" s="1"/>
  <c r="Q195" i="50"/>
  <c r="S195" i="50" s="1"/>
  <c r="Q187" i="50"/>
  <c r="S187" i="50" s="1"/>
  <c r="Q193" i="50"/>
  <c r="S193" i="50" s="1"/>
  <c r="Q185" i="50"/>
  <c r="S185" i="50" s="1"/>
  <c r="Q189" i="50"/>
  <c r="S189" i="50" s="1"/>
  <c r="Q188" i="50"/>
  <c r="S188" i="50" s="1"/>
  <c r="Q197" i="50"/>
  <c r="S197" i="50" s="1"/>
  <c r="Q196" i="50"/>
  <c r="S196" i="50" s="1"/>
  <c r="Q68" i="50"/>
  <c r="S68" i="50" s="1"/>
  <c r="Q131" i="50"/>
  <c r="S131" i="50" s="1"/>
  <c r="Q66" i="50"/>
  <c r="S66" i="50" s="1"/>
  <c r="Q63" i="50"/>
  <c r="S63" i="50" s="1"/>
  <c r="Q65" i="50"/>
  <c r="S65" i="50" s="1"/>
  <c r="Q67" i="50"/>
  <c r="S67" i="50" s="1"/>
  <c r="Q61" i="50"/>
  <c r="S61" i="50" s="1"/>
  <c r="Q64" i="50"/>
  <c r="S64" i="50" s="1"/>
  <c r="Q62" i="50"/>
  <c r="S62" i="50" s="1"/>
  <c r="Q124" i="50"/>
  <c r="S124" i="50" s="1"/>
  <c r="Q69" i="50"/>
  <c r="S69" i="50" s="1"/>
  <c r="S71" i="50"/>
  <c r="S75" i="50"/>
  <c r="S125" i="50"/>
  <c r="S70" i="50"/>
  <c r="S74" i="50"/>
  <c r="S78" i="50"/>
  <c r="S132" i="50"/>
  <c r="S73" i="50"/>
  <c r="S77" i="50"/>
  <c r="S72" i="50"/>
  <c r="S76" i="50"/>
  <c r="AH95" i="50"/>
  <c r="AH134" i="50"/>
  <c r="AT134" i="50" s="1"/>
  <c r="AZ134" i="50" s="1"/>
  <c r="AI107" i="50"/>
  <c r="AU107" i="50" s="1"/>
  <c r="AI109" i="50"/>
  <c r="AJ121" i="50"/>
  <c r="AV121" i="50" s="1"/>
  <c r="AH109" i="50"/>
  <c r="AT109" i="50" s="1"/>
  <c r="AZ109" i="50" s="1"/>
  <c r="AI112" i="50"/>
  <c r="AU112" i="50" s="1"/>
  <c r="AI98" i="50"/>
  <c r="AU98" i="50" s="1"/>
  <c r="AH100" i="50"/>
  <c r="AT100" i="50" s="1"/>
  <c r="AI104" i="50"/>
  <c r="AU104" i="50" s="1"/>
  <c r="AH104" i="50"/>
  <c r="AT104" i="50" s="1"/>
  <c r="AI106" i="50"/>
  <c r="AU106" i="50" s="1"/>
  <c r="AI110" i="50"/>
  <c r="AU110" i="50" s="1"/>
  <c r="AH110" i="50"/>
  <c r="AT110" i="50" s="1"/>
  <c r="AZ110" i="50" s="1"/>
  <c r="AI116" i="50"/>
  <c r="AU116" i="50" s="1"/>
  <c r="AJ122" i="50"/>
  <c r="AV122" i="50" s="1"/>
  <c r="AK120" i="50"/>
  <c r="AW120" i="50" s="1"/>
  <c r="AK116" i="50"/>
  <c r="AW116" i="50" s="1"/>
  <c r="AK118" i="50"/>
  <c r="AW118" i="50" s="1"/>
  <c r="AH120" i="50"/>
  <c r="AT120" i="50" s="1"/>
  <c r="AZ120" i="50" s="1"/>
  <c r="AI128" i="50"/>
  <c r="AU128" i="50" s="1"/>
  <c r="AK130" i="50"/>
  <c r="AW130" i="50" s="1"/>
  <c r="AI97" i="50"/>
  <c r="AI105" i="50"/>
  <c r="AU105" i="50" s="1"/>
  <c r="AH113" i="50"/>
  <c r="AT113" i="50" s="1"/>
  <c r="AZ113" i="50" s="1"/>
  <c r="AJ112" i="50"/>
  <c r="AV112" i="50" s="1"/>
  <c r="AH92" i="50"/>
  <c r="AT92" i="50" s="1"/>
  <c r="AZ92" i="50" s="1"/>
  <c r="AI100" i="50"/>
  <c r="AU100" i="50" s="1"/>
  <c r="AH108" i="50"/>
  <c r="AT108" i="50" s="1"/>
  <c r="AI136" i="50"/>
  <c r="AU136" i="50" s="1"/>
  <c r="AI103" i="50"/>
  <c r="AU103" i="50" s="1"/>
  <c r="AI113" i="50"/>
  <c r="AU113" i="50" s="1"/>
  <c r="AH115" i="50"/>
  <c r="AT115" i="50" s="1"/>
  <c r="AI117" i="50"/>
  <c r="AU117" i="50" s="1"/>
  <c r="AH127" i="50"/>
  <c r="AT127" i="50" s="1"/>
  <c r="AI137" i="50"/>
  <c r="AU137" i="50" s="1"/>
  <c r="AH90" i="50"/>
  <c r="AT90" i="50" s="1"/>
  <c r="AH94" i="50"/>
  <c r="AT94" i="50" s="1"/>
  <c r="AZ94" i="50" s="1"/>
  <c r="AH106" i="50"/>
  <c r="AT106" i="50" s="1"/>
  <c r="AI118" i="50"/>
  <c r="AU118" i="50" s="1"/>
  <c r="AI120" i="50"/>
  <c r="AU120" i="50" s="1"/>
  <c r="AH99" i="50"/>
  <c r="AJ107" i="50"/>
  <c r="AV107" i="50" s="1"/>
  <c r="AK115" i="50"/>
  <c r="AW115" i="50" s="1"/>
  <c r="AH117" i="50"/>
  <c r="AT117" i="50" s="1"/>
  <c r="AJ119" i="50"/>
  <c r="AV119" i="50" s="1"/>
  <c r="AK121" i="50"/>
  <c r="AW121" i="50" s="1"/>
  <c r="AJ130" i="50"/>
  <c r="AV130" i="50" s="1"/>
  <c r="AJ109" i="50"/>
  <c r="AV109" i="50" s="1"/>
  <c r="AI111" i="50"/>
  <c r="AU111" i="50" s="1"/>
  <c r="AJ129" i="50"/>
  <c r="AV129" i="50" s="1"/>
  <c r="AH137" i="50"/>
  <c r="AT137" i="50" s="1"/>
  <c r="AZ137" i="50" s="1"/>
  <c r="AI102" i="50"/>
  <c r="AJ106" i="50"/>
  <c r="AI108" i="50"/>
  <c r="AH114" i="50"/>
  <c r="AT114" i="50" s="1"/>
  <c r="AZ114" i="50" s="1"/>
  <c r="AH116" i="50"/>
  <c r="AJ120" i="50"/>
  <c r="AV120" i="50" s="1"/>
  <c r="AH128" i="50"/>
  <c r="AI130" i="50"/>
  <c r="AU130" i="50" s="1"/>
  <c r="AJ136" i="50"/>
  <c r="AH96" i="50"/>
  <c r="AH98" i="50"/>
  <c r="AJ108" i="50"/>
  <c r="AJ110" i="50"/>
  <c r="AJ114" i="50"/>
  <c r="AV114" i="50" s="1"/>
  <c r="AH118" i="50"/>
  <c r="AK122" i="50"/>
  <c r="AI122" i="50"/>
  <c r="AH136" i="50"/>
  <c r="AH88" i="50"/>
  <c r="AH102" i="50"/>
  <c r="AH112" i="50"/>
  <c r="AI114" i="50"/>
  <c r="AJ116" i="50"/>
  <c r="AV116" i="50" s="1"/>
  <c r="AJ118" i="50"/>
  <c r="AH122" i="50"/>
  <c r="AT122" i="50" s="1"/>
  <c r="AH130" i="50"/>
  <c r="AH89" i="50"/>
  <c r="AH93" i="50"/>
  <c r="AT93" i="50" s="1"/>
  <c r="AZ93" i="50" s="1"/>
  <c r="AI99" i="50"/>
  <c r="AI101" i="50"/>
  <c r="AH103" i="50"/>
  <c r="AH107" i="50"/>
  <c r="AJ111" i="50"/>
  <c r="AV111" i="50" s="1"/>
  <c r="AJ115" i="50"/>
  <c r="AK117" i="50"/>
  <c r="AI119" i="50"/>
  <c r="AK119" i="50"/>
  <c r="AI121" i="50"/>
  <c r="AJ123" i="50"/>
  <c r="AH123" i="50"/>
  <c r="AT123" i="50" s="1"/>
  <c r="AI129" i="50"/>
  <c r="AU129" i="50" s="1"/>
  <c r="AI135" i="50"/>
  <c r="AJ137" i="50"/>
  <c r="AH97" i="50"/>
  <c r="AH105" i="50"/>
  <c r="AH111" i="50"/>
  <c r="AJ113" i="50"/>
  <c r="AI115" i="50"/>
  <c r="AJ117" i="50"/>
  <c r="AH119" i="50"/>
  <c r="AK123" i="50"/>
  <c r="AH129" i="50"/>
  <c r="AK137" i="50"/>
  <c r="AW137" i="50" s="1"/>
  <c r="AH91" i="50"/>
  <c r="AT91" i="50" s="1"/>
  <c r="AZ91" i="50" s="1"/>
  <c r="AU97" i="50"/>
  <c r="AT99" i="50"/>
  <c r="AU109" i="50"/>
  <c r="AT95" i="50"/>
  <c r="AZ95" i="50" s="1"/>
  <c r="AH101" i="50"/>
  <c r="AH121" i="50"/>
  <c r="AT121" i="50" s="1"/>
  <c r="AZ121" i="50" s="1"/>
  <c r="AI123" i="50"/>
  <c r="AH135" i="50"/>
  <c r="AP51" i="65"/>
  <c r="J155" i="65" s="1"/>
  <c r="O66" i="62"/>
  <c r="Q37" i="62"/>
  <c r="P37" i="62"/>
  <c r="Q55" i="24"/>
  <c r="Q49" i="62" s="1"/>
  <c r="P49" i="62"/>
  <c r="E827" i="40"/>
  <c r="E828" i="40"/>
  <c r="E829" i="40"/>
  <c r="E830" i="40"/>
  <c r="E831" i="40"/>
  <c r="E832" i="40"/>
  <c r="E833" i="40"/>
  <c r="E834" i="40"/>
  <c r="E835" i="40"/>
  <c r="E836" i="40"/>
  <c r="E837" i="40"/>
  <c r="E838" i="40"/>
  <c r="E839" i="40"/>
  <c r="E840" i="40"/>
  <c r="F41" i="37"/>
  <c r="B249" i="37"/>
  <c r="F249" i="37"/>
  <c r="G249" i="37"/>
  <c r="G497" i="37" s="1"/>
  <c r="H249" i="37"/>
  <c r="I249" i="37"/>
  <c r="L249" i="37"/>
  <c r="M249" i="37"/>
  <c r="B250" i="37"/>
  <c r="F250" i="37"/>
  <c r="G250" i="37"/>
  <c r="G498" i="37" s="1"/>
  <c r="H250" i="37"/>
  <c r="I250" i="37"/>
  <c r="L250" i="37"/>
  <c r="M250" i="37"/>
  <c r="B251" i="37"/>
  <c r="F251" i="37"/>
  <c r="G251" i="37"/>
  <c r="H251" i="37"/>
  <c r="H499" i="37" s="1"/>
  <c r="I251" i="37"/>
  <c r="L251" i="37"/>
  <c r="L499" i="37" s="1"/>
  <c r="M251" i="37"/>
  <c r="B252" i="37"/>
  <c r="B500" i="37" s="1"/>
  <c r="F252" i="37"/>
  <c r="G252" i="37"/>
  <c r="H252" i="37"/>
  <c r="I252" i="37"/>
  <c r="I500" i="37" s="1"/>
  <c r="L252" i="37"/>
  <c r="M252" i="37"/>
  <c r="B253" i="37"/>
  <c r="B501" i="37" s="1"/>
  <c r="F253" i="37"/>
  <c r="G253" i="37"/>
  <c r="H253" i="37"/>
  <c r="I253" i="37"/>
  <c r="I501" i="37" s="1"/>
  <c r="L253" i="37"/>
  <c r="M253" i="37"/>
  <c r="B254" i="37"/>
  <c r="B502" i="37" s="1"/>
  <c r="F254" i="37"/>
  <c r="G254" i="37"/>
  <c r="H254" i="37"/>
  <c r="I254" i="37"/>
  <c r="I502" i="37" s="1"/>
  <c r="L254" i="37"/>
  <c r="M254" i="37"/>
  <c r="B255" i="37"/>
  <c r="F255" i="37"/>
  <c r="G255" i="37"/>
  <c r="G503" i="37" s="1"/>
  <c r="H255" i="37"/>
  <c r="I255" i="37"/>
  <c r="L255" i="37"/>
  <c r="M255" i="37"/>
  <c r="B256" i="37"/>
  <c r="F256" i="37"/>
  <c r="G256" i="37"/>
  <c r="H256" i="37"/>
  <c r="I256" i="37"/>
  <c r="L256" i="37"/>
  <c r="M256" i="37"/>
  <c r="B257" i="37"/>
  <c r="B505" i="37" s="1"/>
  <c r="F257" i="37"/>
  <c r="G257" i="37"/>
  <c r="H257" i="37"/>
  <c r="I257" i="37"/>
  <c r="I505" i="37" s="1"/>
  <c r="L257" i="37"/>
  <c r="M257" i="37"/>
  <c r="B258" i="37"/>
  <c r="F258" i="37"/>
  <c r="G258" i="37"/>
  <c r="H258" i="37"/>
  <c r="I258" i="37"/>
  <c r="L258" i="37"/>
  <c r="M258" i="37"/>
  <c r="B259" i="37"/>
  <c r="F259" i="37"/>
  <c r="G259" i="37"/>
  <c r="H259" i="37"/>
  <c r="H507" i="37" s="1"/>
  <c r="I259" i="37"/>
  <c r="L259" i="37"/>
  <c r="L507" i="37" s="1"/>
  <c r="M259" i="37"/>
  <c r="B260" i="37"/>
  <c r="F260" i="37"/>
  <c r="G260" i="37"/>
  <c r="G508" i="37" s="1"/>
  <c r="H260" i="37"/>
  <c r="I260" i="37"/>
  <c r="L260" i="37"/>
  <c r="M260" i="37"/>
  <c r="B261" i="37"/>
  <c r="F261" i="37"/>
  <c r="G261" i="37"/>
  <c r="H261" i="37"/>
  <c r="I261" i="37"/>
  <c r="L261" i="37"/>
  <c r="M261" i="37"/>
  <c r="B262" i="37"/>
  <c r="B510" i="37" s="1"/>
  <c r="F262" i="37"/>
  <c r="G262" i="37"/>
  <c r="H262" i="37"/>
  <c r="I262" i="37"/>
  <c r="I510" i="37" s="1"/>
  <c r="L262" i="37"/>
  <c r="M262" i="37"/>
  <c r="B263" i="37"/>
  <c r="F263" i="37"/>
  <c r="G263" i="37"/>
  <c r="H263" i="37"/>
  <c r="H511" i="37" s="1"/>
  <c r="I263" i="37"/>
  <c r="L263" i="37"/>
  <c r="L511" i="37" s="1"/>
  <c r="M263" i="37"/>
  <c r="B264" i="37"/>
  <c r="F264" i="37"/>
  <c r="G264" i="37"/>
  <c r="H264" i="37"/>
  <c r="H512" i="37" s="1"/>
  <c r="I264" i="37"/>
  <c r="L264" i="37"/>
  <c r="L512" i="37" s="1"/>
  <c r="M264" i="37"/>
  <c r="B265" i="37"/>
  <c r="F265" i="37"/>
  <c r="G265" i="37"/>
  <c r="H265" i="37"/>
  <c r="H513" i="37" s="1"/>
  <c r="I265" i="37"/>
  <c r="L265" i="37"/>
  <c r="L513" i="37" s="1"/>
  <c r="M265" i="37"/>
  <c r="B266" i="37"/>
  <c r="F266" i="37"/>
  <c r="G266" i="37"/>
  <c r="H266" i="37"/>
  <c r="H514" i="37" s="1"/>
  <c r="I266" i="37"/>
  <c r="L266" i="37"/>
  <c r="L514" i="37" s="1"/>
  <c r="M266" i="37"/>
  <c r="B267" i="37"/>
  <c r="F267" i="37"/>
  <c r="G267" i="37"/>
  <c r="H267" i="37"/>
  <c r="I267" i="37"/>
  <c r="L267" i="37"/>
  <c r="M267" i="37"/>
  <c r="B268" i="37"/>
  <c r="F268" i="37"/>
  <c r="G268" i="37"/>
  <c r="H268" i="37"/>
  <c r="I268" i="37"/>
  <c r="L268" i="37"/>
  <c r="M268" i="37"/>
  <c r="B269" i="37"/>
  <c r="F269" i="37"/>
  <c r="G269" i="37"/>
  <c r="H269" i="37"/>
  <c r="I269" i="37"/>
  <c r="L269" i="37"/>
  <c r="M269" i="37"/>
  <c r="B270" i="37"/>
  <c r="F270" i="37"/>
  <c r="F766" i="37" s="1"/>
  <c r="G270" i="37"/>
  <c r="H270" i="37"/>
  <c r="I270" i="37"/>
  <c r="L270" i="37"/>
  <c r="M270" i="37"/>
  <c r="B271" i="37"/>
  <c r="F271" i="37"/>
  <c r="G271" i="37"/>
  <c r="H271" i="37"/>
  <c r="I271" i="37"/>
  <c r="L271" i="37"/>
  <c r="M271" i="37"/>
  <c r="B272" i="37"/>
  <c r="F272" i="37"/>
  <c r="G272" i="37"/>
  <c r="H272" i="37"/>
  <c r="I272" i="37"/>
  <c r="L272" i="37"/>
  <c r="M272" i="37"/>
  <c r="B273" i="37"/>
  <c r="B521" i="37" s="1"/>
  <c r="F273" i="37"/>
  <c r="G273" i="37"/>
  <c r="H273" i="37"/>
  <c r="I273" i="37"/>
  <c r="I521" i="37" s="1"/>
  <c r="L273" i="37"/>
  <c r="M273" i="37"/>
  <c r="B274" i="37"/>
  <c r="B522" i="37" s="1"/>
  <c r="F274" i="37"/>
  <c r="G274" i="37"/>
  <c r="H274" i="37"/>
  <c r="I274" i="37"/>
  <c r="I522" i="37" s="1"/>
  <c r="L274" i="37"/>
  <c r="M274" i="37"/>
  <c r="B275" i="37"/>
  <c r="B523" i="37" s="1"/>
  <c r="F275" i="37"/>
  <c r="G275" i="37"/>
  <c r="H275" i="37"/>
  <c r="I275" i="37"/>
  <c r="I523" i="37" s="1"/>
  <c r="L275" i="37"/>
  <c r="M275" i="37"/>
  <c r="B276" i="37"/>
  <c r="B524" i="37" s="1"/>
  <c r="F276" i="37"/>
  <c r="G276" i="37"/>
  <c r="H276" i="37"/>
  <c r="I276" i="37"/>
  <c r="I524" i="37" s="1"/>
  <c r="L276" i="37"/>
  <c r="M276" i="37"/>
  <c r="B277" i="37"/>
  <c r="B525" i="37" s="1"/>
  <c r="F277" i="37"/>
  <c r="G277" i="37"/>
  <c r="H277" i="37"/>
  <c r="I277" i="37"/>
  <c r="I525" i="37" s="1"/>
  <c r="L277" i="37"/>
  <c r="M277" i="37"/>
  <c r="B278" i="37"/>
  <c r="B526" i="37" s="1"/>
  <c r="F278" i="37"/>
  <c r="G278" i="37"/>
  <c r="H278" i="37"/>
  <c r="I278" i="37"/>
  <c r="I526" i="37" s="1"/>
  <c r="L278" i="37"/>
  <c r="M278" i="37"/>
  <c r="B279" i="37"/>
  <c r="B527" i="37" s="1"/>
  <c r="F279" i="37"/>
  <c r="G279" i="37"/>
  <c r="H279" i="37"/>
  <c r="I279" i="37"/>
  <c r="I527" i="37" s="1"/>
  <c r="L279" i="37"/>
  <c r="M279" i="37"/>
  <c r="B280" i="37"/>
  <c r="B528" i="37" s="1"/>
  <c r="F280" i="37"/>
  <c r="G280" i="37"/>
  <c r="H280" i="37"/>
  <c r="I280" i="37"/>
  <c r="I528" i="37" s="1"/>
  <c r="L280" i="37"/>
  <c r="M280" i="37"/>
  <c r="B281" i="37"/>
  <c r="F281" i="37"/>
  <c r="G281" i="37"/>
  <c r="H281" i="37"/>
  <c r="H529" i="37" s="1"/>
  <c r="I281" i="37"/>
  <c r="L281" i="37"/>
  <c r="L529" i="37" s="1"/>
  <c r="M281" i="37"/>
  <c r="B282" i="37"/>
  <c r="F282" i="37"/>
  <c r="G282" i="37"/>
  <c r="H282" i="37"/>
  <c r="I282" i="37"/>
  <c r="L282" i="37"/>
  <c r="M282" i="37"/>
  <c r="B283" i="37"/>
  <c r="F283" i="37"/>
  <c r="G283" i="37"/>
  <c r="H283" i="37"/>
  <c r="I283" i="37"/>
  <c r="L283" i="37"/>
  <c r="M283" i="37"/>
  <c r="B42" i="37"/>
  <c r="B538" i="37" s="1"/>
  <c r="F42" i="37"/>
  <c r="G42" i="37"/>
  <c r="H42" i="37"/>
  <c r="I42" i="37"/>
  <c r="L42" i="37"/>
  <c r="M42" i="37"/>
  <c r="B43" i="37"/>
  <c r="B291" i="37" s="1"/>
  <c r="F43" i="37"/>
  <c r="G43" i="37"/>
  <c r="G291" i="37" s="1"/>
  <c r="H43" i="37"/>
  <c r="H291" i="37" s="1"/>
  <c r="I43" i="37"/>
  <c r="I291" i="37" s="1"/>
  <c r="L43" i="37"/>
  <c r="L291" i="37" s="1"/>
  <c r="M43" i="37"/>
  <c r="B44" i="37"/>
  <c r="F44" i="37"/>
  <c r="G44" i="37"/>
  <c r="H44" i="37"/>
  <c r="I44" i="37"/>
  <c r="L44" i="37"/>
  <c r="M44" i="37"/>
  <c r="B45" i="37"/>
  <c r="F45" i="37"/>
  <c r="G45" i="37"/>
  <c r="H45" i="37"/>
  <c r="I45" i="37"/>
  <c r="L45" i="37"/>
  <c r="M45" i="37"/>
  <c r="B46" i="37"/>
  <c r="F46" i="37"/>
  <c r="G46" i="37"/>
  <c r="H46" i="37"/>
  <c r="I46" i="37"/>
  <c r="L46" i="37"/>
  <c r="M46" i="37"/>
  <c r="B47" i="37"/>
  <c r="F47" i="37"/>
  <c r="G47" i="37"/>
  <c r="H47" i="37"/>
  <c r="I47" i="37"/>
  <c r="L47" i="37"/>
  <c r="M47" i="37"/>
  <c r="B48" i="37"/>
  <c r="F48" i="37"/>
  <c r="G48" i="37"/>
  <c r="H48" i="37"/>
  <c r="I48" i="37"/>
  <c r="L48" i="37"/>
  <c r="M48" i="37"/>
  <c r="B49" i="37"/>
  <c r="F49" i="37"/>
  <c r="G49" i="37"/>
  <c r="H49" i="37"/>
  <c r="I49" i="37"/>
  <c r="L49" i="37"/>
  <c r="M49" i="37"/>
  <c r="B50" i="37"/>
  <c r="F50" i="37"/>
  <c r="G50" i="37"/>
  <c r="H50" i="37"/>
  <c r="I50" i="37"/>
  <c r="L50" i="37"/>
  <c r="M50" i="37"/>
  <c r="B51" i="37"/>
  <c r="F51" i="37"/>
  <c r="G51" i="37"/>
  <c r="H51" i="37"/>
  <c r="I51" i="37"/>
  <c r="L51" i="37"/>
  <c r="M51" i="37"/>
  <c r="B52" i="37"/>
  <c r="F52" i="37"/>
  <c r="G52" i="37"/>
  <c r="H52" i="37"/>
  <c r="I52" i="37"/>
  <c r="L52" i="37"/>
  <c r="M52" i="37"/>
  <c r="B53" i="37"/>
  <c r="F53" i="37"/>
  <c r="G53" i="37"/>
  <c r="H53" i="37"/>
  <c r="I53" i="37"/>
  <c r="L53" i="37"/>
  <c r="M53" i="37"/>
  <c r="B54" i="37"/>
  <c r="F54" i="37"/>
  <c r="G54" i="37"/>
  <c r="H54" i="37"/>
  <c r="I54" i="37"/>
  <c r="L54" i="37"/>
  <c r="M54" i="37"/>
  <c r="B55" i="37"/>
  <c r="F55" i="37"/>
  <c r="G55" i="37"/>
  <c r="H55" i="37"/>
  <c r="I55" i="37"/>
  <c r="L55" i="37"/>
  <c r="M55" i="37"/>
  <c r="B56" i="37"/>
  <c r="F56" i="37"/>
  <c r="G56" i="37"/>
  <c r="H56" i="37"/>
  <c r="I56" i="37"/>
  <c r="L56" i="37"/>
  <c r="M56" i="37"/>
  <c r="B57" i="37"/>
  <c r="F57" i="37"/>
  <c r="G57" i="37"/>
  <c r="H57" i="37"/>
  <c r="I57" i="37"/>
  <c r="L57" i="37"/>
  <c r="M57" i="37"/>
  <c r="B58" i="37"/>
  <c r="F58" i="37"/>
  <c r="G58" i="37"/>
  <c r="H58" i="37"/>
  <c r="I58" i="37"/>
  <c r="L58" i="37"/>
  <c r="M58" i="37"/>
  <c r="B59" i="37"/>
  <c r="F59" i="37"/>
  <c r="G59" i="37"/>
  <c r="H59" i="37"/>
  <c r="I59" i="37"/>
  <c r="L59" i="37"/>
  <c r="M59" i="37"/>
  <c r="B60" i="37"/>
  <c r="F60" i="37"/>
  <c r="G60" i="37"/>
  <c r="H60" i="37"/>
  <c r="I60" i="37"/>
  <c r="L60" i="37"/>
  <c r="M60" i="37"/>
  <c r="B61" i="37"/>
  <c r="F61" i="37"/>
  <c r="G61" i="37"/>
  <c r="H61" i="37"/>
  <c r="I61" i="37"/>
  <c r="L61" i="37"/>
  <c r="M61" i="37"/>
  <c r="B62" i="37"/>
  <c r="F62" i="37"/>
  <c r="G62" i="37"/>
  <c r="H62" i="37"/>
  <c r="I62" i="37"/>
  <c r="L62" i="37"/>
  <c r="M62" i="37"/>
  <c r="B63" i="37"/>
  <c r="F63" i="37"/>
  <c r="G63" i="37"/>
  <c r="H63" i="37"/>
  <c r="I63" i="37"/>
  <c r="L63" i="37"/>
  <c r="M63" i="37"/>
  <c r="B64" i="37"/>
  <c r="F64" i="37"/>
  <c r="G64" i="37"/>
  <c r="H64" i="37"/>
  <c r="I64" i="37"/>
  <c r="L64" i="37"/>
  <c r="M64" i="37"/>
  <c r="B65" i="37"/>
  <c r="F65" i="37"/>
  <c r="G65" i="37"/>
  <c r="H65" i="37"/>
  <c r="I65" i="37"/>
  <c r="L65" i="37"/>
  <c r="M65" i="37"/>
  <c r="B66" i="37"/>
  <c r="F66" i="37"/>
  <c r="G66" i="37"/>
  <c r="H66" i="37"/>
  <c r="I66" i="37"/>
  <c r="L66" i="37"/>
  <c r="M66" i="37"/>
  <c r="B67" i="37"/>
  <c r="F67" i="37"/>
  <c r="G67" i="37"/>
  <c r="H67" i="37"/>
  <c r="I67" i="37"/>
  <c r="L67" i="37"/>
  <c r="M67" i="37"/>
  <c r="B68" i="37"/>
  <c r="F68" i="37"/>
  <c r="G68" i="37"/>
  <c r="H68" i="37"/>
  <c r="I68" i="37"/>
  <c r="L68" i="37"/>
  <c r="M68" i="37"/>
  <c r="B69" i="37"/>
  <c r="F69" i="37"/>
  <c r="G69" i="37"/>
  <c r="H69" i="37"/>
  <c r="I69" i="37"/>
  <c r="L69" i="37"/>
  <c r="M69" i="37"/>
  <c r="B70" i="37"/>
  <c r="F70" i="37"/>
  <c r="G70" i="37"/>
  <c r="H70" i="37"/>
  <c r="I70" i="37"/>
  <c r="L70" i="37"/>
  <c r="M70" i="37"/>
  <c r="B71" i="37"/>
  <c r="F71" i="37"/>
  <c r="G71" i="37"/>
  <c r="H71" i="37"/>
  <c r="I71" i="37"/>
  <c r="L71" i="37"/>
  <c r="M71" i="37"/>
  <c r="B72" i="37"/>
  <c r="F72" i="37"/>
  <c r="G72" i="37"/>
  <c r="H72" i="37"/>
  <c r="I72" i="37"/>
  <c r="L72" i="37"/>
  <c r="M72" i="37"/>
  <c r="B73" i="37"/>
  <c r="F73" i="37"/>
  <c r="G73" i="37"/>
  <c r="H73" i="37"/>
  <c r="I73" i="37"/>
  <c r="L73" i="37"/>
  <c r="M73" i="37"/>
  <c r="B74" i="37"/>
  <c r="F74" i="37"/>
  <c r="G74" i="37"/>
  <c r="H74" i="37"/>
  <c r="I74" i="37"/>
  <c r="L74" i="37"/>
  <c r="M74" i="37"/>
  <c r="B75" i="37"/>
  <c r="F75" i="37"/>
  <c r="G75" i="37"/>
  <c r="H75" i="37"/>
  <c r="I75" i="37"/>
  <c r="L75" i="37"/>
  <c r="M75" i="37"/>
  <c r="B76" i="37"/>
  <c r="F76" i="37"/>
  <c r="G76" i="37"/>
  <c r="H76" i="37"/>
  <c r="I76" i="37"/>
  <c r="L76" i="37"/>
  <c r="M76" i="37"/>
  <c r="B77" i="37"/>
  <c r="F77" i="37"/>
  <c r="G77" i="37"/>
  <c r="H77" i="37"/>
  <c r="I77" i="37"/>
  <c r="L77" i="37"/>
  <c r="M77" i="37"/>
  <c r="B78" i="37"/>
  <c r="F78" i="37"/>
  <c r="G78" i="37"/>
  <c r="H78" i="37"/>
  <c r="I78" i="37"/>
  <c r="L78" i="37"/>
  <c r="M78" i="37"/>
  <c r="B79" i="37"/>
  <c r="F79" i="37"/>
  <c r="G79" i="37"/>
  <c r="H79" i="37"/>
  <c r="I79" i="37"/>
  <c r="L79" i="37"/>
  <c r="M79" i="37"/>
  <c r="B80" i="37"/>
  <c r="F80" i="37"/>
  <c r="G80" i="37"/>
  <c r="H80" i="37"/>
  <c r="I80" i="37"/>
  <c r="L80" i="37"/>
  <c r="M80" i="37"/>
  <c r="B81" i="37"/>
  <c r="F81" i="37"/>
  <c r="G81" i="37"/>
  <c r="H81" i="37"/>
  <c r="I81" i="37"/>
  <c r="L81" i="37"/>
  <c r="M81" i="37"/>
  <c r="B82" i="37"/>
  <c r="F82" i="37"/>
  <c r="G82" i="37"/>
  <c r="H82" i="37"/>
  <c r="I82" i="37"/>
  <c r="L82" i="37"/>
  <c r="M82" i="37"/>
  <c r="B83" i="37"/>
  <c r="F83" i="37"/>
  <c r="G83" i="37"/>
  <c r="H83" i="37"/>
  <c r="I83" i="37"/>
  <c r="L83" i="37"/>
  <c r="M83" i="37"/>
  <c r="B84" i="37"/>
  <c r="F84" i="37"/>
  <c r="G84" i="37"/>
  <c r="H84" i="37"/>
  <c r="I84" i="37"/>
  <c r="L84" i="37"/>
  <c r="M84" i="37"/>
  <c r="B85" i="37"/>
  <c r="F85" i="37"/>
  <c r="G85" i="37"/>
  <c r="H85" i="37"/>
  <c r="I85" i="37"/>
  <c r="L85" i="37"/>
  <c r="M85" i="37"/>
  <c r="B86" i="37"/>
  <c r="F86" i="37"/>
  <c r="G86" i="37"/>
  <c r="H86" i="37"/>
  <c r="I86" i="37"/>
  <c r="L86" i="37"/>
  <c r="M86" i="37"/>
  <c r="B87" i="37"/>
  <c r="F87" i="37"/>
  <c r="G87" i="37"/>
  <c r="H87" i="37"/>
  <c r="I87" i="37"/>
  <c r="L87" i="37"/>
  <c r="M87" i="37"/>
  <c r="B88" i="37"/>
  <c r="F88" i="37"/>
  <c r="G88" i="37"/>
  <c r="H88" i="37"/>
  <c r="I88" i="37"/>
  <c r="L88" i="37"/>
  <c r="M88" i="37"/>
  <c r="B89" i="37"/>
  <c r="F89" i="37"/>
  <c r="G89" i="37"/>
  <c r="H89" i="37"/>
  <c r="I89" i="37"/>
  <c r="L89" i="37"/>
  <c r="M89" i="37"/>
  <c r="B90" i="37"/>
  <c r="F90" i="37"/>
  <c r="G90" i="37"/>
  <c r="H90" i="37"/>
  <c r="I90" i="37"/>
  <c r="L90" i="37"/>
  <c r="M90" i="37"/>
  <c r="B91" i="37"/>
  <c r="F91" i="37"/>
  <c r="G91" i="37"/>
  <c r="H91" i="37"/>
  <c r="I91" i="37"/>
  <c r="L91" i="37"/>
  <c r="M91" i="37"/>
  <c r="B92" i="37"/>
  <c r="F92" i="37"/>
  <c r="G92" i="37"/>
  <c r="H92" i="37"/>
  <c r="I92" i="37"/>
  <c r="L92" i="37"/>
  <c r="M92" i="37"/>
  <c r="B93" i="37"/>
  <c r="F93" i="37"/>
  <c r="G93" i="37"/>
  <c r="H93" i="37"/>
  <c r="I93" i="37"/>
  <c r="L93" i="37"/>
  <c r="M93" i="37"/>
  <c r="B94" i="37"/>
  <c r="F94" i="37"/>
  <c r="G94" i="37"/>
  <c r="H94" i="37"/>
  <c r="I94" i="37"/>
  <c r="L94" i="37"/>
  <c r="M94" i="37"/>
  <c r="B95" i="37"/>
  <c r="F95" i="37"/>
  <c r="G95" i="37"/>
  <c r="H95" i="37"/>
  <c r="I95" i="37"/>
  <c r="L95" i="37"/>
  <c r="M95" i="37"/>
  <c r="B96" i="37"/>
  <c r="F96" i="37"/>
  <c r="G96" i="37"/>
  <c r="H96" i="37"/>
  <c r="I96" i="37"/>
  <c r="L96" i="37"/>
  <c r="M96" i="37"/>
  <c r="B97" i="37"/>
  <c r="F97" i="37"/>
  <c r="G97" i="37"/>
  <c r="H97" i="37"/>
  <c r="I97" i="37"/>
  <c r="L97" i="37"/>
  <c r="M97" i="37"/>
  <c r="B98" i="37"/>
  <c r="F98" i="37"/>
  <c r="G98" i="37"/>
  <c r="H98" i="37"/>
  <c r="I98" i="37"/>
  <c r="L98" i="37"/>
  <c r="M98" i="37"/>
  <c r="B99" i="37"/>
  <c r="F99" i="37"/>
  <c r="G99" i="37"/>
  <c r="H99" i="37"/>
  <c r="I99" i="37"/>
  <c r="L99" i="37"/>
  <c r="M99" i="37"/>
  <c r="B100" i="37"/>
  <c r="F100" i="37"/>
  <c r="G100" i="37"/>
  <c r="H100" i="37"/>
  <c r="I100" i="37"/>
  <c r="L100" i="37"/>
  <c r="M100" i="37"/>
  <c r="B101" i="37"/>
  <c r="F101" i="37"/>
  <c r="G101" i="37"/>
  <c r="H101" i="37"/>
  <c r="I101" i="37"/>
  <c r="L101" i="37"/>
  <c r="M101" i="37"/>
  <c r="B102" i="37"/>
  <c r="F102" i="37"/>
  <c r="G102" i="37"/>
  <c r="H102" i="37"/>
  <c r="I102" i="37"/>
  <c r="L102" i="37"/>
  <c r="M102" i="37"/>
  <c r="B103" i="37"/>
  <c r="F103" i="37"/>
  <c r="G103" i="37"/>
  <c r="H103" i="37"/>
  <c r="I103" i="37"/>
  <c r="L103" i="37"/>
  <c r="M103" i="37"/>
  <c r="B104" i="37"/>
  <c r="F104" i="37"/>
  <c r="G104" i="37"/>
  <c r="H104" i="37"/>
  <c r="I104" i="37"/>
  <c r="L104" i="37"/>
  <c r="M104" i="37"/>
  <c r="B105" i="37"/>
  <c r="F105" i="37"/>
  <c r="G105" i="37"/>
  <c r="H105" i="37"/>
  <c r="I105" i="37"/>
  <c r="L105" i="37"/>
  <c r="M105" i="37"/>
  <c r="B106" i="37"/>
  <c r="F106" i="37"/>
  <c r="G106" i="37"/>
  <c r="H106" i="37"/>
  <c r="I106" i="37"/>
  <c r="L106" i="37"/>
  <c r="M106" i="37"/>
  <c r="B107" i="37"/>
  <c r="F107" i="37"/>
  <c r="G107" i="37"/>
  <c r="H107" i="37"/>
  <c r="I107" i="37"/>
  <c r="L107" i="37"/>
  <c r="M107" i="37"/>
  <c r="B108" i="37"/>
  <c r="F108" i="37"/>
  <c r="G108" i="37"/>
  <c r="H108" i="37"/>
  <c r="I108" i="37"/>
  <c r="L108" i="37"/>
  <c r="M108" i="37"/>
  <c r="B109" i="37"/>
  <c r="F109" i="37"/>
  <c r="G109" i="37"/>
  <c r="H109" i="37"/>
  <c r="I109" i="37"/>
  <c r="L109" i="37"/>
  <c r="M109" i="37"/>
  <c r="B110" i="37"/>
  <c r="F110" i="37"/>
  <c r="G110" i="37"/>
  <c r="H110" i="37"/>
  <c r="I110" i="37"/>
  <c r="L110" i="37"/>
  <c r="M110" i="37"/>
  <c r="B111" i="37"/>
  <c r="F111" i="37"/>
  <c r="G111" i="37"/>
  <c r="H111" i="37"/>
  <c r="I111" i="37"/>
  <c r="L111" i="37"/>
  <c r="M111" i="37"/>
  <c r="B112" i="37"/>
  <c r="F112" i="37"/>
  <c r="G112" i="37"/>
  <c r="H112" i="37"/>
  <c r="I112" i="37"/>
  <c r="L112" i="37"/>
  <c r="M112" i="37"/>
  <c r="B113" i="37"/>
  <c r="F113" i="37"/>
  <c r="G113" i="37"/>
  <c r="H113" i="37"/>
  <c r="I113" i="37"/>
  <c r="L113" i="37"/>
  <c r="M113" i="37"/>
  <c r="B114" i="37"/>
  <c r="F114" i="37"/>
  <c r="G114" i="37"/>
  <c r="G362" i="37" s="1"/>
  <c r="H114" i="37"/>
  <c r="I114" i="37"/>
  <c r="L114" i="37"/>
  <c r="M114" i="37"/>
  <c r="B115" i="37"/>
  <c r="B363" i="37" s="1"/>
  <c r="F115" i="37"/>
  <c r="G115" i="37"/>
  <c r="H115" i="37"/>
  <c r="I115" i="37"/>
  <c r="L115" i="37"/>
  <c r="M115" i="37"/>
  <c r="B116" i="37"/>
  <c r="B364" i="37" s="1"/>
  <c r="F116" i="37"/>
  <c r="G116" i="37"/>
  <c r="H116" i="37"/>
  <c r="I116" i="37"/>
  <c r="L116" i="37"/>
  <c r="M116" i="37"/>
  <c r="B117" i="37"/>
  <c r="F117" i="37"/>
  <c r="G117" i="37"/>
  <c r="H117" i="37"/>
  <c r="I117" i="37"/>
  <c r="L117" i="37"/>
  <c r="M117" i="37"/>
  <c r="B118" i="37"/>
  <c r="F118" i="37"/>
  <c r="G118" i="37"/>
  <c r="H118" i="37"/>
  <c r="I118" i="37"/>
  <c r="L118" i="37"/>
  <c r="M118" i="37"/>
  <c r="B119" i="37"/>
  <c r="F119" i="37"/>
  <c r="G119" i="37"/>
  <c r="H119" i="37"/>
  <c r="I119" i="37"/>
  <c r="L119" i="37"/>
  <c r="M119" i="37"/>
  <c r="B120" i="37"/>
  <c r="F120" i="37"/>
  <c r="G120" i="37"/>
  <c r="H120" i="37"/>
  <c r="I120" i="37"/>
  <c r="L120" i="37"/>
  <c r="M120" i="37"/>
  <c r="B121" i="37"/>
  <c r="F121" i="37"/>
  <c r="G121" i="37"/>
  <c r="H121" i="37"/>
  <c r="I121" i="37"/>
  <c r="L121" i="37"/>
  <c r="M121" i="37"/>
  <c r="B122" i="37"/>
  <c r="F122" i="37"/>
  <c r="G122" i="37"/>
  <c r="H122" i="37"/>
  <c r="I122" i="37"/>
  <c r="L122" i="37"/>
  <c r="M122" i="37"/>
  <c r="B123" i="37"/>
  <c r="F123" i="37"/>
  <c r="G123" i="37"/>
  <c r="H123" i="37"/>
  <c r="I123" i="37"/>
  <c r="L123" i="37"/>
  <c r="L371" i="37" s="1"/>
  <c r="M123" i="37"/>
  <c r="B124" i="37"/>
  <c r="F124" i="37"/>
  <c r="G124" i="37"/>
  <c r="H124" i="37"/>
  <c r="I124" i="37"/>
  <c r="L124" i="37"/>
  <c r="L372" i="37" s="1"/>
  <c r="M124" i="37"/>
  <c r="B125" i="37"/>
  <c r="F125" i="37"/>
  <c r="G125" i="37"/>
  <c r="H125" i="37"/>
  <c r="I125" i="37"/>
  <c r="L125" i="37"/>
  <c r="M125" i="37"/>
  <c r="B126" i="37"/>
  <c r="F126" i="37"/>
  <c r="G126" i="37"/>
  <c r="H126" i="37"/>
  <c r="I126" i="37"/>
  <c r="I374" i="37" s="1"/>
  <c r="L126" i="37"/>
  <c r="M126" i="37"/>
  <c r="B127" i="37"/>
  <c r="F127" i="37"/>
  <c r="G127" i="37"/>
  <c r="G375" i="37" s="1"/>
  <c r="H127" i="37"/>
  <c r="I127" i="37"/>
  <c r="L127" i="37"/>
  <c r="M127" i="37"/>
  <c r="B128" i="37"/>
  <c r="F128" i="37"/>
  <c r="G128" i="37"/>
  <c r="G376" i="37" s="1"/>
  <c r="H128" i="37"/>
  <c r="I128" i="37"/>
  <c r="L128" i="37"/>
  <c r="M128" i="37"/>
  <c r="B129" i="37"/>
  <c r="F129" i="37"/>
  <c r="G129" i="37"/>
  <c r="H129" i="37"/>
  <c r="I129" i="37"/>
  <c r="L129" i="37"/>
  <c r="M129" i="37"/>
  <c r="B130" i="37"/>
  <c r="F130" i="37"/>
  <c r="G130" i="37"/>
  <c r="H130" i="37"/>
  <c r="I130" i="37"/>
  <c r="L130" i="37"/>
  <c r="M130" i="37"/>
  <c r="B131" i="37"/>
  <c r="F131" i="37"/>
  <c r="G131" i="37"/>
  <c r="H131" i="37"/>
  <c r="I131" i="37"/>
  <c r="L131" i="37"/>
  <c r="M131" i="37"/>
  <c r="B132" i="37"/>
  <c r="F132" i="37"/>
  <c r="G132" i="37"/>
  <c r="H132" i="37"/>
  <c r="H380" i="37" s="1"/>
  <c r="I132" i="37"/>
  <c r="L132" i="37"/>
  <c r="M132" i="37"/>
  <c r="B133" i="37"/>
  <c r="F133" i="37"/>
  <c r="G133" i="37"/>
  <c r="H133" i="37"/>
  <c r="H381" i="37" s="1"/>
  <c r="I133" i="37"/>
  <c r="L133" i="37"/>
  <c r="M133" i="37"/>
  <c r="B134" i="37"/>
  <c r="F134" i="37"/>
  <c r="G134" i="37"/>
  <c r="G382" i="37" s="1"/>
  <c r="H134" i="37"/>
  <c r="I134" i="37"/>
  <c r="L134" i="37"/>
  <c r="M134" i="37"/>
  <c r="B135" i="37"/>
  <c r="B383" i="37" s="1"/>
  <c r="F135" i="37"/>
  <c r="G135" i="37"/>
  <c r="H135" i="37"/>
  <c r="I135" i="37"/>
  <c r="L135" i="37"/>
  <c r="M135" i="37"/>
  <c r="B136" i="37"/>
  <c r="F136" i="37"/>
  <c r="G136" i="37"/>
  <c r="H136" i="37"/>
  <c r="I136" i="37"/>
  <c r="L136" i="37"/>
  <c r="M136" i="37"/>
  <c r="B137" i="37"/>
  <c r="F137" i="37"/>
  <c r="G137" i="37"/>
  <c r="H137" i="37"/>
  <c r="I137" i="37"/>
  <c r="L137" i="37"/>
  <c r="M137" i="37"/>
  <c r="B138" i="37"/>
  <c r="F138" i="37"/>
  <c r="G138" i="37"/>
  <c r="H138" i="37"/>
  <c r="I138" i="37"/>
  <c r="L138" i="37"/>
  <c r="M138" i="37"/>
  <c r="B139" i="37"/>
  <c r="F139" i="37"/>
  <c r="G139" i="37"/>
  <c r="H139" i="37"/>
  <c r="I139" i="37"/>
  <c r="L139" i="37"/>
  <c r="M139" i="37"/>
  <c r="B140" i="37"/>
  <c r="F140" i="37"/>
  <c r="G140" i="37"/>
  <c r="H140" i="37"/>
  <c r="I140" i="37"/>
  <c r="L140" i="37"/>
  <c r="M140" i="37"/>
  <c r="B141" i="37"/>
  <c r="F141" i="37"/>
  <c r="G141" i="37"/>
  <c r="H141" i="37"/>
  <c r="I141" i="37"/>
  <c r="L141" i="37"/>
  <c r="M141" i="37"/>
  <c r="B142" i="37"/>
  <c r="F142" i="37"/>
  <c r="G142" i="37"/>
  <c r="H142" i="37"/>
  <c r="I142" i="37"/>
  <c r="I390" i="37" s="1"/>
  <c r="L142" i="37"/>
  <c r="M142" i="37"/>
  <c r="B143" i="37"/>
  <c r="F143" i="37"/>
  <c r="G143" i="37"/>
  <c r="G391" i="37" s="1"/>
  <c r="H143" i="37"/>
  <c r="I143" i="37"/>
  <c r="L143" i="37"/>
  <c r="M143" i="37"/>
  <c r="B144" i="37"/>
  <c r="F144" i="37"/>
  <c r="G144" i="37"/>
  <c r="H144" i="37"/>
  <c r="I144" i="37"/>
  <c r="L144" i="37"/>
  <c r="M144" i="37"/>
  <c r="B145" i="37"/>
  <c r="F145" i="37"/>
  <c r="G145" i="37"/>
  <c r="H145" i="37"/>
  <c r="H393" i="37" s="1"/>
  <c r="I145" i="37"/>
  <c r="L145" i="37"/>
  <c r="M145" i="37"/>
  <c r="B146" i="37"/>
  <c r="F146" i="37"/>
  <c r="G146" i="37"/>
  <c r="H146" i="37"/>
  <c r="I146" i="37"/>
  <c r="L146" i="37"/>
  <c r="M146" i="37"/>
  <c r="B147" i="37"/>
  <c r="F147" i="37"/>
  <c r="G147" i="37"/>
  <c r="H147" i="37"/>
  <c r="I147" i="37"/>
  <c r="L147" i="37"/>
  <c r="L395" i="37" s="1"/>
  <c r="M147" i="37"/>
  <c r="B148" i="37"/>
  <c r="F148" i="37"/>
  <c r="G148" i="37"/>
  <c r="H148" i="37"/>
  <c r="I148" i="37"/>
  <c r="L148" i="37"/>
  <c r="M148" i="37"/>
  <c r="B149" i="37"/>
  <c r="F149" i="37"/>
  <c r="G149" i="37"/>
  <c r="H149" i="37"/>
  <c r="H397" i="37" s="1"/>
  <c r="I149" i="37"/>
  <c r="L149" i="37"/>
  <c r="M149" i="37"/>
  <c r="B150" i="37"/>
  <c r="F150" i="37"/>
  <c r="G150" i="37"/>
  <c r="H150" i="37"/>
  <c r="I150" i="37"/>
  <c r="L150" i="37"/>
  <c r="M150" i="37"/>
  <c r="B151" i="37"/>
  <c r="F151" i="37"/>
  <c r="G151" i="37"/>
  <c r="H151" i="37"/>
  <c r="H399" i="37" s="1"/>
  <c r="I151" i="37"/>
  <c r="L151" i="37"/>
  <c r="M151" i="37"/>
  <c r="B152" i="37"/>
  <c r="F152" i="37"/>
  <c r="G152" i="37"/>
  <c r="H152" i="37"/>
  <c r="I152" i="37"/>
  <c r="L152" i="37"/>
  <c r="M152" i="37"/>
  <c r="B153" i="37"/>
  <c r="F153" i="37"/>
  <c r="G153" i="37"/>
  <c r="H153" i="37"/>
  <c r="I153" i="37"/>
  <c r="L153" i="37"/>
  <c r="L401" i="37" s="1"/>
  <c r="M153" i="37"/>
  <c r="B154" i="37"/>
  <c r="F154" i="37"/>
  <c r="G154" i="37"/>
  <c r="H154" i="37"/>
  <c r="I154" i="37"/>
  <c r="L154" i="37"/>
  <c r="M154" i="37"/>
  <c r="B155" i="37"/>
  <c r="F155" i="37"/>
  <c r="G155" i="37"/>
  <c r="H155" i="37"/>
  <c r="H403" i="37" s="1"/>
  <c r="I155" i="37"/>
  <c r="L155" i="37"/>
  <c r="M155" i="37"/>
  <c r="B156" i="37"/>
  <c r="F156" i="37"/>
  <c r="G156" i="37"/>
  <c r="G404" i="37" s="1"/>
  <c r="H156" i="37"/>
  <c r="I156" i="37"/>
  <c r="L156" i="37"/>
  <c r="M156" i="37"/>
  <c r="B157" i="37"/>
  <c r="F157" i="37"/>
  <c r="G157" i="37"/>
  <c r="H157" i="37"/>
  <c r="I157" i="37"/>
  <c r="I405" i="37" s="1"/>
  <c r="L157" i="37"/>
  <c r="M157" i="37"/>
  <c r="B158" i="37"/>
  <c r="F158" i="37"/>
  <c r="G158" i="37"/>
  <c r="H158" i="37"/>
  <c r="I158" i="37"/>
  <c r="L158" i="37"/>
  <c r="M158" i="37"/>
  <c r="B159" i="37"/>
  <c r="F159" i="37"/>
  <c r="G159" i="37"/>
  <c r="H159" i="37"/>
  <c r="H407" i="37" s="1"/>
  <c r="I159" i="37"/>
  <c r="L159" i="37"/>
  <c r="M159" i="37"/>
  <c r="B160" i="37"/>
  <c r="F160" i="37"/>
  <c r="G160" i="37"/>
  <c r="H160" i="37"/>
  <c r="I160" i="37"/>
  <c r="L160" i="37"/>
  <c r="M160" i="37"/>
  <c r="B161" i="37"/>
  <c r="F161" i="37"/>
  <c r="G161" i="37"/>
  <c r="H161" i="37"/>
  <c r="I161" i="37"/>
  <c r="L161" i="37"/>
  <c r="L409" i="37" s="1"/>
  <c r="M161" i="37"/>
  <c r="B162" i="37"/>
  <c r="F162" i="37"/>
  <c r="G162" i="37"/>
  <c r="H162" i="37"/>
  <c r="H410" i="37" s="1"/>
  <c r="I162" i="37"/>
  <c r="L162" i="37"/>
  <c r="M162" i="37"/>
  <c r="B163" i="37"/>
  <c r="F163" i="37"/>
  <c r="G163" i="37"/>
  <c r="H163" i="37"/>
  <c r="H411" i="37" s="1"/>
  <c r="I163" i="37"/>
  <c r="L163" i="37"/>
  <c r="M163" i="37"/>
  <c r="B164" i="37"/>
  <c r="B412" i="37" s="1"/>
  <c r="F164" i="37"/>
  <c r="G164" i="37"/>
  <c r="H164" i="37"/>
  <c r="I164" i="37"/>
  <c r="L164" i="37"/>
  <c r="M164" i="37"/>
  <c r="B165" i="37"/>
  <c r="F165" i="37"/>
  <c r="G165" i="37"/>
  <c r="H165" i="37"/>
  <c r="I165" i="37"/>
  <c r="L165" i="37"/>
  <c r="L413" i="37" s="1"/>
  <c r="M165" i="37"/>
  <c r="B166" i="37"/>
  <c r="F166" i="37"/>
  <c r="G166" i="37"/>
  <c r="H166" i="37"/>
  <c r="I166" i="37"/>
  <c r="I414" i="37" s="1"/>
  <c r="L166" i="37"/>
  <c r="M166" i="37"/>
  <c r="B167" i="37"/>
  <c r="B415" i="37" s="1"/>
  <c r="F167" i="37"/>
  <c r="G167" i="37"/>
  <c r="H167" i="37"/>
  <c r="I167" i="37"/>
  <c r="L167" i="37"/>
  <c r="M167" i="37"/>
  <c r="B168" i="37"/>
  <c r="F168" i="37"/>
  <c r="G168" i="37"/>
  <c r="H168" i="37"/>
  <c r="H416" i="37" s="1"/>
  <c r="I168" i="37"/>
  <c r="L168" i="37"/>
  <c r="M168" i="37"/>
  <c r="B169" i="37"/>
  <c r="F169" i="37"/>
  <c r="G169" i="37"/>
  <c r="H169" i="37"/>
  <c r="I169" i="37"/>
  <c r="I417" i="37" s="1"/>
  <c r="L169" i="37"/>
  <c r="M169" i="37"/>
  <c r="B170" i="37"/>
  <c r="F170" i="37"/>
  <c r="G170" i="37"/>
  <c r="H170" i="37"/>
  <c r="H418" i="37" s="1"/>
  <c r="I170" i="37"/>
  <c r="L170" i="37"/>
  <c r="L418" i="37" s="1"/>
  <c r="M170" i="37"/>
  <c r="B171" i="37"/>
  <c r="F171" i="37"/>
  <c r="G171" i="37"/>
  <c r="G419" i="37" s="1"/>
  <c r="H171" i="37"/>
  <c r="I171" i="37"/>
  <c r="L171" i="37"/>
  <c r="M171" i="37"/>
  <c r="B172" i="37"/>
  <c r="F172" i="37"/>
  <c r="G172" i="37"/>
  <c r="H172" i="37"/>
  <c r="I172" i="37"/>
  <c r="L172" i="37"/>
  <c r="M172" i="37"/>
  <c r="B173" i="37"/>
  <c r="F173" i="37"/>
  <c r="G173" i="37"/>
  <c r="H173" i="37"/>
  <c r="I173" i="37"/>
  <c r="L173" i="37"/>
  <c r="M173" i="37"/>
  <c r="B174" i="37"/>
  <c r="F174" i="37"/>
  <c r="G174" i="37"/>
  <c r="H174" i="37"/>
  <c r="I174" i="37"/>
  <c r="L174" i="37"/>
  <c r="M174" i="37"/>
  <c r="B175" i="37"/>
  <c r="F175" i="37"/>
  <c r="G175" i="37"/>
  <c r="H175" i="37"/>
  <c r="I175" i="37"/>
  <c r="L175" i="37"/>
  <c r="M175" i="37"/>
  <c r="B176" i="37"/>
  <c r="F176" i="37"/>
  <c r="G176" i="37"/>
  <c r="H176" i="37"/>
  <c r="I176" i="37"/>
  <c r="L176" i="37"/>
  <c r="M176" i="37"/>
  <c r="B177" i="37"/>
  <c r="B425" i="37" s="1"/>
  <c r="F177" i="37"/>
  <c r="G177" i="37"/>
  <c r="H177" i="37"/>
  <c r="I177" i="37"/>
  <c r="I425" i="37" s="1"/>
  <c r="L177" i="37"/>
  <c r="M177" i="37"/>
  <c r="B178" i="37"/>
  <c r="F178" i="37"/>
  <c r="G178" i="37"/>
  <c r="G426" i="37" s="1"/>
  <c r="H178" i="37"/>
  <c r="I178" i="37"/>
  <c r="L178" i="37"/>
  <c r="M178" i="37"/>
  <c r="B179" i="37"/>
  <c r="F179" i="37"/>
  <c r="G179" i="37"/>
  <c r="G427" i="37" s="1"/>
  <c r="H179" i="37"/>
  <c r="I179" i="37"/>
  <c r="L179" i="37"/>
  <c r="M179" i="37"/>
  <c r="B180" i="37"/>
  <c r="F180" i="37"/>
  <c r="G180" i="37"/>
  <c r="G428" i="37" s="1"/>
  <c r="H180" i="37"/>
  <c r="I180" i="37"/>
  <c r="L180" i="37"/>
  <c r="M180" i="37"/>
  <c r="B181" i="37"/>
  <c r="F181" i="37"/>
  <c r="G181" i="37"/>
  <c r="H181" i="37"/>
  <c r="I181" i="37"/>
  <c r="L181" i="37"/>
  <c r="M181" i="37"/>
  <c r="B182" i="37"/>
  <c r="F182" i="37"/>
  <c r="G182" i="37"/>
  <c r="H182" i="37"/>
  <c r="I182" i="37"/>
  <c r="L182" i="37"/>
  <c r="M182" i="37"/>
  <c r="B183" i="37"/>
  <c r="F183" i="37"/>
  <c r="G183" i="37"/>
  <c r="H183" i="37"/>
  <c r="I183" i="37"/>
  <c r="L183" i="37"/>
  <c r="M183" i="37"/>
  <c r="B184" i="37"/>
  <c r="F184" i="37"/>
  <c r="G184" i="37"/>
  <c r="H184" i="37"/>
  <c r="I184" i="37"/>
  <c r="L184" i="37"/>
  <c r="M184" i="37"/>
  <c r="B185" i="37"/>
  <c r="B433" i="37" s="1"/>
  <c r="F185" i="37"/>
  <c r="G185" i="37"/>
  <c r="H185" i="37"/>
  <c r="I185" i="37"/>
  <c r="I433" i="37" s="1"/>
  <c r="L185" i="37"/>
  <c r="M185" i="37"/>
  <c r="B186" i="37"/>
  <c r="F186" i="37"/>
  <c r="G186" i="37"/>
  <c r="G434" i="37" s="1"/>
  <c r="H186" i="37"/>
  <c r="I186" i="37"/>
  <c r="L186" i="37"/>
  <c r="M186" i="37"/>
  <c r="B187" i="37"/>
  <c r="F187" i="37"/>
  <c r="G187" i="37"/>
  <c r="G435" i="37" s="1"/>
  <c r="H187" i="37"/>
  <c r="I187" i="37"/>
  <c r="L187" i="37"/>
  <c r="M187" i="37"/>
  <c r="B188" i="37"/>
  <c r="F188" i="37"/>
  <c r="G188" i="37"/>
  <c r="G436" i="37" s="1"/>
  <c r="H188" i="37"/>
  <c r="I188" i="37"/>
  <c r="L188" i="37"/>
  <c r="M188" i="37"/>
  <c r="B189" i="37"/>
  <c r="F189" i="37"/>
  <c r="G189" i="37"/>
  <c r="H189" i="37"/>
  <c r="I189" i="37"/>
  <c r="L189" i="37"/>
  <c r="M189" i="37"/>
  <c r="B190" i="37"/>
  <c r="F190" i="37"/>
  <c r="G190" i="37"/>
  <c r="H190" i="37"/>
  <c r="H438" i="37" s="1"/>
  <c r="I190" i="37"/>
  <c r="L190" i="37"/>
  <c r="L438" i="37" s="1"/>
  <c r="M190" i="37"/>
  <c r="B191" i="37"/>
  <c r="F191" i="37"/>
  <c r="G191" i="37"/>
  <c r="H191" i="37"/>
  <c r="H439" i="37" s="1"/>
  <c r="I191" i="37"/>
  <c r="L191" i="37"/>
  <c r="L439" i="37" s="1"/>
  <c r="M191" i="37"/>
  <c r="B192" i="37"/>
  <c r="F192" i="37"/>
  <c r="G192" i="37"/>
  <c r="H192" i="37"/>
  <c r="H440" i="37" s="1"/>
  <c r="I192" i="37"/>
  <c r="L192" i="37"/>
  <c r="L440" i="37" s="1"/>
  <c r="M192" i="37"/>
  <c r="B193" i="37"/>
  <c r="F193" i="37"/>
  <c r="G193" i="37"/>
  <c r="G441" i="37" s="1"/>
  <c r="H193" i="37"/>
  <c r="I193" i="37"/>
  <c r="L193" i="37"/>
  <c r="M193" i="37"/>
  <c r="B194" i="37"/>
  <c r="B442" i="37" s="1"/>
  <c r="F194" i="37"/>
  <c r="G194" i="37"/>
  <c r="H194" i="37"/>
  <c r="I194" i="37"/>
  <c r="I442" i="37" s="1"/>
  <c r="L194" i="37"/>
  <c r="M194" i="37"/>
  <c r="B195" i="37"/>
  <c r="B443" i="37" s="1"/>
  <c r="F195" i="37"/>
  <c r="G195" i="37"/>
  <c r="H195" i="37"/>
  <c r="I195" i="37"/>
  <c r="I443" i="37" s="1"/>
  <c r="L195" i="37"/>
  <c r="M195" i="37"/>
  <c r="B196" i="37"/>
  <c r="B444" i="37" s="1"/>
  <c r="F196" i="37"/>
  <c r="G196" i="37"/>
  <c r="H196" i="37"/>
  <c r="I196" i="37"/>
  <c r="I444" i="37" s="1"/>
  <c r="L196" i="37"/>
  <c r="M196" i="37"/>
  <c r="B197" i="37"/>
  <c r="B445" i="37" s="1"/>
  <c r="F197" i="37"/>
  <c r="G197" i="37"/>
  <c r="H197" i="37"/>
  <c r="I197" i="37"/>
  <c r="I445" i="37" s="1"/>
  <c r="L197" i="37"/>
  <c r="M197" i="37"/>
  <c r="B198" i="37"/>
  <c r="B446" i="37" s="1"/>
  <c r="F198" i="37"/>
  <c r="G198" i="37"/>
  <c r="H198" i="37"/>
  <c r="I198" i="37"/>
  <c r="I446" i="37" s="1"/>
  <c r="L198" i="37"/>
  <c r="M198" i="37"/>
  <c r="B199" i="37"/>
  <c r="F199" i="37"/>
  <c r="G199" i="37"/>
  <c r="H199" i="37"/>
  <c r="H447" i="37" s="1"/>
  <c r="I199" i="37"/>
  <c r="L199" i="37"/>
  <c r="L447" i="37" s="1"/>
  <c r="M199" i="37"/>
  <c r="B200" i="37"/>
  <c r="F200" i="37"/>
  <c r="G200" i="37"/>
  <c r="H200" i="37"/>
  <c r="H448" i="37" s="1"/>
  <c r="I200" i="37"/>
  <c r="L200" i="37"/>
  <c r="L448" i="37" s="1"/>
  <c r="M200" i="37"/>
  <c r="B201" i="37"/>
  <c r="F201" i="37"/>
  <c r="G201" i="37"/>
  <c r="G449" i="37" s="1"/>
  <c r="H201" i="37"/>
  <c r="I201" i="37"/>
  <c r="L201" i="37"/>
  <c r="M201" i="37"/>
  <c r="B202" i="37"/>
  <c r="F202" i="37"/>
  <c r="G202" i="37"/>
  <c r="G450" i="37" s="1"/>
  <c r="H202" i="37"/>
  <c r="I202" i="37"/>
  <c r="L202" i="37"/>
  <c r="M202" i="37"/>
  <c r="B203" i="37"/>
  <c r="F203" i="37"/>
  <c r="G203" i="37"/>
  <c r="G451" i="37" s="1"/>
  <c r="H203" i="37"/>
  <c r="I203" i="37"/>
  <c r="L203" i="37"/>
  <c r="M203" i="37"/>
  <c r="B204" i="37"/>
  <c r="F204" i="37"/>
  <c r="G204" i="37"/>
  <c r="G452" i="37" s="1"/>
  <c r="H204" i="37"/>
  <c r="I204" i="37"/>
  <c r="I452" i="37" s="1"/>
  <c r="L204" i="37"/>
  <c r="M204" i="37"/>
  <c r="B205" i="37"/>
  <c r="B453" i="37" s="1"/>
  <c r="F205" i="37"/>
  <c r="G205" i="37"/>
  <c r="G453" i="37" s="1"/>
  <c r="H205" i="37"/>
  <c r="H453" i="37" s="1"/>
  <c r="I205" i="37"/>
  <c r="I453" i="37" s="1"/>
  <c r="L205" i="37"/>
  <c r="L453" i="37" s="1"/>
  <c r="M205" i="37"/>
  <c r="B206" i="37"/>
  <c r="B454" i="37" s="1"/>
  <c r="F206" i="37"/>
  <c r="G206" i="37"/>
  <c r="G454" i="37" s="1"/>
  <c r="H206" i="37"/>
  <c r="H454" i="37" s="1"/>
  <c r="I206" i="37"/>
  <c r="I454" i="37" s="1"/>
  <c r="L206" i="37"/>
  <c r="L454" i="37" s="1"/>
  <c r="M206" i="37"/>
  <c r="B207" i="37"/>
  <c r="B455" i="37" s="1"/>
  <c r="F207" i="37"/>
  <c r="G207" i="37"/>
  <c r="G455" i="37" s="1"/>
  <c r="H207" i="37"/>
  <c r="H455" i="37" s="1"/>
  <c r="I207" i="37"/>
  <c r="I455" i="37" s="1"/>
  <c r="L207" i="37"/>
  <c r="L455" i="37" s="1"/>
  <c r="M207" i="37"/>
  <c r="B208" i="37"/>
  <c r="B456" i="37" s="1"/>
  <c r="F208" i="37"/>
  <c r="G208" i="37"/>
  <c r="G456" i="37" s="1"/>
  <c r="H208" i="37"/>
  <c r="H456" i="37" s="1"/>
  <c r="I208" i="37"/>
  <c r="I456" i="37" s="1"/>
  <c r="L208" i="37"/>
  <c r="L456" i="37" s="1"/>
  <c r="M208" i="37"/>
  <c r="B209" i="37"/>
  <c r="B457" i="37" s="1"/>
  <c r="F209" i="37"/>
  <c r="G209" i="37"/>
  <c r="G457" i="37" s="1"/>
  <c r="H209" i="37"/>
  <c r="H457" i="37" s="1"/>
  <c r="I209" i="37"/>
  <c r="I457" i="37" s="1"/>
  <c r="L209" i="37"/>
  <c r="L457" i="37" s="1"/>
  <c r="M209" i="37"/>
  <c r="B210" i="37"/>
  <c r="B458" i="37" s="1"/>
  <c r="F210" i="37"/>
  <c r="G210" i="37"/>
  <c r="G458" i="37" s="1"/>
  <c r="H210" i="37"/>
  <c r="H458" i="37" s="1"/>
  <c r="I210" i="37"/>
  <c r="I458" i="37" s="1"/>
  <c r="L210" i="37"/>
  <c r="L458" i="37" s="1"/>
  <c r="M210" i="37"/>
  <c r="B211" i="37"/>
  <c r="B459" i="37" s="1"/>
  <c r="F211" i="37"/>
  <c r="G211" i="37"/>
  <c r="G459" i="37" s="1"/>
  <c r="H211" i="37"/>
  <c r="H459" i="37" s="1"/>
  <c r="I211" i="37"/>
  <c r="I459" i="37" s="1"/>
  <c r="L211" i="37"/>
  <c r="L459" i="37" s="1"/>
  <c r="M211" i="37"/>
  <c r="B212" i="37"/>
  <c r="B460" i="37" s="1"/>
  <c r="F212" i="37"/>
  <c r="G212" i="37"/>
  <c r="G460" i="37" s="1"/>
  <c r="H212" i="37"/>
  <c r="H460" i="37" s="1"/>
  <c r="I212" i="37"/>
  <c r="I460" i="37" s="1"/>
  <c r="L212" i="37"/>
  <c r="L460" i="37" s="1"/>
  <c r="M212" i="37"/>
  <c r="B213" i="37"/>
  <c r="B461" i="37" s="1"/>
  <c r="F213" i="37"/>
  <c r="G213" i="37"/>
  <c r="G461" i="37" s="1"/>
  <c r="H213" i="37"/>
  <c r="H461" i="37" s="1"/>
  <c r="I213" i="37"/>
  <c r="I461" i="37" s="1"/>
  <c r="L213" i="37"/>
  <c r="L461" i="37" s="1"/>
  <c r="M213" i="37"/>
  <c r="B214" i="37"/>
  <c r="B462" i="37" s="1"/>
  <c r="F214" i="37"/>
  <c r="G214" i="37"/>
  <c r="G462" i="37" s="1"/>
  <c r="H214" i="37"/>
  <c r="H462" i="37" s="1"/>
  <c r="I214" i="37"/>
  <c r="I462" i="37" s="1"/>
  <c r="L214" i="37"/>
  <c r="L462" i="37" s="1"/>
  <c r="M214" i="37"/>
  <c r="B215" i="37"/>
  <c r="B463" i="37" s="1"/>
  <c r="F215" i="37"/>
  <c r="G215" i="37"/>
  <c r="G463" i="37" s="1"/>
  <c r="H215" i="37"/>
  <c r="H463" i="37" s="1"/>
  <c r="I215" i="37"/>
  <c r="I463" i="37" s="1"/>
  <c r="L215" i="37"/>
  <c r="L463" i="37" s="1"/>
  <c r="M215" i="37"/>
  <c r="B216" i="37"/>
  <c r="B464" i="37" s="1"/>
  <c r="F216" i="37"/>
  <c r="G216" i="37"/>
  <c r="G464" i="37" s="1"/>
  <c r="H216" i="37"/>
  <c r="H464" i="37" s="1"/>
  <c r="I216" i="37"/>
  <c r="I464" i="37" s="1"/>
  <c r="L216" i="37"/>
  <c r="L464" i="37" s="1"/>
  <c r="M216" i="37"/>
  <c r="B217" i="37"/>
  <c r="B465" i="37" s="1"/>
  <c r="F217" i="37"/>
  <c r="G217" i="37"/>
  <c r="G465" i="37" s="1"/>
  <c r="H217" i="37"/>
  <c r="H465" i="37" s="1"/>
  <c r="I217" i="37"/>
  <c r="I465" i="37" s="1"/>
  <c r="L217" i="37"/>
  <c r="L465" i="37" s="1"/>
  <c r="M217" i="37"/>
  <c r="B218" i="37"/>
  <c r="B466" i="37" s="1"/>
  <c r="F218" i="37"/>
  <c r="G218" i="37"/>
  <c r="G466" i="37" s="1"/>
  <c r="H218" i="37"/>
  <c r="H466" i="37" s="1"/>
  <c r="I218" i="37"/>
  <c r="I466" i="37" s="1"/>
  <c r="L218" i="37"/>
  <c r="L466" i="37" s="1"/>
  <c r="M218" i="37"/>
  <c r="B219" i="37"/>
  <c r="B467" i="37" s="1"/>
  <c r="F219" i="37"/>
  <c r="G219" i="37"/>
  <c r="G467" i="37" s="1"/>
  <c r="H219" i="37"/>
  <c r="H467" i="37" s="1"/>
  <c r="I219" i="37"/>
  <c r="I467" i="37" s="1"/>
  <c r="L219" i="37"/>
  <c r="L467" i="37" s="1"/>
  <c r="M219" i="37"/>
  <c r="B220" i="37"/>
  <c r="B468" i="37" s="1"/>
  <c r="F220" i="37"/>
  <c r="G220" i="37"/>
  <c r="G468" i="37" s="1"/>
  <c r="H220" i="37"/>
  <c r="H468" i="37" s="1"/>
  <c r="I220" i="37"/>
  <c r="I468" i="37" s="1"/>
  <c r="L220" i="37"/>
  <c r="L468" i="37" s="1"/>
  <c r="M220" i="37"/>
  <c r="B221" i="37"/>
  <c r="B469" i="37" s="1"/>
  <c r="F221" i="37"/>
  <c r="G221" i="37"/>
  <c r="G469" i="37" s="1"/>
  <c r="H221" i="37"/>
  <c r="H469" i="37" s="1"/>
  <c r="I221" i="37"/>
  <c r="I469" i="37" s="1"/>
  <c r="L221" i="37"/>
  <c r="L469" i="37" s="1"/>
  <c r="M221" i="37"/>
  <c r="B222" i="37"/>
  <c r="B470" i="37" s="1"/>
  <c r="F222" i="37"/>
  <c r="G222" i="37"/>
  <c r="G470" i="37" s="1"/>
  <c r="H222" i="37"/>
  <c r="H470" i="37" s="1"/>
  <c r="I222" i="37"/>
  <c r="I470" i="37" s="1"/>
  <c r="L222" i="37"/>
  <c r="L470" i="37" s="1"/>
  <c r="M222" i="37"/>
  <c r="B223" i="37"/>
  <c r="B471" i="37" s="1"/>
  <c r="F223" i="37"/>
  <c r="G223" i="37"/>
  <c r="G471" i="37" s="1"/>
  <c r="H223" i="37"/>
  <c r="H471" i="37" s="1"/>
  <c r="I223" i="37"/>
  <c r="I471" i="37" s="1"/>
  <c r="L223" i="37"/>
  <c r="L471" i="37" s="1"/>
  <c r="M223" i="37"/>
  <c r="B224" i="37"/>
  <c r="B472" i="37" s="1"/>
  <c r="F224" i="37"/>
  <c r="G224" i="37"/>
  <c r="G472" i="37" s="1"/>
  <c r="H224" i="37"/>
  <c r="H472" i="37" s="1"/>
  <c r="I224" i="37"/>
  <c r="I472" i="37" s="1"/>
  <c r="L224" i="37"/>
  <c r="L472" i="37" s="1"/>
  <c r="M224" i="37"/>
  <c r="B225" i="37"/>
  <c r="B473" i="37" s="1"/>
  <c r="F225" i="37"/>
  <c r="G225" i="37"/>
  <c r="G473" i="37" s="1"/>
  <c r="H225" i="37"/>
  <c r="H473" i="37" s="1"/>
  <c r="I225" i="37"/>
  <c r="I473" i="37" s="1"/>
  <c r="L225" i="37"/>
  <c r="L473" i="37" s="1"/>
  <c r="M225" i="37"/>
  <c r="B226" i="37"/>
  <c r="B474" i="37" s="1"/>
  <c r="F226" i="37"/>
  <c r="G226" i="37"/>
  <c r="G474" i="37" s="1"/>
  <c r="H226" i="37"/>
  <c r="H474" i="37" s="1"/>
  <c r="I226" i="37"/>
  <c r="I474" i="37" s="1"/>
  <c r="L226" i="37"/>
  <c r="L474" i="37" s="1"/>
  <c r="M226" i="37"/>
  <c r="B227" i="37"/>
  <c r="B475" i="37" s="1"/>
  <c r="F227" i="37"/>
  <c r="G227" i="37"/>
  <c r="G475" i="37" s="1"/>
  <c r="H227" i="37"/>
  <c r="H475" i="37" s="1"/>
  <c r="I227" i="37"/>
  <c r="I475" i="37" s="1"/>
  <c r="L227" i="37"/>
  <c r="L475" i="37" s="1"/>
  <c r="M227" i="37"/>
  <c r="B228" i="37"/>
  <c r="B476" i="37" s="1"/>
  <c r="F228" i="37"/>
  <c r="G228" i="37"/>
  <c r="G476" i="37" s="1"/>
  <c r="H228" i="37"/>
  <c r="H476" i="37" s="1"/>
  <c r="I228" i="37"/>
  <c r="I476" i="37" s="1"/>
  <c r="L228" i="37"/>
  <c r="L476" i="37" s="1"/>
  <c r="M228" i="37"/>
  <c r="B229" i="37"/>
  <c r="B477" i="37" s="1"/>
  <c r="F229" i="37"/>
  <c r="G229" i="37"/>
  <c r="G477" i="37" s="1"/>
  <c r="H229" i="37"/>
  <c r="H477" i="37" s="1"/>
  <c r="I229" i="37"/>
  <c r="I477" i="37" s="1"/>
  <c r="L229" i="37"/>
  <c r="L477" i="37" s="1"/>
  <c r="M229" i="37"/>
  <c r="B230" i="37"/>
  <c r="B478" i="37" s="1"/>
  <c r="F230" i="37"/>
  <c r="G230" i="37"/>
  <c r="G478" i="37" s="1"/>
  <c r="H230" i="37"/>
  <c r="H478" i="37" s="1"/>
  <c r="I230" i="37"/>
  <c r="I478" i="37" s="1"/>
  <c r="L230" i="37"/>
  <c r="L478" i="37" s="1"/>
  <c r="M230" i="37"/>
  <c r="B231" i="37"/>
  <c r="B479" i="37" s="1"/>
  <c r="F231" i="37"/>
  <c r="G231" i="37"/>
  <c r="G479" i="37" s="1"/>
  <c r="H231" i="37"/>
  <c r="H479" i="37" s="1"/>
  <c r="I231" i="37"/>
  <c r="I479" i="37" s="1"/>
  <c r="L231" i="37"/>
  <c r="L479" i="37" s="1"/>
  <c r="M231" i="37"/>
  <c r="B232" i="37"/>
  <c r="B480" i="37" s="1"/>
  <c r="F232" i="37"/>
  <c r="G232" i="37"/>
  <c r="G480" i="37" s="1"/>
  <c r="H232" i="37"/>
  <c r="H480" i="37" s="1"/>
  <c r="I232" i="37"/>
  <c r="I480" i="37" s="1"/>
  <c r="L232" i="37"/>
  <c r="L480" i="37" s="1"/>
  <c r="M232" i="37"/>
  <c r="B233" i="37"/>
  <c r="B481" i="37" s="1"/>
  <c r="F233" i="37"/>
  <c r="G233" i="37"/>
  <c r="G481" i="37" s="1"/>
  <c r="H233" i="37"/>
  <c r="H481" i="37" s="1"/>
  <c r="I233" i="37"/>
  <c r="I481" i="37" s="1"/>
  <c r="L233" i="37"/>
  <c r="L481" i="37" s="1"/>
  <c r="M233" i="37"/>
  <c r="B234" i="37"/>
  <c r="B482" i="37" s="1"/>
  <c r="F234" i="37"/>
  <c r="G234" i="37"/>
  <c r="G482" i="37" s="1"/>
  <c r="H234" i="37"/>
  <c r="H482" i="37" s="1"/>
  <c r="I234" i="37"/>
  <c r="I482" i="37" s="1"/>
  <c r="L234" i="37"/>
  <c r="L482" i="37" s="1"/>
  <c r="M234" i="37"/>
  <c r="B235" i="37"/>
  <c r="B483" i="37" s="1"/>
  <c r="F235" i="37"/>
  <c r="G235" i="37"/>
  <c r="G483" i="37" s="1"/>
  <c r="H235" i="37"/>
  <c r="H483" i="37" s="1"/>
  <c r="I235" i="37"/>
  <c r="I483" i="37" s="1"/>
  <c r="L235" i="37"/>
  <c r="L483" i="37" s="1"/>
  <c r="M235" i="37"/>
  <c r="B236" i="37"/>
  <c r="B484" i="37" s="1"/>
  <c r="F236" i="37"/>
  <c r="G236" i="37"/>
  <c r="G484" i="37" s="1"/>
  <c r="H236" i="37"/>
  <c r="H484" i="37" s="1"/>
  <c r="I236" i="37"/>
  <c r="I484" i="37" s="1"/>
  <c r="L236" i="37"/>
  <c r="L484" i="37" s="1"/>
  <c r="M236" i="37"/>
  <c r="B237" i="37"/>
  <c r="B485" i="37" s="1"/>
  <c r="F237" i="37"/>
  <c r="G237" i="37"/>
  <c r="G485" i="37" s="1"/>
  <c r="H237" i="37"/>
  <c r="H485" i="37" s="1"/>
  <c r="I237" i="37"/>
  <c r="I485" i="37" s="1"/>
  <c r="L237" i="37"/>
  <c r="L485" i="37" s="1"/>
  <c r="M237" i="37"/>
  <c r="B238" i="37"/>
  <c r="B486" i="37" s="1"/>
  <c r="F238" i="37"/>
  <c r="G238" i="37"/>
  <c r="G486" i="37" s="1"/>
  <c r="H238" i="37"/>
  <c r="H486" i="37" s="1"/>
  <c r="I238" i="37"/>
  <c r="I486" i="37" s="1"/>
  <c r="L238" i="37"/>
  <c r="L486" i="37" s="1"/>
  <c r="M238" i="37"/>
  <c r="B239" i="37"/>
  <c r="B487" i="37" s="1"/>
  <c r="F239" i="37"/>
  <c r="G239" i="37"/>
  <c r="G487" i="37" s="1"/>
  <c r="H239" i="37"/>
  <c r="H487" i="37" s="1"/>
  <c r="I239" i="37"/>
  <c r="I487" i="37" s="1"/>
  <c r="L239" i="37"/>
  <c r="L487" i="37" s="1"/>
  <c r="M239" i="37"/>
  <c r="B240" i="37"/>
  <c r="B488" i="37" s="1"/>
  <c r="F240" i="37"/>
  <c r="G240" i="37"/>
  <c r="G488" i="37" s="1"/>
  <c r="H240" i="37"/>
  <c r="H488" i="37" s="1"/>
  <c r="I240" i="37"/>
  <c r="I488" i="37" s="1"/>
  <c r="L240" i="37"/>
  <c r="L488" i="37" s="1"/>
  <c r="M240" i="37"/>
  <c r="B241" i="37"/>
  <c r="B489" i="37" s="1"/>
  <c r="F241" i="37"/>
  <c r="G241" i="37"/>
  <c r="G489" i="37" s="1"/>
  <c r="H241" i="37"/>
  <c r="H489" i="37" s="1"/>
  <c r="I241" i="37"/>
  <c r="I489" i="37" s="1"/>
  <c r="L241" i="37"/>
  <c r="L489" i="37" s="1"/>
  <c r="M241" i="37"/>
  <c r="B242" i="37"/>
  <c r="B490" i="37" s="1"/>
  <c r="F242" i="37"/>
  <c r="G242" i="37"/>
  <c r="G490" i="37" s="1"/>
  <c r="H242" i="37"/>
  <c r="H490" i="37" s="1"/>
  <c r="I242" i="37"/>
  <c r="I490" i="37" s="1"/>
  <c r="L242" i="37"/>
  <c r="L490" i="37" s="1"/>
  <c r="M242" i="37"/>
  <c r="B243" i="37"/>
  <c r="B491" i="37" s="1"/>
  <c r="F243" i="37"/>
  <c r="G243" i="37"/>
  <c r="G491" i="37" s="1"/>
  <c r="H243" i="37"/>
  <c r="H491" i="37" s="1"/>
  <c r="I243" i="37"/>
  <c r="I491" i="37" s="1"/>
  <c r="L243" i="37"/>
  <c r="L491" i="37" s="1"/>
  <c r="M243" i="37"/>
  <c r="B244" i="37"/>
  <c r="B492" i="37" s="1"/>
  <c r="F244" i="37"/>
  <c r="G244" i="37"/>
  <c r="G492" i="37" s="1"/>
  <c r="H244" i="37"/>
  <c r="H492" i="37" s="1"/>
  <c r="I244" i="37"/>
  <c r="I492" i="37" s="1"/>
  <c r="L244" i="37"/>
  <c r="L492" i="37" s="1"/>
  <c r="M244" i="37"/>
  <c r="B245" i="37"/>
  <c r="F245" i="37"/>
  <c r="G245" i="37"/>
  <c r="H245" i="37"/>
  <c r="H493" i="37" s="1"/>
  <c r="I245" i="37"/>
  <c r="L245" i="37"/>
  <c r="L493" i="37" s="1"/>
  <c r="M245" i="37"/>
  <c r="B246" i="37"/>
  <c r="F246" i="37"/>
  <c r="G246" i="37"/>
  <c r="G494" i="37" s="1"/>
  <c r="H246" i="37"/>
  <c r="I246" i="37"/>
  <c r="L246" i="37"/>
  <c r="M246" i="37"/>
  <c r="B247" i="37"/>
  <c r="F247" i="37"/>
  <c r="G247" i="37"/>
  <c r="G495" i="37" s="1"/>
  <c r="H247" i="37"/>
  <c r="I247" i="37"/>
  <c r="L247" i="37"/>
  <c r="M247" i="37"/>
  <c r="B248" i="37"/>
  <c r="F248" i="37"/>
  <c r="G248" i="37"/>
  <c r="G496" i="37" s="1"/>
  <c r="H248" i="37"/>
  <c r="I248" i="37"/>
  <c r="L248" i="37"/>
  <c r="M248" i="37"/>
  <c r="B41" i="37"/>
  <c r="B537" i="37" s="1"/>
  <c r="AZ104" i="50" l="1"/>
  <c r="AZ100" i="50"/>
  <c r="AT135" i="50"/>
  <c r="AZ135" i="50" s="1"/>
  <c r="AT129" i="50"/>
  <c r="AT119" i="50"/>
  <c r="AZ119" i="50" s="1"/>
  <c r="AU119" i="50"/>
  <c r="AV115" i="50"/>
  <c r="AT107" i="50"/>
  <c r="AT112" i="50"/>
  <c r="AZ112" i="50" s="1"/>
  <c r="AT102" i="50"/>
  <c r="AZ102" i="50" s="1"/>
  <c r="AT136" i="50"/>
  <c r="AZ136" i="50" s="1"/>
  <c r="AV108" i="50"/>
  <c r="AT98" i="50"/>
  <c r="AT128" i="50"/>
  <c r="AU102" i="50"/>
  <c r="AU123" i="50"/>
  <c r="AT101" i="50"/>
  <c r="AZ101" i="50" s="1"/>
  <c r="AU115" i="50"/>
  <c r="AT111" i="50"/>
  <c r="AZ111" i="50" s="1"/>
  <c r="AV137" i="50"/>
  <c r="AU121" i="50"/>
  <c r="AU101" i="50"/>
  <c r="AU122" i="50"/>
  <c r="AT105" i="50"/>
  <c r="AZ105" i="50" s="1"/>
  <c r="AW119" i="50"/>
  <c r="AW117" i="50"/>
  <c r="AT89" i="50"/>
  <c r="AT130" i="50"/>
  <c r="AU114" i="50"/>
  <c r="AT88" i="50"/>
  <c r="AW122" i="50"/>
  <c r="AT118" i="50"/>
  <c r="AZ118" i="50" s="1"/>
  <c r="AV110" i="50"/>
  <c r="AT96" i="50"/>
  <c r="AZ96" i="50" s="1"/>
  <c r="AV136" i="50"/>
  <c r="AT116" i="50"/>
  <c r="AU108" i="50"/>
  <c r="AW123" i="50"/>
  <c r="AV117" i="50"/>
  <c r="AV113" i="50"/>
  <c r="AT97" i="50"/>
  <c r="AU135" i="50"/>
  <c r="AV123" i="50"/>
  <c r="AT103" i="50"/>
  <c r="AZ103" i="50" s="1"/>
  <c r="AU99" i="50"/>
  <c r="AV118" i="50"/>
  <c r="AV106" i="50"/>
  <c r="AR51" i="65"/>
  <c r="L155" i="65" s="1"/>
  <c r="AQ51" i="65"/>
  <c r="K155" i="65" s="1"/>
  <c r="Q66" i="62"/>
  <c r="P66" i="62"/>
  <c r="K247" i="37"/>
  <c r="J247" i="37"/>
  <c r="K245" i="37"/>
  <c r="J245" i="37"/>
  <c r="J741" i="37" s="1"/>
  <c r="K241" i="37"/>
  <c r="K489" i="37" s="1"/>
  <c r="N489" i="37" s="1"/>
  <c r="J241" i="37"/>
  <c r="K237" i="37"/>
  <c r="K485" i="37" s="1"/>
  <c r="J237" i="37"/>
  <c r="K235" i="37"/>
  <c r="J235" i="37"/>
  <c r="J483" i="37" s="1"/>
  <c r="P483" i="37" s="1"/>
  <c r="K233" i="37"/>
  <c r="K481" i="37" s="1"/>
  <c r="J233" i="37"/>
  <c r="F727" i="37"/>
  <c r="K231" i="37"/>
  <c r="J231" i="37"/>
  <c r="F477" i="37"/>
  <c r="K229" i="37"/>
  <c r="J229" i="37"/>
  <c r="F475" i="37"/>
  <c r="K227" i="37"/>
  <c r="J227" i="37"/>
  <c r="F473" i="37"/>
  <c r="K225" i="37"/>
  <c r="J225" i="37"/>
  <c r="F471" i="37"/>
  <c r="K223" i="37"/>
  <c r="J223" i="37"/>
  <c r="F469" i="37"/>
  <c r="K221" i="37"/>
  <c r="J221" i="37"/>
  <c r="F467" i="37"/>
  <c r="K219" i="37"/>
  <c r="J219" i="37"/>
  <c r="F465" i="37"/>
  <c r="K217" i="37"/>
  <c r="J217" i="37"/>
  <c r="F461" i="37"/>
  <c r="K213" i="37"/>
  <c r="J213" i="37"/>
  <c r="F459" i="37"/>
  <c r="K211" i="37"/>
  <c r="J211" i="37"/>
  <c r="K203" i="37"/>
  <c r="J203" i="37"/>
  <c r="K199" i="37"/>
  <c r="J199" i="37"/>
  <c r="K197" i="37"/>
  <c r="J197" i="37"/>
  <c r="K195" i="37"/>
  <c r="J195" i="37"/>
  <c r="K193" i="37"/>
  <c r="J193" i="37"/>
  <c r="K191" i="37"/>
  <c r="J191" i="37"/>
  <c r="F437" i="37"/>
  <c r="K189" i="37"/>
  <c r="J189" i="37"/>
  <c r="K187" i="37"/>
  <c r="J187" i="37"/>
  <c r="K248" i="37"/>
  <c r="J248" i="37"/>
  <c r="J744" i="37" s="1"/>
  <c r="K246" i="37"/>
  <c r="J246" i="37"/>
  <c r="K244" i="37"/>
  <c r="K492" i="37" s="1"/>
  <c r="N492" i="37" s="1"/>
  <c r="J244" i="37"/>
  <c r="K242" i="37"/>
  <c r="K490" i="37" s="1"/>
  <c r="N490" i="37" s="1"/>
  <c r="J242" i="37"/>
  <c r="K240" i="37"/>
  <c r="K488" i="37" s="1"/>
  <c r="J240" i="37"/>
  <c r="K238" i="37"/>
  <c r="K486" i="37" s="1"/>
  <c r="N486" i="37" s="1"/>
  <c r="J238" i="37"/>
  <c r="K236" i="37"/>
  <c r="K484" i="37" s="1"/>
  <c r="N484" i="37" s="1"/>
  <c r="J236" i="37"/>
  <c r="K234" i="37"/>
  <c r="K482" i="37" s="1"/>
  <c r="J234" i="37"/>
  <c r="F728" i="37"/>
  <c r="K232" i="37"/>
  <c r="J232" i="37"/>
  <c r="F478" i="37"/>
  <c r="K230" i="37"/>
  <c r="J230" i="37"/>
  <c r="F476" i="37"/>
  <c r="K228" i="37"/>
  <c r="J228" i="37"/>
  <c r="F474" i="37"/>
  <c r="K226" i="37"/>
  <c r="J226" i="37"/>
  <c r="F472" i="37"/>
  <c r="K224" i="37"/>
  <c r="J224" i="37"/>
  <c r="F470" i="37"/>
  <c r="K222" i="37"/>
  <c r="J222" i="37"/>
  <c r="F468" i="37"/>
  <c r="K220" i="37"/>
  <c r="J220" i="37"/>
  <c r="F466" i="37"/>
  <c r="K218" i="37"/>
  <c r="J218" i="37"/>
  <c r="F464" i="37"/>
  <c r="K216" i="37"/>
  <c r="J216" i="37"/>
  <c r="F462" i="37"/>
  <c r="K214" i="37"/>
  <c r="J214" i="37"/>
  <c r="F460" i="37"/>
  <c r="K212" i="37"/>
  <c r="J212" i="37"/>
  <c r="F458" i="37"/>
  <c r="K210" i="37"/>
  <c r="J210" i="37"/>
  <c r="F456" i="37"/>
  <c r="K208" i="37"/>
  <c r="J208" i="37"/>
  <c r="F454" i="37"/>
  <c r="K206" i="37"/>
  <c r="J206" i="37"/>
  <c r="K204" i="37"/>
  <c r="J204" i="37"/>
  <c r="K202" i="37"/>
  <c r="J202" i="37"/>
  <c r="K200" i="37"/>
  <c r="J200" i="37"/>
  <c r="K198" i="37"/>
  <c r="J198" i="37"/>
  <c r="K196" i="37"/>
  <c r="J196" i="37"/>
  <c r="K194" i="37"/>
  <c r="J194" i="37"/>
  <c r="K192" i="37"/>
  <c r="J192" i="37"/>
  <c r="K190" i="37"/>
  <c r="J190" i="37"/>
  <c r="K188" i="37"/>
  <c r="J188" i="37"/>
  <c r="K186" i="37"/>
  <c r="J186" i="37"/>
  <c r="F432" i="37"/>
  <c r="K184" i="37"/>
  <c r="J184" i="37"/>
  <c r="F430" i="37"/>
  <c r="K182" i="37"/>
  <c r="J182" i="37"/>
  <c r="K180" i="37"/>
  <c r="J180" i="37"/>
  <c r="K178" i="37"/>
  <c r="J178" i="37"/>
  <c r="F424" i="37"/>
  <c r="K176" i="37"/>
  <c r="J176" i="37"/>
  <c r="F422" i="37"/>
  <c r="K174" i="37"/>
  <c r="J174" i="37"/>
  <c r="F420" i="37"/>
  <c r="K172" i="37"/>
  <c r="J172" i="37"/>
  <c r="F666" i="37"/>
  <c r="K170" i="37"/>
  <c r="J170" i="37"/>
  <c r="K168" i="37"/>
  <c r="J168" i="37"/>
  <c r="K166" i="37"/>
  <c r="J166" i="37"/>
  <c r="K164" i="37"/>
  <c r="J164" i="37"/>
  <c r="K162" i="37"/>
  <c r="J162" i="37"/>
  <c r="K160" i="37"/>
  <c r="J160" i="37"/>
  <c r="F406" i="37"/>
  <c r="K158" i="37"/>
  <c r="J158" i="37"/>
  <c r="K156" i="37"/>
  <c r="J156" i="37"/>
  <c r="F402" i="37"/>
  <c r="K154" i="37"/>
  <c r="J154" i="37"/>
  <c r="K152" i="37"/>
  <c r="J152" i="37"/>
  <c r="F398" i="37"/>
  <c r="K150" i="37"/>
  <c r="J150" i="37"/>
  <c r="F396" i="37"/>
  <c r="K148" i="37"/>
  <c r="J148" i="37"/>
  <c r="K146" i="37"/>
  <c r="J146" i="37"/>
  <c r="F392" i="37"/>
  <c r="K144" i="37"/>
  <c r="J144" i="37"/>
  <c r="K142" i="37"/>
  <c r="J142" i="37"/>
  <c r="K140" i="37"/>
  <c r="J140" i="37"/>
  <c r="K138" i="37"/>
  <c r="J138" i="37"/>
  <c r="K136" i="37"/>
  <c r="J136" i="37"/>
  <c r="K134" i="37"/>
  <c r="J134" i="37"/>
  <c r="K132" i="37"/>
  <c r="J132" i="37"/>
  <c r="K130" i="37"/>
  <c r="J130" i="37"/>
  <c r="K128" i="37"/>
  <c r="J128" i="37"/>
  <c r="K126" i="37"/>
  <c r="J126" i="37"/>
  <c r="K124" i="37"/>
  <c r="J124" i="37"/>
  <c r="J620" i="37" s="1"/>
  <c r="K122" i="37"/>
  <c r="J122" i="37"/>
  <c r="K120" i="37"/>
  <c r="J120" i="37"/>
  <c r="K118" i="37"/>
  <c r="J118" i="37"/>
  <c r="K116" i="37"/>
  <c r="J116" i="37"/>
  <c r="K114" i="37"/>
  <c r="J114" i="37"/>
  <c r="K112" i="37"/>
  <c r="J112" i="37"/>
  <c r="F358" i="37"/>
  <c r="K110" i="37"/>
  <c r="J110" i="37"/>
  <c r="K108" i="37"/>
  <c r="J108" i="37"/>
  <c r="K106" i="37"/>
  <c r="J106" i="37"/>
  <c r="K104" i="37"/>
  <c r="J104" i="37"/>
  <c r="K102" i="37"/>
  <c r="J102" i="37"/>
  <c r="K100" i="37"/>
  <c r="J100" i="37"/>
  <c r="K98" i="37"/>
  <c r="J98" i="37"/>
  <c r="K96" i="37"/>
  <c r="J96" i="37"/>
  <c r="K94" i="37"/>
  <c r="J94" i="37"/>
  <c r="K92" i="37"/>
  <c r="J92" i="37"/>
  <c r="K90" i="37"/>
  <c r="J90" i="37"/>
  <c r="K88" i="37"/>
  <c r="J88" i="37"/>
  <c r="K86" i="37"/>
  <c r="J86" i="37"/>
  <c r="F332" i="37"/>
  <c r="K84" i="37"/>
  <c r="J84" i="37"/>
  <c r="K82" i="37"/>
  <c r="J82" i="37"/>
  <c r="K80" i="37"/>
  <c r="J80" i="37"/>
  <c r="K78" i="37"/>
  <c r="J78" i="37"/>
  <c r="K76" i="37"/>
  <c r="J76" i="37"/>
  <c r="K74" i="37"/>
  <c r="J74" i="37"/>
  <c r="K72" i="37"/>
  <c r="J72" i="37"/>
  <c r="K70" i="37"/>
  <c r="J70" i="37"/>
  <c r="K68" i="37"/>
  <c r="J68" i="37"/>
  <c r="K66" i="37"/>
  <c r="J66" i="37"/>
  <c r="K64" i="37"/>
  <c r="J64" i="37"/>
  <c r="K62" i="37"/>
  <c r="J62" i="37"/>
  <c r="K60" i="37"/>
  <c r="J60" i="37"/>
  <c r="K58" i="37"/>
  <c r="J58" i="37"/>
  <c r="K56" i="37"/>
  <c r="J56" i="37"/>
  <c r="K54" i="37"/>
  <c r="J54" i="37"/>
  <c r="K52" i="37"/>
  <c r="J52" i="37"/>
  <c r="K50" i="37"/>
  <c r="J50" i="37"/>
  <c r="K48" i="37"/>
  <c r="J48" i="37"/>
  <c r="K46" i="37"/>
  <c r="J46" i="37"/>
  <c r="F540" i="37"/>
  <c r="K44" i="37"/>
  <c r="J44" i="37"/>
  <c r="K42" i="37"/>
  <c r="J42" i="37"/>
  <c r="K283" i="37"/>
  <c r="K531" i="37" s="1"/>
  <c r="J283" i="37"/>
  <c r="J531" i="37" s="1"/>
  <c r="K281" i="37"/>
  <c r="J281" i="37"/>
  <c r="K279" i="37"/>
  <c r="J279" i="37"/>
  <c r="K277" i="37"/>
  <c r="J277" i="37"/>
  <c r="K275" i="37"/>
  <c r="J275" i="37"/>
  <c r="K273" i="37"/>
  <c r="J273" i="37"/>
  <c r="J521" i="37" s="1"/>
  <c r="F519" i="37"/>
  <c r="K271" i="37"/>
  <c r="J271" i="37"/>
  <c r="F517" i="37"/>
  <c r="K269" i="37"/>
  <c r="J269" i="37"/>
  <c r="K266" i="37"/>
  <c r="K762" i="37" s="1"/>
  <c r="J266" i="37"/>
  <c r="K264" i="37"/>
  <c r="K760" i="37" s="1"/>
  <c r="J264" i="37"/>
  <c r="J760" i="37" s="1"/>
  <c r="K262" i="37"/>
  <c r="J262" i="37"/>
  <c r="K260" i="37"/>
  <c r="J260" i="37"/>
  <c r="J756" i="37" s="1"/>
  <c r="K257" i="37"/>
  <c r="J257" i="37"/>
  <c r="J753" i="37" s="1"/>
  <c r="K256" i="37"/>
  <c r="K752" i="37" s="1"/>
  <c r="J256" i="37"/>
  <c r="J504" i="37" s="1"/>
  <c r="K254" i="37"/>
  <c r="J254" i="37"/>
  <c r="J750" i="37" s="1"/>
  <c r="K252" i="37"/>
  <c r="J252" i="37"/>
  <c r="J748" i="37" s="1"/>
  <c r="K249" i="37"/>
  <c r="J249" i="37"/>
  <c r="B740" i="37"/>
  <c r="B732" i="37"/>
  <c r="B724" i="37"/>
  <c r="B716" i="37"/>
  <c r="B708" i="37"/>
  <c r="B774" i="37"/>
  <c r="B770" i="37"/>
  <c r="H762" i="37"/>
  <c r="I753" i="37"/>
  <c r="B748" i="37"/>
  <c r="K41" i="37"/>
  <c r="J41" i="37"/>
  <c r="K243" i="37"/>
  <c r="K491" i="37" s="1"/>
  <c r="N491" i="37" s="1"/>
  <c r="J243" i="37"/>
  <c r="K239" i="37"/>
  <c r="K487" i="37" s="1"/>
  <c r="J239" i="37"/>
  <c r="F463" i="37"/>
  <c r="K215" i="37"/>
  <c r="J215" i="37"/>
  <c r="F457" i="37"/>
  <c r="K209" i="37"/>
  <c r="J209" i="37"/>
  <c r="F455" i="37"/>
  <c r="K207" i="37"/>
  <c r="J207" i="37"/>
  <c r="F453" i="37"/>
  <c r="K205" i="37"/>
  <c r="J205" i="37"/>
  <c r="K201" i="37"/>
  <c r="J201" i="37"/>
  <c r="K185" i="37"/>
  <c r="J185" i="37"/>
  <c r="F431" i="37"/>
  <c r="K183" i="37"/>
  <c r="J183" i="37"/>
  <c r="F429" i="37"/>
  <c r="K181" i="37"/>
  <c r="J181" i="37"/>
  <c r="K179" i="37"/>
  <c r="J179" i="37"/>
  <c r="K177" i="37"/>
  <c r="J177" i="37"/>
  <c r="F423" i="37"/>
  <c r="K175" i="37"/>
  <c r="J175" i="37"/>
  <c r="F421" i="37"/>
  <c r="K173" i="37"/>
  <c r="J173" i="37"/>
  <c r="K171" i="37"/>
  <c r="J171" i="37"/>
  <c r="K169" i="37"/>
  <c r="J169" i="37"/>
  <c r="K167" i="37"/>
  <c r="J167" i="37"/>
  <c r="F413" i="37"/>
  <c r="K165" i="37"/>
  <c r="J165" i="37"/>
  <c r="K163" i="37"/>
  <c r="J163" i="37"/>
  <c r="F409" i="37"/>
  <c r="K161" i="37"/>
  <c r="J161" i="37"/>
  <c r="K159" i="37"/>
  <c r="J159" i="37"/>
  <c r="K157" i="37"/>
  <c r="J157" i="37"/>
  <c r="K155" i="37"/>
  <c r="J155" i="37"/>
  <c r="K153" i="37"/>
  <c r="J153" i="37"/>
  <c r="K151" i="37"/>
  <c r="J151" i="37"/>
  <c r="K149" i="37"/>
  <c r="J149" i="37"/>
  <c r="K147" i="37"/>
  <c r="J147" i="37"/>
  <c r="K145" i="37"/>
  <c r="J145" i="37"/>
  <c r="K143" i="37"/>
  <c r="J143" i="37"/>
  <c r="K141" i="37"/>
  <c r="J141" i="37"/>
  <c r="K139" i="37"/>
  <c r="J139" i="37"/>
  <c r="K137" i="37"/>
  <c r="J137" i="37"/>
  <c r="K135" i="37"/>
  <c r="J135" i="37"/>
  <c r="K133" i="37"/>
  <c r="J133" i="37"/>
  <c r="K131" i="37"/>
  <c r="J131" i="37"/>
  <c r="F377"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K105" i="37"/>
  <c r="J105" i="37"/>
  <c r="K103" i="37"/>
  <c r="J103" i="37"/>
  <c r="K101" i="37"/>
  <c r="J101" i="37"/>
  <c r="K99" i="37"/>
  <c r="J99" i="37"/>
  <c r="K97" i="37"/>
  <c r="J97" i="37"/>
  <c r="K95" i="37"/>
  <c r="J95" i="37"/>
  <c r="K93" i="37"/>
  <c r="J93" i="37"/>
  <c r="K91" i="37"/>
  <c r="J91" i="37"/>
  <c r="K89" i="37"/>
  <c r="J89" i="37"/>
  <c r="F583" i="37"/>
  <c r="K87" i="37"/>
  <c r="J87" i="37"/>
  <c r="K85" i="37"/>
  <c r="J85" i="37"/>
  <c r="K83" i="37"/>
  <c r="J83" i="37"/>
  <c r="K81" i="37"/>
  <c r="J81" i="37"/>
  <c r="K79" i="37"/>
  <c r="J79" i="37"/>
  <c r="K77" i="37"/>
  <c r="J77" i="37"/>
  <c r="K75" i="37"/>
  <c r="J75" i="37"/>
  <c r="K73" i="37"/>
  <c r="J73" i="37"/>
  <c r="K71" i="37"/>
  <c r="J71" i="37"/>
  <c r="K69" i="37"/>
  <c r="J69" i="37"/>
  <c r="K67" i="37"/>
  <c r="J67" i="37"/>
  <c r="K65" i="37"/>
  <c r="J65" i="37"/>
  <c r="K63" i="37"/>
  <c r="J63" i="37"/>
  <c r="K61" i="37"/>
  <c r="J61" i="37"/>
  <c r="K59" i="37"/>
  <c r="J59" i="37"/>
  <c r="K57" i="37"/>
  <c r="J57" i="37"/>
  <c r="J553" i="37" s="1"/>
  <c r="K55" i="37"/>
  <c r="J55" i="37"/>
  <c r="K53" i="37"/>
  <c r="J53" i="37"/>
  <c r="K51" i="37"/>
  <c r="J51" i="37"/>
  <c r="K49" i="37"/>
  <c r="J49" i="37"/>
  <c r="K47" i="37"/>
  <c r="J47" i="37"/>
  <c r="K45" i="37"/>
  <c r="J45" i="37"/>
  <c r="K43" i="37"/>
  <c r="K291" i="37" s="1"/>
  <c r="N291" i="37" s="1"/>
  <c r="J43" i="37"/>
  <c r="J291" i="37" s="1"/>
  <c r="K282" i="37"/>
  <c r="K530" i="37" s="1"/>
  <c r="J282" i="37"/>
  <c r="K280" i="37"/>
  <c r="J280" i="37"/>
  <c r="K278" i="37"/>
  <c r="J278" i="37"/>
  <c r="J526" i="37" s="1"/>
  <c r="K276" i="37"/>
  <c r="J276" i="37"/>
  <c r="K274" i="37"/>
  <c r="J274" i="37"/>
  <c r="F520" i="37"/>
  <c r="K272" i="37"/>
  <c r="J272" i="37"/>
  <c r="F518" i="37"/>
  <c r="K270" i="37"/>
  <c r="J270" i="37"/>
  <c r="F516" i="37"/>
  <c r="K268" i="37"/>
  <c r="J268" i="37"/>
  <c r="F515" i="37"/>
  <c r="K267" i="37"/>
  <c r="K763" i="37" s="1"/>
  <c r="J267" i="37"/>
  <c r="J515" i="37" s="1"/>
  <c r="K265" i="37"/>
  <c r="K761" i="37" s="1"/>
  <c r="J265" i="37"/>
  <c r="J761" i="37" s="1"/>
  <c r="K263" i="37"/>
  <c r="K759" i="37" s="1"/>
  <c r="J263" i="37"/>
  <c r="J759" i="37" s="1"/>
  <c r="K261" i="37"/>
  <c r="K509" i="37" s="1"/>
  <c r="J261" i="37"/>
  <c r="J757" i="37" s="1"/>
  <c r="K259" i="37"/>
  <c r="J259" i="37"/>
  <c r="J755" i="37" s="1"/>
  <c r="K258" i="37"/>
  <c r="K754" i="37" s="1"/>
  <c r="J258" i="37"/>
  <c r="J506" i="37" s="1"/>
  <c r="K255" i="37"/>
  <c r="J255" i="37"/>
  <c r="J503" i="37" s="1"/>
  <c r="P503" i="37" s="1"/>
  <c r="K253" i="37"/>
  <c r="J253" i="37"/>
  <c r="J749" i="37" s="1"/>
  <c r="K251" i="37"/>
  <c r="J251" i="37"/>
  <c r="J499" i="37" s="1"/>
  <c r="K250" i="37"/>
  <c r="K498" i="37" s="1"/>
  <c r="J250" i="37"/>
  <c r="B735" i="37"/>
  <c r="B727" i="37"/>
  <c r="B719" i="37"/>
  <c r="B711" i="37"/>
  <c r="B703" i="37"/>
  <c r="B772" i="37"/>
  <c r="F768" i="37"/>
  <c r="F764" i="37"/>
  <c r="I758" i="37"/>
  <c r="B750" i="37"/>
  <c r="F289" i="37"/>
  <c r="J779" i="37"/>
  <c r="L519" i="37"/>
  <c r="L767" i="37"/>
  <c r="I518" i="37"/>
  <c r="I766" i="37"/>
  <c r="G343" i="37"/>
  <c r="G591" i="37"/>
  <c r="L531" i="37"/>
  <c r="L779" i="37"/>
  <c r="G531" i="37"/>
  <c r="G779" i="37"/>
  <c r="L530" i="37"/>
  <c r="L778" i="37"/>
  <c r="K778" i="37"/>
  <c r="I529" i="37"/>
  <c r="I777" i="37"/>
  <c r="B529" i="37"/>
  <c r="B777" i="37"/>
  <c r="H528" i="37"/>
  <c r="H776" i="37"/>
  <c r="G527" i="37"/>
  <c r="G775" i="37"/>
  <c r="L526" i="37"/>
  <c r="L774" i="37"/>
  <c r="G526" i="37"/>
  <c r="G774" i="37"/>
  <c r="L525" i="37"/>
  <c r="L773" i="37"/>
  <c r="F525" i="37"/>
  <c r="F773" i="37"/>
  <c r="H523" i="37"/>
  <c r="H771" i="37"/>
  <c r="G522" i="37"/>
  <c r="G770" i="37"/>
  <c r="L521" i="37"/>
  <c r="L769" i="37"/>
  <c r="G521" i="37"/>
  <c r="G769" i="37"/>
  <c r="L520" i="37"/>
  <c r="L768" i="37"/>
  <c r="I519" i="37"/>
  <c r="I767" i="37"/>
  <c r="B519" i="37"/>
  <c r="B767" i="37"/>
  <c r="H518" i="37"/>
  <c r="H766" i="37"/>
  <c r="G517" i="37"/>
  <c r="G765" i="37"/>
  <c r="L516" i="37"/>
  <c r="L764" i="37"/>
  <c r="I514" i="37"/>
  <c r="I762" i="37"/>
  <c r="B514" i="37"/>
  <c r="B762" i="37"/>
  <c r="G512" i="37"/>
  <c r="G760" i="37"/>
  <c r="G511" i="37"/>
  <c r="G759" i="37"/>
  <c r="L510" i="37"/>
  <c r="L758" i="37"/>
  <c r="F758" i="37"/>
  <c r="I509" i="37"/>
  <c r="I757" i="37"/>
  <c r="B509" i="37"/>
  <c r="B757" i="37"/>
  <c r="H508" i="37"/>
  <c r="H756" i="37"/>
  <c r="G507" i="37"/>
  <c r="G755" i="37"/>
  <c r="L506" i="37"/>
  <c r="L754" i="37"/>
  <c r="G506" i="37"/>
  <c r="G754" i="37"/>
  <c r="L505" i="37"/>
  <c r="L753" i="37"/>
  <c r="G505" i="37"/>
  <c r="G753" i="37"/>
  <c r="L504" i="37"/>
  <c r="L752" i="37"/>
  <c r="G504" i="37"/>
  <c r="G752" i="37"/>
  <c r="L503" i="37"/>
  <c r="L751" i="37"/>
  <c r="L502" i="37"/>
  <c r="L750" i="37"/>
  <c r="G502" i="37"/>
  <c r="G750" i="37"/>
  <c r="L501" i="37"/>
  <c r="L749" i="37"/>
  <c r="G501" i="37"/>
  <c r="G749" i="37"/>
  <c r="L500" i="37"/>
  <c r="L748" i="37"/>
  <c r="G500" i="37"/>
  <c r="G748" i="37"/>
  <c r="G499" i="37"/>
  <c r="G747" i="37"/>
  <c r="L498" i="37"/>
  <c r="L746" i="37"/>
  <c r="L497" i="37"/>
  <c r="L745" i="37"/>
  <c r="F745" i="37"/>
  <c r="I739" i="37"/>
  <c r="I736" i="37"/>
  <c r="I733" i="37"/>
  <c r="I731" i="37"/>
  <c r="I728" i="37"/>
  <c r="I725" i="37"/>
  <c r="I723" i="37"/>
  <c r="I720" i="37"/>
  <c r="I717" i="37"/>
  <c r="I715" i="37"/>
  <c r="I712" i="37"/>
  <c r="I709" i="37"/>
  <c r="I707" i="37"/>
  <c r="I704" i="37"/>
  <c r="I701" i="37"/>
  <c r="H686" i="37"/>
  <c r="I673" i="37"/>
  <c r="F646" i="37"/>
  <c r="F779" i="37"/>
  <c r="H777" i="37"/>
  <c r="I775" i="37"/>
  <c r="I773" i="37"/>
  <c r="I771" i="37"/>
  <c r="I769" i="37"/>
  <c r="J763" i="37"/>
  <c r="L761" i="37"/>
  <c r="L759" i="37"/>
  <c r="B758" i="37"/>
  <c r="G756" i="37"/>
  <c r="B753" i="37"/>
  <c r="G751" i="37"/>
  <c r="I749" i="37"/>
  <c r="L747" i="37"/>
  <c r="G746" i="37"/>
  <c r="G744" i="37"/>
  <c r="G742" i="37"/>
  <c r="L494" i="37"/>
  <c r="L742" i="37"/>
  <c r="I493" i="37"/>
  <c r="I741" i="37"/>
  <c r="H531" i="37"/>
  <c r="H779" i="37"/>
  <c r="G530" i="37"/>
  <c r="G778" i="37"/>
  <c r="F777" i="37"/>
  <c r="H527" i="37"/>
  <c r="H775" i="37"/>
  <c r="H526" i="37"/>
  <c r="H774" i="37"/>
  <c r="G525" i="37"/>
  <c r="G773" i="37"/>
  <c r="L524" i="37"/>
  <c r="L772" i="37"/>
  <c r="F524" i="37"/>
  <c r="F772" i="37"/>
  <c r="H522" i="37"/>
  <c r="H770" i="37"/>
  <c r="H521" i="37"/>
  <c r="H769" i="37"/>
  <c r="G520" i="37"/>
  <c r="G768" i="37"/>
  <c r="B518" i="37"/>
  <c r="B766" i="37"/>
  <c r="H517" i="37"/>
  <c r="H765" i="37"/>
  <c r="G516" i="37"/>
  <c r="G764" i="37"/>
  <c r="L515" i="37"/>
  <c r="L763" i="37"/>
  <c r="G515" i="37"/>
  <c r="G763" i="37"/>
  <c r="F514" i="37"/>
  <c r="F762" i="37"/>
  <c r="I513" i="37"/>
  <c r="I761" i="37"/>
  <c r="B513" i="37"/>
  <c r="B761" i="37"/>
  <c r="G510" i="37"/>
  <c r="G758" i="37"/>
  <c r="L509" i="37"/>
  <c r="L757" i="37"/>
  <c r="I508" i="37"/>
  <c r="I756" i="37"/>
  <c r="H506" i="37"/>
  <c r="H754" i="37"/>
  <c r="H505" i="37"/>
  <c r="H753" i="37"/>
  <c r="H504" i="37"/>
  <c r="H752" i="37"/>
  <c r="H503" i="37"/>
  <c r="H751" i="37"/>
  <c r="H502" i="37"/>
  <c r="H750" i="37"/>
  <c r="H501" i="37"/>
  <c r="H749" i="37"/>
  <c r="H500" i="37"/>
  <c r="H748" i="37"/>
  <c r="B737" i="37"/>
  <c r="B729" i="37"/>
  <c r="B713" i="37"/>
  <c r="G675" i="37"/>
  <c r="L777" i="37"/>
  <c r="H760" i="37"/>
  <c r="I530" i="37"/>
  <c r="I778" i="37"/>
  <c r="B530" i="37"/>
  <c r="B778" i="37"/>
  <c r="G528" i="37"/>
  <c r="G776" i="37"/>
  <c r="L527" i="37"/>
  <c r="L775" i="37"/>
  <c r="F527" i="37"/>
  <c r="F775" i="37"/>
  <c r="F526" i="37"/>
  <c r="F774" i="37"/>
  <c r="H524" i="37"/>
  <c r="H772" i="37"/>
  <c r="G523" i="37"/>
  <c r="G771" i="37"/>
  <c r="L522" i="37"/>
  <c r="L770" i="37"/>
  <c r="F522" i="37"/>
  <c r="F770" i="37"/>
  <c r="F521" i="37"/>
  <c r="F769" i="37"/>
  <c r="I520" i="37"/>
  <c r="I768" i="37"/>
  <c r="B520" i="37"/>
  <c r="B768" i="37"/>
  <c r="H519" i="37"/>
  <c r="H767" i="37"/>
  <c r="G518" i="37"/>
  <c r="G766" i="37"/>
  <c r="L517" i="37"/>
  <c r="L765" i="37"/>
  <c r="I516" i="37"/>
  <c r="I764" i="37"/>
  <c r="B516" i="37"/>
  <c r="B764" i="37"/>
  <c r="I515" i="37"/>
  <c r="I763" i="37"/>
  <c r="B515" i="37"/>
  <c r="B763" i="37"/>
  <c r="G513" i="37"/>
  <c r="G761" i="37"/>
  <c r="F512" i="37"/>
  <c r="F760" i="37"/>
  <c r="F511" i="37"/>
  <c r="F759" i="37"/>
  <c r="H509" i="37"/>
  <c r="H757" i="37"/>
  <c r="F755" i="37"/>
  <c r="F753" i="37"/>
  <c r="K504" i="37"/>
  <c r="F751" i="37"/>
  <c r="F750" i="37"/>
  <c r="F749" i="37"/>
  <c r="F748" i="37"/>
  <c r="F747" i="37"/>
  <c r="F746" i="37"/>
  <c r="I497" i="37"/>
  <c r="I745" i="37"/>
  <c r="B497" i="37"/>
  <c r="B745" i="37"/>
  <c r="B739" i="37"/>
  <c r="B736" i="37"/>
  <c r="B733" i="37"/>
  <c r="B731" i="37"/>
  <c r="B728" i="37"/>
  <c r="B725" i="37"/>
  <c r="B723" i="37"/>
  <c r="B720" i="37"/>
  <c r="B717" i="37"/>
  <c r="B715" i="37"/>
  <c r="B712" i="37"/>
  <c r="B709" i="37"/>
  <c r="B707" i="37"/>
  <c r="B704" i="37"/>
  <c r="B701" i="37"/>
  <c r="B681" i="37"/>
  <c r="F661" i="37"/>
  <c r="H628" i="37"/>
  <c r="B775" i="37"/>
  <c r="B773" i="37"/>
  <c r="B771" i="37"/>
  <c r="B769" i="37"/>
  <c r="F767" i="37"/>
  <c r="F765" i="37"/>
  <c r="F763" i="37"/>
  <c r="H761" i="37"/>
  <c r="H759" i="37"/>
  <c r="L755" i="37"/>
  <c r="F754" i="37"/>
  <c r="B749" i="37"/>
  <c r="H747" i="37"/>
  <c r="L741" i="37"/>
  <c r="H496" i="37"/>
  <c r="H744" i="37"/>
  <c r="F742" i="37"/>
  <c r="B493" i="37"/>
  <c r="B741" i="37"/>
  <c r="B508" i="37"/>
  <c r="B756" i="37"/>
  <c r="H498" i="37"/>
  <c r="H746" i="37"/>
  <c r="B721" i="37"/>
  <c r="B705" i="37"/>
  <c r="H688" i="37"/>
  <c r="F654" i="37"/>
  <c r="B776" i="37"/>
  <c r="L495" i="37"/>
  <c r="L743" i="37"/>
  <c r="F743" i="37"/>
  <c r="I494" i="37"/>
  <c r="I742" i="37"/>
  <c r="B494" i="37"/>
  <c r="B742" i="37"/>
  <c r="L496" i="37"/>
  <c r="L744" i="37"/>
  <c r="F744" i="37"/>
  <c r="I495" i="37"/>
  <c r="I743" i="37"/>
  <c r="B495" i="37"/>
  <c r="B743" i="37"/>
  <c r="H494" i="37"/>
  <c r="H742" i="37"/>
  <c r="G493" i="37"/>
  <c r="G741" i="37"/>
  <c r="I496" i="37"/>
  <c r="I744" i="37"/>
  <c r="B496" i="37"/>
  <c r="B744" i="37"/>
  <c r="H495" i="37"/>
  <c r="H743" i="37"/>
  <c r="F741" i="37"/>
  <c r="I531" i="37"/>
  <c r="I779" i="37"/>
  <c r="B531" i="37"/>
  <c r="B779" i="37"/>
  <c r="H530" i="37"/>
  <c r="H778" i="37"/>
  <c r="G529" i="37"/>
  <c r="G777" i="37"/>
  <c r="L528" i="37"/>
  <c r="L776" i="37"/>
  <c r="F776" i="37"/>
  <c r="H525" i="37"/>
  <c r="H773" i="37"/>
  <c r="G524" i="37"/>
  <c r="G772" i="37"/>
  <c r="L523" i="37"/>
  <c r="L771" i="37"/>
  <c r="F523" i="37"/>
  <c r="F771" i="37"/>
  <c r="H520" i="37"/>
  <c r="H768" i="37"/>
  <c r="G519" i="37"/>
  <c r="G767" i="37"/>
  <c r="L518" i="37"/>
  <c r="L766" i="37"/>
  <c r="I517" i="37"/>
  <c r="I765" i="37"/>
  <c r="B517" i="37"/>
  <c r="B765" i="37"/>
  <c r="H516" i="37"/>
  <c r="H764" i="37"/>
  <c r="H515" i="37"/>
  <c r="H763" i="37"/>
  <c r="G514" i="37"/>
  <c r="G762" i="37"/>
  <c r="F513" i="37"/>
  <c r="F761" i="37"/>
  <c r="I512" i="37"/>
  <c r="I760" i="37"/>
  <c r="B512" i="37"/>
  <c r="B760" i="37"/>
  <c r="I511" i="37"/>
  <c r="I759" i="37"/>
  <c r="B511" i="37"/>
  <c r="B759" i="37"/>
  <c r="H510" i="37"/>
  <c r="H758" i="37"/>
  <c r="G509" i="37"/>
  <c r="G757" i="37"/>
  <c r="L508" i="37"/>
  <c r="L756" i="37"/>
  <c r="F756" i="37"/>
  <c r="I507" i="37"/>
  <c r="I755" i="37"/>
  <c r="B507" i="37"/>
  <c r="B755" i="37"/>
  <c r="I506" i="37"/>
  <c r="I754" i="37"/>
  <c r="B506" i="37"/>
  <c r="B754" i="37"/>
  <c r="I504" i="37"/>
  <c r="I752" i="37"/>
  <c r="B504" i="37"/>
  <c r="B752" i="37"/>
  <c r="I503" i="37"/>
  <c r="I751" i="37"/>
  <c r="B503" i="37"/>
  <c r="B751" i="37"/>
  <c r="I499" i="37"/>
  <c r="I747" i="37"/>
  <c r="B499" i="37"/>
  <c r="B747" i="37"/>
  <c r="I498" i="37"/>
  <c r="I746" i="37"/>
  <c r="B498" i="37"/>
  <c r="B746" i="37"/>
  <c r="H497" i="37"/>
  <c r="H745" i="37"/>
  <c r="I740" i="37"/>
  <c r="I737" i="37"/>
  <c r="I735" i="37"/>
  <c r="I732" i="37"/>
  <c r="I729" i="37"/>
  <c r="I727" i="37"/>
  <c r="I724" i="37"/>
  <c r="I721" i="37"/>
  <c r="I719" i="37"/>
  <c r="I716" i="37"/>
  <c r="I713" i="37"/>
  <c r="I711" i="37"/>
  <c r="I708" i="37"/>
  <c r="I705" i="37"/>
  <c r="I703" i="37"/>
  <c r="B692" i="37"/>
  <c r="F677" i="37"/>
  <c r="L657" i="37"/>
  <c r="L620" i="37"/>
  <c r="F778" i="37"/>
  <c r="I776" i="37"/>
  <c r="I774" i="37"/>
  <c r="I772" i="37"/>
  <c r="I770" i="37"/>
  <c r="L762" i="37"/>
  <c r="L760" i="37"/>
  <c r="F757" i="37"/>
  <c r="H755" i="37"/>
  <c r="F752" i="37"/>
  <c r="I750" i="37"/>
  <c r="I748" i="37"/>
  <c r="G745" i="37"/>
  <c r="G743" i="37"/>
  <c r="H741" i="37"/>
  <c r="L383" i="37"/>
  <c r="L631" i="37"/>
  <c r="I382" i="37"/>
  <c r="I630" i="37"/>
  <c r="G380" i="37"/>
  <c r="G628" i="37"/>
  <c r="L379" i="37"/>
  <c r="L627" i="37"/>
  <c r="I378" i="37"/>
  <c r="I626" i="37"/>
  <c r="H377" i="37"/>
  <c r="H625" i="37"/>
  <c r="L375" i="37"/>
  <c r="L623" i="37"/>
  <c r="B374" i="37"/>
  <c r="B622" i="37"/>
  <c r="H372" i="37"/>
  <c r="H620" i="37"/>
  <c r="F370" i="37"/>
  <c r="F618" i="37"/>
  <c r="H368" i="37"/>
  <c r="H616" i="37"/>
  <c r="F366" i="37"/>
  <c r="F614" i="37"/>
  <c r="B365" i="37"/>
  <c r="B613" i="37"/>
  <c r="G363" i="37"/>
  <c r="G611" i="37"/>
  <c r="I361" i="37"/>
  <c r="I609" i="37"/>
  <c r="H360" i="37"/>
  <c r="H608" i="37"/>
  <c r="L358" i="37"/>
  <c r="L606" i="37"/>
  <c r="B357" i="37"/>
  <c r="B605" i="37"/>
  <c r="F354" i="37"/>
  <c r="F602" i="37"/>
  <c r="I353" i="37"/>
  <c r="I601" i="37"/>
  <c r="L350" i="37"/>
  <c r="L598" i="37"/>
  <c r="B349" i="37"/>
  <c r="B597" i="37"/>
  <c r="H348" i="37"/>
  <c r="H596" i="37"/>
  <c r="L346" i="37"/>
  <c r="L594" i="37"/>
  <c r="B345" i="37"/>
  <c r="B593" i="37"/>
  <c r="F342" i="37"/>
  <c r="F590" i="37"/>
  <c r="H340" i="37"/>
  <c r="H588" i="37"/>
  <c r="L338" i="37"/>
  <c r="L586" i="37"/>
  <c r="B337" i="37"/>
  <c r="B585" i="37"/>
  <c r="G335" i="37"/>
  <c r="G583" i="37"/>
  <c r="F334" i="37"/>
  <c r="F582" i="37"/>
  <c r="B333" i="37"/>
  <c r="B581" i="37"/>
  <c r="F330" i="37"/>
  <c r="F578" i="37"/>
  <c r="B329" i="37"/>
  <c r="B577" i="37"/>
  <c r="F326" i="37"/>
  <c r="F574" i="37"/>
  <c r="I325" i="37"/>
  <c r="I573" i="37"/>
  <c r="L322" i="37"/>
  <c r="L570" i="37"/>
  <c r="I321" i="37"/>
  <c r="I569" i="37"/>
  <c r="H320" i="37"/>
  <c r="H568" i="37"/>
  <c r="G319" i="37"/>
  <c r="G567" i="37"/>
  <c r="L318" i="37"/>
  <c r="L566" i="37"/>
  <c r="I317" i="37"/>
  <c r="I565" i="37"/>
  <c r="H316" i="37"/>
  <c r="H564" i="37"/>
  <c r="G315" i="37"/>
  <c r="G563" i="37"/>
  <c r="F314" i="37"/>
  <c r="F562" i="37"/>
  <c r="I313" i="37"/>
  <c r="I561" i="37"/>
  <c r="F310" i="37"/>
  <c r="F558" i="37"/>
  <c r="B309" i="37"/>
  <c r="B557" i="37"/>
  <c r="L306" i="37"/>
  <c r="L554" i="37"/>
  <c r="F305" i="37"/>
  <c r="F553" i="37"/>
  <c r="H303" i="37"/>
  <c r="H551" i="37"/>
  <c r="F301" i="37"/>
  <c r="F549" i="37"/>
  <c r="H299" i="37"/>
  <c r="H547" i="37"/>
  <c r="G298" i="37"/>
  <c r="G546" i="37"/>
  <c r="L297" i="37"/>
  <c r="L545" i="37"/>
  <c r="I296" i="37"/>
  <c r="I544" i="37"/>
  <c r="F293" i="37"/>
  <c r="F541" i="37"/>
  <c r="I738" i="37"/>
  <c r="I734" i="37"/>
  <c r="I730" i="37"/>
  <c r="I722" i="37"/>
  <c r="I718" i="37"/>
  <c r="I714" i="37"/>
  <c r="I710" i="37"/>
  <c r="I702" i="37"/>
  <c r="L695" i="37"/>
  <c r="B694" i="37"/>
  <c r="F679" i="37"/>
  <c r="L452" i="37"/>
  <c r="L700" i="37"/>
  <c r="F452" i="37"/>
  <c r="F700" i="37"/>
  <c r="I451" i="37"/>
  <c r="I699" i="37"/>
  <c r="B451" i="37"/>
  <c r="B699" i="37"/>
  <c r="H450" i="37"/>
  <c r="H698" i="37"/>
  <c r="F448" i="37"/>
  <c r="F696" i="37"/>
  <c r="I447" i="37"/>
  <c r="I695" i="37"/>
  <c r="B447" i="37"/>
  <c r="B695" i="37"/>
  <c r="H446" i="37"/>
  <c r="H694" i="37"/>
  <c r="G445" i="37"/>
  <c r="G693" i="37"/>
  <c r="L444" i="37"/>
  <c r="L692" i="37"/>
  <c r="F444" i="37"/>
  <c r="F692" i="37"/>
  <c r="H442" i="37"/>
  <c r="H690" i="37"/>
  <c r="F440" i="37"/>
  <c r="F688" i="37"/>
  <c r="I439" i="37"/>
  <c r="I687" i="37"/>
  <c r="B439" i="37"/>
  <c r="B687" i="37"/>
  <c r="G437" i="37"/>
  <c r="G685" i="37"/>
  <c r="L436" i="37"/>
  <c r="L684" i="37"/>
  <c r="F436" i="37"/>
  <c r="F684" i="37"/>
  <c r="I435" i="37"/>
  <c r="I683" i="37"/>
  <c r="B435" i="37"/>
  <c r="B683" i="37"/>
  <c r="H434" i="37"/>
  <c r="H682" i="37"/>
  <c r="G433" i="37"/>
  <c r="G681" i="37"/>
  <c r="L432" i="37"/>
  <c r="L680" i="37"/>
  <c r="I431" i="37"/>
  <c r="I679" i="37"/>
  <c r="B431" i="37"/>
  <c r="B679" i="37"/>
  <c r="H430" i="37"/>
  <c r="H678" i="37"/>
  <c r="G429" i="37"/>
  <c r="G677" i="37"/>
  <c r="L428" i="37"/>
  <c r="L676" i="37"/>
  <c r="F428" i="37"/>
  <c r="F676" i="37"/>
  <c r="I427" i="37"/>
  <c r="I675" i="37"/>
  <c r="B427" i="37"/>
  <c r="B675" i="37"/>
  <c r="H426" i="37"/>
  <c r="H674" i="37"/>
  <c r="G425" i="37"/>
  <c r="G673" i="37"/>
  <c r="L424" i="37"/>
  <c r="L672" i="37"/>
  <c r="I423" i="37"/>
  <c r="I671" i="37"/>
  <c r="B423" i="37"/>
  <c r="B671" i="37"/>
  <c r="H422" i="37"/>
  <c r="H670" i="37"/>
  <c r="G421" i="37"/>
  <c r="G669" i="37"/>
  <c r="L420" i="37"/>
  <c r="L668" i="37"/>
  <c r="I419" i="37"/>
  <c r="I667" i="37"/>
  <c r="B419" i="37"/>
  <c r="B667" i="37"/>
  <c r="G417" i="37"/>
  <c r="G665" i="37"/>
  <c r="L416" i="37"/>
  <c r="L664" i="37"/>
  <c r="F416" i="37"/>
  <c r="F664" i="37"/>
  <c r="I415" i="37"/>
  <c r="I663" i="37"/>
  <c r="H414" i="37"/>
  <c r="H662" i="37"/>
  <c r="G413" i="37"/>
  <c r="G661" i="37"/>
  <c r="L412" i="37"/>
  <c r="L660" i="37"/>
  <c r="F412" i="37"/>
  <c r="F660" i="37"/>
  <c r="I411" i="37"/>
  <c r="I659" i="37"/>
  <c r="B411" i="37"/>
  <c r="B659" i="37"/>
  <c r="G409" i="37"/>
  <c r="G657"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H398" i="37"/>
  <c r="H646" i="37"/>
  <c r="G397" i="37"/>
  <c r="G645" i="37"/>
  <c r="L396" i="37"/>
  <c r="L644" i="37"/>
  <c r="I395" i="37"/>
  <c r="I643" i="37"/>
  <c r="B395" i="37"/>
  <c r="B643" i="37"/>
  <c r="H394" i="37"/>
  <c r="H642" i="37"/>
  <c r="G393" i="37"/>
  <c r="G641" i="37"/>
  <c r="L392" i="37"/>
  <c r="L640" i="37"/>
  <c r="I391" i="37"/>
  <c r="I639" i="37"/>
  <c r="B391" i="37"/>
  <c r="B639" i="37"/>
  <c r="H390" i="37"/>
  <c r="H638" i="37"/>
  <c r="G389" i="37"/>
  <c r="G637" i="37"/>
  <c r="L388" i="37"/>
  <c r="L636" i="37"/>
  <c r="F388" i="37"/>
  <c r="F636" i="37"/>
  <c r="I387" i="37"/>
  <c r="I635" i="37"/>
  <c r="B387" i="37"/>
  <c r="B635" i="37"/>
  <c r="H386" i="37"/>
  <c r="H634" i="37"/>
  <c r="G385" i="37"/>
  <c r="G633" i="37"/>
  <c r="L384" i="37"/>
  <c r="L632" i="37"/>
  <c r="F384" i="37"/>
  <c r="F632" i="37"/>
  <c r="I383" i="37"/>
  <c r="I631" i="37"/>
  <c r="H382" i="37"/>
  <c r="H630" i="37"/>
  <c r="G381" i="37"/>
  <c r="G629" i="37"/>
  <c r="L380" i="37"/>
  <c r="L628" i="37"/>
  <c r="F380" i="37"/>
  <c r="F628" i="37"/>
  <c r="I379" i="37"/>
  <c r="I627" i="37"/>
  <c r="B379" i="37"/>
  <c r="B627" i="37"/>
  <c r="H378" i="37"/>
  <c r="H626" i="37"/>
  <c r="G377" i="37"/>
  <c r="G625" i="37"/>
  <c r="L376" i="37"/>
  <c r="L624" i="37"/>
  <c r="F376" i="37"/>
  <c r="F624" i="37"/>
  <c r="I375" i="37"/>
  <c r="I623" i="37"/>
  <c r="B375" i="37"/>
  <c r="B623" i="37"/>
  <c r="H374" i="37"/>
  <c r="H622" i="37"/>
  <c r="G373" i="37"/>
  <c r="G621" i="37"/>
  <c r="G372" i="37"/>
  <c r="G620"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F323" i="37"/>
  <c r="F571" i="37"/>
  <c r="I322" i="37"/>
  <c r="I570" i="37"/>
  <c r="B322" i="37"/>
  <c r="B570" i="37"/>
  <c r="H321" i="37"/>
  <c r="H569" i="37"/>
  <c r="G320" i="37"/>
  <c r="G568" i="37"/>
  <c r="L319" i="37"/>
  <c r="L567" i="37"/>
  <c r="F319" i="37"/>
  <c r="F567" i="37"/>
  <c r="I318" i="37"/>
  <c r="I566" i="37"/>
  <c r="B318" i="37"/>
  <c r="B566" i="37"/>
  <c r="H317" i="37"/>
  <c r="H565" i="37"/>
  <c r="G316" i="37"/>
  <c r="G564" i="37"/>
  <c r="L315" i="37"/>
  <c r="L563" i="37"/>
  <c r="F315" i="37"/>
  <c r="F563" i="37"/>
  <c r="I314" i="37"/>
  <c r="I562" i="37"/>
  <c r="B314" i="37"/>
  <c r="B562" i="37"/>
  <c r="H313" i="37"/>
  <c r="H561" i="37"/>
  <c r="G312" i="37"/>
  <c r="G560" i="37"/>
  <c r="L311" i="37"/>
  <c r="L559" i="37"/>
  <c r="F311" i="37"/>
  <c r="F559" i="37"/>
  <c r="I310" i="37"/>
  <c r="I558" i="37"/>
  <c r="B310" i="37"/>
  <c r="B558" i="37"/>
  <c r="H309" i="37"/>
  <c r="H557" i="37"/>
  <c r="G308" i="37"/>
  <c r="G556" i="37"/>
  <c r="L307" i="37"/>
  <c r="L555" i="37"/>
  <c r="F307" i="37"/>
  <c r="F555" i="37"/>
  <c r="I306" i="37"/>
  <c r="I554" i="37"/>
  <c r="B306" i="37"/>
  <c r="B554" i="37"/>
  <c r="I305" i="37"/>
  <c r="I553" i="37"/>
  <c r="B305" i="37"/>
  <c r="B553" i="37"/>
  <c r="H304" i="37"/>
  <c r="H552" i="37"/>
  <c r="G303" i="37"/>
  <c r="G551" i="37"/>
  <c r="L302" i="37"/>
  <c r="L550" i="37"/>
  <c r="F302" i="37"/>
  <c r="F550" i="37"/>
  <c r="I301" i="37"/>
  <c r="I549" i="37"/>
  <c r="B301" i="37"/>
  <c r="B549" i="37"/>
  <c r="H300" i="37"/>
  <c r="H548" i="37"/>
  <c r="G299" i="37"/>
  <c r="G547" i="37"/>
  <c r="L298" i="37"/>
  <c r="L546" i="37"/>
  <c r="F298" i="37"/>
  <c r="F546" i="37"/>
  <c r="I297" i="37"/>
  <c r="I545" i="37"/>
  <c r="B297" i="37"/>
  <c r="B545" i="37"/>
  <c r="H296" i="37"/>
  <c r="H544" i="37"/>
  <c r="G295" i="37"/>
  <c r="G543" i="37"/>
  <c r="L294" i="37"/>
  <c r="L542" i="37"/>
  <c r="F294" i="37"/>
  <c r="F542" i="37"/>
  <c r="I293" i="37"/>
  <c r="I541" i="37"/>
  <c r="B293" i="37"/>
  <c r="B541" i="37"/>
  <c r="H292" i="37"/>
  <c r="H540"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L718" i="37"/>
  <c r="H718" i="37"/>
  <c r="L717" i="37"/>
  <c r="H717" i="37"/>
  <c r="L716" i="37"/>
  <c r="H716" i="37"/>
  <c r="L715" i="37"/>
  <c r="H715" i="37"/>
  <c r="L714" i="37"/>
  <c r="H714" i="37"/>
  <c r="L713" i="37"/>
  <c r="H713" i="37"/>
  <c r="L712" i="37"/>
  <c r="H712" i="37"/>
  <c r="L711" i="37"/>
  <c r="H711" i="37"/>
  <c r="L710" i="37"/>
  <c r="H710" i="37"/>
  <c r="L709" i="37"/>
  <c r="H709" i="37"/>
  <c r="L708" i="37"/>
  <c r="H708" i="37"/>
  <c r="L707" i="37"/>
  <c r="H707" i="37"/>
  <c r="L706" i="37"/>
  <c r="H706" i="37"/>
  <c r="L705" i="37"/>
  <c r="H705" i="37"/>
  <c r="L704" i="37"/>
  <c r="H704" i="37"/>
  <c r="L703" i="37"/>
  <c r="H703" i="37"/>
  <c r="L702" i="37"/>
  <c r="H702" i="37"/>
  <c r="L701" i="37"/>
  <c r="H701" i="37"/>
  <c r="G699" i="37"/>
  <c r="G697" i="37"/>
  <c r="H695" i="37"/>
  <c r="I693" i="37"/>
  <c r="I691" i="37"/>
  <c r="L687" i="37"/>
  <c r="G684" i="37"/>
  <c r="G682" i="37"/>
  <c r="B673" i="37"/>
  <c r="F671" i="37"/>
  <c r="F669" i="37"/>
  <c r="G667" i="37"/>
  <c r="I665" i="37"/>
  <c r="B663" i="37"/>
  <c r="F657" i="37"/>
  <c r="H655" i="37"/>
  <c r="G652" i="37"/>
  <c r="F650" i="37"/>
  <c r="H645" i="37"/>
  <c r="I638" i="37"/>
  <c r="B631" i="37"/>
  <c r="G623" i="37"/>
  <c r="L619" i="37"/>
  <c r="B612" i="37"/>
  <c r="L451" i="37"/>
  <c r="L699" i="37"/>
  <c r="I450" i="37"/>
  <c r="I698" i="37"/>
  <c r="L443" i="37"/>
  <c r="L691" i="37"/>
  <c r="H441" i="37"/>
  <c r="H689" i="37"/>
  <c r="I438" i="37"/>
  <c r="I686" i="37"/>
  <c r="B434" i="37"/>
  <c r="B682" i="37"/>
  <c r="L431" i="37"/>
  <c r="L679" i="37"/>
  <c r="B430" i="37"/>
  <c r="B678" i="37"/>
  <c r="H429" i="37"/>
  <c r="H677" i="37"/>
  <c r="L427" i="37"/>
  <c r="L675" i="37"/>
  <c r="I426" i="37"/>
  <c r="I674" i="37"/>
  <c r="H425" i="37"/>
  <c r="H673" i="37"/>
  <c r="G424" i="37"/>
  <c r="G672" i="37"/>
  <c r="L423" i="37"/>
  <c r="L671" i="37"/>
  <c r="I422" i="37"/>
  <c r="I670" i="37"/>
  <c r="H421" i="37"/>
  <c r="H669" i="37"/>
  <c r="G420" i="37"/>
  <c r="G668" i="37"/>
  <c r="L419" i="37"/>
  <c r="L667" i="37"/>
  <c r="H417" i="37"/>
  <c r="H665" i="37"/>
  <c r="G416" i="37"/>
  <c r="G664" i="37"/>
  <c r="F415" i="37"/>
  <c r="F663" i="37"/>
  <c r="B414" i="37"/>
  <c r="B662" i="37"/>
  <c r="F411" i="37"/>
  <c r="F659" i="37"/>
  <c r="I410" i="37"/>
  <c r="I658" i="37"/>
  <c r="G408" i="37"/>
  <c r="G656" i="37"/>
  <c r="F403" i="37"/>
  <c r="F651" i="37"/>
  <c r="B390" i="37"/>
  <c r="B638" i="37"/>
  <c r="G388" i="37"/>
  <c r="G636" i="37"/>
  <c r="L387" i="37"/>
  <c r="L635" i="37"/>
  <c r="I386" i="37"/>
  <c r="I634" i="37"/>
  <c r="B378" i="37"/>
  <c r="B626" i="37"/>
  <c r="G371" i="37"/>
  <c r="G619" i="37"/>
  <c r="I369" i="37"/>
  <c r="I617" i="37"/>
  <c r="L366" i="37"/>
  <c r="L614" i="37"/>
  <c r="H364" i="37"/>
  <c r="H612" i="37"/>
  <c r="F362" i="37"/>
  <c r="F610" i="37"/>
  <c r="B361" i="37"/>
  <c r="B609" i="37"/>
  <c r="G359" i="37"/>
  <c r="G607" i="37"/>
  <c r="G355" i="37"/>
  <c r="G603" i="37"/>
  <c r="B353" i="37"/>
  <c r="B601" i="37"/>
  <c r="G351" i="37"/>
  <c r="G599" i="37"/>
  <c r="I349" i="37"/>
  <c r="I597" i="37"/>
  <c r="F346" i="37"/>
  <c r="F594" i="37"/>
  <c r="I345" i="37"/>
  <c r="I593" i="37"/>
  <c r="H344" i="37"/>
  <c r="H592" i="37"/>
  <c r="L342" i="37"/>
  <c r="L590" i="37"/>
  <c r="I341" i="37"/>
  <c r="I589" i="37"/>
  <c r="G339" i="37"/>
  <c r="G587" i="37"/>
  <c r="F338" i="37"/>
  <c r="F586" i="37"/>
  <c r="I337" i="37"/>
  <c r="I585" i="37"/>
  <c r="H336" i="37"/>
  <c r="H584" i="37"/>
  <c r="L334" i="37"/>
  <c r="L582" i="37"/>
  <c r="I333" i="37"/>
  <c r="I581" i="37"/>
  <c r="H332" i="37"/>
  <c r="H580" i="37"/>
  <c r="G331" i="37"/>
  <c r="G579" i="37"/>
  <c r="L330" i="37"/>
  <c r="L578" i="37"/>
  <c r="I329" i="37"/>
  <c r="I577" i="37"/>
  <c r="H328" i="37"/>
  <c r="H576" i="37"/>
  <c r="G327" i="37"/>
  <c r="G575" i="37"/>
  <c r="L326" i="37"/>
  <c r="L574" i="37"/>
  <c r="B325" i="37"/>
  <c r="B573" i="37"/>
  <c r="H324" i="37"/>
  <c r="H572" i="37"/>
  <c r="G323" i="37"/>
  <c r="G571" i="37"/>
  <c r="F322" i="37"/>
  <c r="F570" i="37"/>
  <c r="B321" i="37"/>
  <c r="B569" i="37"/>
  <c r="F318" i="37"/>
  <c r="F566" i="37"/>
  <c r="B317" i="37"/>
  <c r="B565" i="37"/>
  <c r="L314" i="37"/>
  <c r="L562" i="37"/>
  <c r="B313" i="37"/>
  <c r="B561" i="37"/>
  <c r="H312" i="37"/>
  <c r="H560" i="37"/>
  <c r="G311" i="37"/>
  <c r="G559" i="37"/>
  <c r="L310" i="37"/>
  <c r="L558" i="37"/>
  <c r="I309" i="37"/>
  <c r="I557" i="37"/>
  <c r="H308" i="37"/>
  <c r="H556" i="37"/>
  <c r="G307" i="37"/>
  <c r="G555" i="37"/>
  <c r="F306" i="37"/>
  <c r="F554" i="37"/>
  <c r="B304" i="37"/>
  <c r="B552" i="37"/>
  <c r="G302" i="37"/>
  <c r="G550" i="37"/>
  <c r="I300" i="37"/>
  <c r="I548" i="37"/>
  <c r="H295" i="37"/>
  <c r="H543" i="37"/>
  <c r="L293" i="37"/>
  <c r="L541" i="37"/>
  <c r="I292" i="37"/>
  <c r="I540" i="37"/>
  <c r="B738" i="37"/>
  <c r="B734" i="37"/>
  <c r="B730" i="37"/>
  <c r="I726" i="37"/>
  <c r="B718" i="37"/>
  <c r="B714" i="37"/>
  <c r="I706" i="37"/>
  <c r="B690" i="37"/>
  <c r="L643" i="37"/>
  <c r="H641" i="37"/>
  <c r="G624" i="37"/>
  <c r="B452" i="37"/>
  <c r="B700" i="37"/>
  <c r="H451" i="37"/>
  <c r="H699" i="37"/>
  <c r="L449" i="37"/>
  <c r="L697" i="37"/>
  <c r="F449" i="37"/>
  <c r="F697" i="37"/>
  <c r="I448" i="37"/>
  <c r="I696" i="37"/>
  <c r="B448" i="37"/>
  <c r="B696" i="37"/>
  <c r="G446" i="37"/>
  <c r="G694" i="37"/>
  <c r="L445" i="37"/>
  <c r="L693" i="37"/>
  <c r="F445" i="37"/>
  <c r="F693" i="37"/>
  <c r="H443" i="37"/>
  <c r="H691" i="37"/>
  <c r="G442" i="37"/>
  <c r="G690" i="37"/>
  <c r="L441" i="37"/>
  <c r="L689" i="37"/>
  <c r="F441" i="37"/>
  <c r="F689" i="37"/>
  <c r="I440" i="37"/>
  <c r="I688" i="37"/>
  <c r="B440" i="37"/>
  <c r="B688" i="37"/>
  <c r="G438" i="37"/>
  <c r="G686" i="37"/>
  <c r="L437" i="37"/>
  <c r="L685" i="37"/>
  <c r="I436" i="37"/>
  <c r="I684" i="37"/>
  <c r="B436" i="37"/>
  <c r="B684" i="37"/>
  <c r="H435" i="37"/>
  <c r="H683" i="37"/>
  <c r="L433" i="37"/>
  <c r="L681" i="37"/>
  <c r="F433" i="37"/>
  <c r="F681" i="37"/>
  <c r="I432" i="37"/>
  <c r="I680" i="37"/>
  <c r="B432" i="37"/>
  <c r="B680" i="37"/>
  <c r="H431" i="37"/>
  <c r="H679" i="37"/>
  <c r="G430" i="37"/>
  <c r="G678" i="37"/>
  <c r="L429" i="37"/>
  <c r="L677" i="37"/>
  <c r="I428" i="37"/>
  <c r="I676" i="37"/>
  <c r="B428" i="37"/>
  <c r="B676" i="37"/>
  <c r="H427" i="37"/>
  <c r="H675" i="37"/>
  <c r="L425" i="37"/>
  <c r="L673" i="37"/>
  <c r="F425" i="37"/>
  <c r="F673" i="37"/>
  <c r="I424" i="37"/>
  <c r="I672" i="37"/>
  <c r="B424" i="37"/>
  <c r="B672" i="37"/>
  <c r="H423" i="37"/>
  <c r="H671" i="37"/>
  <c r="G422" i="37"/>
  <c r="G670" i="37"/>
  <c r="L421" i="37"/>
  <c r="L669" i="37"/>
  <c r="I420" i="37"/>
  <c r="I668" i="37"/>
  <c r="B420" i="37"/>
  <c r="B668" i="37"/>
  <c r="H419" i="37"/>
  <c r="H667" i="37"/>
  <c r="G418" i="37"/>
  <c r="G666" i="37"/>
  <c r="L417" i="37"/>
  <c r="L665" i="37"/>
  <c r="F417" i="37"/>
  <c r="F665" i="37"/>
  <c r="I416" i="37"/>
  <c r="I664" i="37"/>
  <c r="B416" i="37"/>
  <c r="B664" i="37"/>
  <c r="H415" i="37"/>
  <c r="H663" i="37"/>
  <c r="G414" i="37"/>
  <c r="G662" i="37"/>
  <c r="I412" i="37"/>
  <c r="I660" i="37"/>
  <c r="G410" i="37"/>
  <c r="G658" i="37"/>
  <c r="I408" i="37"/>
  <c r="I656" i="37"/>
  <c r="B408" i="37"/>
  <c r="B656" i="37"/>
  <c r="G406" i="37"/>
  <c r="G654" i="37"/>
  <c r="L405" i="37"/>
  <c r="L653" i="37"/>
  <c r="F405" i="37"/>
  <c r="F653" i="37"/>
  <c r="I404" i="37"/>
  <c r="I652" i="37"/>
  <c r="B404" i="37"/>
  <c r="B652" i="37"/>
  <c r="G402" i="37"/>
  <c r="G650" i="37"/>
  <c r="F401" i="37"/>
  <c r="F649" i="37"/>
  <c r="I400" i="37"/>
  <c r="I648" i="37"/>
  <c r="B400" i="37"/>
  <c r="B648" i="37"/>
  <c r="G398" i="37"/>
  <c r="G646" i="37"/>
  <c r="L397" i="37"/>
  <c r="L645" i="37"/>
  <c r="F397" i="37"/>
  <c r="F645" i="37"/>
  <c r="I396" i="37"/>
  <c r="I644" i="37"/>
  <c r="B396" i="37"/>
  <c r="B644" i="37"/>
  <c r="H395" i="37"/>
  <c r="H643" i="37"/>
  <c r="G394" i="37"/>
  <c r="G642" i="37"/>
  <c r="L393" i="37"/>
  <c r="L641" i="37"/>
  <c r="F393" i="37"/>
  <c r="F641" i="37"/>
  <c r="I392" i="37"/>
  <c r="I640" i="37"/>
  <c r="B392" i="37"/>
  <c r="B640" i="37"/>
  <c r="H391" i="37"/>
  <c r="H639" i="37"/>
  <c r="G390" i="37"/>
  <c r="G638" i="37"/>
  <c r="L389" i="37"/>
  <c r="L637" i="37"/>
  <c r="F389" i="37"/>
  <c r="F637" i="37"/>
  <c r="I388" i="37"/>
  <c r="I636" i="37"/>
  <c r="B388" i="37"/>
  <c r="B636" i="37"/>
  <c r="H387" i="37"/>
  <c r="H635" i="37"/>
  <c r="G386" i="37"/>
  <c r="G634" i="37"/>
  <c r="L385" i="37"/>
  <c r="L633" i="37"/>
  <c r="F385" i="37"/>
  <c r="F633" i="37"/>
  <c r="I384" i="37"/>
  <c r="I632" i="37"/>
  <c r="B384" i="37"/>
  <c r="B632" i="37"/>
  <c r="H383" i="37"/>
  <c r="H631" i="37"/>
  <c r="L381" i="37"/>
  <c r="L629" i="37"/>
  <c r="F381" i="37"/>
  <c r="F629" i="37"/>
  <c r="I380" i="37"/>
  <c r="I628" i="37"/>
  <c r="B380" i="37"/>
  <c r="B628" i="37"/>
  <c r="H379" i="37"/>
  <c r="H627" i="37"/>
  <c r="G378" i="37"/>
  <c r="G626" i="37"/>
  <c r="L377" i="37"/>
  <c r="L625" i="37"/>
  <c r="I376" i="37"/>
  <c r="I624" i="37"/>
  <c r="B376" i="37"/>
  <c r="B624" i="37"/>
  <c r="H375" i="37"/>
  <c r="H623" i="37"/>
  <c r="G374" i="37"/>
  <c r="G622" i="37"/>
  <c r="L373" i="37"/>
  <c r="L621" i="37"/>
  <c r="F373" i="37"/>
  <c r="F621" i="37"/>
  <c r="F372" i="37"/>
  <c r="F620" i="37"/>
  <c r="I371" i="37"/>
  <c r="I619" i="37"/>
  <c r="B371" i="37"/>
  <c r="B619" i="37"/>
  <c r="H370" i="37"/>
  <c r="H618" i="37"/>
  <c r="G369" i="37"/>
  <c r="G617" i="37"/>
  <c r="L368" i="37"/>
  <c r="L616" i="37"/>
  <c r="F368" i="37"/>
  <c r="F616" i="37"/>
  <c r="I367" i="37"/>
  <c r="I615" i="37"/>
  <c r="B367" i="37"/>
  <c r="B615" i="37"/>
  <c r="H366" i="37"/>
  <c r="H614" i="37"/>
  <c r="G365" i="37"/>
  <c r="G613" i="37"/>
  <c r="L364" i="37"/>
  <c r="L612" i="37"/>
  <c r="F364" i="37"/>
  <c r="F612" i="37"/>
  <c r="I363" i="37"/>
  <c r="I611" i="37"/>
  <c r="H362" i="37"/>
  <c r="H610" i="37"/>
  <c r="G361" i="37"/>
  <c r="G609" i="37"/>
  <c r="L360" i="37"/>
  <c r="L608" i="37"/>
  <c r="F360" i="37"/>
  <c r="F608" i="37"/>
  <c r="I359" i="37"/>
  <c r="I607" i="37"/>
  <c r="B359" i="37"/>
  <c r="B607" i="37"/>
  <c r="H358" i="37"/>
  <c r="H606" i="37"/>
  <c r="G357" i="37"/>
  <c r="G605" i="37"/>
  <c r="L356" i="37"/>
  <c r="L604" i="37"/>
  <c r="F356" i="37"/>
  <c r="F604" i="37"/>
  <c r="I355" i="37"/>
  <c r="I603" i="37"/>
  <c r="B355" i="37"/>
  <c r="B603" i="37"/>
  <c r="H354" i="37"/>
  <c r="H602" i="37"/>
  <c r="G353" i="37"/>
  <c r="G601" i="37"/>
  <c r="L352" i="37"/>
  <c r="L600" i="37"/>
  <c r="F352" i="37"/>
  <c r="F600" i="37"/>
  <c r="I351" i="37"/>
  <c r="I599" i="37"/>
  <c r="B351" i="37"/>
  <c r="B599" i="37"/>
  <c r="H350" i="37"/>
  <c r="H598" i="37"/>
  <c r="G349" i="37"/>
  <c r="G597" i="37"/>
  <c r="L348" i="37"/>
  <c r="L596" i="37"/>
  <c r="F348" i="37"/>
  <c r="F596" i="37"/>
  <c r="I347" i="37"/>
  <c r="I595" i="37"/>
  <c r="B347" i="37"/>
  <c r="B595" i="37"/>
  <c r="H346" i="37"/>
  <c r="H594" i="37"/>
  <c r="G345" i="37"/>
  <c r="G593" i="37"/>
  <c r="L344" i="37"/>
  <c r="L592" i="37"/>
  <c r="F344" i="37"/>
  <c r="F592" i="37"/>
  <c r="I343" i="37"/>
  <c r="I591" i="37"/>
  <c r="B343" i="37"/>
  <c r="B591" i="37"/>
  <c r="H342" i="37"/>
  <c r="H590" i="37"/>
  <c r="G341" i="37"/>
  <c r="G589" i="37"/>
  <c r="L340" i="37"/>
  <c r="L588" i="37"/>
  <c r="F340" i="37"/>
  <c r="F588" i="37"/>
  <c r="I339" i="37"/>
  <c r="I587" i="37"/>
  <c r="B339" i="37"/>
  <c r="B587" i="37"/>
  <c r="H338" i="37"/>
  <c r="H586" i="37"/>
  <c r="G337" i="37"/>
  <c r="G585" i="37"/>
  <c r="L336" i="37"/>
  <c r="L584" i="37"/>
  <c r="F336" i="37"/>
  <c r="F584" i="37"/>
  <c r="I335" i="37"/>
  <c r="I583" i="37"/>
  <c r="B335" i="37"/>
  <c r="B583" i="37"/>
  <c r="H334" i="37"/>
  <c r="H582" i="37"/>
  <c r="G333" i="37"/>
  <c r="G581" i="37"/>
  <c r="L332" i="37"/>
  <c r="L580" i="37"/>
  <c r="I331" i="37"/>
  <c r="I579" i="37"/>
  <c r="B331" i="37"/>
  <c r="B579" i="37"/>
  <c r="H330" i="37"/>
  <c r="H578" i="37"/>
  <c r="G329" i="37"/>
  <c r="G577" i="37"/>
  <c r="L328" i="37"/>
  <c r="L576" i="37"/>
  <c r="F328" i="37"/>
  <c r="F576" i="37"/>
  <c r="I327" i="37"/>
  <c r="I575" i="37"/>
  <c r="B327" i="37"/>
  <c r="B575" i="37"/>
  <c r="H326" i="37"/>
  <c r="H574" i="37"/>
  <c r="G325" i="37"/>
  <c r="G573" i="37"/>
  <c r="L324" i="37"/>
  <c r="L572" i="37"/>
  <c r="F324" i="37"/>
  <c r="F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G309" i="37"/>
  <c r="G557" i="37"/>
  <c r="L308" i="37"/>
  <c r="L556" i="37"/>
  <c r="F308" i="37"/>
  <c r="F556" i="37"/>
  <c r="I307" i="37"/>
  <c r="I555" i="37"/>
  <c r="B307" i="37"/>
  <c r="B555" i="37"/>
  <c r="H306" i="37"/>
  <c r="H554" i="37"/>
  <c r="H305" i="37"/>
  <c r="H553" i="37"/>
  <c r="G304" i="37"/>
  <c r="G552" i="37"/>
  <c r="L303" i="37"/>
  <c r="L551" i="37"/>
  <c r="F303" i="37"/>
  <c r="F551" i="37"/>
  <c r="I302" i="37"/>
  <c r="I550" i="37"/>
  <c r="B302" i="37"/>
  <c r="B550" i="37"/>
  <c r="H301" i="37"/>
  <c r="H549" i="37"/>
  <c r="G300" i="37"/>
  <c r="G548" i="37"/>
  <c r="L299" i="37"/>
  <c r="L547" i="37"/>
  <c r="F299" i="37"/>
  <c r="F547" i="37"/>
  <c r="I298" i="37"/>
  <c r="I546" i="37"/>
  <c r="B298" i="37"/>
  <c r="B546" i="37"/>
  <c r="H297" i="37"/>
  <c r="H545" i="37"/>
  <c r="G296" i="37"/>
  <c r="G544" i="37"/>
  <c r="L295" i="37"/>
  <c r="L543" i="37"/>
  <c r="F295" i="37"/>
  <c r="F543" i="37"/>
  <c r="I294" i="37"/>
  <c r="I542" i="37"/>
  <c r="B294" i="37"/>
  <c r="B542" i="37"/>
  <c r="H293" i="37"/>
  <c r="H541" i="37"/>
  <c r="G292" i="37"/>
  <c r="G540" i="37"/>
  <c r="K740" i="37"/>
  <c r="G740" i="37"/>
  <c r="G739" i="37"/>
  <c r="K738" i="37"/>
  <c r="G738" i="37"/>
  <c r="G737" i="37"/>
  <c r="G736" i="37"/>
  <c r="G735" i="37"/>
  <c r="G734" i="37"/>
  <c r="K733" i="37"/>
  <c r="G733" i="37"/>
  <c r="G732" i="37"/>
  <c r="G731" i="37"/>
  <c r="G730" i="37"/>
  <c r="K729" i="37"/>
  <c r="G729" i="37"/>
  <c r="G728" i="37"/>
  <c r="G727" i="37"/>
  <c r="G726" i="37"/>
  <c r="G725" i="37"/>
  <c r="G724" i="37"/>
  <c r="G723" i="37"/>
  <c r="G722" i="37"/>
  <c r="G721" i="37"/>
  <c r="G720" i="37"/>
  <c r="G719" i="37"/>
  <c r="G718" i="37"/>
  <c r="G717" i="37"/>
  <c r="G716" i="37"/>
  <c r="G715" i="37"/>
  <c r="G714" i="37"/>
  <c r="G713" i="37"/>
  <c r="G712" i="37"/>
  <c r="G711" i="37"/>
  <c r="G710" i="37"/>
  <c r="G709" i="37"/>
  <c r="G708" i="37"/>
  <c r="G707" i="37"/>
  <c r="G706" i="37"/>
  <c r="G705" i="37"/>
  <c r="G704" i="37"/>
  <c r="G703" i="37"/>
  <c r="G702" i="37"/>
  <c r="G701" i="37"/>
  <c r="I700" i="37"/>
  <c r="L696" i="37"/>
  <c r="B693" i="37"/>
  <c r="B691" i="37"/>
  <c r="G689" i="37"/>
  <c r="H687" i="37"/>
  <c r="F680" i="37"/>
  <c r="F678" i="37"/>
  <c r="G676" i="37"/>
  <c r="G674" i="37"/>
  <c r="L666" i="37"/>
  <c r="I662" i="37"/>
  <c r="B660" i="37"/>
  <c r="H658" i="37"/>
  <c r="I653" i="37"/>
  <c r="L649" i="37"/>
  <c r="H647" i="37"/>
  <c r="F640" i="37"/>
  <c r="G630" i="37"/>
  <c r="I622" i="37"/>
  <c r="B611" i="37"/>
  <c r="F606" i="37"/>
  <c r="F580" i="37"/>
  <c r="F451" i="37"/>
  <c r="F699" i="37"/>
  <c r="B450" i="37"/>
  <c r="B698" i="37"/>
  <c r="H449" i="37"/>
  <c r="H697" i="37"/>
  <c r="G448" i="37"/>
  <c r="G696" i="37"/>
  <c r="F447" i="37"/>
  <c r="F695" i="37"/>
  <c r="H445" i="37"/>
  <c r="H693" i="37"/>
  <c r="G444" i="37"/>
  <c r="G692" i="37"/>
  <c r="F443" i="37"/>
  <c r="F691" i="37"/>
  <c r="G440" i="37"/>
  <c r="G688" i="37"/>
  <c r="F439" i="37"/>
  <c r="F687" i="37"/>
  <c r="B438" i="37"/>
  <c r="B686" i="37"/>
  <c r="H437" i="37"/>
  <c r="H685" i="37"/>
  <c r="L435" i="37"/>
  <c r="L683" i="37"/>
  <c r="F435" i="37"/>
  <c r="F683" i="37"/>
  <c r="I434" i="37"/>
  <c r="I682" i="37"/>
  <c r="H433" i="37"/>
  <c r="H681" i="37"/>
  <c r="G432" i="37"/>
  <c r="G680" i="37"/>
  <c r="I430" i="37"/>
  <c r="I678" i="37"/>
  <c r="F427" i="37"/>
  <c r="F675" i="37"/>
  <c r="B426" i="37"/>
  <c r="B674" i="37"/>
  <c r="B422" i="37"/>
  <c r="B670" i="37"/>
  <c r="F419" i="37"/>
  <c r="F667" i="37"/>
  <c r="I418" i="37"/>
  <c r="I666" i="37"/>
  <c r="B418" i="37"/>
  <c r="B666" i="37"/>
  <c r="L415" i="37"/>
  <c r="L663" i="37"/>
  <c r="H413" i="37"/>
  <c r="H661" i="37"/>
  <c r="G412" i="37"/>
  <c r="G660" i="37"/>
  <c r="L411" i="37"/>
  <c r="L659" i="37"/>
  <c r="B410" i="37"/>
  <c r="B658" i="37"/>
  <c r="H409" i="37"/>
  <c r="H657" i="37"/>
  <c r="L407" i="37"/>
  <c r="L655" i="37"/>
  <c r="F407" i="37"/>
  <c r="F655" i="37"/>
  <c r="I406" i="37"/>
  <c r="I654" i="37"/>
  <c r="B406" i="37"/>
  <c r="B654" i="37"/>
  <c r="H405" i="37"/>
  <c r="H653" i="37"/>
  <c r="L403" i="37"/>
  <c r="L651" i="37"/>
  <c r="I402" i="37"/>
  <c r="I650" i="37"/>
  <c r="B402" i="37"/>
  <c r="B650" i="37"/>
  <c r="H401" i="37"/>
  <c r="H649" i="37"/>
  <c r="G400" i="37"/>
  <c r="G648" i="37"/>
  <c r="L399" i="37"/>
  <c r="L647" i="37"/>
  <c r="F399" i="37"/>
  <c r="F647" i="37"/>
  <c r="I398" i="37"/>
  <c r="I646" i="37"/>
  <c r="B398" i="37"/>
  <c r="B646" i="37"/>
  <c r="G396" i="37"/>
  <c r="G644" i="37"/>
  <c r="F395" i="37"/>
  <c r="F643" i="37"/>
  <c r="I394" i="37"/>
  <c r="I642" i="37"/>
  <c r="B394" i="37"/>
  <c r="B642" i="37"/>
  <c r="G392" i="37"/>
  <c r="G640" i="37"/>
  <c r="L391" i="37"/>
  <c r="L639" i="37"/>
  <c r="F391" i="37"/>
  <c r="F639" i="37"/>
  <c r="H389" i="37"/>
  <c r="H637" i="37"/>
  <c r="F387" i="37"/>
  <c r="F635" i="37"/>
  <c r="B386" i="37"/>
  <c r="B634" i="37"/>
  <c r="H385" i="37"/>
  <c r="H633" i="37"/>
  <c r="G384" i="37"/>
  <c r="G632" i="37"/>
  <c r="F383" i="37"/>
  <c r="F631" i="37"/>
  <c r="B382" i="37"/>
  <c r="B630" i="37"/>
  <c r="F379" i="37"/>
  <c r="F627" i="37"/>
  <c r="F375" i="37"/>
  <c r="F623" i="37"/>
  <c r="H373" i="37"/>
  <c r="H621" i="37"/>
  <c r="L370" i="37"/>
  <c r="L618" i="37"/>
  <c r="B369" i="37"/>
  <c r="B617" i="37"/>
  <c r="G367" i="37"/>
  <c r="G615" i="37"/>
  <c r="I365" i="37"/>
  <c r="I613" i="37"/>
  <c r="L362" i="37"/>
  <c r="L610" i="37"/>
  <c r="I357" i="37"/>
  <c r="I605" i="37"/>
  <c r="H356" i="37"/>
  <c r="H604" i="37"/>
  <c r="L354" i="37"/>
  <c r="L602" i="37"/>
  <c r="H352" i="37"/>
  <c r="H600" i="37"/>
  <c r="F350" i="37"/>
  <c r="F598" i="37"/>
  <c r="G347" i="37"/>
  <c r="G595" i="37"/>
  <c r="B341" i="37"/>
  <c r="B589" i="37"/>
  <c r="I304" i="37"/>
  <c r="I552" i="37"/>
  <c r="L301" i="37"/>
  <c r="L549" i="37"/>
  <c r="B300" i="37"/>
  <c r="B548" i="37"/>
  <c r="F297" i="37"/>
  <c r="F545" i="37"/>
  <c r="B296" i="37"/>
  <c r="B544" i="37"/>
  <c r="G294" i="37"/>
  <c r="G542" i="37"/>
  <c r="B292" i="37"/>
  <c r="B540" i="37"/>
  <c r="B726" i="37"/>
  <c r="B722" i="37"/>
  <c r="B710" i="37"/>
  <c r="B706" i="37"/>
  <c r="B702" i="37"/>
  <c r="H452" i="37"/>
  <c r="H700" i="37"/>
  <c r="L450" i="37"/>
  <c r="L698" i="37"/>
  <c r="F450" i="37"/>
  <c r="F698" i="37"/>
  <c r="I449" i="37"/>
  <c r="I697" i="37"/>
  <c r="B449" i="37"/>
  <c r="B697" i="37"/>
  <c r="G447" i="37"/>
  <c r="G695" i="37"/>
  <c r="L446" i="37"/>
  <c r="L694" i="37"/>
  <c r="F446" i="37"/>
  <c r="F694" i="37"/>
  <c r="H444" i="37"/>
  <c r="H692" i="37"/>
  <c r="G443" i="37"/>
  <c r="G691" i="37"/>
  <c r="L442" i="37"/>
  <c r="L690" i="37"/>
  <c r="F442" i="37"/>
  <c r="F690" i="37"/>
  <c r="I441" i="37"/>
  <c r="I689" i="37"/>
  <c r="B441" i="37"/>
  <c r="B689" i="37"/>
  <c r="G439" i="37"/>
  <c r="G687" i="37"/>
  <c r="F438" i="37"/>
  <c r="F686" i="37"/>
  <c r="I437" i="37"/>
  <c r="I685" i="37"/>
  <c r="B437" i="37"/>
  <c r="B685" i="37"/>
  <c r="H436" i="37"/>
  <c r="H684" i="37"/>
  <c r="L434" i="37"/>
  <c r="L682" i="37"/>
  <c r="F434" i="37"/>
  <c r="F682" i="37"/>
  <c r="H432" i="37"/>
  <c r="H680" i="37"/>
  <c r="G431" i="37"/>
  <c r="G679" i="37"/>
  <c r="L430" i="37"/>
  <c r="L678" i="37"/>
  <c r="I429" i="37"/>
  <c r="I677" i="37"/>
  <c r="B429" i="37"/>
  <c r="B677" i="37"/>
  <c r="H428" i="37"/>
  <c r="H676" i="37"/>
  <c r="L426" i="37"/>
  <c r="L674" i="37"/>
  <c r="F426" i="37"/>
  <c r="F674" i="37"/>
  <c r="H424" i="37"/>
  <c r="H672" i="37"/>
  <c r="G423" i="37"/>
  <c r="G671" i="37"/>
  <c r="L422" i="37"/>
  <c r="L670" i="37"/>
  <c r="I421" i="37"/>
  <c r="I669" i="37"/>
  <c r="B421" i="37"/>
  <c r="B669" i="37"/>
  <c r="H420" i="37"/>
  <c r="H668" i="37"/>
  <c r="B417" i="37"/>
  <c r="B665" i="37"/>
  <c r="G415" i="37"/>
  <c r="G663" i="37"/>
  <c r="L414" i="37"/>
  <c r="L662" i="37"/>
  <c r="F414" i="37"/>
  <c r="F662" i="37"/>
  <c r="I413" i="37"/>
  <c r="I661" i="37"/>
  <c r="B413" i="37"/>
  <c r="B661" i="37"/>
  <c r="H412" i="37"/>
  <c r="H660" i="37"/>
  <c r="G411" i="37"/>
  <c r="G659" i="37"/>
  <c r="L410" i="37"/>
  <c r="L658" i="37"/>
  <c r="F410" i="37"/>
  <c r="F658" i="37"/>
  <c r="I409" i="37"/>
  <c r="I657" i="37"/>
  <c r="B409" i="37"/>
  <c r="B657" i="37"/>
  <c r="H408" i="37"/>
  <c r="H656" i="37"/>
  <c r="G407" i="37"/>
  <c r="G655" i="37"/>
  <c r="L406" i="37"/>
  <c r="L654" i="37"/>
  <c r="B405" i="37"/>
  <c r="B653" i="37"/>
  <c r="H404" i="37"/>
  <c r="H652" i="37"/>
  <c r="G403" i="37"/>
  <c r="G651" i="37"/>
  <c r="L402" i="37"/>
  <c r="L650" i="37"/>
  <c r="I401" i="37"/>
  <c r="I649" i="37"/>
  <c r="B401" i="37"/>
  <c r="B649" i="37"/>
  <c r="H400" i="37"/>
  <c r="H648" i="37"/>
  <c r="G399" i="37"/>
  <c r="G647" i="37"/>
  <c r="L398" i="37"/>
  <c r="L646" i="37"/>
  <c r="I397" i="37"/>
  <c r="I645" i="37"/>
  <c r="B397" i="37"/>
  <c r="B645" i="37"/>
  <c r="H396" i="37"/>
  <c r="H644" i="37"/>
  <c r="G395" i="37"/>
  <c r="G643" i="37"/>
  <c r="L394" i="37"/>
  <c r="L642" i="37"/>
  <c r="F394" i="37"/>
  <c r="F642" i="37"/>
  <c r="I393" i="37"/>
  <c r="I641" i="37"/>
  <c r="B393" i="37"/>
  <c r="B641" i="37"/>
  <c r="H392" i="37"/>
  <c r="H640" i="37"/>
  <c r="L390" i="37"/>
  <c r="L638"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B381" i="37"/>
  <c r="B629" i="37"/>
  <c r="G379" i="37"/>
  <c r="G627" i="37"/>
  <c r="L378" i="37"/>
  <c r="L626" i="37"/>
  <c r="F378" i="37"/>
  <c r="F626" i="37"/>
  <c r="I377" i="37"/>
  <c r="I625" i="37"/>
  <c r="B377" i="37"/>
  <c r="B625" i="37"/>
  <c r="H376" i="37"/>
  <c r="H624" i="37"/>
  <c r="L374" i="37"/>
  <c r="L622" i="37"/>
  <c r="F374" i="37"/>
  <c r="F622" i="37"/>
  <c r="I373" i="37"/>
  <c r="I621" i="37"/>
  <c r="B373" i="37"/>
  <c r="B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H363" i="37"/>
  <c r="H611"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F353" i="37"/>
  <c r="F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L309" i="37"/>
  <c r="L557" i="37"/>
  <c r="F309" i="37"/>
  <c r="F557" i="37"/>
  <c r="I308" i="37"/>
  <c r="I556" i="37"/>
  <c r="B308" i="37"/>
  <c r="B556" i="37"/>
  <c r="H307" i="37"/>
  <c r="H555" i="37"/>
  <c r="G306" i="37"/>
  <c r="G554" i="37"/>
  <c r="L305" i="37"/>
  <c r="L553" i="37"/>
  <c r="G305" i="37"/>
  <c r="G553" i="37"/>
  <c r="L304" i="37"/>
  <c r="L552" i="37"/>
  <c r="F304" i="37"/>
  <c r="F552" i="37"/>
  <c r="I303" i="37"/>
  <c r="I551" i="37"/>
  <c r="B303" i="37"/>
  <c r="B551" i="37"/>
  <c r="H302" i="37"/>
  <c r="H550" i="37"/>
  <c r="G301" i="37"/>
  <c r="G549" i="37"/>
  <c r="L300" i="37"/>
  <c r="L548" i="37"/>
  <c r="F300" i="37"/>
  <c r="F548" i="37"/>
  <c r="I299" i="37"/>
  <c r="I547" i="37"/>
  <c r="B299" i="37"/>
  <c r="B547" i="37"/>
  <c r="H298" i="37"/>
  <c r="H546" i="37"/>
  <c r="G297" i="37"/>
  <c r="G545" i="37"/>
  <c r="L296" i="37"/>
  <c r="L544" i="37"/>
  <c r="F296" i="37"/>
  <c r="F544" i="37"/>
  <c r="I295" i="37"/>
  <c r="I543" i="37"/>
  <c r="B295" i="37"/>
  <c r="B543" i="37"/>
  <c r="H294" i="37"/>
  <c r="H542" i="37"/>
  <c r="G293" i="37"/>
  <c r="G541" i="37"/>
  <c r="L292" i="37"/>
  <c r="L540" i="37"/>
  <c r="F740" i="37"/>
  <c r="F739" i="37"/>
  <c r="F738" i="37"/>
  <c r="F737" i="37"/>
  <c r="F736" i="37"/>
  <c r="F735" i="37"/>
  <c r="F734" i="37"/>
  <c r="F733" i="37"/>
  <c r="F732" i="37"/>
  <c r="J731" i="37"/>
  <c r="F731" i="37"/>
  <c r="F730" i="37"/>
  <c r="F729" i="37"/>
  <c r="F726" i="37"/>
  <c r="F725" i="37"/>
  <c r="F724" i="37"/>
  <c r="F723" i="37"/>
  <c r="F722" i="37"/>
  <c r="F721" i="37"/>
  <c r="F720" i="37"/>
  <c r="F719" i="37"/>
  <c r="F718" i="37"/>
  <c r="F717" i="37"/>
  <c r="F716" i="37"/>
  <c r="F715" i="37"/>
  <c r="F714" i="37"/>
  <c r="F713" i="37"/>
  <c r="F712" i="37"/>
  <c r="F711" i="37"/>
  <c r="F710" i="37"/>
  <c r="F709" i="37"/>
  <c r="F708" i="37"/>
  <c r="F707" i="37"/>
  <c r="F706" i="37"/>
  <c r="F705" i="37"/>
  <c r="F704" i="37"/>
  <c r="F703" i="37"/>
  <c r="F702" i="37"/>
  <c r="F701" i="37"/>
  <c r="G700" i="37"/>
  <c r="G698" i="37"/>
  <c r="H696" i="37"/>
  <c r="I694" i="37"/>
  <c r="I692" i="37"/>
  <c r="I690" i="37"/>
  <c r="L688" i="37"/>
  <c r="L686" i="37"/>
  <c r="F685" i="37"/>
  <c r="G683" i="37"/>
  <c r="I681" i="37"/>
  <c r="F672" i="37"/>
  <c r="F670" i="37"/>
  <c r="F668" i="37"/>
  <c r="H666" i="37"/>
  <c r="H664" i="37"/>
  <c r="L661" i="37"/>
  <c r="H659" i="37"/>
  <c r="H651" i="37"/>
  <c r="F644" i="37"/>
  <c r="G639" i="37"/>
  <c r="H629" i="37"/>
  <c r="F625" i="37"/>
  <c r="G610" i="37"/>
  <c r="J762" i="37"/>
  <c r="F498" i="37"/>
  <c r="F500" i="37"/>
  <c r="F529" i="37"/>
  <c r="B289" i="37"/>
  <c r="F506" i="37"/>
  <c r="F497" i="37"/>
  <c r="F493" i="37"/>
  <c r="F487" i="37"/>
  <c r="F508" i="37"/>
  <c r="B539" i="37"/>
  <c r="B290" i="37"/>
  <c r="F507" i="37"/>
  <c r="F480" i="37"/>
  <c r="F335" i="37"/>
  <c r="J758" i="37"/>
  <c r="F494" i="37"/>
  <c r="F488" i="37"/>
  <c r="F510" i="37"/>
  <c r="F509" i="37"/>
  <c r="F504" i="37"/>
  <c r="F503" i="37"/>
  <c r="F502" i="37"/>
  <c r="F501" i="37"/>
  <c r="F499" i="37"/>
  <c r="F496" i="37"/>
  <c r="F495" i="37"/>
  <c r="F490" i="37"/>
  <c r="F489" i="37"/>
  <c r="F481" i="37"/>
  <c r="F418" i="37"/>
  <c r="F530" i="37"/>
  <c r="F505" i="37"/>
  <c r="F484" i="37"/>
  <c r="F483" i="37"/>
  <c r="F479" i="37"/>
  <c r="F292" i="37"/>
  <c r="F531" i="37"/>
  <c r="F528" i="37"/>
  <c r="F492" i="37"/>
  <c r="F491" i="37"/>
  <c r="F486" i="37"/>
  <c r="F485" i="37"/>
  <c r="F482" i="37"/>
  <c r="F291" i="37"/>
  <c r="J745" i="37"/>
  <c r="J743" i="37"/>
  <c r="J742" i="37"/>
  <c r="K734" i="37" l="1"/>
  <c r="J372" i="37"/>
  <c r="V553" i="37"/>
  <c r="J502" i="37"/>
  <c r="AH502" i="37" s="1"/>
  <c r="N743" i="37"/>
  <c r="T743" i="37" s="1"/>
  <c r="N762" i="37"/>
  <c r="S762" i="37" s="1"/>
  <c r="K736" i="37"/>
  <c r="K732" i="37"/>
  <c r="K739" i="37"/>
  <c r="K779" i="37"/>
  <c r="AB506" i="37"/>
  <c r="N760" i="37"/>
  <c r="P760" i="37" s="1"/>
  <c r="V760" i="37" s="1"/>
  <c r="N744" i="37"/>
  <c r="J769" i="37"/>
  <c r="N769" i="37" s="1"/>
  <c r="J305" i="37"/>
  <c r="Z305" i="37" s="1"/>
  <c r="K737" i="37"/>
  <c r="J500" i="37"/>
  <c r="P500" i="37" s="1"/>
  <c r="J505" i="37"/>
  <c r="N757" i="37"/>
  <c r="T757" i="37" s="1"/>
  <c r="K730" i="37"/>
  <c r="N741" i="37"/>
  <c r="T741" i="37" s="1"/>
  <c r="N742" i="37"/>
  <c r="K735" i="37"/>
  <c r="J752" i="37"/>
  <c r="N752" i="37" s="1"/>
  <c r="V506" i="37"/>
  <c r="K506" i="37"/>
  <c r="N506" i="37" s="1"/>
  <c r="N498" i="37"/>
  <c r="J511" i="37"/>
  <c r="V511" i="37" s="1"/>
  <c r="J774" i="37"/>
  <c r="N774" i="37" s="1"/>
  <c r="R774" i="37" s="1"/>
  <c r="K757" i="37"/>
  <c r="N755" i="37"/>
  <c r="R755" i="37" s="1"/>
  <c r="N758" i="37"/>
  <c r="N756" i="37"/>
  <c r="J747" i="37"/>
  <c r="J501" i="37"/>
  <c r="P501" i="37" s="1"/>
  <c r="J751" i="37"/>
  <c r="N751" i="37" s="1"/>
  <c r="Z759" i="37"/>
  <c r="AB372" i="37"/>
  <c r="P526" i="37"/>
  <c r="N504" i="37"/>
  <c r="AA506" i="37"/>
  <c r="U506" i="37"/>
  <c r="N731" i="37"/>
  <c r="T731" i="37" s="1"/>
  <c r="AH499" i="37"/>
  <c r="N749" i="37"/>
  <c r="P749" i="37" s="1"/>
  <c r="J754" i="37"/>
  <c r="Z754" i="37" s="1"/>
  <c r="AH506" i="37"/>
  <c r="AB502" i="37"/>
  <c r="N509" i="37"/>
  <c r="N530" i="37"/>
  <c r="N748" i="37"/>
  <c r="T748" i="37" s="1"/>
  <c r="N750" i="37"/>
  <c r="P521" i="37"/>
  <c r="P531" i="37"/>
  <c r="P291" i="37"/>
  <c r="U291" i="37"/>
  <c r="AE291" i="37"/>
  <c r="AA291" i="37"/>
  <c r="AB291" i="37"/>
  <c r="R291" i="37"/>
  <c r="Z291" i="37"/>
  <c r="V291" i="37"/>
  <c r="AF291" i="37"/>
  <c r="X291" i="37"/>
  <c r="AG291" i="37"/>
  <c r="Y291" i="37"/>
  <c r="AH291" i="37"/>
  <c r="S291" i="37"/>
  <c r="T291" i="37"/>
  <c r="AD291" i="37"/>
  <c r="N553" i="37"/>
  <c r="S553" i="37"/>
  <c r="N753" i="37"/>
  <c r="N779" i="37"/>
  <c r="T779" i="37" s="1"/>
  <c r="N745" i="37"/>
  <c r="T745" i="37" s="1"/>
  <c r="U502" i="37"/>
  <c r="AG506" i="37"/>
  <c r="N620" i="37"/>
  <c r="N763" i="37"/>
  <c r="T763" i="37" s="1"/>
  <c r="K746" i="37"/>
  <c r="P506" i="37"/>
  <c r="P515" i="37"/>
  <c r="P504" i="37"/>
  <c r="Q553" i="37"/>
  <c r="P553" i="37"/>
  <c r="Y620" i="37"/>
  <c r="X553" i="37"/>
  <c r="S753" i="37"/>
  <c r="Z753" i="37"/>
  <c r="N761" i="37"/>
  <c r="R372" i="37"/>
  <c r="P372" i="37"/>
  <c r="T759" i="37"/>
  <c r="N759" i="37"/>
  <c r="Q759" i="37" s="1"/>
  <c r="AA499" i="37"/>
  <c r="P499" i="37"/>
  <c r="K516" i="37"/>
  <c r="K764" i="37"/>
  <c r="K527" i="37"/>
  <c r="N527" i="37" s="1"/>
  <c r="K775" i="37"/>
  <c r="K519" i="37"/>
  <c r="N519" i="37" s="1"/>
  <c r="K767" i="37"/>
  <c r="K523" i="37"/>
  <c r="K771" i="37"/>
  <c r="K517" i="37"/>
  <c r="N517" i="37" s="1"/>
  <c r="K765" i="37"/>
  <c r="Y372" i="37"/>
  <c r="X372" i="37"/>
  <c r="AA372" i="37"/>
  <c r="T372" i="37"/>
  <c r="AG372" i="37"/>
  <c r="S372" i="37"/>
  <c r="V372" i="37"/>
  <c r="U372" i="37"/>
  <c r="AH372" i="37"/>
  <c r="AE372" i="37"/>
  <c r="Z372" i="37"/>
  <c r="AF372" i="37"/>
  <c r="AD372" i="37"/>
  <c r="K508" i="37"/>
  <c r="K756" i="37"/>
  <c r="K505" i="37"/>
  <c r="N505" i="37" s="1"/>
  <c r="K753" i="37"/>
  <c r="J516" i="37"/>
  <c r="P516" i="37" s="1"/>
  <c r="J764" i="37"/>
  <c r="N764" i="37" s="1"/>
  <c r="J517" i="37"/>
  <c r="P517" i="37" s="1"/>
  <c r="J765" i="37"/>
  <c r="K520" i="37"/>
  <c r="N520" i="37" s="1"/>
  <c r="K768" i="37"/>
  <c r="K524" i="37"/>
  <c r="K772" i="37"/>
  <c r="K521" i="37"/>
  <c r="N521" i="37" s="1"/>
  <c r="K769" i="37"/>
  <c r="AG502" i="37"/>
  <c r="V499" i="37"/>
  <c r="AG499" i="37"/>
  <c r="J525" i="37"/>
  <c r="P525" i="37" s="1"/>
  <c r="J773" i="37"/>
  <c r="N773" i="37" s="1"/>
  <c r="W553" i="37"/>
  <c r="K497" i="37"/>
  <c r="N497" i="37" s="1"/>
  <c r="K745" i="37"/>
  <c r="Y750" i="37"/>
  <c r="T750" i="37"/>
  <c r="J520" i="37"/>
  <c r="Z520" i="37" s="1"/>
  <c r="J768" i="37"/>
  <c r="N768" i="37" s="1"/>
  <c r="J519" i="37"/>
  <c r="P519" i="37" s="1"/>
  <c r="J767" i="37"/>
  <c r="N767" i="37" s="1"/>
  <c r="J523" i="37"/>
  <c r="P523" i="37" s="1"/>
  <c r="J771" i="37"/>
  <c r="N771" i="37" s="1"/>
  <c r="K525" i="37"/>
  <c r="N525" i="37" s="1"/>
  <c r="K773" i="37"/>
  <c r="K522" i="37"/>
  <c r="K770" i="37"/>
  <c r="U499" i="37"/>
  <c r="AB499" i="37"/>
  <c r="J527" i="37"/>
  <c r="P527" i="37" s="1"/>
  <c r="J775" i="37"/>
  <c r="N775" i="37" s="1"/>
  <c r="J528" i="37"/>
  <c r="P528" i="37" s="1"/>
  <c r="J776" i="37"/>
  <c r="N776" i="37" s="1"/>
  <c r="J529" i="37"/>
  <c r="P529" i="37" s="1"/>
  <c r="J777" i="37"/>
  <c r="N777" i="37" s="1"/>
  <c r="K528" i="37"/>
  <c r="N528" i="37" s="1"/>
  <c r="K776" i="37"/>
  <c r="K493" i="37"/>
  <c r="N493" i="37" s="1"/>
  <c r="K741" i="37"/>
  <c r="K496" i="37"/>
  <c r="N496" i="37" s="1"/>
  <c r="K744" i="37"/>
  <c r="K495" i="37"/>
  <c r="K743" i="37"/>
  <c r="K499" i="37"/>
  <c r="K747" i="37"/>
  <c r="K500" i="37"/>
  <c r="K748" i="37"/>
  <c r="K501" i="37"/>
  <c r="N501" i="37" s="1"/>
  <c r="K749" i="37"/>
  <c r="K502" i="37"/>
  <c r="N502" i="37" s="1"/>
  <c r="K750" i="37"/>
  <c r="K503" i="37"/>
  <c r="K751" i="37"/>
  <c r="K507" i="37"/>
  <c r="K755" i="37"/>
  <c r="K529" i="37"/>
  <c r="K777" i="37"/>
  <c r="T753" i="37"/>
  <c r="Y753" i="37"/>
  <c r="R743" i="37"/>
  <c r="J498" i="37"/>
  <c r="P498" i="37" s="1"/>
  <c r="J746" i="37"/>
  <c r="N746" i="37" s="1"/>
  <c r="J522" i="37"/>
  <c r="P522" i="37" s="1"/>
  <c r="J770" i="37"/>
  <c r="N770" i="37" s="1"/>
  <c r="J518" i="37"/>
  <c r="P518" i="37" s="1"/>
  <c r="J766" i="37"/>
  <c r="J524" i="37"/>
  <c r="P524" i="37" s="1"/>
  <c r="J772" i="37"/>
  <c r="N772" i="37" s="1"/>
  <c r="K526" i="37"/>
  <c r="N526" i="37" s="1"/>
  <c r="K774" i="37"/>
  <c r="K518" i="37"/>
  <c r="K766" i="37"/>
  <c r="J530" i="37"/>
  <c r="P530" i="37" s="1"/>
  <c r="J778" i="37"/>
  <c r="N778" i="37" s="1"/>
  <c r="S750" i="37"/>
  <c r="Z750" i="37"/>
  <c r="K494" i="37"/>
  <c r="N494" i="37" s="1"/>
  <c r="K742" i="37"/>
  <c r="K510" i="37"/>
  <c r="N510" i="37" s="1"/>
  <c r="K758" i="37"/>
  <c r="J296" i="37"/>
  <c r="Y296" i="37" s="1"/>
  <c r="J544" i="37"/>
  <c r="N544" i="37" s="1"/>
  <c r="J358" i="37"/>
  <c r="J606" i="37"/>
  <c r="J496" i="37"/>
  <c r="P496" i="37" s="1"/>
  <c r="K333" i="37"/>
  <c r="K581" i="37"/>
  <c r="K406" i="37"/>
  <c r="K654" i="37"/>
  <c r="J454" i="37"/>
  <c r="AG454" i="37" s="1"/>
  <c r="J702" i="37"/>
  <c r="N702" i="37" s="1"/>
  <c r="K409" i="37"/>
  <c r="N409" i="37" s="1"/>
  <c r="K657" i="37"/>
  <c r="K512" i="37"/>
  <c r="K354" i="37"/>
  <c r="N354" i="37" s="1"/>
  <c r="K602" i="37"/>
  <c r="J439" i="37"/>
  <c r="AA439" i="37" s="1"/>
  <c r="J687" i="37"/>
  <c r="K304" i="37"/>
  <c r="K552" i="37"/>
  <c r="K365" i="37"/>
  <c r="K613" i="37"/>
  <c r="K429" i="37"/>
  <c r="N429" i="37" s="1"/>
  <c r="K677" i="37"/>
  <c r="K457" i="37"/>
  <c r="N457" i="37" s="1"/>
  <c r="K705" i="37"/>
  <c r="K360" i="37"/>
  <c r="N360" i="37" s="1"/>
  <c r="K608" i="37"/>
  <c r="J478" i="37"/>
  <c r="P478" i="37" s="1"/>
  <c r="J726" i="37"/>
  <c r="N726" i="37" s="1"/>
  <c r="J339" i="37"/>
  <c r="U339" i="37" s="1"/>
  <c r="J587" i="37"/>
  <c r="N587" i="37" s="1"/>
  <c r="J447" i="37"/>
  <c r="P447" i="37" s="1"/>
  <c r="J695" i="37"/>
  <c r="N695" i="37" s="1"/>
  <c r="J428" i="37"/>
  <c r="Z428" i="37" s="1"/>
  <c r="J676" i="37"/>
  <c r="N676" i="37" s="1"/>
  <c r="K459" i="37"/>
  <c r="N459" i="37" s="1"/>
  <c r="K707" i="37"/>
  <c r="J440" i="37"/>
  <c r="AH440" i="37" s="1"/>
  <c r="J688" i="37"/>
  <c r="J340" i="37"/>
  <c r="P340" i="37" s="1"/>
  <c r="J588" i="37"/>
  <c r="K461" i="37"/>
  <c r="K709" i="37"/>
  <c r="J465" i="37"/>
  <c r="P465" i="37" s="1"/>
  <c r="J713" i="37"/>
  <c r="N713" i="37" s="1"/>
  <c r="J490" i="37"/>
  <c r="P490" i="37" s="1"/>
  <c r="J738" i="37"/>
  <c r="N738" i="37" s="1"/>
  <c r="J437" i="37"/>
  <c r="R437" i="37" s="1"/>
  <c r="J685" i="37"/>
  <c r="K318" i="37"/>
  <c r="K566" i="37"/>
  <c r="K391" i="37"/>
  <c r="N391" i="37" s="1"/>
  <c r="K639" i="37"/>
  <c r="J407" i="37"/>
  <c r="P407" i="37" s="1"/>
  <c r="J655" i="37"/>
  <c r="N655" i="37" s="1"/>
  <c r="K298" i="37"/>
  <c r="N298" i="37" s="1"/>
  <c r="K546" i="37"/>
  <c r="K321" i="37"/>
  <c r="K569" i="37"/>
  <c r="K358" i="37"/>
  <c r="N358" i="37" s="1"/>
  <c r="K606" i="37"/>
  <c r="K377" i="37"/>
  <c r="K625" i="37"/>
  <c r="K394" i="37"/>
  <c r="K642" i="37"/>
  <c r="K411" i="37"/>
  <c r="K659" i="37"/>
  <c r="K426" i="37"/>
  <c r="N426" i="37" s="1"/>
  <c r="K674" i="37"/>
  <c r="K443" i="37"/>
  <c r="K691" i="37"/>
  <c r="K458" i="37"/>
  <c r="N458" i="37" s="1"/>
  <c r="K706" i="37"/>
  <c r="K471" i="37"/>
  <c r="N471" i="37" s="1"/>
  <c r="K719" i="37"/>
  <c r="K314" i="37"/>
  <c r="N314" i="37" s="1"/>
  <c r="K562" i="37"/>
  <c r="K399" i="37"/>
  <c r="K647" i="37"/>
  <c r="K460" i="37"/>
  <c r="K708" i="37"/>
  <c r="K309" i="37"/>
  <c r="K557" i="37"/>
  <c r="K331" i="37"/>
  <c r="N331" i="37" s="1"/>
  <c r="K579" i="37"/>
  <c r="K353" i="37"/>
  <c r="N353" i="37" s="1"/>
  <c r="K601" i="37"/>
  <c r="K369" i="37"/>
  <c r="K617" i="37"/>
  <c r="K389" i="37"/>
  <c r="K637" i="37"/>
  <c r="K415" i="37"/>
  <c r="N415" i="37" s="1"/>
  <c r="K663" i="37"/>
  <c r="K434" i="37"/>
  <c r="K682" i="37"/>
  <c r="K451" i="37"/>
  <c r="K699" i="37"/>
  <c r="J461" i="37"/>
  <c r="AH461" i="37" s="1"/>
  <c r="J709" i="37"/>
  <c r="N709" i="37" s="1"/>
  <c r="K319" i="37"/>
  <c r="N319" i="37" s="1"/>
  <c r="K567" i="37"/>
  <c r="K343" i="37"/>
  <c r="N343" i="37" s="1"/>
  <c r="K591" i="37"/>
  <c r="K372" i="37"/>
  <c r="K620" i="37"/>
  <c r="K424" i="37"/>
  <c r="N424" i="37" s="1"/>
  <c r="K672" i="37"/>
  <c r="K455" i="37"/>
  <c r="K703" i="37"/>
  <c r="J418" i="37"/>
  <c r="AG418" i="37" s="1"/>
  <c r="J666" i="37"/>
  <c r="N666" i="37" s="1"/>
  <c r="J397" i="37"/>
  <c r="P397" i="37" s="1"/>
  <c r="J645" i="37"/>
  <c r="N645" i="37" s="1"/>
  <c r="J510" i="37"/>
  <c r="P510" i="37" s="1"/>
  <c r="J378" i="37"/>
  <c r="P378" i="37" s="1"/>
  <c r="J626" i="37"/>
  <c r="J456" i="37"/>
  <c r="V456" i="37" s="1"/>
  <c r="J704" i="37"/>
  <c r="J443" i="37"/>
  <c r="AE443" i="37" s="1"/>
  <c r="J691" i="37"/>
  <c r="N691" i="37" s="1"/>
  <c r="J342" i="37"/>
  <c r="J590" i="37"/>
  <c r="R590" i="37" s="1"/>
  <c r="J514" i="37"/>
  <c r="P514" i="37" s="1"/>
  <c r="J300" i="37"/>
  <c r="AH300" i="37" s="1"/>
  <c r="J548" i="37"/>
  <c r="Z548" i="37" s="1"/>
  <c r="J421" i="37"/>
  <c r="P421" i="37" s="1"/>
  <c r="J669" i="37"/>
  <c r="N669" i="37" s="1"/>
  <c r="J513" i="37"/>
  <c r="P513" i="37" s="1"/>
  <c r="J322" i="37"/>
  <c r="P322" i="37" s="1"/>
  <c r="J570" i="37"/>
  <c r="Q570" i="37" s="1"/>
  <c r="J468" i="37"/>
  <c r="P468" i="37" s="1"/>
  <c r="J716" i="37"/>
  <c r="N716" i="37" s="1"/>
  <c r="J297" i="37"/>
  <c r="AD297" i="37" s="1"/>
  <c r="J545" i="37"/>
  <c r="J423" i="37"/>
  <c r="J671" i="37"/>
  <c r="N671" i="37" s="1"/>
  <c r="J362" i="37"/>
  <c r="AD362" i="37" s="1"/>
  <c r="J610" i="37"/>
  <c r="P610" i="37" s="1"/>
  <c r="J441" i="37"/>
  <c r="R441" i="37" s="1"/>
  <c r="J689" i="37"/>
  <c r="N689" i="37" s="1"/>
  <c r="J393" i="37"/>
  <c r="AA393" i="37" s="1"/>
  <c r="J641" i="37"/>
  <c r="Z641" i="37" s="1"/>
  <c r="J429" i="37"/>
  <c r="P429" i="37" s="1"/>
  <c r="J677" i="37"/>
  <c r="N677" i="37" s="1"/>
  <c r="J366" i="37"/>
  <c r="AE366" i="37" s="1"/>
  <c r="J614" i="37"/>
  <c r="P614" i="37" s="1"/>
  <c r="J312" i="37"/>
  <c r="P312" i="37" s="1"/>
  <c r="J560" i="37"/>
  <c r="N560" i="37" s="1"/>
  <c r="K515" i="37"/>
  <c r="K313" i="37"/>
  <c r="K561" i="37"/>
  <c r="K371" i="37"/>
  <c r="K619" i="37"/>
  <c r="K402" i="37"/>
  <c r="K650" i="37"/>
  <c r="K436" i="37"/>
  <c r="K684" i="37"/>
  <c r="K293" i="37"/>
  <c r="K541" i="37"/>
  <c r="K330" i="37"/>
  <c r="K578" i="37"/>
  <c r="K433" i="37"/>
  <c r="K681" i="37"/>
  <c r="K310" i="37"/>
  <c r="N310" i="37" s="1"/>
  <c r="K558" i="37"/>
  <c r="K324" i="37"/>
  <c r="N324" i="37" s="1"/>
  <c r="K572" i="37"/>
  <c r="K370" i="37"/>
  <c r="N370" i="37" s="1"/>
  <c r="K618" i="37"/>
  <c r="K401" i="37"/>
  <c r="K649" i="37"/>
  <c r="J453" i="37"/>
  <c r="U453" i="37" s="1"/>
  <c r="J701" i="37"/>
  <c r="N701" i="37" s="1"/>
  <c r="J467" i="37"/>
  <c r="AH467" i="37" s="1"/>
  <c r="J715" i="37"/>
  <c r="N715" i="37" s="1"/>
  <c r="K392" i="37"/>
  <c r="K640" i="37"/>
  <c r="K450" i="37"/>
  <c r="N450" i="37" s="1"/>
  <c r="K698" i="37"/>
  <c r="K385" i="37"/>
  <c r="N385" i="37" s="1"/>
  <c r="K633" i="37"/>
  <c r="K447" i="37"/>
  <c r="K695" i="37"/>
  <c r="K474" i="37"/>
  <c r="N474" i="37" s="1"/>
  <c r="K722" i="37"/>
  <c r="K342" i="37"/>
  <c r="N342" i="37" s="1"/>
  <c r="K590" i="37"/>
  <c r="K413" i="37"/>
  <c r="N413" i="37" s="1"/>
  <c r="K661" i="37"/>
  <c r="J451" i="37"/>
  <c r="AF451" i="37" s="1"/>
  <c r="J699" i="37"/>
  <c r="N699" i="37" s="1"/>
  <c r="J492" i="37"/>
  <c r="J740" i="37"/>
  <c r="J334" i="37"/>
  <c r="Y334" i="37" s="1"/>
  <c r="J582" i="37"/>
  <c r="N582" i="37" s="1"/>
  <c r="K407" i="37"/>
  <c r="N407" i="37" s="1"/>
  <c r="K655" i="37"/>
  <c r="S704" i="37"/>
  <c r="P620" i="37"/>
  <c r="V620" i="37"/>
  <c r="Q620" i="37"/>
  <c r="W620" i="37"/>
  <c r="R620" i="37"/>
  <c r="S620" i="37"/>
  <c r="X620" i="37"/>
  <c r="Z620" i="37"/>
  <c r="J427" i="37"/>
  <c r="U427" i="37" s="1"/>
  <c r="J675" i="37"/>
  <c r="N675" i="37" s="1"/>
  <c r="J355" i="37"/>
  <c r="AD355" i="37" s="1"/>
  <c r="J603" i="37"/>
  <c r="J380" i="37"/>
  <c r="AF380" i="37" s="1"/>
  <c r="J628" i="37"/>
  <c r="N628" i="37" s="1"/>
  <c r="J448" i="37"/>
  <c r="U448" i="37" s="1"/>
  <c r="J696" i="37"/>
  <c r="N696" i="37" s="1"/>
  <c r="J365" i="37"/>
  <c r="J613" i="37"/>
  <c r="N613" i="37" s="1"/>
  <c r="J458" i="37"/>
  <c r="AB458" i="37" s="1"/>
  <c r="J706" i="37"/>
  <c r="N706" i="37" s="1"/>
  <c r="J331" i="37"/>
  <c r="U331" i="37" s="1"/>
  <c r="J579" i="37"/>
  <c r="J398" i="37"/>
  <c r="AD398" i="37" s="1"/>
  <c r="J646" i="37"/>
  <c r="S646" i="37" s="1"/>
  <c r="J449" i="37"/>
  <c r="AA449" i="37" s="1"/>
  <c r="J697" i="37"/>
  <c r="N697" i="37" s="1"/>
  <c r="J472" i="37"/>
  <c r="P472" i="37" s="1"/>
  <c r="J720" i="37"/>
  <c r="N720" i="37" s="1"/>
  <c r="J422" i="37"/>
  <c r="J670" i="37"/>
  <c r="J309" i="37"/>
  <c r="AG309" i="37" s="1"/>
  <c r="J557" i="37"/>
  <c r="N557" i="37" s="1"/>
  <c r="J409" i="37"/>
  <c r="AD409" i="37" s="1"/>
  <c r="J657" i="37"/>
  <c r="N657" i="37" s="1"/>
  <c r="J400" i="37"/>
  <c r="AD400" i="37" s="1"/>
  <c r="J648" i="37"/>
  <c r="J434" i="37"/>
  <c r="AF434" i="37" s="1"/>
  <c r="J682" i="37"/>
  <c r="J301" i="37"/>
  <c r="P301" i="37" s="1"/>
  <c r="J549" i="37"/>
  <c r="N549" i="37" s="1"/>
  <c r="J313" i="37"/>
  <c r="AH313" i="37" s="1"/>
  <c r="J561" i="37"/>
  <c r="N561" i="37" s="1"/>
  <c r="J298" i="37"/>
  <c r="T298" i="37" s="1"/>
  <c r="J546" i="37"/>
  <c r="N546" i="37" s="1"/>
  <c r="K425" i="37"/>
  <c r="K673" i="37"/>
  <c r="K297" i="37"/>
  <c r="N297" i="37" s="1"/>
  <c r="K545" i="37"/>
  <c r="K341" i="37"/>
  <c r="N341" i="37" s="1"/>
  <c r="K589" i="37"/>
  <c r="K403" i="37"/>
  <c r="K651" i="37"/>
  <c r="K440" i="37"/>
  <c r="K688" i="37"/>
  <c r="K476" i="37"/>
  <c r="K724" i="37"/>
  <c r="K373" i="37"/>
  <c r="K621" i="37"/>
  <c r="K446" i="37"/>
  <c r="K694" i="37"/>
  <c r="K301" i="37"/>
  <c r="N301" i="37" s="1"/>
  <c r="K549" i="37"/>
  <c r="K328" i="37"/>
  <c r="N328" i="37" s="1"/>
  <c r="K576" i="37"/>
  <c r="J384" i="37"/>
  <c r="S384" i="37" s="1"/>
  <c r="J632" i="37"/>
  <c r="N632" i="37" s="1"/>
  <c r="K467" i="37"/>
  <c r="N467" i="37" s="1"/>
  <c r="K715" i="37"/>
  <c r="J480" i="37"/>
  <c r="P480" i="37" s="1"/>
  <c r="J728" i="37"/>
  <c r="N728" i="37" s="1"/>
  <c r="J376" i="37"/>
  <c r="AA376" i="37" s="1"/>
  <c r="J624" i="37"/>
  <c r="W624" i="37" s="1"/>
  <c r="J479" i="37"/>
  <c r="P479" i="37" s="1"/>
  <c r="J727" i="37"/>
  <c r="N727" i="37" s="1"/>
  <c r="J392" i="37"/>
  <c r="R392" i="37" s="1"/>
  <c r="J640" i="37"/>
  <c r="N640" i="37" s="1"/>
  <c r="J324" i="37"/>
  <c r="J572" i="37"/>
  <c r="N572" i="37" s="1"/>
  <c r="J482" i="37"/>
  <c r="P482" i="37" s="1"/>
  <c r="J730" i="37"/>
  <c r="N730" i="37" s="1"/>
  <c r="J315" i="37"/>
  <c r="J563" i="37"/>
  <c r="N563" i="37" s="1"/>
  <c r="J471" i="37"/>
  <c r="P471" i="37" s="1"/>
  <c r="J719" i="37"/>
  <c r="N719" i="37" s="1"/>
  <c r="J469" i="37"/>
  <c r="P469" i="37" s="1"/>
  <c r="J717" i="37"/>
  <c r="N717" i="37" s="1"/>
  <c r="J438" i="37"/>
  <c r="AH438" i="37" s="1"/>
  <c r="J686" i="37"/>
  <c r="N686" i="37" s="1"/>
  <c r="J336" i="37"/>
  <c r="AB336" i="37" s="1"/>
  <c r="J584" i="37"/>
  <c r="N584" i="37" s="1"/>
  <c r="J294" i="37"/>
  <c r="AE294" i="37" s="1"/>
  <c r="J542" i="37"/>
  <c r="N542" i="37" s="1"/>
  <c r="J460" i="37"/>
  <c r="J708" i="37"/>
  <c r="J369" i="37"/>
  <c r="Z369" i="37" s="1"/>
  <c r="J617" i="37"/>
  <c r="K453" i="37"/>
  <c r="K701" i="37"/>
  <c r="J330" i="37"/>
  <c r="AB330" i="37" s="1"/>
  <c r="J578" i="37"/>
  <c r="N578" i="37" s="1"/>
  <c r="J389" i="37"/>
  <c r="AB389" i="37" s="1"/>
  <c r="J637" i="37"/>
  <c r="N637" i="37" s="1"/>
  <c r="J488" i="37"/>
  <c r="P488" i="37" s="1"/>
  <c r="J736" i="37"/>
  <c r="N736" i="37" s="1"/>
  <c r="J319" i="37"/>
  <c r="P319" i="37" s="1"/>
  <c r="J567" i="37"/>
  <c r="N567" i="37" s="1"/>
  <c r="J455" i="37"/>
  <c r="AA455" i="37" s="1"/>
  <c r="J703" i="37"/>
  <c r="N703" i="37" s="1"/>
  <c r="J430" i="37"/>
  <c r="AA430" i="37" s="1"/>
  <c r="J678" i="37"/>
  <c r="N678" i="37" s="1"/>
  <c r="J391" i="37"/>
  <c r="P391" i="37" s="1"/>
  <c r="J639" i="37"/>
  <c r="N639" i="37" s="1"/>
  <c r="J464" i="37"/>
  <c r="AB464" i="37" s="1"/>
  <c r="J712" i="37"/>
  <c r="N712" i="37" s="1"/>
  <c r="J364" i="37"/>
  <c r="V364" i="37" s="1"/>
  <c r="J612" i="37"/>
  <c r="J416" i="37"/>
  <c r="J664" i="37"/>
  <c r="J320" i="37"/>
  <c r="T320" i="37" s="1"/>
  <c r="J568" i="37"/>
  <c r="J431" i="37"/>
  <c r="P431" i="37" s="1"/>
  <c r="J679" i="37"/>
  <c r="N679" i="37" s="1"/>
  <c r="J356" i="37"/>
  <c r="X356" i="37" s="1"/>
  <c r="J604" i="37"/>
  <c r="R604" i="37" s="1"/>
  <c r="J412" i="37"/>
  <c r="AH412" i="37" s="1"/>
  <c r="J660" i="37"/>
  <c r="N660" i="37" s="1"/>
  <c r="J475" i="37"/>
  <c r="P475" i="37" s="1"/>
  <c r="J723" i="37"/>
  <c r="N723" i="37" s="1"/>
  <c r="J401" i="37"/>
  <c r="AB401" i="37" s="1"/>
  <c r="J649" i="37"/>
  <c r="N649" i="37" s="1"/>
  <c r="K445" i="37"/>
  <c r="K693" i="37"/>
  <c r="J450" i="37"/>
  <c r="P450" i="37" s="1"/>
  <c r="J698" i="37"/>
  <c r="N698" i="37" s="1"/>
  <c r="J341" i="37"/>
  <c r="J589" i="37"/>
  <c r="N589" i="37" s="1"/>
  <c r="J411" i="37"/>
  <c r="AF411" i="37" s="1"/>
  <c r="J659" i="37"/>
  <c r="N659" i="37" s="1"/>
  <c r="J361" i="37"/>
  <c r="P361" i="37" s="1"/>
  <c r="J609" i="37"/>
  <c r="N609" i="37" s="1"/>
  <c r="K387" i="37"/>
  <c r="K635" i="37"/>
  <c r="J377" i="37"/>
  <c r="AE377" i="37" s="1"/>
  <c r="J625" i="37"/>
  <c r="R625" i="37" s="1"/>
  <c r="J462" i="37"/>
  <c r="P462" i="37" s="1"/>
  <c r="J710" i="37"/>
  <c r="N710" i="37" s="1"/>
  <c r="J446" i="37"/>
  <c r="Y446" i="37" s="1"/>
  <c r="J694" i="37"/>
  <c r="N694" i="37" s="1"/>
  <c r="K513" i="37"/>
  <c r="K302" i="37"/>
  <c r="K550" i="37"/>
  <c r="K325" i="37"/>
  <c r="K573" i="37"/>
  <c r="K347" i="37"/>
  <c r="N347" i="37" s="1"/>
  <c r="K595" i="37"/>
  <c r="K363" i="37"/>
  <c r="K611" i="37"/>
  <c r="K379" i="37"/>
  <c r="K627" i="37"/>
  <c r="K397" i="37"/>
  <c r="N397" i="37" s="1"/>
  <c r="K645" i="37"/>
  <c r="K404" i="37"/>
  <c r="K652" i="37"/>
  <c r="K408" i="37"/>
  <c r="K656" i="37"/>
  <c r="K427" i="37"/>
  <c r="N427" i="37" s="1"/>
  <c r="K675" i="37"/>
  <c r="J445" i="37"/>
  <c r="AA445" i="37" s="1"/>
  <c r="J693" i="37"/>
  <c r="N693" i="37" s="1"/>
  <c r="K463" i="37"/>
  <c r="K711" i="37"/>
  <c r="K308" i="37"/>
  <c r="K556" i="37"/>
  <c r="K348" i="37"/>
  <c r="N348" i="37" s="1"/>
  <c r="K596" i="37"/>
  <c r="K374" i="37"/>
  <c r="K622" i="37"/>
  <c r="K414" i="37"/>
  <c r="K662" i="37"/>
  <c r="K477" i="37"/>
  <c r="N477" i="37" s="1"/>
  <c r="K725" i="37"/>
  <c r="K305" i="37"/>
  <c r="K553" i="37"/>
  <c r="K312" i="37"/>
  <c r="K560" i="37"/>
  <c r="K322" i="37"/>
  <c r="K570" i="37"/>
  <c r="K332" i="37"/>
  <c r="N332" i="37" s="1"/>
  <c r="K580" i="37"/>
  <c r="K346" i="37"/>
  <c r="N346" i="37" s="1"/>
  <c r="K594" i="37"/>
  <c r="K362" i="37"/>
  <c r="K610" i="37"/>
  <c r="K382" i="37"/>
  <c r="K630" i="37"/>
  <c r="K395" i="37"/>
  <c r="N395" i="37" s="1"/>
  <c r="K643" i="37"/>
  <c r="K416" i="37"/>
  <c r="K664" i="37"/>
  <c r="K430" i="37"/>
  <c r="K678" i="37"/>
  <c r="K444" i="37"/>
  <c r="N444" i="37" s="1"/>
  <c r="K692" i="37"/>
  <c r="K462" i="37"/>
  <c r="K710" i="37"/>
  <c r="K475" i="37"/>
  <c r="K723" i="37"/>
  <c r="K368" i="37"/>
  <c r="N368" i="37" s="1"/>
  <c r="K616" i="37"/>
  <c r="K418" i="37"/>
  <c r="K666" i="37"/>
  <c r="K473" i="37"/>
  <c r="N473" i="37" s="1"/>
  <c r="K721" i="37"/>
  <c r="K295" i="37"/>
  <c r="K543" i="37"/>
  <c r="K315" i="37"/>
  <c r="K563" i="37"/>
  <c r="K337" i="37"/>
  <c r="N337" i="37" s="1"/>
  <c r="K585" i="37"/>
  <c r="K357" i="37"/>
  <c r="N357" i="37" s="1"/>
  <c r="K605" i="37"/>
  <c r="K376" i="37"/>
  <c r="N376" i="37" s="1"/>
  <c r="K624" i="37"/>
  <c r="K393" i="37"/>
  <c r="K641" i="37"/>
  <c r="K420" i="37"/>
  <c r="N420" i="37" s="1"/>
  <c r="K668" i="37"/>
  <c r="K438" i="37"/>
  <c r="K686" i="37"/>
  <c r="K452" i="37"/>
  <c r="N452" i="37" s="1"/>
  <c r="K700" i="37"/>
  <c r="K465" i="37"/>
  <c r="N465" i="37" s="1"/>
  <c r="K713" i="37"/>
  <c r="K334" i="37"/>
  <c r="K582" i="37"/>
  <c r="K344" i="37"/>
  <c r="N344" i="37" s="1"/>
  <c r="K592" i="37"/>
  <c r="K375" i="37"/>
  <c r="K623" i="37"/>
  <c r="K428" i="37"/>
  <c r="K676" i="37"/>
  <c r="K464" i="37"/>
  <c r="K712" i="37"/>
  <c r="K479" i="37"/>
  <c r="K727" i="37"/>
  <c r="J404" i="37"/>
  <c r="P404" i="37" s="1"/>
  <c r="J652" i="37"/>
  <c r="Z652" i="37" s="1"/>
  <c r="K480" i="37"/>
  <c r="N480" i="37" s="1"/>
  <c r="K728" i="37"/>
  <c r="K317" i="37"/>
  <c r="K565" i="37"/>
  <c r="J420" i="37"/>
  <c r="P420" i="37" s="1"/>
  <c r="J668" i="37"/>
  <c r="N668" i="37" s="1"/>
  <c r="J363" i="37"/>
  <c r="Z363" i="37" s="1"/>
  <c r="J611" i="37"/>
  <c r="J304" i="37"/>
  <c r="J552" i="37"/>
  <c r="N552" i="37" s="1"/>
  <c r="J368" i="37"/>
  <c r="S368" i="37" s="1"/>
  <c r="J616" i="37"/>
  <c r="X616" i="37" s="1"/>
  <c r="J426" i="37"/>
  <c r="S426" i="37" s="1"/>
  <c r="J674" i="37"/>
  <c r="N674" i="37" s="1"/>
  <c r="J452" i="37"/>
  <c r="P452" i="37" s="1"/>
  <c r="J700" i="37"/>
  <c r="N700" i="37" s="1"/>
  <c r="J485" i="37"/>
  <c r="P485" i="37" s="1"/>
  <c r="J733" i="37"/>
  <c r="N733" i="37" s="1"/>
  <c r="J419" i="37"/>
  <c r="S419" i="37" s="1"/>
  <c r="J667" i="37"/>
  <c r="J486" i="37"/>
  <c r="P486" i="37" s="1"/>
  <c r="J734" i="37"/>
  <c r="N734" i="37" s="1"/>
  <c r="J307" i="37"/>
  <c r="J555" i="37"/>
  <c r="N555" i="37" s="1"/>
  <c r="J470" i="37"/>
  <c r="P470" i="37" s="1"/>
  <c r="J718" i="37"/>
  <c r="N718" i="37" s="1"/>
  <c r="J346" i="37"/>
  <c r="AH346" i="37" s="1"/>
  <c r="J594" i="37"/>
  <c r="S594" i="37" s="1"/>
  <c r="J325" i="37"/>
  <c r="Y325" i="37" s="1"/>
  <c r="J573" i="37"/>
  <c r="N573" i="37" s="1"/>
  <c r="J457" i="37"/>
  <c r="J705" i="37"/>
  <c r="N705" i="37" s="1"/>
  <c r="J370" i="37"/>
  <c r="J618" i="37"/>
  <c r="J344" i="37"/>
  <c r="J592" i="37"/>
  <c r="J484" i="37"/>
  <c r="P484" i="37" s="1"/>
  <c r="J732" i="37"/>
  <c r="N732" i="37" s="1"/>
  <c r="J390" i="37"/>
  <c r="AF390" i="37" s="1"/>
  <c r="J638" i="37"/>
  <c r="X638" i="37" s="1"/>
  <c r="J474" i="37"/>
  <c r="P474" i="37" s="1"/>
  <c r="J722" i="37"/>
  <c r="N722" i="37" s="1"/>
  <c r="J303" i="37"/>
  <c r="P303" i="37" s="1"/>
  <c r="J551" i="37"/>
  <c r="J345" i="37"/>
  <c r="U345" i="37" s="1"/>
  <c r="J593" i="37"/>
  <c r="J367" i="37"/>
  <c r="AG367" i="37" s="1"/>
  <c r="J615" i="37"/>
  <c r="Z615" i="37" s="1"/>
  <c r="J349" i="37"/>
  <c r="AA349" i="37" s="1"/>
  <c r="J597" i="37"/>
  <c r="K483" i="37"/>
  <c r="K731" i="37"/>
  <c r="J350" i="37"/>
  <c r="J598" i="37"/>
  <c r="P598" i="37" s="1"/>
  <c r="J352" i="37"/>
  <c r="J600" i="37"/>
  <c r="N600" i="37" s="1"/>
  <c r="J385" i="37"/>
  <c r="AA385" i="37" s="1"/>
  <c r="J633" i="37"/>
  <c r="P633" i="37" s="1"/>
  <c r="K355" i="37"/>
  <c r="N355" i="37" s="1"/>
  <c r="K603" i="37"/>
  <c r="J387" i="37"/>
  <c r="AG387" i="37" s="1"/>
  <c r="J635" i="37"/>
  <c r="K417" i="37"/>
  <c r="K665" i="37"/>
  <c r="K472" i="37"/>
  <c r="K720" i="37"/>
  <c r="K364" i="37"/>
  <c r="K612" i="37"/>
  <c r="K300" i="37"/>
  <c r="K548" i="37"/>
  <c r="J317" i="37"/>
  <c r="P317" i="37" s="1"/>
  <c r="J565" i="37"/>
  <c r="N565" i="37" s="1"/>
  <c r="K339" i="37"/>
  <c r="K587" i="37"/>
  <c r="K390" i="37"/>
  <c r="K638" i="37"/>
  <c r="K422" i="37"/>
  <c r="K670" i="37"/>
  <c r="K303" i="37"/>
  <c r="K551" i="37"/>
  <c r="K327" i="37"/>
  <c r="N327" i="37" s="1"/>
  <c r="K575" i="37"/>
  <c r="K349" i="37"/>
  <c r="N349" i="37" s="1"/>
  <c r="K597" i="37"/>
  <c r="J410" i="37"/>
  <c r="AE410" i="37" s="1"/>
  <c r="J658" i="37"/>
  <c r="K294" i="37"/>
  <c r="K542" i="37"/>
  <c r="K437" i="37"/>
  <c r="N437" i="37" s="1"/>
  <c r="K685" i="37"/>
  <c r="J321" i="37"/>
  <c r="P321" i="37" s="1"/>
  <c r="J569" i="37"/>
  <c r="J343" i="37"/>
  <c r="J591" i="37"/>
  <c r="N591" i="37" s="1"/>
  <c r="Y649" i="37"/>
  <c r="J318" i="37"/>
  <c r="V318" i="37" s="1"/>
  <c r="J566" i="37"/>
  <c r="J347" i="37"/>
  <c r="AE347" i="37" s="1"/>
  <c r="J595" i="37"/>
  <c r="N595" i="37" s="1"/>
  <c r="J382" i="37"/>
  <c r="V382" i="37" s="1"/>
  <c r="J630" i="37"/>
  <c r="X630" i="37" s="1"/>
  <c r="J329" i="37"/>
  <c r="V329" i="37" s="1"/>
  <c r="J577" i="37"/>
  <c r="N577" i="37" s="1"/>
  <c r="J383" i="37"/>
  <c r="S383" i="37" s="1"/>
  <c r="J631" i="37"/>
  <c r="Z631" i="37" s="1"/>
  <c r="J333" i="37"/>
  <c r="U333" i="37" s="1"/>
  <c r="J581" i="37"/>
  <c r="N581" i="37" s="1"/>
  <c r="J487" i="37"/>
  <c r="P487" i="37" s="1"/>
  <c r="J735" i="37"/>
  <c r="N735" i="37" s="1"/>
  <c r="J442" i="37"/>
  <c r="P442" i="37" s="1"/>
  <c r="J690" i="37"/>
  <c r="N690" i="37" s="1"/>
  <c r="J348" i="37"/>
  <c r="R348" i="37" s="1"/>
  <c r="J596" i="37"/>
  <c r="S596" i="37" s="1"/>
  <c r="J495" i="37"/>
  <c r="P495" i="37" s="1"/>
  <c r="J357" i="37"/>
  <c r="P357" i="37" s="1"/>
  <c r="J605" i="37"/>
  <c r="N605" i="37" s="1"/>
  <c r="J415" i="37"/>
  <c r="P415" i="37" s="1"/>
  <c r="J663" i="37"/>
  <c r="N663" i="37" s="1"/>
  <c r="J314" i="37"/>
  <c r="P314" i="37" s="1"/>
  <c r="J562" i="37"/>
  <c r="N562" i="37" s="1"/>
  <c r="J379" i="37"/>
  <c r="AF379" i="37" s="1"/>
  <c r="J627" i="37"/>
  <c r="K410" i="37"/>
  <c r="K658" i="37"/>
  <c r="J417" i="37"/>
  <c r="AG417" i="37" s="1"/>
  <c r="J665" i="37"/>
  <c r="J306" i="37"/>
  <c r="P306" i="37" s="1"/>
  <c r="J554" i="37"/>
  <c r="N554" i="37" s="1"/>
  <c r="K359" i="37"/>
  <c r="K607" i="37"/>
  <c r="K378" i="37"/>
  <c r="N378" i="37" s="1"/>
  <c r="K626" i="37"/>
  <c r="K423" i="37"/>
  <c r="K671" i="37"/>
  <c r="J459" i="37"/>
  <c r="P459" i="37" s="1"/>
  <c r="J707" i="37"/>
  <c r="N707" i="37" s="1"/>
  <c r="K335" i="37"/>
  <c r="K583" i="37"/>
  <c r="J413" i="37"/>
  <c r="P413" i="37" s="1"/>
  <c r="J661" i="37"/>
  <c r="N661" i="37" s="1"/>
  <c r="K311" i="37"/>
  <c r="K559" i="37"/>
  <c r="K340" i="37"/>
  <c r="N340" i="37" s="1"/>
  <c r="K588" i="37"/>
  <c r="J388" i="37"/>
  <c r="AD388" i="37" s="1"/>
  <c r="J636" i="37"/>
  <c r="P636" i="37" s="1"/>
  <c r="J302" i="37"/>
  <c r="P302" i="37" s="1"/>
  <c r="J550" i="37"/>
  <c r="N550" i="37" s="1"/>
  <c r="J494" i="37"/>
  <c r="P494" i="37" s="1"/>
  <c r="J414" i="37"/>
  <c r="J662" i="37"/>
  <c r="J481" i="37"/>
  <c r="P481" i="37" s="1"/>
  <c r="J729" i="37"/>
  <c r="N729" i="37" s="1"/>
  <c r="J507" i="37"/>
  <c r="P507" i="37" s="1"/>
  <c r="J399" i="37"/>
  <c r="U399" i="37" s="1"/>
  <c r="J647" i="37"/>
  <c r="J444" i="37"/>
  <c r="P444" i="37" s="1"/>
  <c r="J692" i="37"/>
  <c r="N692" i="37" s="1"/>
  <c r="J332" i="37"/>
  <c r="P332" i="37" s="1"/>
  <c r="J580" i="37"/>
  <c r="N580" i="37" s="1"/>
  <c r="J354" i="37"/>
  <c r="U354" i="37" s="1"/>
  <c r="J602" i="37"/>
  <c r="Z602" i="37" s="1"/>
  <c r="J396" i="37"/>
  <c r="P396" i="37" s="1"/>
  <c r="J644" i="37"/>
  <c r="N644" i="37" s="1"/>
  <c r="K439" i="37"/>
  <c r="K687" i="37"/>
  <c r="J473" i="37"/>
  <c r="P473" i="37" s="1"/>
  <c r="J721" i="37"/>
  <c r="N721" i="37" s="1"/>
  <c r="K381" i="37"/>
  <c r="K629" i="37"/>
  <c r="J359" i="37"/>
  <c r="P359" i="37" s="1"/>
  <c r="J607" i="37"/>
  <c r="N607" i="37" s="1"/>
  <c r="J360" i="37"/>
  <c r="AB360" i="37" s="1"/>
  <c r="J608" i="37"/>
  <c r="Q608" i="37" s="1"/>
  <c r="J353" i="37"/>
  <c r="P353" i="37" s="1"/>
  <c r="J601" i="37"/>
  <c r="N601" i="37" s="1"/>
  <c r="J337" i="37"/>
  <c r="J585" i="37"/>
  <c r="R585" i="37" s="1"/>
  <c r="J299" i="37"/>
  <c r="J547" i="37"/>
  <c r="N547" i="37" s="1"/>
  <c r="J493" i="37"/>
  <c r="P493" i="37" s="1"/>
  <c r="J308" i="37"/>
  <c r="R308" i="37" s="1"/>
  <c r="J556" i="37"/>
  <c r="N556" i="37" s="1"/>
  <c r="J328" i="37"/>
  <c r="P328" i="37" s="1"/>
  <c r="J576" i="37"/>
  <c r="N576" i="37" s="1"/>
  <c r="J435" i="37"/>
  <c r="AA435" i="37" s="1"/>
  <c r="J683" i="37"/>
  <c r="J295" i="37"/>
  <c r="P295" i="37" s="1"/>
  <c r="J543" i="37"/>
  <c r="N543" i="37" s="1"/>
  <c r="K454" i="37"/>
  <c r="K702" i="37"/>
  <c r="J424" i="37"/>
  <c r="Z424" i="37" s="1"/>
  <c r="J672" i="37"/>
  <c r="N672" i="37" s="1"/>
  <c r="J436" i="37"/>
  <c r="X436" i="37" s="1"/>
  <c r="J684" i="37"/>
  <c r="N684" i="37" s="1"/>
  <c r="J408" i="37"/>
  <c r="J656" i="37"/>
  <c r="J433" i="37"/>
  <c r="J681" i="37"/>
  <c r="N681" i="37" s="1"/>
  <c r="J326" i="37"/>
  <c r="J574" i="37"/>
  <c r="N574" i="37" s="1"/>
  <c r="J371" i="37"/>
  <c r="Z371" i="37" s="1"/>
  <c r="J619" i="37"/>
  <c r="N619" i="37" s="1"/>
  <c r="J497" i="37"/>
  <c r="P497" i="37" s="1"/>
  <c r="J489" i="37"/>
  <c r="P489" i="37" s="1"/>
  <c r="J737" i="37"/>
  <c r="J375" i="37"/>
  <c r="P375" i="37" s="1"/>
  <c r="J623" i="37"/>
  <c r="N623" i="37" s="1"/>
  <c r="J512" i="37"/>
  <c r="P512" i="37" s="1"/>
  <c r="J386" i="37"/>
  <c r="J634" i="37"/>
  <c r="N634" i="37" s="1"/>
  <c r="J509" i="37"/>
  <c r="P509" i="37" s="1"/>
  <c r="J476" i="37"/>
  <c r="P476" i="37" s="1"/>
  <c r="J724" i="37"/>
  <c r="N724" i="37" s="1"/>
  <c r="J351" i="37"/>
  <c r="P351" i="37" s="1"/>
  <c r="J599" i="37"/>
  <c r="N599" i="37" s="1"/>
  <c r="J463" i="37"/>
  <c r="J711" i="37"/>
  <c r="N711" i="37" s="1"/>
  <c r="J327" i="37"/>
  <c r="P327" i="37" s="1"/>
  <c r="J575" i="37"/>
  <c r="N575" i="37" s="1"/>
  <c r="K514" i="37"/>
  <c r="K307" i="37"/>
  <c r="K555" i="37"/>
  <c r="K329" i="37"/>
  <c r="K577" i="37"/>
  <c r="K351" i="37"/>
  <c r="K599" i="37"/>
  <c r="K367" i="37"/>
  <c r="K615" i="37"/>
  <c r="K383" i="37"/>
  <c r="K631" i="37"/>
  <c r="K398" i="37"/>
  <c r="K646" i="37"/>
  <c r="K405" i="37"/>
  <c r="N405" i="37" s="1"/>
  <c r="K653" i="37"/>
  <c r="K412" i="37"/>
  <c r="K660" i="37"/>
  <c r="K431" i="37"/>
  <c r="N431" i="37" s="1"/>
  <c r="K679" i="37"/>
  <c r="K449" i="37"/>
  <c r="K697" i="37"/>
  <c r="K468" i="37"/>
  <c r="N468" i="37" s="1"/>
  <c r="K716" i="37"/>
  <c r="K326" i="37"/>
  <c r="K574" i="37"/>
  <c r="K352" i="37"/>
  <c r="N352" i="37" s="1"/>
  <c r="K600" i="37"/>
  <c r="K384" i="37"/>
  <c r="N384" i="37" s="1"/>
  <c r="K632" i="37"/>
  <c r="K419" i="37"/>
  <c r="N419" i="37" s="1"/>
  <c r="K667" i="37"/>
  <c r="K511" i="37"/>
  <c r="K296" i="37"/>
  <c r="K544" i="37"/>
  <c r="K306" i="37"/>
  <c r="K554" i="37"/>
  <c r="K316" i="37"/>
  <c r="K564" i="37"/>
  <c r="K323" i="37"/>
  <c r="K571" i="37"/>
  <c r="K338" i="37"/>
  <c r="K586" i="37"/>
  <c r="K350" i="37"/>
  <c r="N350" i="37" s="1"/>
  <c r="K598" i="37"/>
  <c r="K366" i="37"/>
  <c r="N366" i="37" s="1"/>
  <c r="K614" i="37"/>
  <c r="K386" i="37"/>
  <c r="K634" i="37"/>
  <c r="K396" i="37"/>
  <c r="K644" i="37"/>
  <c r="K421" i="37"/>
  <c r="N421" i="37" s="1"/>
  <c r="K669" i="37"/>
  <c r="K435" i="37"/>
  <c r="K683" i="37"/>
  <c r="K448" i="37"/>
  <c r="N448" i="37" s="1"/>
  <c r="K696" i="37"/>
  <c r="K466" i="37"/>
  <c r="N466" i="37" s="1"/>
  <c r="K714" i="37"/>
  <c r="K292" i="37"/>
  <c r="N292" i="37" s="1"/>
  <c r="K540" i="37"/>
  <c r="K388" i="37"/>
  <c r="N388" i="37" s="1"/>
  <c r="K636" i="37"/>
  <c r="K441" i="37"/>
  <c r="N441" i="37" s="1"/>
  <c r="K689" i="37"/>
  <c r="K478" i="37"/>
  <c r="K726" i="37"/>
  <c r="K299" i="37"/>
  <c r="N299" i="37" s="1"/>
  <c r="K547" i="37"/>
  <c r="K320" i="37"/>
  <c r="K568" i="37"/>
  <c r="K345" i="37"/>
  <c r="N345" i="37" s="1"/>
  <c r="K593" i="37"/>
  <c r="K361" i="37"/>
  <c r="N361" i="37" s="1"/>
  <c r="K609" i="37"/>
  <c r="J381" i="37"/>
  <c r="P381" i="37" s="1"/>
  <c r="J629" i="37"/>
  <c r="K400" i="37"/>
  <c r="N400" i="37" s="1"/>
  <c r="K648" i="37"/>
  <c r="J425" i="37"/>
  <c r="J673" i="37"/>
  <c r="K442" i="37"/>
  <c r="K690" i="37"/>
  <c r="K456" i="37"/>
  <c r="K704" i="37"/>
  <c r="K470" i="37"/>
  <c r="K718" i="37"/>
  <c r="K336" i="37"/>
  <c r="K584" i="37"/>
  <c r="K356" i="37"/>
  <c r="N356" i="37" s="1"/>
  <c r="K604" i="37"/>
  <c r="K380" i="37"/>
  <c r="K628" i="37"/>
  <c r="K432" i="37"/>
  <c r="N432" i="37" s="1"/>
  <c r="K680" i="37"/>
  <c r="K469" i="37"/>
  <c r="K717" i="37"/>
  <c r="J403" i="37"/>
  <c r="AB403" i="37" s="1"/>
  <c r="J651" i="37"/>
  <c r="N651" i="37" s="1"/>
  <c r="T620" i="37"/>
  <c r="J292" i="37"/>
  <c r="AE292" i="37" s="1"/>
  <c r="J540" i="37"/>
  <c r="N540" i="37" s="1"/>
  <c r="J293" i="37"/>
  <c r="J541" i="37"/>
  <c r="N541" i="37" s="1"/>
  <c r="J402" i="37"/>
  <c r="J650" i="37"/>
  <c r="N650" i="37" s="1"/>
  <c r="J335" i="37"/>
  <c r="U335" i="37" s="1"/>
  <c r="J583" i="37"/>
  <c r="N583" i="37" s="1"/>
  <c r="J405" i="37"/>
  <c r="P405" i="37" s="1"/>
  <c r="J653" i="37"/>
  <c r="N653" i="37" s="1"/>
  <c r="J373" i="37"/>
  <c r="AD373" i="37" s="1"/>
  <c r="J621" i="37"/>
  <c r="S621" i="37" s="1"/>
  <c r="J310" i="37"/>
  <c r="J558" i="37"/>
  <c r="N558" i="37" s="1"/>
  <c r="J508" i="37"/>
  <c r="P508" i="37" s="1"/>
  <c r="J395" i="37"/>
  <c r="AF395" i="37" s="1"/>
  <c r="J643" i="37"/>
  <c r="N643" i="37" s="1"/>
  <c r="J338" i="37"/>
  <c r="AE338" i="37" s="1"/>
  <c r="J586" i="37"/>
  <c r="N586" i="37" s="1"/>
  <c r="J466" i="37"/>
  <c r="P466" i="37" s="1"/>
  <c r="J714" i="37"/>
  <c r="N714" i="37" s="1"/>
  <c r="J406" i="37"/>
  <c r="P406" i="37" s="1"/>
  <c r="J654" i="37"/>
  <c r="N654" i="37" s="1"/>
  <c r="J316" i="37"/>
  <c r="P316" i="37" s="1"/>
  <c r="J564" i="37"/>
  <c r="J323" i="37"/>
  <c r="T323" i="37" s="1"/>
  <c r="J571" i="37"/>
  <c r="N571" i="37" s="1"/>
  <c r="J374" i="37"/>
  <c r="P374" i="37" s="1"/>
  <c r="J622" i="37"/>
  <c r="J491" i="37"/>
  <c r="P491" i="37" s="1"/>
  <c r="J739" i="37"/>
  <c r="N739" i="37" s="1"/>
  <c r="J311" i="37"/>
  <c r="P311" i="37" s="1"/>
  <c r="J559" i="37"/>
  <c r="N559" i="37" s="1"/>
  <c r="J394" i="37"/>
  <c r="P394" i="37" s="1"/>
  <c r="J642" i="37"/>
  <c r="N642" i="37" s="1"/>
  <c r="J477" i="37"/>
  <c r="P477" i="37" s="1"/>
  <c r="J725" i="37"/>
  <c r="N725" i="37" s="1"/>
  <c r="J432" i="37"/>
  <c r="AG432" i="37" s="1"/>
  <c r="J680" i="37"/>
  <c r="N680" i="37" s="1"/>
  <c r="Y553" i="37"/>
  <c r="Z553" i="37"/>
  <c r="R553" i="37"/>
  <c r="T553" i="37"/>
  <c r="T428" i="37"/>
  <c r="X355" i="37" l="1"/>
  <c r="AA502" i="37"/>
  <c r="V502" i="37"/>
  <c r="P502" i="37"/>
  <c r="AF305" i="37"/>
  <c r="V467" i="37"/>
  <c r="AA440" i="37"/>
  <c r="AB298" i="37"/>
  <c r="Z400" i="37"/>
  <c r="P762" i="37"/>
  <c r="V461" i="37"/>
  <c r="T762" i="37"/>
  <c r="AB334" i="37"/>
  <c r="AF428" i="37"/>
  <c r="AH387" i="37"/>
  <c r="V520" i="37"/>
  <c r="X641" i="37"/>
  <c r="AA305" i="37"/>
  <c r="AF447" i="37"/>
  <c r="AE305" i="37"/>
  <c r="S305" i="37"/>
  <c r="AF437" i="37"/>
  <c r="Y305" i="37"/>
  <c r="AG437" i="37"/>
  <c r="R731" i="37"/>
  <c r="Y340" i="37"/>
  <c r="T437" i="37"/>
  <c r="Z447" i="37"/>
  <c r="U437" i="37"/>
  <c r="P731" i="37"/>
  <c r="V731" i="37" s="1"/>
  <c r="S731" i="37"/>
  <c r="T403" i="37"/>
  <c r="AD305" i="37"/>
  <c r="AD292" i="37"/>
  <c r="U393" i="37"/>
  <c r="X298" i="37"/>
  <c r="X400" i="37"/>
  <c r="AF448" i="37"/>
  <c r="AE362" i="37"/>
  <c r="V652" i="37"/>
  <c r="R292" i="37"/>
  <c r="S297" i="37"/>
  <c r="AE400" i="37"/>
  <c r="Y398" i="37"/>
  <c r="R366" i="37"/>
  <c r="AE330" i="37"/>
  <c r="AB305" i="37"/>
  <c r="P305" i="37"/>
  <c r="AH405" i="37"/>
  <c r="AD330" i="37"/>
  <c r="AH298" i="37"/>
  <c r="V393" i="37"/>
  <c r="X377" i="37"/>
  <c r="T330" i="37"/>
  <c r="R305" i="37"/>
  <c r="AH305" i="37"/>
  <c r="X305" i="37"/>
  <c r="U305" i="37"/>
  <c r="T305" i="37"/>
  <c r="V305" i="37"/>
  <c r="AG305" i="37"/>
  <c r="S774" i="37"/>
  <c r="S437" i="37"/>
  <c r="Z306" i="37"/>
  <c r="Y447" i="37"/>
  <c r="AB520" i="37"/>
  <c r="AH439" i="37"/>
  <c r="AE437" i="37"/>
  <c r="AD437" i="37"/>
  <c r="R520" i="37"/>
  <c r="X437" i="37"/>
  <c r="Z437" i="37"/>
  <c r="Z346" i="37"/>
  <c r="AF439" i="37"/>
  <c r="AH437" i="37"/>
  <c r="AB437" i="37"/>
  <c r="AE351" i="37"/>
  <c r="V613" i="37"/>
  <c r="T760" i="37"/>
  <c r="R380" i="37"/>
  <c r="R760" i="37"/>
  <c r="Q760" i="37"/>
  <c r="W760" i="37" s="1"/>
  <c r="R331" i="37"/>
  <c r="S760" i="37"/>
  <c r="T336" i="37"/>
  <c r="S292" i="37"/>
  <c r="X405" i="37"/>
  <c r="S417" i="37"/>
  <c r="X578" i="37"/>
  <c r="S405" i="37"/>
  <c r="AD325" i="37"/>
  <c r="AA292" i="37"/>
  <c r="AA387" i="37"/>
  <c r="Z445" i="37"/>
  <c r="AH292" i="37"/>
  <c r="U292" i="37"/>
  <c r="R405" i="37"/>
  <c r="R403" i="37"/>
  <c r="T410" i="37"/>
  <c r="X387" i="37"/>
  <c r="V325" i="37"/>
  <c r="AF292" i="37"/>
  <c r="V292" i="37"/>
  <c r="AG405" i="37"/>
  <c r="AH383" i="37"/>
  <c r="Z360" i="37"/>
  <c r="AB368" i="37"/>
  <c r="AH353" i="37"/>
  <c r="AB414" i="37"/>
  <c r="R414" i="37"/>
  <c r="AE416" i="37"/>
  <c r="AB416" i="37"/>
  <c r="AA315" i="37"/>
  <c r="AD315" i="37"/>
  <c r="S315" i="37"/>
  <c r="AG324" i="37"/>
  <c r="Z324" i="37"/>
  <c r="X434" i="37"/>
  <c r="Z434" i="37"/>
  <c r="T409" i="37"/>
  <c r="R409" i="37"/>
  <c r="Z422" i="37"/>
  <c r="T422" i="37"/>
  <c r="AD331" i="37"/>
  <c r="AA331" i="37"/>
  <c r="Y365" i="37"/>
  <c r="R365" i="37"/>
  <c r="AG365" i="37"/>
  <c r="P423" i="37"/>
  <c r="X423" i="37"/>
  <c r="Q755" i="37"/>
  <c r="S755" i="37"/>
  <c r="P755" i="37"/>
  <c r="V755" i="37" s="1"/>
  <c r="AG505" i="37"/>
  <c r="AB505" i="37"/>
  <c r="S336" i="37"/>
  <c r="AH312" i="37"/>
  <c r="V434" i="37"/>
  <c r="AG409" i="37"/>
  <c r="AB449" i="37"/>
  <c r="AG331" i="37"/>
  <c r="U403" i="37"/>
  <c r="AD403" i="37"/>
  <c r="U337" i="37"/>
  <c r="Z337" i="37"/>
  <c r="AA417" i="37"/>
  <c r="AF417" i="37"/>
  <c r="U417" i="37"/>
  <c r="T379" i="37"/>
  <c r="Z379" i="37"/>
  <c r="Z410" i="37"/>
  <c r="AG410" i="37"/>
  <c r="U410" i="37"/>
  <c r="Y387" i="37"/>
  <c r="R387" i="37"/>
  <c r="T387" i="37"/>
  <c r="Z385" i="37"/>
  <c r="V385" i="37"/>
  <c r="AA350" i="37"/>
  <c r="AB350" i="37"/>
  <c r="V349" i="37"/>
  <c r="Z349" i="37"/>
  <c r="AH345" i="37"/>
  <c r="S345" i="37"/>
  <c r="Z345" i="37"/>
  <c r="V370" i="37"/>
  <c r="S370" i="37"/>
  <c r="Y370" i="37"/>
  <c r="T370" i="37"/>
  <c r="V426" i="37"/>
  <c r="X426" i="37"/>
  <c r="U426" i="37"/>
  <c r="AB426" i="37"/>
  <c r="AB304" i="37"/>
  <c r="AH304" i="37"/>
  <c r="P612" i="37"/>
  <c r="Z612" i="37"/>
  <c r="V648" i="37"/>
  <c r="X648" i="37"/>
  <c r="P467" i="37"/>
  <c r="AB467" i="37"/>
  <c r="Y704" i="37"/>
  <c r="T704" i="37"/>
  <c r="U418" i="37"/>
  <c r="AA418" i="37"/>
  <c r="Z418" i="37"/>
  <c r="Z440" i="37"/>
  <c r="V440" i="37"/>
  <c r="AB440" i="37"/>
  <c r="T440" i="37"/>
  <c r="S440" i="37"/>
  <c r="AE440" i="37"/>
  <c r="AH428" i="37"/>
  <c r="AB428" i="37"/>
  <c r="AA428" i="37"/>
  <c r="AE428" i="37"/>
  <c r="N747" i="37"/>
  <c r="Q747" i="37" s="1"/>
  <c r="Z747" i="37"/>
  <c r="AH511" i="37"/>
  <c r="T744" i="37"/>
  <c r="S744" i="37"/>
  <c r="Q744" i="37"/>
  <c r="AG403" i="37"/>
  <c r="AB423" i="37"/>
  <c r="AB410" i="37"/>
  <c r="AB324" i="37"/>
  <c r="R304" i="37"/>
  <c r="AF410" i="37"/>
  <c r="AB387" i="37"/>
  <c r="R417" i="37"/>
  <c r="AD434" i="37"/>
  <c r="AB379" i="37"/>
  <c r="Y422" i="37"/>
  <c r="U440" i="37"/>
  <c r="V449" i="37"/>
  <c r="V428" i="37"/>
  <c r="U428" i="37"/>
  <c r="AF385" i="37"/>
  <c r="V345" i="37"/>
  <c r="Y445" i="37"/>
  <c r="S418" i="37"/>
  <c r="AH451" i="37"/>
  <c r="T755" i="37"/>
  <c r="AA403" i="37"/>
  <c r="AH445" i="37"/>
  <c r="AD427" i="37"/>
  <c r="U349" i="37"/>
  <c r="V315" i="37"/>
  <c r="V410" i="37"/>
  <c r="R410" i="37"/>
  <c r="AD387" i="37"/>
  <c r="AB313" i="37"/>
  <c r="S434" i="37"/>
  <c r="S409" i="37"/>
  <c r="AF422" i="37"/>
  <c r="AD440" i="37"/>
  <c r="AG428" i="37"/>
  <c r="AD423" i="37"/>
  <c r="AG385" i="37"/>
  <c r="AA370" i="37"/>
  <c r="AA441" i="37"/>
  <c r="Y304" i="37"/>
  <c r="X418" i="37"/>
  <c r="AF339" i="37"/>
  <c r="V641" i="37"/>
  <c r="R624" i="37"/>
  <c r="Z292" i="37"/>
  <c r="Y292" i="37"/>
  <c r="AF405" i="37"/>
  <c r="AA405" i="37"/>
  <c r="AH454" i="37"/>
  <c r="S298" i="37"/>
  <c r="AF400" i="37"/>
  <c r="Y348" i="37"/>
  <c r="AE398" i="37"/>
  <c r="AG458" i="37"/>
  <c r="Y376" i="37"/>
  <c r="Q731" i="37"/>
  <c r="S747" i="37"/>
  <c r="AH505" i="37"/>
  <c r="AA505" i="37"/>
  <c r="U375" i="37"/>
  <c r="X333" i="37"/>
  <c r="S414" i="37"/>
  <c r="Q774" i="37"/>
  <c r="Y747" i="37"/>
  <c r="R741" i="37"/>
  <c r="P744" i="37"/>
  <c r="V744" i="37" s="1"/>
  <c r="S741" i="37"/>
  <c r="R744" i="37"/>
  <c r="V505" i="37"/>
  <c r="P505" i="37"/>
  <c r="U505" i="37"/>
  <c r="U442" i="37"/>
  <c r="AG292" i="37"/>
  <c r="AB292" i="37"/>
  <c r="X292" i="37"/>
  <c r="V405" i="37"/>
  <c r="Y405" i="37"/>
  <c r="AD405" i="37"/>
  <c r="AH403" i="37"/>
  <c r="AE365" i="37"/>
  <c r="U350" i="37"/>
  <c r="AF319" i="37"/>
  <c r="X410" i="37"/>
  <c r="AH410" i="37"/>
  <c r="U387" i="37"/>
  <c r="AF387" i="37"/>
  <c r="AE417" i="37"/>
  <c r="Y417" i="37"/>
  <c r="AB434" i="37"/>
  <c r="AE434" i="37"/>
  <c r="R379" i="37"/>
  <c r="Z409" i="37"/>
  <c r="AG422" i="37"/>
  <c r="AB340" i="37"/>
  <c r="AH449" i="37"/>
  <c r="T442" i="37"/>
  <c r="Y331" i="37"/>
  <c r="Z365" i="37"/>
  <c r="AF324" i="37"/>
  <c r="AG388" i="37"/>
  <c r="AB385" i="37"/>
  <c r="T350" i="37"/>
  <c r="AA325" i="37"/>
  <c r="Z426" i="37"/>
  <c r="U304" i="37"/>
  <c r="AG423" i="37"/>
  <c r="X345" i="37"/>
  <c r="AF445" i="37"/>
  <c r="R619" i="37"/>
  <c r="T774" i="37"/>
  <c r="T747" i="37"/>
  <c r="P774" i="37"/>
  <c r="V774" i="37" s="1"/>
  <c r="P741" i="37"/>
  <c r="V741" i="37" s="1"/>
  <c r="AB382" i="37"/>
  <c r="Z382" i="37"/>
  <c r="X341" i="37"/>
  <c r="Y341" i="37"/>
  <c r="AG356" i="37"/>
  <c r="S356" i="37"/>
  <c r="T356" i="37"/>
  <c r="V356" i="37"/>
  <c r="X364" i="37"/>
  <c r="AA364" i="37"/>
  <c r="R364" i="37"/>
  <c r="AB364" i="37"/>
  <c r="Z364" i="37"/>
  <c r="AF364" i="37"/>
  <c r="AB455" i="37"/>
  <c r="AG455" i="37"/>
  <c r="U455" i="37"/>
  <c r="U355" i="37"/>
  <c r="AF355" i="37"/>
  <c r="AA355" i="37"/>
  <c r="V355" i="37"/>
  <c r="R756" i="37"/>
  <c r="S756" i="37"/>
  <c r="R769" i="37"/>
  <c r="Q769" i="37"/>
  <c r="T769" i="37"/>
  <c r="AE392" i="37"/>
  <c r="R383" i="37"/>
  <c r="U309" i="37"/>
  <c r="V454" i="37"/>
  <c r="V298" i="37"/>
  <c r="V400" i="37"/>
  <c r="X398" i="37"/>
  <c r="T383" i="37"/>
  <c r="AF382" i="37"/>
  <c r="AG355" i="37"/>
  <c r="V330" i="37"/>
  <c r="S366" i="37"/>
  <c r="AF393" i="37"/>
  <c r="T362" i="37"/>
  <c r="AA377" i="37"/>
  <c r="AG330" i="37"/>
  <c r="S769" i="37"/>
  <c r="R758" i="37"/>
  <c r="Q758" i="37"/>
  <c r="P758" i="37"/>
  <c r="V758" i="37" s="1"/>
  <c r="P757" i="37"/>
  <c r="V757" i="37" s="1"/>
  <c r="S757" i="37"/>
  <c r="R757" i="37"/>
  <c r="Y403" i="37"/>
  <c r="S403" i="37"/>
  <c r="Z376" i="37"/>
  <c r="R341" i="37"/>
  <c r="AB309" i="37"/>
  <c r="AH318" i="37"/>
  <c r="Y410" i="37"/>
  <c r="S410" i="37"/>
  <c r="AA410" i="37"/>
  <c r="U454" i="37"/>
  <c r="AE387" i="37"/>
  <c r="S387" i="37"/>
  <c r="V387" i="37"/>
  <c r="AE298" i="37"/>
  <c r="Z298" i="37"/>
  <c r="U298" i="37"/>
  <c r="AH417" i="37"/>
  <c r="V417" i="37"/>
  <c r="U400" i="37"/>
  <c r="T400" i="37"/>
  <c r="AG400" i="37"/>
  <c r="Z348" i="37"/>
  <c r="AF398" i="37"/>
  <c r="AA398" i="37"/>
  <c r="AH458" i="37"/>
  <c r="AA383" i="37"/>
  <c r="R382" i="37"/>
  <c r="Y355" i="37"/>
  <c r="V341" i="37"/>
  <c r="S304" i="37"/>
  <c r="AH426" i="37"/>
  <c r="AH325" i="37"/>
  <c r="AE364" i="37"/>
  <c r="AH355" i="37"/>
  <c r="AD295" i="37"/>
  <c r="AF356" i="37"/>
  <c r="Y754" i="37"/>
  <c r="Q757" i="37"/>
  <c r="P520" i="37"/>
  <c r="Y520" i="37"/>
  <c r="X520" i="37"/>
  <c r="U520" i="37"/>
  <c r="T520" i="37"/>
  <c r="AA520" i="37"/>
  <c r="S520" i="37"/>
  <c r="S758" i="37"/>
  <c r="P326" i="37"/>
  <c r="AF326" i="37"/>
  <c r="P408" i="37"/>
  <c r="AA408" i="37"/>
  <c r="AB408" i="37"/>
  <c r="AE408" i="37"/>
  <c r="P424" i="37"/>
  <c r="AA424" i="37"/>
  <c r="AG318" i="37"/>
  <c r="T318" i="37"/>
  <c r="S318" i="37"/>
  <c r="AE446" i="37"/>
  <c r="AF446" i="37"/>
  <c r="U446" i="37"/>
  <c r="AG377" i="37"/>
  <c r="AD377" i="37"/>
  <c r="T377" i="37"/>
  <c r="AB377" i="37"/>
  <c r="AF377" i="37"/>
  <c r="U377" i="37"/>
  <c r="AH377" i="37"/>
  <c r="Y377" i="37"/>
  <c r="Z320" i="37"/>
  <c r="U320" i="37"/>
  <c r="S369" i="37"/>
  <c r="AD369" i="37"/>
  <c r="Y369" i="37"/>
  <c r="AG369" i="37"/>
  <c r="AF369" i="37"/>
  <c r="AA369" i="37"/>
  <c r="V294" i="37"/>
  <c r="S294" i="37"/>
  <c r="Y294" i="37"/>
  <c r="AA294" i="37"/>
  <c r="AD438" i="37"/>
  <c r="S438" i="37"/>
  <c r="AB438" i="37"/>
  <c r="R438" i="37"/>
  <c r="AE438" i="37"/>
  <c r="AA438" i="37"/>
  <c r="T392" i="37"/>
  <c r="AA392" i="37"/>
  <c r="AH392" i="37"/>
  <c r="AB392" i="37"/>
  <c r="U376" i="37"/>
  <c r="X376" i="37"/>
  <c r="Z398" i="37"/>
  <c r="AG398" i="37"/>
  <c r="T398" i="37"/>
  <c r="U398" i="37"/>
  <c r="V448" i="37"/>
  <c r="S448" i="37"/>
  <c r="N740" i="37"/>
  <c r="P740" i="37" s="1"/>
  <c r="X740" i="37"/>
  <c r="U366" i="37"/>
  <c r="AA366" i="37"/>
  <c r="AB366" i="37"/>
  <c r="AD366" i="37"/>
  <c r="Z366" i="37"/>
  <c r="Y393" i="37"/>
  <c r="AD393" i="37"/>
  <c r="R393" i="37"/>
  <c r="AE393" i="37"/>
  <c r="AG393" i="37"/>
  <c r="AB393" i="37"/>
  <c r="U362" i="37"/>
  <c r="AA362" i="37"/>
  <c r="AH362" i="37"/>
  <c r="R362" i="37"/>
  <c r="S362" i="37"/>
  <c r="AB362" i="37"/>
  <c r="X362" i="37"/>
  <c r="AF297" i="37"/>
  <c r="Z297" i="37"/>
  <c r="U297" i="37"/>
  <c r="V297" i="37"/>
  <c r="AB297" i="37"/>
  <c r="X297" i="37"/>
  <c r="R297" i="37"/>
  <c r="Q588" i="37"/>
  <c r="S588" i="37"/>
  <c r="P761" i="37"/>
  <c r="V761" i="37" s="1"/>
  <c r="Q761" i="37"/>
  <c r="T761" i="37"/>
  <c r="R761" i="37"/>
  <c r="V398" i="37"/>
  <c r="Z446" i="37"/>
  <c r="AE356" i="37"/>
  <c r="Z341" i="37"/>
  <c r="Y366" i="37"/>
  <c r="AG298" i="37"/>
  <c r="AA298" i="37"/>
  <c r="R298" i="37"/>
  <c r="AH400" i="37"/>
  <c r="AA400" i="37"/>
  <c r="AB348" i="37"/>
  <c r="AH398" i="37"/>
  <c r="U458" i="37"/>
  <c r="AF383" i="37"/>
  <c r="AG448" i="37"/>
  <c r="T448" i="37"/>
  <c r="AE318" i="37"/>
  <c r="R355" i="37"/>
  <c r="Y330" i="37"/>
  <c r="AH364" i="37"/>
  <c r="AH369" i="37"/>
  <c r="AG364" i="37"/>
  <c r="AG438" i="37"/>
  <c r="AA341" i="37"/>
  <c r="T446" i="37"/>
  <c r="Z392" i="37"/>
  <c r="AG295" i="37"/>
  <c r="AE355" i="37"/>
  <c r="X330" i="37"/>
  <c r="V320" i="37"/>
  <c r="AB454" i="37"/>
  <c r="AD298" i="37"/>
  <c r="Y298" i="37"/>
  <c r="Y400" i="37"/>
  <c r="S400" i="37"/>
  <c r="R400" i="37"/>
  <c r="V348" i="37"/>
  <c r="R398" i="37"/>
  <c r="S398" i="37"/>
  <c r="V458" i="37"/>
  <c r="Y383" i="37"/>
  <c r="Y448" i="37"/>
  <c r="T382" i="37"/>
  <c r="AF318" i="37"/>
  <c r="Z355" i="37"/>
  <c r="X438" i="37"/>
  <c r="S341" i="37"/>
  <c r="X366" i="37"/>
  <c r="T366" i="37"/>
  <c r="Z393" i="37"/>
  <c r="S393" i="37"/>
  <c r="Z330" i="37"/>
  <c r="Y364" i="37"/>
  <c r="AH455" i="37"/>
  <c r="Y438" i="37"/>
  <c r="AD356" i="37"/>
  <c r="X294" i="37"/>
  <c r="T376" i="37"/>
  <c r="V337" i="37"/>
  <c r="AE337" i="37"/>
  <c r="Y337" i="37"/>
  <c r="AD337" i="37"/>
  <c r="R360" i="37"/>
  <c r="AD360" i="37"/>
  <c r="AD354" i="37"/>
  <c r="AG354" i="37"/>
  <c r="S354" i="37"/>
  <c r="X388" i="37"/>
  <c r="R388" i="37"/>
  <c r="AE379" i="37"/>
  <c r="X379" i="37"/>
  <c r="R343" i="37"/>
  <c r="AG343" i="37"/>
  <c r="AE343" i="37"/>
  <c r="AB343" i="37"/>
  <c r="U343" i="37"/>
  <c r="T343" i="37"/>
  <c r="AA343" i="37"/>
  <c r="P387" i="37"/>
  <c r="Z387" i="37"/>
  <c r="U385" i="37"/>
  <c r="AD385" i="37"/>
  <c r="AE385" i="37"/>
  <c r="Y385" i="37"/>
  <c r="S385" i="37"/>
  <c r="R385" i="37"/>
  <c r="X385" i="37"/>
  <c r="AH385" i="37"/>
  <c r="Z350" i="37"/>
  <c r="V350" i="37"/>
  <c r="R350" i="37"/>
  <c r="S350" i="37"/>
  <c r="Y350" i="37"/>
  <c r="T349" i="37"/>
  <c r="AH349" i="37"/>
  <c r="AF349" i="37"/>
  <c r="AB349" i="37"/>
  <c r="R345" i="37"/>
  <c r="AB345" i="37"/>
  <c r="AF345" i="37"/>
  <c r="Y345" i="37"/>
  <c r="AA345" i="37"/>
  <c r="AD345" i="37"/>
  <c r="AG345" i="37"/>
  <c r="T345" i="37"/>
  <c r="AD370" i="37"/>
  <c r="R370" i="37"/>
  <c r="X370" i="37"/>
  <c r="U370" i="37"/>
  <c r="Z370" i="37"/>
  <c r="AB370" i="37"/>
  <c r="AE370" i="37"/>
  <c r="AG370" i="37"/>
  <c r="R325" i="37"/>
  <c r="AF325" i="37"/>
  <c r="AB325" i="37"/>
  <c r="AG325" i="37"/>
  <c r="T325" i="37"/>
  <c r="U325" i="37"/>
  <c r="X325" i="37"/>
  <c r="S325" i="37"/>
  <c r="AE325" i="37"/>
  <c r="AD426" i="37"/>
  <c r="R426" i="37"/>
  <c r="AF426" i="37"/>
  <c r="T426" i="37"/>
  <c r="AG426" i="37"/>
  <c r="AA426" i="37"/>
  <c r="Y426" i="37"/>
  <c r="V304" i="37"/>
  <c r="T304" i="37"/>
  <c r="AG304" i="37"/>
  <c r="X304" i="37"/>
  <c r="AD304" i="37"/>
  <c r="AF304" i="37"/>
  <c r="Z304" i="37"/>
  <c r="AE304" i="37"/>
  <c r="AG445" i="37"/>
  <c r="S445" i="37"/>
  <c r="T445" i="37"/>
  <c r="AE445" i="37"/>
  <c r="V445" i="37"/>
  <c r="U445" i="37"/>
  <c r="N625" i="37"/>
  <c r="X625" i="37"/>
  <c r="V625" i="37"/>
  <c r="W625" i="37"/>
  <c r="N604" i="37"/>
  <c r="Z604" i="37"/>
  <c r="V604" i="37"/>
  <c r="Q604" i="37"/>
  <c r="N612" i="37"/>
  <c r="X612" i="37"/>
  <c r="Q612" i="37"/>
  <c r="S612" i="37"/>
  <c r="N617" i="37"/>
  <c r="X617" i="37"/>
  <c r="N624" i="37"/>
  <c r="S624" i="37"/>
  <c r="V624" i="37"/>
  <c r="P624" i="37"/>
  <c r="N648" i="37"/>
  <c r="Z648" i="37"/>
  <c r="S648" i="37"/>
  <c r="N646" i="37"/>
  <c r="Z646" i="37"/>
  <c r="N603" i="37"/>
  <c r="V603" i="37"/>
  <c r="Q603" i="37"/>
  <c r="Z603" i="37"/>
  <c r="R603" i="37"/>
  <c r="AG334" i="37"/>
  <c r="AE334" i="37"/>
  <c r="AB451" i="37"/>
  <c r="U451" i="37"/>
  <c r="X614" i="37"/>
  <c r="Z614" i="37"/>
  <c r="Z610" i="37"/>
  <c r="W610" i="37"/>
  <c r="T545" i="37"/>
  <c r="Z545" i="37"/>
  <c r="N570" i="37"/>
  <c r="W570" i="37"/>
  <c r="X570" i="37"/>
  <c r="N590" i="37"/>
  <c r="Q590" i="37"/>
  <c r="P590" i="37"/>
  <c r="V590" i="37" s="1"/>
  <c r="S590" i="37"/>
  <c r="P418" i="37"/>
  <c r="AB418" i="37"/>
  <c r="Y418" i="37"/>
  <c r="R418" i="37"/>
  <c r="P461" i="37"/>
  <c r="AB461" i="37"/>
  <c r="Y440" i="37"/>
  <c r="R440" i="37"/>
  <c r="AG440" i="37"/>
  <c r="X440" i="37"/>
  <c r="Y428" i="37"/>
  <c r="R428" i="37"/>
  <c r="AD428" i="37"/>
  <c r="S428" i="37"/>
  <c r="R339" i="37"/>
  <c r="AE339" i="37"/>
  <c r="AB339" i="37"/>
  <c r="T339" i="37"/>
  <c r="P358" i="37"/>
  <c r="AH358" i="37"/>
  <c r="V358" i="37"/>
  <c r="AB358" i="37"/>
  <c r="P457" i="37"/>
  <c r="AG457" i="37"/>
  <c r="V419" i="37"/>
  <c r="AB419" i="37"/>
  <c r="P363" i="37"/>
  <c r="AE363" i="37"/>
  <c r="R368" i="37"/>
  <c r="P436" i="37"/>
  <c r="Y436" i="37"/>
  <c r="AG329" i="37"/>
  <c r="AB329" i="37"/>
  <c r="AB347" i="37"/>
  <c r="U347" i="37"/>
  <c r="T412" i="37"/>
  <c r="Z412" i="37"/>
  <c r="Y430" i="37"/>
  <c r="AD430" i="37"/>
  <c r="AB380" i="37"/>
  <c r="U380" i="37"/>
  <c r="X427" i="37"/>
  <c r="Z427" i="37"/>
  <c r="P441" i="37"/>
  <c r="V441" i="37"/>
  <c r="Y441" i="37"/>
  <c r="P399" i="37"/>
  <c r="S399" i="37"/>
  <c r="AA352" i="37"/>
  <c r="AH352" i="37"/>
  <c r="T367" i="37"/>
  <c r="AE367" i="37"/>
  <c r="AH344" i="37"/>
  <c r="AE344" i="37"/>
  <c r="P307" i="37"/>
  <c r="Z307" i="37"/>
  <c r="U457" i="37"/>
  <c r="V306" i="37"/>
  <c r="AG303" i="37"/>
  <c r="U346" i="37"/>
  <c r="AH459" i="37"/>
  <c r="V307" i="37"/>
  <c r="AF386" i="37"/>
  <c r="V386" i="37"/>
  <c r="U371" i="37"/>
  <c r="AG371" i="37"/>
  <c r="P433" i="37"/>
  <c r="AD433" i="37"/>
  <c r="P435" i="37"/>
  <c r="AF435" i="37"/>
  <c r="S353" i="37"/>
  <c r="V340" i="37"/>
  <c r="V437" i="37"/>
  <c r="AA437" i="37"/>
  <c r="S422" i="37"/>
  <c r="T340" i="37"/>
  <c r="AF442" i="37"/>
  <c r="AG333" i="37"/>
  <c r="X331" i="37"/>
  <c r="AF329" i="37"/>
  <c r="T447" i="37"/>
  <c r="Y401" i="37"/>
  <c r="AE412" i="37"/>
  <c r="AD368" i="37"/>
  <c r="AF381" i="37"/>
  <c r="AA367" i="37"/>
  <c r="AA303" i="37"/>
  <c r="X346" i="37"/>
  <c r="S441" i="37"/>
  <c r="U423" i="37"/>
  <c r="Z336" i="37"/>
  <c r="R386" i="37"/>
  <c r="V326" i="37"/>
  <c r="AG436" i="37"/>
  <c r="X308" i="37"/>
  <c r="AF353" i="37"/>
  <c r="U359" i="37"/>
  <c r="AG302" i="37"/>
  <c r="P752" i="37"/>
  <c r="V752" i="37" s="1"/>
  <c r="T752" i="37"/>
  <c r="R752" i="37"/>
  <c r="P425" i="37"/>
  <c r="AH425" i="37"/>
  <c r="AE390" i="37"/>
  <c r="V390" i="37"/>
  <c r="AG390" i="37"/>
  <c r="AA368" i="37"/>
  <c r="AG425" i="37"/>
  <c r="S344" i="37"/>
  <c r="AF351" i="37"/>
  <c r="S333" i="37"/>
  <c r="AF347" i="37"/>
  <c r="AB344" i="37"/>
  <c r="V308" i="37"/>
  <c r="X381" i="37"/>
  <c r="R390" i="37"/>
  <c r="R346" i="37"/>
  <c r="AD419" i="37"/>
  <c r="V368" i="37"/>
  <c r="Y363" i="37"/>
  <c r="AE419" i="37"/>
  <c r="S396" i="37"/>
  <c r="AG375" i="37"/>
  <c r="U329" i="37"/>
  <c r="Y327" i="37"/>
  <c r="Y375" i="37"/>
  <c r="S433" i="37"/>
  <c r="AB396" i="37"/>
  <c r="U302" i="37"/>
  <c r="AH347" i="37"/>
  <c r="AB383" i="37"/>
  <c r="X383" i="37"/>
  <c r="N592" i="37"/>
  <c r="W592" i="37"/>
  <c r="P446" i="37"/>
  <c r="AH446" i="37"/>
  <c r="Z377" i="37"/>
  <c r="S377" i="37"/>
  <c r="R377" i="37"/>
  <c r="AB341" i="37"/>
  <c r="U341" i="37"/>
  <c r="P356" i="37"/>
  <c r="AA356" i="37"/>
  <c r="P320" i="37"/>
  <c r="AG320" i="37"/>
  <c r="AH320" i="37"/>
  <c r="AF320" i="37"/>
  <c r="T364" i="37"/>
  <c r="S364" i="37"/>
  <c r="U364" i="37"/>
  <c r="P330" i="37"/>
  <c r="AF330" i="37"/>
  <c r="U330" i="37"/>
  <c r="S330" i="37"/>
  <c r="P369" i="37"/>
  <c r="V369" i="37"/>
  <c r="P294" i="37"/>
  <c r="T294" i="37"/>
  <c r="Z294" i="37"/>
  <c r="P438" i="37"/>
  <c r="T438" i="37"/>
  <c r="V438" i="37"/>
  <c r="AF438" i="37"/>
  <c r="Z438" i="37"/>
  <c r="U438" i="37"/>
  <c r="P392" i="37"/>
  <c r="Y392" i="37"/>
  <c r="AG392" i="37"/>
  <c r="AG376" i="37"/>
  <c r="AH376" i="37"/>
  <c r="AD376" i="37"/>
  <c r="AH309" i="37"/>
  <c r="V309" i="37"/>
  <c r="P458" i="37"/>
  <c r="AA458" i="37"/>
  <c r="AE448" i="37"/>
  <c r="AA448" i="37"/>
  <c r="Z448" i="37"/>
  <c r="AH448" i="37"/>
  <c r="T355" i="37"/>
  <c r="S355" i="37"/>
  <c r="AG366" i="37"/>
  <c r="AF366" i="37"/>
  <c r="V366" i="37"/>
  <c r="P393" i="37"/>
  <c r="AH393" i="37"/>
  <c r="X393" i="37"/>
  <c r="T393" i="37"/>
  <c r="AG362" i="37"/>
  <c r="Z362" i="37"/>
  <c r="V362" i="37"/>
  <c r="Y362" i="37"/>
  <c r="P297" i="37"/>
  <c r="AG297" i="37"/>
  <c r="Y297" i="37"/>
  <c r="AH297" i="37"/>
  <c r="P300" i="37"/>
  <c r="U300" i="37"/>
  <c r="N626" i="37"/>
  <c r="T626" i="37" s="1"/>
  <c r="N765" i="37"/>
  <c r="R765" i="37" s="1"/>
  <c r="Z368" i="37"/>
  <c r="Y381" i="37"/>
  <c r="Y353" i="37"/>
  <c r="X344" i="37"/>
  <c r="AB306" i="37"/>
  <c r="U306" i="37"/>
  <c r="AF375" i="37"/>
  <c r="R344" i="37"/>
  <c r="T303" i="37"/>
  <c r="AD303" i="37"/>
  <c r="AA425" i="37"/>
  <c r="X425" i="37"/>
  <c r="AE381" i="37"/>
  <c r="AB352" i="37"/>
  <c r="V352" i="37"/>
  <c r="AF367" i="37"/>
  <c r="Y367" i="37"/>
  <c r="Z367" i="37"/>
  <c r="AF303" i="37"/>
  <c r="Z303" i="37"/>
  <c r="Z390" i="37"/>
  <c r="U390" i="37"/>
  <c r="T390" i="37"/>
  <c r="AA344" i="37"/>
  <c r="AF344" i="37"/>
  <c r="AB457" i="37"/>
  <c r="AD346" i="37"/>
  <c r="V346" i="37"/>
  <c r="T346" i="37"/>
  <c r="U307" i="37"/>
  <c r="Z419" i="37"/>
  <c r="R419" i="37"/>
  <c r="AH419" i="37"/>
  <c r="AE368" i="37"/>
  <c r="T368" i="37"/>
  <c r="AH363" i="37"/>
  <c r="AD363" i="37"/>
  <c r="X363" i="37"/>
  <c r="AB459" i="37"/>
  <c r="AB307" i="37"/>
  <c r="AD327" i="37"/>
  <c r="AG327" i="37"/>
  <c r="AH351" i="37"/>
  <c r="T375" i="37"/>
  <c r="AA353" i="37"/>
  <c r="AH359" i="37"/>
  <c r="V359" i="37"/>
  <c r="AA396" i="37"/>
  <c r="Z399" i="37"/>
  <c r="AD399" i="37"/>
  <c r="Z302" i="37"/>
  <c r="Y302" i="37"/>
  <c r="T404" i="37"/>
  <c r="W584" i="37"/>
  <c r="W632" i="37"/>
  <c r="R363" i="37"/>
  <c r="U351" i="37"/>
  <c r="V302" i="37"/>
  <c r="AH306" i="37"/>
  <c r="T306" i="37"/>
  <c r="AB314" i="37"/>
  <c r="R367" i="37"/>
  <c r="AH303" i="37"/>
  <c r="T425" i="37"/>
  <c r="AF425" i="37"/>
  <c r="Z381" i="37"/>
  <c r="S381" i="37"/>
  <c r="AG352" i="37"/>
  <c r="AD367" i="37"/>
  <c r="X367" i="37"/>
  <c r="U367" i="37"/>
  <c r="AE303" i="37"/>
  <c r="X303" i="37"/>
  <c r="AD390" i="37"/>
  <c r="Y390" i="37"/>
  <c r="S390" i="37"/>
  <c r="T344" i="37"/>
  <c r="Y344" i="37"/>
  <c r="AH457" i="37"/>
  <c r="AB346" i="37"/>
  <c r="AA346" i="37"/>
  <c r="S346" i="37"/>
  <c r="AG419" i="37"/>
  <c r="AF419" i="37"/>
  <c r="T419" i="37"/>
  <c r="AH368" i="37"/>
  <c r="U368" i="37"/>
  <c r="AG368" i="37"/>
  <c r="AG363" i="37"/>
  <c r="AB363" i="37"/>
  <c r="V363" i="37"/>
  <c r="AG353" i="37"/>
  <c r="AG344" i="37"/>
  <c r="AH307" i="37"/>
  <c r="AF327" i="37"/>
  <c r="S327" i="37"/>
  <c r="AD351" i="37"/>
  <c r="S375" i="37"/>
  <c r="AD353" i="37"/>
  <c r="Z359" i="37"/>
  <c r="AH396" i="37"/>
  <c r="X396" i="37"/>
  <c r="AG399" i="37"/>
  <c r="X399" i="37"/>
  <c r="AB302" i="37"/>
  <c r="R302" i="37"/>
  <c r="R595" i="37"/>
  <c r="AG346" i="37"/>
  <c r="X419" i="37"/>
  <c r="V353" i="37"/>
  <c r="S303" i="37"/>
  <c r="S359" i="37"/>
  <c r="AD344" i="37"/>
  <c r="Z327" i="37"/>
  <c r="AF307" i="37"/>
  <c r="AG306" i="37"/>
  <c r="R425" i="37"/>
  <c r="S363" i="37"/>
  <c r="Y359" i="37"/>
  <c r="AB359" i="37"/>
  <c r="T307" i="37"/>
  <c r="AE425" i="37"/>
  <c r="V425" i="37"/>
  <c r="T381" i="37"/>
  <c r="AG381" i="37"/>
  <c r="AH367" i="37"/>
  <c r="AB367" i="37"/>
  <c r="V367" i="37"/>
  <c r="AB303" i="37"/>
  <c r="V303" i="37"/>
  <c r="AB390" i="37"/>
  <c r="X390" i="37"/>
  <c r="AA390" i="37"/>
  <c r="U344" i="37"/>
  <c r="V344" i="37"/>
  <c r="AA457" i="37"/>
  <c r="V457" i="37"/>
  <c r="AF346" i="37"/>
  <c r="Y346" i="37"/>
  <c r="U419" i="37"/>
  <c r="Y419" i="37"/>
  <c r="AF368" i="37"/>
  <c r="X368" i="37"/>
  <c r="AF363" i="37"/>
  <c r="AA363" i="37"/>
  <c r="U363" i="37"/>
  <c r="Y303" i="37"/>
  <c r="T327" i="37"/>
  <c r="R351" i="37"/>
  <c r="AB351" i="37"/>
  <c r="AD375" i="37"/>
  <c r="Z375" i="37"/>
  <c r="AE353" i="37"/>
  <c r="T359" i="37"/>
  <c r="AG396" i="37"/>
  <c r="V396" i="37"/>
  <c r="Y399" i="37"/>
  <c r="T302" i="37"/>
  <c r="AF404" i="37"/>
  <c r="AE404" i="37"/>
  <c r="T321" i="37"/>
  <c r="AE405" i="37"/>
  <c r="AD435" i="37"/>
  <c r="AG442" i="37"/>
  <c r="AA442" i="37"/>
  <c r="Y333" i="37"/>
  <c r="AD333" i="37"/>
  <c r="V333" i="37"/>
  <c r="AF365" i="37"/>
  <c r="U365" i="37"/>
  <c r="T329" i="37"/>
  <c r="S329" i="37"/>
  <c r="AH329" i="37"/>
  <c r="AG380" i="37"/>
  <c r="Y347" i="37"/>
  <c r="AA347" i="37"/>
  <c r="Y427" i="37"/>
  <c r="S427" i="37"/>
  <c r="AE401" i="37"/>
  <c r="S401" i="37"/>
  <c r="S430" i="37"/>
  <c r="Z430" i="37"/>
  <c r="U416" i="37"/>
  <c r="AE442" i="37"/>
  <c r="R384" i="37"/>
  <c r="T319" i="37"/>
  <c r="V312" i="37"/>
  <c r="U441" i="37"/>
  <c r="AE441" i="37"/>
  <c r="Z441" i="37"/>
  <c r="V423" i="37"/>
  <c r="Z423" i="37"/>
  <c r="S423" i="37"/>
  <c r="X414" i="37"/>
  <c r="U435" i="37"/>
  <c r="AH386" i="37"/>
  <c r="AD371" i="37"/>
  <c r="Y433" i="37"/>
  <c r="S436" i="37"/>
  <c r="AA436" i="37"/>
  <c r="R435" i="37"/>
  <c r="S435" i="37"/>
  <c r="AG308" i="37"/>
  <c r="V414" i="37"/>
  <c r="AD323" i="37"/>
  <c r="AF423" i="37"/>
  <c r="Z443" i="37"/>
  <c r="R602" i="37"/>
  <c r="R759" i="37"/>
  <c r="T754" i="37"/>
  <c r="Q745" i="37"/>
  <c r="P511" i="37"/>
  <c r="AB308" i="37"/>
  <c r="U414" i="37"/>
  <c r="U386" i="37"/>
  <c r="AA308" i="37"/>
  <c r="AB442" i="37"/>
  <c r="Z442" i="37"/>
  <c r="Y442" i="37"/>
  <c r="AH333" i="37"/>
  <c r="AB333" i="37"/>
  <c r="AF333" i="37"/>
  <c r="AA365" i="37"/>
  <c r="Z329" i="37"/>
  <c r="Y329" i="37"/>
  <c r="R329" i="37"/>
  <c r="AA329" i="37"/>
  <c r="V380" i="37"/>
  <c r="X347" i="37"/>
  <c r="V347" i="37"/>
  <c r="R427" i="37"/>
  <c r="V427" i="37"/>
  <c r="X401" i="37"/>
  <c r="V401" i="37"/>
  <c r="AG430" i="37"/>
  <c r="U430" i="37"/>
  <c r="R371" i="37"/>
  <c r="Z347" i="37"/>
  <c r="AG319" i="37"/>
  <c r="AB312" i="37"/>
  <c r="AF441" i="37"/>
  <c r="AH441" i="37"/>
  <c r="AD441" i="37"/>
  <c r="AE423" i="37"/>
  <c r="AH423" i="37"/>
  <c r="T416" i="37"/>
  <c r="AF389" i="37"/>
  <c r="U384" i="37"/>
  <c r="S347" i="37"/>
  <c r="Z386" i="37"/>
  <c r="AA371" i="37"/>
  <c r="AB433" i="37"/>
  <c r="AA433" i="37"/>
  <c r="AD436" i="37"/>
  <c r="AG435" i="37"/>
  <c r="AB435" i="37"/>
  <c r="Z308" i="37"/>
  <c r="AA414" i="37"/>
  <c r="Z401" i="37"/>
  <c r="S319" i="37"/>
  <c r="T423" i="37"/>
  <c r="AA443" i="37"/>
  <c r="AG443" i="37"/>
  <c r="V582" i="37"/>
  <c r="W636" i="37"/>
  <c r="AB511" i="37"/>
  <c r="R333" i="37"/>
  <c r="AG347" i="37"/>
  <c r="AE333" i="37"/>
  <c r="AH442" i="37"/>
  <c r="S442" i="37"/>
  <c r="V442" i="37"/>
  <c r="AA333" i="37"/>
  <c r="T333" i="37"/>
  <c r="AD329" i="37"/>
  <c r="X329" i="37"/>
  <c r="Z380" i="37"/>
  <c r="R347" i="37"/>
  <c r="T430" i="37"/>
  <c r="AG401" i="37"/>
  <c r="X441" i="37"/>
  <c r="T441" i="37"/>
  <c r="AG441" i="37"/>
  <c r="AB441" i="37"/>
  <c r="R423" i="37"/>
  <c r="AA423" i="37"/>
  <c r="S371" i="37"/>
  <c r="AD347" i="37"/>
  <c r="T386" i="37"/>
  <c r="AB386" i="37"/>
  <c r="AE371" i="37"/>
  <c r="X371" i="37"/>
  <c r="AH433" i="37"/>
  <c r="X433" i="37"/>
  <c r="AB436" i="37"/>
  <c r="V436" i="37"/>
  <c r="Z435" i="37"/>
  <c r="AD308" i="37"/>
  <c r="AH308" i="37"/>
  <c r="Y423" i="37"/>
  <c r="R582" i="37"/>
  <c r="Q752" i="37"/>
  <c r="S752" i="37"/>
  <c r="AH492" i="37"/>
  <c r="U492" i="37"/>
  <c r="P453" i="37"/>
  <c r="AH453" i="37"/>
  <c r="V453" i="37"/>
  <c r="Q635" i="37"/>
  <c r="R635" i="37"/>
  <c r="Z593" i="37"/>
  <c r="P593" i="37"/>
  <c r="Z618" i="37"/>
  <c r="P618" i="37"/>
  <c r="P411" i="37"/>
  <c r="AD411" i="37"/>
  <c r="AG411" i="37"/>
  <c r="V411" i="37"/>
  <c r="AD401" i="37"/>
  <c r="AA401" i="37"/>
  <c r="AH401" i="37"/>
  <c r="T401" i="37"/>
  <c r="R401" i="37"/>
  <c r="U401" i="37"/>
  <c r="P412" i="37"/>
  <c r="S412" i="37"/>
  <c r="AD412" i="37"/>
  <c r="X412" i="37"/>
  <c r="Y412" i="37"/>
  <c r="P416" i="37"/>
  <c r="Y416" i="37"/>
  <c r="AH416" i="37"/>
  <c r="AF416" i="37"/>
  <c r="R416" i="37"/>
  <c r="V416" i="37"/>
  <c r="P464" i="37"/>
  <c r="AH464" i="37"/>
  <c r="V464" i="37"/>
  <c r="P430" i="37"/>
  <c r="AF430" i="37"/>
  <c r="AB430" i="37"/>
  <c r="AH430" i="37"/>
  <c r="V430" i="37"/>
  <c r="R430" i="37"/>
  <c r="P389" i="37"/>
  <c r="T389" i="37"/>
  <c r="AG389" i="37"/>
  <c r="AA389" i="37"/>
  <c r="U389" i="37"/>
  <c r="AH389" i="37"/>
  <c r="AE389" i="37"/>
  <c r="P460" i="37"/>
  <c r="V460" i="37"/>
  <c r="AH460" i="37"/>
  <c r="P336" i="37"/>
  <c r="R336" i="37"/>
  <c r="AE336" i="37"/>
  <c r="AG336" i="37"/>
  <c r="AF336" i="37"/>
  <c r="P315" i="37"/>
  <c r="AG315" i="37"/>
  <c r="Y315" i="37"/>
  <c r="AB315" i="37"/>
  <c r="X315" i="37"/>
  <c r="P324" i="37"/>
  <c r="Y324" i="37"/>
  <c r="T324" i="37"/>
  <c r="V324" i="37"/>
  <c r="AH324" i="37"/>
  <c r="X324" i="37"/>
  <c r="AA324" i="37"/>
  <c r="AE324" i="37"/>
  <c r="P384" i="37"/>
  <c r="AH384" i="37"/>
  <c r="AF384" i="37"/>
  <c r="T384" i="37"/>
  <c r="Z384" i="37"/>
  <c r="P313" i="37"/>
  <c r="V313" i="37"/>
  <c r="P434" i="37"/>
  <c r="T434" i="37"/>
  <c r="Y434" i="37"/>
  <c r="AG434" i="37"/>
  <c r="R434" i="37"/>
  <c r="AA434" i="37"/>
  <c r="AH409" i="37"/>
  <c r="AF409" i="37"/>
  <c r="AB409" i="37"/>
  <c r="U409" i="37"/>
  <c r="Y409" i="37"/>
  <c r="V409" i="37"/>
  <c r="X409" i="37"/>
  <c r="AA409" i="37"/>
  <c r="P422" i="37"/>
  <c r="V422" i="37"/>
  <c r="AB422" i="37"/>
  <c r="AH422" i="37"/>
  <c r="X422" i="37"/>
  <c r="U422" i="37"/>
  <c r="AD422" i="37"/>
  <c r="R422" i="37"/>
  <c r="P449" i="37"/>
  <c r="AF449" i="37"/>
  <c r="AG449" i="37"/>
  <c r="Z449" i="37"/>
  <c r="P331" i="37"/>
  <c r="T331" i="37"/>
  <c r="AH331" i="37"/>
  <c r="S331" i="37"/>
  <c r="AE331" i="37"/>
  <c r="AB331" i="37"/>
  <c r="AF331" i="37"/>
  <c r="V331" i="37"/>
  <c r="P365" i="37"/>
  <c r="V365" i="37"/>
  <c r="AB365" i="37"/>
  <c r="AH365" i="37"/>
  <c r="X365" i="37"/>
  <c r="AD365" i="37"/>
  <c r="P380" i="37"/>
  <c r="AE380" i="37"/>
  <c r="AA380" i="37"/>
  <c r="AD380" i="37"/>
  <c r="T380" i="37"/>
  <c r="S380" i="37"/>
  <c r="X380" i="37"/>
  <c r="P427" i="37"/>
  <c r="T427" i="37"/>
  <c r="AH427" i="37"/>
  <c r="AG427" i="37"/>
  <c r="AA427" i="37"/>
  <c r="AB427" i="37"/>
  <c r="AF427" i="37"/>
  <c r="AE427" i="37"/>
  <c r="P310" i="37"/>
  <c r="S310" i="37"/>
  <c r="P402" i="37"/>
  <c r="V402" i="37"/>
  <c r="U402" i="37"/>
  <c r="P463" i="37"/>
  <c r="AH463" i="37"/>
  <c r="AB463" i="37"/>
  <c r="V463" i="37"/>
  <c r="N656" i="37"/>
  <c r="V656" i="37"/>
  <c r="T337" i="37"/>
  <c r="AG337" i="37"/>
  <c r="AA337" i="37"/>
  <c r="X337" i="37"/>
  <c r="AH337" i="37"/>
  <c r="S337" i="37"/>
  <c r="AB337" i="37"/>
  <c r="AF337" i="37"/>
  <c r="AE360" i="37"/>
  <c r="V360" i="37"/>
  <c r="U360" i="37"/>
  <c r="S360" i="37"/>
  <c r="AF360" i="37"/>
  <c r="T360" i="37"/>
  <c r="X360" i="37"/>
  <c r="AH360" i="37"/>
  <c r="AG360" i="37"/>
  <c r="Y354" i="37"/>
  <c r="AH354" i="37"/>
  <c r="AB354" i="37"/>
  <c r="X354" i="37"/>
  <c r="T354" i="37"/>
  <c r="AA354" i="37"/>
  <c r="R354" i="37"/>
  <c r="AF354" i="37"/>
  <c r="V354" i="37"/>
  <c r="Z354" i="37"/>
  <c r="AF388" i="37"/>
  <c r="V388" i="37"/>
  <c r="AB388" i="37"/>
  <c r="S388" i="37"/>
  <c r="Y388" i="37"/>
  <c r="Z388" i="37"/>
  <c r="AH388" i="37"/>
  <c r="AA388" i="37"/>
  <c r="T388" i="37"/>
  <c r="U388" i="37"/>
  <c r="Z417" i="37"/>
  <c r="T417" i="37"/>
  <c r="AD417" i="37"/>
  <c r="X417" i="37"/>
  <c r="Y379" i="37"/>
  <c r="AA379" i="37"/>
  <c r="AH379" i="37"/>
  <c r="U379" i="37"/>
  <c r="AD379" i="37"/>
  <c r="AG379" i="37"/>
  <c r="S379" i="37"/>
  <c r="N596" i="37"/>
  <c r="P596" i="37"/>
  <c r="V596" i="37" s="1"/>
  <c r="N631" i="37"/>
  <c r="X631" i="37"/>
  <c r="P631" i="37"/>
  <c r="R631" i="37"/>
  <c r="N630" i="37"/>
  <c r="W630" i="37"/>
  <c r="S630" i="37"/>
  <c r="Z630" i="37"/>
  <c r="N566" i="37"/>
  <c r="P566" i="37" s="1"/>
  <c r="W566" i="37"/>
  <c r="Q566" i="37"/>
  <c r="AB453" i="37"/>
  <c r="Q618" i="37"/>
  <c r="Y342" i="37"/>
  <c r="AA342" i="37"/>
  <c r="S342" i="37"/>
  <c r="P456" i="37"/>
  <c r="U456" i="37"/>
  <c r="AA456" i="37"/>
  <c r="Q685" i="37"/>
  <c r="Z685" i="37"/>
  <c r="V687" i="37"/>
  <c r="Q687" i="37"/>
  <c r="R687" i="37"/>
  <c r="T295" i="37"/>
  <c r="AE373" i="37"/>
  <c r="P769" i="37"/>
  <c r="V769" i="37" s="1"/>
  <c r="X403" i="37"/>
  <c r="AB402" i="37"/>
  <c r="AE402" i="37"/>
  <c r="AF403" i="37"/>
  <c r="AE403" i="37"/>
  <c r="Z310" i="37"/>
  <c r="U374" i="37"/>
  <c r="U323" i="37"/>
  <c r="Q672" i="37"/>
  <c r="Y310" i="37"/>
  <c r="X386" i="37"/>
  <c r="U433" i="37"/>
  <c r="S386" i="37"/>
  <c r="AE386" i="37"/>
  <c r="AG386" i="37"/>
  <c r="AD386" i="37"/>
  <c r="AA386" i="37"/>
  <c r="AH371" i="37"/>
  <c r="AF371" i="37"/>
  <c r="AB371" i="37"/>
  <c r="Y371" i="37"/>
  <c r="V371" i="37"/>
  <c r="Z326" i="37"/>
  <c r="AE433" i="37"/>
  <c r="AF433" i="37"/>
  <c r="Z433" i="37"/>
  <c r="T433" i="37"/>
  <c r="R433" i="37"/>
  <c r="V433" i="37"/>
  <c r="AG433" i="37"/>
  <c r="Y408" i="37"/>
  <c r="U436" i="37"/>
  <c r="Z436" i="37"/>
  <c r="AE436" i="37"/>
  <c r="R436" i="37"/>
  <c r="AH436" i="37"/>
  <c r="T436" i="37"/>
  <c r="AF436" i="37"/>
  <c r="AD424" i="37"/>
  <c r="AF424" i="37"/>
  <c r="AB295" i="37"/>
  <c r="S295" i="37"/>
  <c r="Y435" i="37"/>
  <c r="AE435" i="37"/>
  <c r="X435" i="37"/>
  <c r="V435" i="37"/>
  <c r="T435" i="37"/>
  <c r="AH435" i="37"/>
  <c r="T308" i="37"/>
  <c r="AE308" i="37"/>
  <c r="U308" i="37"/>
  <c r="Y308" i="37"/>
  <c r="S308" i="37"/>
  <c r="AF414" i="37"/>
  <c r="AH414" i="37"/>
  <c r="AD414" i="37"/>
  <c r="AB321" i="37"/>
  <c r="AF370" i="37"/>
  <c r="AG307" i="37"/>
  <c r="U321" i="37"/>
  <c r="Y321" i="37"/>
  <c r="AA321" i="37"/>
  <c r="V343" i="37"/>
  <c r="Z343" i="37"/>
  <c r="R589" i="37"/>
  <c r="AH311" i="37"/>
  <c r="Z323" i="37"/>
  <c r="T394" i="37"/>
  <c r="T414" i="37"/>
  <c r="AE414" i="37"/>
  <c r="AG414" i="37"/>
  <c r="Z414" i="37"/>
  <c r="S321" i="37"/>
  <c r="AG321" i="37"/>
  <c r="AA307" i="37"/>
  <c r="AH343" i="37"/>
  <c r="AF343" i="37"/>
  <c r="AD404" i="37"/>
  <c r="Y406" i="37"/>
  <c r="AE321" i="37"/>
  <c r="AB406" i="37"/>
  <c r="AD321" i="37"/>
  <c r="AF321" i="37"/>
  <c r="R321" i="37"/>
  <c r="W621" i="37"/>
  <c r="S599" i="37"/>
  <c r="Z617" i="37"/>
  <c r="P687" i="37"/>
  <c r="S761" i="37"/>
  <c r="N754" i="37"/>
  <c r="S754" i="37"/>
  <c r="AB446" i="37"/>
  <c r="AG412" i="37"/>
  <c r="V319" i="37"/>
  <c r="AG446" i="37"/>
  <c r="S446" i="37"/>
  <c r="AA446" i="37"/>
  <c r="V446" i="37"/>
  <c r="Z411" i="37"/>
  <c r="Y411" i="37"/>
  <c r="X411" i="37"/>
  <c r="R411" i="37"/>
  <c r="R356" i="37"/>
  <c r="Z356" i="37"/>
  <c r="AH356" i="37"/>
  <c r="U356" i="37"/>
  <c r="AB356" i="37"/>
  <c r="Y356" i="37"/>
  <c r="AA320" i="37"/>
  <c r="AB320" i="37"/>
  <c r="AH319" i="37"/>
  <c r="AE319" i="37"/>
  <c r="AH330" i="37"/>
  <c r="R330" i="37"/>
  <c r="AA330" i="37"/>
  <c r="AB369" i="37"/>
  <c r="AE369" i="37"/>
  <c r="X369" i="37"/>
  <c r="U369" i="37"/>
  <c r="T369" i="37"/>
  <c r="R369" i="37"/>
  <c r="AF294" i="37"/>
  <c r="R294" i="37"/>
  <c r="U294" i="37"/>
  <c r="AG294" i="37"/>
  <c r="AH294" i="37"/>
  <c r="AB294" i="37"/>
  <c r="AD294" i="37"/>
  <c r="AH315" i="37"/>
  <c r="U315" i="37"/>
  <c r="AD392" i="37"/>
  <c r="U392" i="37"/>
  <c r="X392" i="37"/>
  <c r="S392" i="37"/>
  <c r="V392" i="37"/>
  <c r="AF392" i="37"/>
  <c r="AF376" i="37"/>
  <c r="V376" i="37"/>
  <c r="Z451" i="37"/>
  <c r="AA451" i="37"/>
  <c r="Y380" i="37"/>
  <c r="R334" i="37"/>
  <c r="Z334" i="37"/>
  <c r="V614" i="37"/>
  <c r="Z666" i="37"/>
  <c r="Q610" i="37"/>
  <c r="N629" i="37"/>
  <c r="X629" i="37"/>
  <c r="N737" i="37"/>
  <c r="Q737" i="37" s="1"/>
  <c r="N608" i="37"/>
  <c r="S608" i="37"/>
  <c r="N647" i="37"/>
  <c r="V647" i="37"/>
  <c r="R636" i="37"/>
  <c r="X636" i="37"/>
  <c r="P382" i="37"/>
  <c r="S382" i="37"/>
  <c r="N658" i="37"/>
  <c r="V658" i="37"/>
  <c r="N635" i="37"/>
  <c r="V635" i="37"/>
  <c r="Z635" i="37"/>
  <c r="N598" i="37"/>
  <c r="Q598" i="37"/>
  <c r="N597" i="37"/>
  <c r="Q597" i="37" s="1"/>
  <c r="Z597" i="37"/>
  <c r="N593" i="37"/>
  <c r="X593" i="37"/>
  <c r="N618" i="37"/>
  <c r="R618" i="37"/>
  <c r="V618" i="37"/>
  <c r="N611" i="37"/>
  <c r="Q611" i="37"/>
  <c r="Y687" i="37"/>
  <c r="P763" i="37"/>
  <c r="V763" i="37" s="1"/>
  <c r="Q763" i="37"/>
  <c r="S763" i="37"/>
  <c r="Q779" i="37"/>
  <c r="R779" i="37"/>
  <c r="S779" i="37"/>
  <c r="P779" i="37"/>
  <c r="V779" i="37" s="1"/>
  <c r="P395" i="37"/>
  <c r="U395" i="37"/>
  <c r="V395" i="37"/>
  <c r="AD395" i="37"/>
  <c r="S395" i="37"/>
  <c r="N621" i="37"/>
  <c r="P621" i="37"/>
  <c r="Q621" i="37"/>
  <c r="N652" i="37"/>
  <c r="X652" i="37"/>
  <c r="P376" i="37"/>
  <c r="R376" i="37"/>
  <c r="S376" i="37"/>
  <c r="AB376" i="37"/>
  <c r="AE376" i="37"/>
  <c r="P334" i="37"/>
  <c r="T334" i="37"/>
  <c r="AF334" i="37"/>
  <c r="AA334" i="37"/>
  <c r="AH334" i="37"/>
  <c r="V334" i="37"/>
  <c r="AD334" i="37"/>
  <c r="U334" i="37"/>
  <c r="P492" i="37"/>
  <c r="T492" i="37"/>
  <c r="V451" i="37"/>
  <c r="AG451" i="37"/>
  <c r="N614" i="37"/>
  <c r="R614" i="37"/>
  <c r="S614" i="37"/>
  <c r="Q614" i="37"/>
  <c r="W614" i="37"/>
  <c r="N641" i="37"/>
  <c r="R641" i="37"/>
  <c r="S641" i="37"/>
  <c r="N610" i="37"/>
  <c r="S610" i="37"/>
  <c r="V610" i="37"/>
  <c r="X610" i="37"/>
  <c r="R610" i="37"/>
  <c r="N545" i="37"/>
  <c r="Y545" i="37"/>
  <c r="R545" i="37"/>
  <c r="N548" i="37"/>
  <c r="Y548" i="37"/>
  <c r="P342" i="37"/>
  <c r="U342" i="37"/>
  <c r="X342" i="37"/>
  <c r="V342" i="37"/>
  <c r="P443" i="37"/>
  <c r="V443" i="37"/>
  <c r="S443" i="37"/>
  <c r="U443" i="37"/>
  <c r="N685" i="37"/>
  <c r="X685" i="37"/>
  <c r="W685" i="37"/>
  <c r="P588" i="37"/>
  <c r="V588" i="37" s="1"/>
  <c r="R588" i="37"/>
  <c r="N688" i="37"/>
  <c r="Z688" i="37"/>
  <c r="N687" i="37"/>
  <c r="T687" i="37"/>
  <c r="W687" i="37"/>
  <c r="S687" i="37"/>
  <c r="N606" i="37"/>
  <c r="S606" i="37" s="1"/>
  <c r="Z606" i="37"/>
  <c r="Q753" i="37"/>
  <c r="P753" i="37"/>
  <c r="V753" i="37" s="1"/>
  <c r="R753" i="37"/>
  <c r="R748" i="37"/>
  <c r="S748" i="37"/>
  <c r="Q748" i="37"/>
  <c r="P748" i="37"/>
  <c r="V748" i="37" s="1"/>
  <c r="R763" i="37"/>
  <c r="R374" i="37"/>
  <c r="Y311" i="37"/>
  <c r="AH406" i="37"/>
  <c r="AE432" i="37"/>
  <c r="S394" i="37"/>
  <c r="T558" i="37"/>
  <c r="P759" i="37"/>
  <c r="V759" i="37" s="1"/>
  <c r="W759" i="37" s="1"/>
  <c r="S759" i="37"/>
  <c r="X402" i="37"/>
  <c r="Z402" i="37"/>
  <c r="AF402" i="37"/>
  <c r="AG402" i="37"/>
  <c r="V381" i="37"/>
  <c r="T405" i="37"/>
  <c r="Z405" i="37"/>
  <c r="AB405" i="37"/>
  <c r="S402" i="37"/>
  <c r="U310" i="37"/>
  <c r="V310" i="37"/>
  <c r="R586" i="37"/>
  <c r="Q574" i="37"/>
  <c r="S656" i="37"/>
  <c r="X656" i="37"/>
  <c r="V581" i="37"/>
  <c r="S634" i="37"/>
  <c r="R681" i="37"/>
  <c r="X633" i="37"/>
  <c r="V633" i="37"/>
  <c r="V323" i="37"/>
  <c r="Y402" i="37"/>
  <c r="AD402" i="37"/>
  <c r="AH402" i="37"/>
  <c r="AB335" i="37"/>
  <c r="S335" i="37"/>
  <c r="X373" i="37"/>
  <c r="X335" i="37"/>
  <c r="T402" i="37"/>
  <c r="Y323" i="37"/>
  <c r="R310" i="37"/>
  <c r="AB310" i="37"/>
  <c r="Y394" i="37"/>
  <c r="AA394" i="37"/>
  <c r="V406" i="37"/>
  <c r="AE406" i="37"/>
  <c r="Z311" i="37"/>
  <c r="AG310" i="37"/>
  <c r="AA432" i="37"/>
  <c r="AE310" i="37"/>
  <c r="T310" i="37"/>
  <c r="T374" i="37"/>
  <c r="Z374" i="37"/>
  <c r="AA310" i="37"/>
  <c r="V432" i="37"/>
  <c r="R608" i="37"/>
  <c r="Z608" i="37"/>
  <c r="X623" i="37"/>
  <c r="S601" i="37"/>
  <c r="X597" i="37"/>
  <c r="S593" i="37"/>
  <c r="Q593" i="37"/>
  <c r="Q636" i="37"/>
  <c r="V636" i="37"/>
  <c r="Y658" i="37"/>
  <c r="W633" i="37"/>
  <c r="T689" i="37"/>
  <c r="R541" i="37"/>
  <c r="X622" i="37"/>
  <c r="N622" i="37"/>
  <c r="N564" i="37"/>
  <c r="P564" i="37" s="1"/>
  <c r="W559" i="37"/>
  <c r="AH373" i="37"/>
  <c r="P373" i="37"/>
  <c r="AG335" i="37"/>
  <c r="P335" i="37"/>
  <c r="S293" i="37"/>
  <c r="P293" i="37"/>
  <c r="T292" i="37"/>
  <c r="P292" i="37"/>
  <c r="Z622" i="37"/>
  <c r="Q673" i="37"/>
  <c r="N673" i="37"/>
  <c r="Y386" i="37"/>
  <c r="P386" i="37"/>
  <c r="T371" i="37"/>
  <c r="P371" i="37"/>
  <c r="AF308" i="37"/>
  <c r="P308" i="37"/>
  <c r="V585" i="37"/>
  <c r="N585" i="37"/>
  <c r="P602" i="37"/>
  <c r="N602" i="37"/>
  <c r="Y414" i="37"/>
  <c r="P414" i="37"/>
  <c r="Z636" i="37"/>
  <c r="N636" i="37"/>
  <c r="W665" i="37"/>
  <c r="N665" i="37"/>
  <c r="T627" i="37"/>
  <c r="N627" i="37"/>
  <c r="S348" i="37"/>
  <c r="P348" i="37"/>
  <c r="Z333" i="37"/>
  <c r="P333" i="37"/>
  <c r="U383" i="37"/>
  <c r="P383" i="37"/>
  <c r="AE329" i="37"/>
  <c r="P329" i="37"/>
  <c r="T347" i="37"/>
  <c r="P347" i="37"/>
  <c r="Y318" i="37"/>
  <c r="P318" i="37"/>
  <c r="R569" i="37"/>
  <c r="N569" i="37"/>
  <c r="T633" i="37"/>
  <c r="N633" i="37"/>
  <c r="P615" i="37"/>
  <c r="N615" i="37"/>
  <c r="P551" i="37"/>
  <c r="N551" i="37"/>
  <c r="Q638" i="37"/>
  <c r="N638" i="37"/>
  <c r="R594" i="37"/>
  <c r="N594" i="37"/>
  <c r="Z667" i="37"/>
  <c r="N667" i="37"/>
  <c r="P616" i="37"/>
  <c r="N616" i="37"/>
  <c r="S684" i="37"/>
  <c r="AB445" i="37"/>
  <c r="P445" i="37"/>
  <c r="R568" i="37"/>
  <c r="N568" i="37"/>
  <c r="Q568" i="37" s="1"/>
  <c r="Z664" i="37"/>
  <c r="N664" i="37"/>
  <c r="Z708" i="37"/>
  <c r="N708" i="37"/>
  <c r="Q682" i="37"/>
  <c r="N682" i="37"/>
  <c r="Q670" i="37"/>
  <c r="N670" i="37"/>
  <c r="W579" i="37"/>
  <c r="N579" i="37"/>
  <c r="R572" i="37"/>
  <c r="Z543" i="37"/>
  <c r="AH366" i="37"/>
  <c r="P366" i="37"/>
  <c r="AF362" i="37"/>
  <c r="P362" i="37"/>
  <c r="Q576" i="37"/>
  <c r="T588" i="37"/>
  <c r="N588" i="37"/>
  <c r="R671" i="37"/>
  <c r="AA454" i="37"/>
  <c r="P454" i="37"/>
  <c r="N766" i="37"/>
  <c r="T766" i="37" s="1"/>
  <c r="Y746" i="37"/>
  <c r="P768" i="37"/>
  <c r="V768" i="37" s="1"/>
  <c r="P777" i="37"/>
  <c r="T432" i="37"/>
  <c r="P432" i="37"/>
  <c r="X323" i="37"/>
  <c r="P323" i="37"/>
  <c r="AG338" i="37"/>
  <c r="P338" i="37"/>
  <c r="R650" i="37"/>
  <c r="V403" i="37"/>
  <c r="P403" i="37"/>
  <c r="X683" i="37"/>
  <c r="N683" i="37"/>
  <c r="P299" i="37"/>
  <c r="R337" i="37"/>
  <c r="P337" i="37"/>
  <c r="AA360" i="37"/>
  <c r="P360" i="37"/>
  <c r="AE354" i="37"/>
  <c r="P354" i="37"/>
  <c r="Z662" i="37"/>
  <c r="N662" i="37"/>
  <c r="AE388" i="37"/>
  <c r="P388" i="37"/>
  <c r="AB417" i="37"/>
  <c r="P417" i="37"/>
  <c r="V379" i="37"/>
  <c r="P379" i="37"/>
  <c r="Z665" i="37"/>
  <c r="X627" i="37"/>
  <c r="X343" i="37"/>
  <c r="P343" i="37"/>
  <c r="AD410" i="37"/>
  <c r="P410" i="37"/>
  <c r="T385" i="37"/>
  <c r="P385" i="37"/>
  <c r="U352" i="37"/>
  <c r="P352" i="37"/>
  <c r="X350" i="37"/>
  <c r="P350" i="37"/>
  <c r="AG349" i="37"/>
  <c r="P349" i="37"/>
  <c r="S367" i="37"/>
  <c r="P367" i="37"/>
  <c r="AE345" i="37"/>
  <c r="P345" i="37"/>
  <c r="AH390" i="37"/>
  <c r="P390" i="37"/>
  <c r="Z344" i="37"/>
  <c r="P344" i="37"/>
  <c r="AH370" i="37"/>
  <c r="P370" i="37"/>
  <c r="Z325" i="37"/>
  <c r="P325" i="37"/>
  <c r="AE346" i="37"/>
  <c r="P346" i="37"/>
  <c r="AA419" i="37"/>
  <c r="P419" i="37"/>
  <c r="AE426" i="37"/>
  <c r="P426" i="37"/>
  <c r="Y368" i="37"/>
  <c r="P368" i="37"/>
  <c r="AA304" i="37"/>
  <c r="P304" i="37"/>
  <c r="V377" i="37"/>
  <c r="P377" i="37"/>
  <c r="T341" i="37"/>
  <c r="P341" i="37"/>
  <c r="AF401" i="37"/>
  <c r="P401" i="37"/>
  <c r="AD364" i="37"/>
  <c r="P364" i="37"/>
  <c r="V455" i="37"/>
  <c r="P455" i="37"/>
  <c r="AF298" i="37"/>
  <c r="P298" i="37"/>
  <c r="AB400" i="37"/>
  <c r="P400" i="37"/>
  <c r="AE409" i="37"/>
  <c r="P409" i="37"/>
  <c r="AA309" i="37"/>
  <c r="P309" i="37"/>
  <c r="AB398" i="37"/>
  <c r="P398" i="37"/>
  <c r="AB448" i="37"/>
  <c r="P448" i="37"/>
  <c r="AB355" i="37"/>
  <c r="P355" i="37"/>
  <c r="Y556" i="37"/>
  <c r="T684" i="37"/>
  <c r="T451" i="37"/>
  <c r="P451" i="37"/>
  <c r="Z704" i="37"/>
  <c r="N704" i="37"/>
  <c r="Q704" i="37" s="1"/>
  <c r="Y437" i="37"/>
  <c r="P437" i="37"/>
  <c r="AF440" i="37"/>
  <c r="P440" i="37"/>
  <c r="X428" i="37"/>
  <c r="P428" i="37"/>
  <c r="V659" i="37"/>
  <c r="AD339" i="37"/>
  <c r="P339" i="37"/>
  <c r="V439" i="37"/>
  <c r="P439" i="37"/>
  <c r="T296" i="37"/>
  <c r="P296" i="37"/>
  <c r="T746" i="37"/>
  <c r="V598" i="37"/>
  <c r="V749" i="37"/>
  <c r="V762" i="37"/>
  <c r="P611" i="37"/>
  <c r="Q615" i="37"/>
  <c r="S629" i="37"/>
  <c r="P629" i="37"/>
  <c r="P599" i="37"/>
  <c r="Q599" i="37"/>
  <c r="V599" i="37"/>
  <c r="X599" i="37"/>
  <c r="W599" i="37"/>
  <c r="Q623" i="37"/>
  <c r="S326" i="37"/>
  <c r="X326" i="37"/>
  <c r="AB326" i="37"/>
  <c r="AG326" i="37"/>
  <c r="Y326" i="37"/>
  <c r="AD326" i="37"/>
  <c r="AH326" i="37"/>
  <c r="AG408" i="37"/>
  <c r="V408" i="37"/>
  <c r="T408" i="37"/>
  <c r="U408" i="37"/>
  <c r="Z408" i="37"/>
  <c r="R408" i="37"/>
  <c r="AF408" i="37"/>
  <c r="X424" i="37"/>
  <c r="R424" i="37"/>
  <c r="AG424" i="37"/>
  <c r="S424" i="37"/>
  <c r="Y424" i="37"/>
  <c r="AB424" i="37"/>
  <c r="U424" i="37"/>
  <c r="T424" i="37"/>
  <c r="U295" i="37"/>
  <c r="Z295" i="37"/>
  <c r="AE295" i="37"/>
  <c r="R295" i="37"/>
  <c r="V295" i="37"/>
  <c r="AA295" i="37"/>
  <c r="AH295" i="37"/>
  <c r="Q547" i="37"/>
  <c r="R547" i="37"/>
  <c r="T547" i="37"/>
  <c r="V601" i="37"/>
  <c r="Z601" i="37"/>
  <c r="W601" i="37"/>
  <c r="P607" i="37"/>
  <c r="S607" i="37"/>
  <c r="V607" i="37"/>
  <c r="X607" i="37"/>
  <c r="W607" i="37"/>
  <c r="Z607" i="37"/>
  <c r="V644" i="37"/>
  <c r="S644" i="37"/>
  <c r="W644" i="37"/>
  <c r="T644" i="37"/>
  <c r="Y644" i="37"/>
  <c r="R647" i="37"/>
  <c r="X647" i="37"/>
  <c r="Z647" i="37"/>
  <c r="AE382" i="37"/>
  <c r="AD382" i="37"/>
  <c r="AA404" i="37"/>
  <c r="AG404" i="37"/>
  <c r="AB404" i="37"/>
  <c r="V404" i="37"/>
  <c r="X404" i="37"/>
  <c r="Y404" i="37"/>
  <c r="R404" i="37"/>
  <c r="S404" i="37"/>
  <c r="U404" i="37"/>
  <c r="Y659" i="37"/>
  <c r="S659" i="37"/>
  <c r="W659" i="37"/>
  <c r="Q659" i="37"/>
  <c r="P659" i="37"/>
  <c r="X659" i="37"/>
  <c r="S649" i="37"/>
  <c r="X649" i="37"/>
  <c r="V649" i="37"/>
  <c r="Q649" i="37"/>
  <c r="R649" i="37"/>
  <c r="T649" i="37"/>
  <c r="Z649" i="37"/>
  <c r="X660" i="37"/>
  <c r="S660" i="37"/>
  <c r="Q660" i="37"/>
  <c r="Z712" i="37"/>
  <c r="R712" i="37"/>
  <c r="T712" i="37"/>
  <c r="T637" i="37"/>
  <c r="P637" i="37"/>
  <c r="Q637" i="37"/>
  <c r="S637" i="37"/>
  <c r="Z637" i="37"/>
  <c r="X584" i="37"/>
  <c r="Q584" i="37"/>
  <c r="R584" i="37"/>
  <c r="Y572" i="37"/>
  <c r="W572" i="37"/>
  <c r="X572" i="37"/>
  <c r="V572" i="37"/>
  <c r="Z572" i="37"/>
  <c r="S572" i="37"/>
  <c r="T728" i="37"/>
  <c r="R728" i="37"/>
  <c r="Z632" i="37"/>
  <c r="R632" i="37"/>
  <c r="V632" i="37"/>
  <c r="P632" i="37"/>
  <c r="Q632" i="37"/>
  <c r="W657" i="37"/>
  <c r="X657" i="37"/>
  <c r="P657" i="37"/>
  <c r="Z657" i="37"/>
  <c r="T657" i="37"/>
  <c r="R657" i="37"/>
  <c r="V657" i="37"/>
  <c r="P613" i="37"/>
  <c r="W613" i="37"/>
  <c r="Z613" i="37"/>
  <c r="R613" i="37"/>
  <c r="S613" i="37"/>
  <c r="X613" i="37"/>
  <c r="Q628" i="37"/>
  <c r="R628" i="37"/>
  <c r="P628" i="37"/>
  <c r="W628" i="37"/>
  <c r="S628" i="37"/>
  <c r="Y628" i="37"/>
  <c r="X628" i="37"/>
  <c r="Z628" i="37"/>
  <c r="AG300" i="37"/>
  <c r="Y300" i="37"/>
  <c r="T300" i="37"/>
  <c r="S340" i="37"/>
  <c r="U340" i="37"/>
  <c r="AB447" i="37"/>
  <c r="AA447" i="37"/>
  <c r="AH447" i="37"/>
  <c r="AE447" i="37"/>
  <c r="Y551" i="37"/>
  <c r="R551" i="37"/>
  <c r="T551" i="37"/>
  <c r="Q551" i="37"/>
  <c r="P592" i="37"/>
  <c r="Z592" i="37"/>
  <c r="Q592" i="37"/>
  <c r="S592" i="37"/>
  <c r="V592" i="37"/>
  <c r="Z555" i="37"/>
  <c r="T555" i="37"/>
  <c r="Y555" i="37"/>
  <c r="T751" i="37"/>
  <c r="Q751" i="37"/>
  <c r="S751" i="37"/>
  <c r="R751" i="37"/>
  <c r="P751" i="37"/>
  <c r="U529" i="37"/>
  <c r="AF529" i="37"/>
  <c r="AD529" i="37"/>
  <c r="AE529" i="37"/>
  <c r="Z529" i="37"/>
  <c r="R529" i="37"/>
  <c r="Y529" i="37"/>
  <c r="AG529" i="37"/>
  <c r="S529" i="37"/>
  <c r="V529" i="37"/>
  <c r="T529" i="37"/>
  <c r="AB529" i="37"/>
  <c r="AA529" i="37"/>
  <c r="AH529" i="37"/>
  <c r="X529" i="37"/>
  <c r="T775" i="37"/>
  <c r="Q775" i="37"/>
  <c r="S775" i="37"/>
  <c r="P775" i="37"/>
  <c r="V775" i="37" s="1"/>
  <c r="R775" i="37"/>
  <c r="AD439" i="37"/>
  <c r="U439" i="37"/>
  <c r="T439" i="37"/>
  <c r="AG439" i="37"/>
  <c r="AA296" i="37"/>
  <c r="S296" i="37"/>
  <c r="X592" i="37"/>
  <c r="P594" i="37"/>
  <c r="AH408" i="37"/>
  <c r="T326" i="37"/>
  <c r="Y439" i="37"/>
  <c r="S439" i="37"/>
  <c r="R340" i="37"/>
  <c r="X348" i="37"/>
  <c r="AD348" i="37" s="1"/>
  <c r="T348" i="37"/>
  <c r="AE383" i="37"/>
  <c r="Z383" i="37"/>
  <c r="X382" i="37"/>
  <c r="AG382" i="37"/>
  <c r="AA382" i="37"/>
  <c r="S447" i="37"/>
  <c r="AG447" i="37"/>
  <c r="AD296" i="37"/>
  <c r="U348" i="37"/>
  <c r="AA326" i="37"/>
  <c r="R326" i="37"/>
  <c r="X408" i="37"/>
  <c r="AE424" i="37"/>
  <c r="AF295" i="37"/>
  <c r="Y295" i="37"/>
  <c r="W629" i="37"/>
  <c r="R592" i="37"/>
  <c r="V584" i="37"/>
  <c r="S632" i="37"/>
  <c r="S647" i="37"/>
  <c r="V311" i="37"/>
  <c r="S311" i="37"/>
  <c r="T311" i="37"/>
  <c r="AE311" i="37"/>
  <c r="U311" i="37"/>
  <c r="AB311" i="37"/>
  <c r="X311" i="37"/>
  <c r="AF311" i="37"/>
  <c r="AD311" i="37"/>
  <c r="R311" i="37"/>
  <c r="AA311" i="37"/>
  <c r="AG311" i="37"/>
  <c r="AD374" i="37"/>
  <c r="AH374" i="37"/>
  <c r="AG374" i="37"/>
  <c r="Y374" i="37"/>
  <c r="AF374" i="37"/>
  <c r="AB374" i="37"/>
  <c r="S374" i="37"/>
  <c r="AA374" i="37"/>
  <c r="V374" i="37"/>
  <c r="X374" i="37"/>
  <c r="Z623" i="37"/>
  <c r="R555" i="37"/>
  <c r="R601" i="37"/>
  <c r="R395" i="37"/>
  <c r="AA395" i="37"/>
  <c r="AE395" i="37"/>
  <c r="T395" i="37"/>
  <c r="AB395" i="37"/>
  <c r="Z395" i="37"/>
  <c r="AH395" i="37"/>
  <c r="Y395" i="37"/>
  <c r="Z621" i="37"/>
  <c r="R621" i="37"/>
  <c r="X621" i="37"/>
  <c r="V621" i="37"/>
  <c r="R583" i="37"/>
  <c r="Q583" i="37"/>
  <c r="X583" i="37"/>
  <c r="Z541" i="37"/>
  <c r="T541" i="37"/>
  <c r="Y541" i="37"/>
  <c r="T659" i="37"/>
  <c r="Q657" i="37"/>
  <c r="R651" i="37"/>
  <c r="V651" i="37"/>
  <c r="U425" i="37"/>
  <c r="AD425" i="37"/>
  <c r="S425" i="37"/>
  <c r="Z425" i="37"/>
  <c r="AB425" i="37"/>
  <c r="Y425" i="37"/>
  <c r="U381" i="37"/>
  <c r="AA381" i="37"/>
  <c r="AH381" i="37"/>
  <c r="AB381" i="37"/>
  <c r="AD381" i="37"/>
  <c r="R381" i="37"/>
  <c r="AE327" i="37"/>
  <c r="V327" i="37"/>
  <c r="AA327" i="37"/>
  <c r="AB327" i="37"/>
  <c r="AH327" i="37"/>
  <c r="R327" i="37"/>
  <c r="X327" i="37"/>
  <c r="U327" i="37"/>
  <c r="Y351" i="37"/>
  <c r="V351" i="37"/>
  <c r="Z351" i="37"/>
  <c r="S351" i="37"/>
  <c r="X351" i="37"/>
  <c r="AA351" i="37"/>
  <c r="AG351" i="37"/>
  <c r="T351" i="37"/>
  <c r="V634" i="37"/>
  <c r="P634" i="37"/>
  <c r="W634" i="37"/>
  <c r="Z634" i="37"/>
  <c r="AH375" i="37"/>
  <c r="AE375" i="37"/>
  <c r="V375" i="37"/>
  <c r="AA375" i="37"/>
  <c r="R375" i="37"/>
  <c r="X375" i="37"/>
  <c r="AB375" i="37"/>
  <c r="V619" i="37"/>
  <c r="X619" i="37"/>
  <c r="Q619" i="37"/>
  <c r="S619" i="37"/>
  <c r="P681" i="37"/>
  <c r="S681" i="37"/>
  <c r="Z681" i="37"/>
  <c r="X681" i="37"/>
  <c r="Q681" i="37"/>
  <c r="P684" i="37"/>
  <c r="V684" i="37"/>
  <c r="X684" i="37"/>
  <c r="Y684" i="37"/>
  <c r="R556" i="37"/>
  <c r="V556" i="37"/>
  <c r="T556" i="37"/>
  <c r="W556" i="37"/>
  <c r="T353" i="37"/>
  <c r="R353" i="37"/>
  <c r="Z353" i="37"/>
  <c r="X353" i="37"/>
  <c r="U353" i="37"/>
  <c r="AB353" i="37"/>
  <c r="AD359" i="37"/>
  <c r="AA359" i="37"/>
  <c r="X359" i="37"/>
  <c r="AE359" i="37"/>
  <c r="R359" i="37"/>
  <c r="AG359" i="37"/>
  <c r="AF359" i="37"/>
  <c r="T396" i="37"/>
  <c r="AF396" i="37"/>
  <c r="Y396" i="37"/>
  <c r="AD396" i="37"/>
  <c r="AE396" i="37"/>
  <c r="R396" i="37"/>
  <c r="U396" i="37"/>
  <c r="Z396" i="37"/>
  <c r="AF399" i="37"/>
  <c r="T399" i="37"/>
  <c r="AA399" i="37"/>
  <c r="AE399" i="37"/>
  <c r="V399" i="37"/>
  <c r="AB399" i="37"/>
  <c r="AH399" i="37"/>
  <c r="R399" i="37"/>
  <c r="AA302" i="37"/>
  <c r="AF302" i="37"/>
  <c r="X302" i="37"/>
  <c r="AD302" i="37"/>
  <c r="AH302" i="37"/>
  <c r="AE302" i="37"/>
  <c r="S302" i="37"/>
  <c r="V459" i="37"/>
  <c r="AA306" i="37"/>
  <c r="AF306" i="37"/>
  <c r="V314" i="37"/>
  <c r="AH314" i="37"/>
  <c r="W581" i="37"/>
  <c r="R581" i="37"/>
  <c r="R577" i="37"/>
  <c r="W577" i="37"/>
  <c r="P595" i="37"/>
  <c r="X595" i="37"/>
  <c r="V595" i="37"/>
  <c r="Q595" i="37"/>
  <c r="Z595" i="37"/>
  <c r="W595" i="37"/>
  <c r="S595" i="37"/>
  <c r="T628" i="37"/>
  <c r="Y657" i="37"/>
  <c r="S411" i="37"/>
  <c r="T411" i="37"/>
  <c r="AH411" i="37"/>
  <c r="U411" i="37"/>
  <c r="AB411" i="37"/>
  <c r="AE411" i="37"/>
  <c r="AA411" i="37"/>
  <c r="AA412" i="37"/>
  <c r="V412" i="37"/>
  <c r="U412" i="37"/>
  <c r="R412" i="37"/>
  <c r="AF412" i="37"/>
  <c r="AB412" i="37"/>
  <c r="AD416" i="37"/>
  <c r="X416" i="37"/>
  <c r="AG416" i="37"/>
  <c r="Z416" i="37"/>
  <c r="AA416" i="37"/>
  <c r="S416" i="37"/>
  <c r="X430" i="37"/>
  <c r="AE430" i="37"/>
  <c r="U319" i="37"/>
  <c r="AB319" i="37"/>
  <c r="AA319" i="37"/>
  <c r="Z319" i="37"/>
  <c r="Y319" i="37"/>
  <c r="X389" i="37"/>
  <c r="R389" i="37"/>
  <c r="Z389" i="37"/>
  <c r="AD389" i="37"/>
  <c r="S389" i="37"/>
  <c r="Y389" i="37"/>
  <c r="V389" i="37"/>
  <c r="AB460" i="37"/>
  <c r="Y336" i="37"/>
  <c r="V336" i="37"/>
  <c r="AH336" i="37"/>
  <c r="AA336" i="37"/>
  <c r="U336" i="37"/>
  <c r="AD336" i="37"/>
  <c r="X336" i="37"/>
  <c r="AE315" i="37"/>
  <c r="Z315" i="37"/>
  <c r="T315" i="37"/>
  <c r="AF315" i="37"/>
  <c r="R315" i="37"/>
  <c r="R324" i="37"/>
  <c r="AD324" i="37"/>
  <c r="S324" i="37"/>
  <c r="U324" i="37"/>
  <c r="Y384" i="37"/>
  <c r="AA384" i="37"/>
  <c r="AD384" i="37"/>
  <c r="AE384" i="37"/>
  <c r="X384" i="37"/>
  <c r="AG384" i="37"/>
  <c r="AB384" i="37"/>
  <c r="V384" i="37"/>
  <c r="AH434" i="37"/>
  <c r="U434" i="37"/>
  <c r="AE422" i="37"/>
  <c r="AA422" i="37"/>
  <c r="T449" i="37"/>
  <c r="U449" i="37"/>
  <c r="Z331" i="37"/>
  <c r="S365" i="37"/>
  <c r="T365" i="37"/>
  <c r="AH380" i="37"/>
  <c r="X551" i="37"/>
  <c r="AG492" i="37"/>
  <c r="AB492" i="37"/>
  <c r="AA453" i="37"/>
  <c r="AG453" i="37"/>
  <c r="S560" i="37"/>
  <c r="P560" i="37"/>
  <c r="Z689" i="37"/>
  <c r="X689" i="37"/>
  <c r="R689" i="37"/>
  <c r="W689" i="37"/>
  <c r="P689" i="37"/>
  <c r="Q689" i="37"/>
  <c r="Z671" i="37"/>
  <c r="S671" i="37"/>
  <c r="Y671" i="37"/>
  <c r="W671" i="37"/>
  <c r="P669" i="37"/>
  <c r="R669" i="37"/>
  <c r="S669" i="37"/>
  <c r="AF443" i="37"/>
  <c r="Y443" i="37"/>
  <c r="AH443" i="37"/>
  <c r="T443" i="37"/>
  <c r="AB443" i="37"/>
  <c r="R660" i="37"/>
  <c r="T663" i="37"/>
  <c r="R663" i="37"/>
  <c r="P663" i="37"/>
  <c r="Q663" i="37"/>
  <c r="R772" i="37"/>
  <c r="S772" i="37"/>
  <c r="P772" i="37"/>
  <c r="V772" i="37" s="1"/>
  <c r="T772" i="37"/>
  <c r="Q772" i="37"/>
  <c r="P770" i="37"/>
  <c r="S770" i="37"/>
  <c r="T770" i="37"/>
  <c r="S600" i="37"/>
  <c r="Z600" i="37"/>
  <c r="R615" i="37"/>
  <c r="S615" i="37"/>
  <c r="W615" i="37"/>
  <c r="V615" i="37"/>
  <c r="X615" i="37"/>
  <c r="W638" i="37"/>
  <c r="R638" i="37"/>
  <c r="S638" i="37"/>
  <c r="Z638" i="37"/>
  <c r="P638" i="37"/>
  <c r="V638" i="37"/>
  <c r="W594" i="37"/>
  <c r="Z594" i="37"/>
  <c r="X594" i="37"/>
  <c r="V594" i="37"/>
  <c r="R616" i="37"/>
  <c r="S616" i="37"/>
  <c r="Q616" i="37"/>
  <c r="W616" i="37"/>
  <c r="V616" i="37"/>
  <c r="W611" i="37"/>
  <c r="V611" i="37"/>
  <c r="R611" i="37"/>
  <c r="Z611" i="37"/>
  <c r="X611" i="37"/>
  <c r="Z439" i="37"/>
  <c r="AB439" i="37"/>
  <c r="AB296" i="37"/>
  <c r="AE296" i="37"/>
  <c r="U296" i="37"/>
  <c r="AH296" i="37"/>
  <c r="AF296" i="37"/>
  <c r="R296" i="37"/>
  <c r="V296" i="37"/>
  <c r="Z296" i="37"/>
  <c r="AA318" i="37"/>
  <c r="X439" i="37"/>
  <c r="AE439" i="37"/>
  <c r="R439" i="37"/>
  <c r="AA340" i="37"/>
  <c r="Z340" i="37"/>
  <c r="AA348" i="37"/>
  <c r="V383" i="37"/>
  <c r="AG383" i="37"/>
  <c r="AD383" i="37"/>
  <c r="Y382" i="37"/>
  <c r="AH382" i="37"/>
  <c r="U382" i="37"/>
  <c r="U447" i="37"/>
  <c r="V447" i="37"/>
  <c r="Z318" i="37"/>
  <c r="U318" i="37"/>
  <c r="AH424" i="37"/>
  <c r="AB318" i="37"/>
  <c r="X296" i="37"/>
  <c r="AG296" i="37"/>
  <c r="AE326" i="37"/>
  <c r="U326" i="37"/>
  <c r="AD408" i="37"/>
  <c r="S408" i="37"/>
  <c r="V424" i="37"/>
  <c r="X295" i="37"/>
  <c r="X340" i="37"/>
  <c r="Z404" i="37"/>
  <c r="AH404" i="37"/>
  <c r="S611" i="37"/>
  <c r="Z616" i="37"/>
  <c r="R600" i="37"/>
  <c r="X632" i="37"/>
  <c r="Q594" i="37"/>
  <c r="Z599" i="37"/>
  <c r="P601" i="37"/>
  <c r="Q613" i="37"/>
  <c r="P556" i="37"/>
  <c r="V628" i="37"/>
  <c r="S657" i="37"/>
  <c r="S773" i="37"/>
  <c r="R773" i="37"/>
  <c r="Q773" i="37"/>
  <c r="AF394" i="37"/>
  <c r="AE394" i="37"/>
  <c r="AB394" i="37"/>
  <c r="X394" i="37"/>
  <c r="AF406" i="37"/>
  <c r="AA406" i="37"/>
  <c r="R742" i="37"/>
  <c r="T742" i="37"/>
  <c r="P742" i="37"/>
  <c r="S742" i="37"/>
  <c r="R750" i="37"/>
  <c r="Q750" i="37"/>
  <c r="Q742" i="37"/>
  <c r="P750" i="37"/>
  <c r="P756" i="37"/>
  <c r="Q756" i="37"/>
  <c r="T756" i="37"/>
  <c r="P622" i="37"/>
  <c r="V622" i="37"/>
  <c r="Q622" i="37"/>
  <c r="AH310" i="37"/>
  <c r="AF310" i="37"/>
  <c r="U405" i="37"/>
  <c r="AA402" i="37"/>
  <c r="R402" i="37"/>
  <c r="S685" i="37"/>
  <c r="V685" i="37"/>
  <c r="R685" i="37"/>
  <c r="T685" i="37"/>
  <c r="Y685" i="37"/>
  <c r="T498" i="37"/>
  <c r="AG498" i="37"/>
  <c r="Z498" i="37"/>
  <c r="V498" i="37"/>
  <c r="AF498" i="37"/>
  <c r="AB498" i="37"/>
  <c r="U498" i="37"/>
  <c r="AH498" i="37"/>
  <c r="AA498" i="37"/>
  <c r="Y777" i="37"/>
  <c r="Q777" i="37"/>
  <c r="W777" i="37"/>
  <c r="X777" i="37"/>
  <c r="V777" i="37"/>
  <c r="Z777" i="37"/>
  <c r="S777" i="37"/>
  <c r="R777" i="37"/>
  <c r="T777" i="37"/>
  <c r="P767" i="37"/>
  <c r="T767" i="37"/>
  <c r="S767" i="37"/>
  <c r="S663" i="37"/>
  <c r="R665" i="37"/>
  <c r="Y627" i="37"/>
  <c r="R627" i="37"/>
  <c r="R749" i="37"/>
  <c r="T749" i="37"/>
  <c r="Q749" i="37"/>
  <c r="S778" i="37"/>
  <c r="Q778" i="37"/>
  <c r="Q768" i="37"/>
  <c r="R768" i="37"/>
  <c r="S768" i="37"/>
  <c r="T768" i="37"/>
  <c r="Q741" i="37"/>
  <c r="S764" i="37"/>
  <c r="Q762" i="37"/>
  <c r="P743" i="37"/>
  <c r="AF373" i="37"/>
  <c r="W602" i="37"/>
  <c r="Y665" i="37"/>
  <c r="Q627" i="37"/>
  <c r="Q764" i="37"/>
  <c r="T771" i="37"/>
  <c r="Q746" i="37"/>
  <c r="X746" i="37"/>
  <c r="Z746" i="37"/>
  <c r="S746" i="37"/>
  <c r="P746" i="37"/>
  <c r="Q776" i="37"/>
  <c r="T776" i="37"/>
  <c r="R776" i="37"/>
  <c r="S776" i="37"/>
  <c r="P776" i="37"/>
  <c r="R746" i="37"/>
  <c r="R745" i="37"/>
  <c r="P745" i="37"/>
  <c r="S745" i="37"/>
  <c r="Q743" i="37"/>
  <c r="R762" i="37"/>
  <c r="S749" i="37"/>
  <c r="T758" i="37"/>
  <c r="S743" i="37"/>
  <c r="X293" i="37"/>
  <c r="Y373" i="37"/>
  <c r="Z373" i="37"/>
  <c r="AG373" i="37"/>
  <c r="R373" i="37"/>
  <c r="T338" i="37"/>
  <c r="AA338" i="37"/>
  <c r="Y432" i="37"/>
  <c r="AH432" i="37"/>
  <c r="U432" i="37"/>
  <c r="AF432" i="37"/>
  <c r="S432" i="37"/>
  <c r="AB432" i="37"/>
  <c r="X432" i="37"/>
  <c r="R432" i="37"/>
  <c r="Z432" i="37"/>
  <c r="AD432" i="37"/>
  <c r="R394" i="37"/>
  <c r="AH394" i="37"/>
  <c r="Z394" i="37"/>
  <c r="V394" i="37"/>
  <c r="AG394" i="37"/>
  <c r="AD394" i="37"/>
  <c r="U394" i="37"/>
  <c r="AF323" i="37"/>
  <c r="S323" i="37"/>
  <c r="R323" i="37"/>
  <c r="AA323" i="37"/>
  <c r="AG323" i="37"/>
  <c r="AE323" i="37"/>
  <c r="AH323" i="37"/>
  <c r="AB323" i="37"/>
  <c r="X406" i="37"/>
  <c r="S406" i="37"/>
  <c r="AG406" i="37"/>
  <c r="Z406" i="37"/>
  <c r="R406" i="37"/>
  <c r="T406" i="37"/>
  <c r="AD406" i="37"/>
  <c r="U406" i="37"/>
  <c r="Q714" i="37"/>
  <c r="Y643" i="37"/>
  <c r="S643" i="37"/>
  <c r="W643" i="37"/>
  <c r="X643" i="37"/>
  <c r="V643" i="37"/>
  <c r="R643" i="37"/>
  <c r="P643" i="37"/>
  <c r="S558" i="37"/>
  <c r="X558" i="37"/>
  <c r="R558" i="37"/>
  <c r="P558" i="37"/>
  <c r="Z558" i="37"/>
  <c r="V558" i="37"/>
  <c r="W558" i="37"/>
  <c r="Y558" i="37"/>
  <c r="P653" i="37"/>
  <c r="W653" i="37"/>
  <c r="X653" i="37"/>
  <c r="R653" i="37"/>
  <c r="Q653" i="37"/>
  <c r="T653" i="37"/>
  <c r="Z653" i="37"/>
  <c r="S653" i="37"/>
  <c r="Y650" i="37"/>
  <c r="W650" i="37"/>
  <c r="Q650" i="37"/>
  <c r="P650" i="37"/>
  <c r="T650" i="37"/>
  <c r="Z650" i="37"/>
  <c r="S650" i="37"/>
  <c r="X540" i="37"/>
  <c r="W540" i="37"/>
  <c r="Z540" i="37"/>
  <c r="P540" i="37"/>
  <c r="R540" i="37"/>
  <c r="Q540" i="37"/>
  <c r="T540" i="37"/>
  <c r="V540" i="37"/>
  <c r="S540" i="37"/>
  <c r="Y540" i="37"/>
  <c r="X650" i="37"/>
  <c r="X321" i="37"/>
  <c r="Z321" i="37"/>
  <c r="V321" i="37"/>
  <c r="AH321" i="37"/>
  <c r="U303" i="37"/>
  <c r="R303" i="37"/>
  <c r="T363" i="37"/>
  <c r="R679" i="37"/>
  <c r="S679" i="37"/>
  <c r="T679" i="37"/>
  <c r="Q679" i="37"/>
  <c r="Y694" i="37"/>
  <c r="R694" i="37"/>
  <c r="T694" i="37"/>
  <c r="Q694" i="37"/>
  <c r="Z694" i="37"/>
  <c r="P694" i="37"/>
  <c r="W694" i="37"/>
  <c r="S694" i="37"/>
  <c r="X694" i="37"/>
  <c r="Y625" i="37"/>
  <c r="T625" i="37"/>
  <c r="S625" i="37"/>
  <c r="P625" i="37"/>
  <c r="Z625" i="37"/>
  <c r="Q625" i="37"/>
  <c r="R609" i="37"/>
  <c r="T589" i="37"/>
  <c r="P589" i="37"/>
  <c r="S589" i="37"/>
  <c r="Q589" i="37"/>
  <c r="Q723" i="37"/>
  <c r="Y604" i="37"/>
  <c r="T604" i="37"/>
  <c r="P604" i="37"/>
  <c r="W604" i="37"/>
  <c r="S604" i="37"/>
  <c r="X604" i="37"/>
  <c r="Z568" i="37"/>
  <c r="T568" i="37"/>
  <c r="S568" i="37"/>
  <c r="X568" i="37"/>
  <c r="T612" i="37"/>
  <c r="Y612" i="37"/>
  <c r="W612" i="37"/>
  <c r="V612" i="37"/>
  <c r="R612" i="37"/>
  <c r="R639" i="37"/>
  <c r="S703" i="37"/>
  <c r="Z703" i="37"/>
  <c r="Y703" i="37"/>
  <c r="T703" i="37"/>
  <c r="R703" i="37"/>
  <c r="Q736" i="37"/>
  <c r="P736" i="37"/>
  <c r="S578" i="37"/>
  <c r="P578" i="37"/>
  <c r="Z578" i="37"/>
  <c r="R578" i="37"/>
  <c r="V578" i="37"/>
  <c r="T578" i="37"/>
  <c r="Y578" i="37"/>
  <c r="Q578" i="37"/>
  <c r="W578" i="37"/>
  <c r="Y617" i="37"/>
  <c r="T617" i="37"/>
  <c r="Q617" i="37"/>
  <c r="R617" i="37"/>
  <c r="P617" i="37"/>
  <c r="W617" i="37"/>
  <c r="S617" i="37"/>
  <c r="S542" i="37"/>
  <c r="Q542" i="37"/>
  <c r="Y542" i="37"/>
  <c r="X542" i="37"/>
  <c r="W542" i="37"/>
  <c r="Z542" i="37"/>
  <c r="T542" i="37"/>
  <c r="P542" i="37"/>
  <c r="V542" i="37"/>
  <c r="R542" i="37"/>
  <c r="Y686" i="37"/>
  <c r="V686" i="37"/>
  <c r="Q686" i="37"/>
  <c r="R686" i="37"/>
  <c r="Z686" i="37"/>
  <c r="X686" i="37"/>
  <c r="W686" i="37"/>
  <c r="S686" i="37"/>
  <c r="T686" i="37"/>
  <c r="P686" i="37"/>
  <c r="P719" i="37"/>
  <c r="S730" i="37"/>
  <c r="X640" i="37"/>
  <c r="P640" i="37"/>
  <c r="Z640" i="37"/>
  <c r="Q640" i="37"/>
  <c r="Y640" i="37"/>
  <c r="S640" i="37"/>
  <c r="T640" i="37"/>
  <c r="W640" i="37"/>
  <c r="T624" i="37"/>
  <c r="Y624" i="37"/>
  <c r="Z624" i="37"/>
  <c r="X624" i="37"/>
  <c r="Q624" i="37"/>
  <c r="S546" i="37"/>
  <c r="Q546" i="37"/>
  <c r="Y546" i="37"/>
  <c r="X546" i="37"/>
  <c r="W546" i="37"/>
  <c r="Z546" i="37"/>
  <c r="V546" i="37"/>
  <c r="R546" i="37"/>
  <c r="P546" i="37"/>
  <c r="T546" i="37"/>
  <c r="Q549" i="37"/>
  <c r="T549" i="37"/>
  <c r="P549" i="37"/>
  <c r="Y648" i="37"/>
  <c r="W648" i="37"/>
  <c r="Q648" i="37"/>
  <c r="P648" i="37"/>
  <c r="T648" i="37"/>
  <c r="R648" i="37"/>
  <c r="R557" i="37"/>
  <c r="T557" i="37"/>
  <c r="S557" i="37"/>
  <c r="Z557" i="37"/>
  <c r="P557" i="37"/>
  <c r="Y557" i="37"/>
  <c r="R720" i="37"/>
  <c r="Y646" i="37"/>
  <c r="W646" i="37"/>
  <c r="Q646" i="37"/>
  <c r="P646" i="37"/>
  <c r="T646" i="37"/>
  <c r="V646" i="37"/>
  <c r="R646" i="37"/>
  <c r="X646" i="37"/>
  <c r="Y706" i="37"/>
  <c r="S706" i="37"/>
  <c r="Z706" i="37"/>
  <c r="T706" i="37"/>
  <c r="S696" i="37"/>
  <c r="P696" i="37"/>
  <c r="V696" i="37" s="1"/>
  <c r="Y696" i="37"/>
  <c r="R696" i="37"/>
  <c r="W696" i="37"/>
  <c r="Z696" i="37"/>
  <c r="T696" i="37"/>
  <c r="Q696" i="37"/>
  <c r="X696" i="37"/>
  <c r="T603" i="37"/>
  <c r="Y603" i="37"/>
  <c r="P603" i="37"/>
  <c r="W603" i="37"/>
  <c r="S603" i="37"/>
  <c r="X603" i="37"/>
  <c r="Y653" i="37"/>
  <c r="Y568" i="37"/>
  <c r="R640" i="37"/>
  <c r="AD300" i="37"/>
  <c r="R300" i="37"/>
  <c r="AF300" i="37"/>
  <c r="Z300" i="37"/>
  <c r="S300" i="37"/>
  <c r="AE300" i="37"/>
  <c r="X300" i="37"/>
  <c r="AA300" i="37"/>
  <c r="AB300" i="37"/>
  <c r="V300" i="37"/>
  <c r="R342" i="37"/>
  <c r="AB342" i="37"/>
  <c r="Z342" i="37"/>
  <c r="T342" i="37"/>
  <c r="AH456" i="37"/>
  <c r="AB456" i="37"/>
  <c r="AG456" i="37"/>
  <c r="AD418" i="37"/>
  <c r="T418" i="37"/>
  <c r="AE418" i="37"/>
  <c r="V418" i="37"/>
  <c r="AF418" i="37"/>
  <c r="AH418" i="37"/>
  <c r="T709" i="37"/>
  <c r="Z709" i="37"/>
  <c r="Q709" i="37"/>
  <c r="R709" i="37"/>
  <c r="S709" i="37"/>
  <c r="P709" i="37"/>
  <c r="V709" i="37" s="1"/>
  <c r="P655" i="37"/>
  <c r="S655" i="37"/>
  <c r="Q655" i="37"/>
  <c r="T655" i="37"/>
  <c r="P738" i="37"/>
  <c r="W688" i="37"/>
  <c r="Y688" i="37"/>
  <c r="Q688" i="37"/>
  <c r="P688" i="37"/>
  <c r="X688" i="37"/>
  <c r="R688" i="37"/>
  <c r="S688" i="37"/>
  <c r="Y676" i="37"/>
  <c r="X676" i="37"/>
  <c r="P676" i="37"/>
  <c r="V676" i="37"/>
  <c r="Z676" i="37"/>
  <c r="Q676" i="37"/>
  <c r="W676" i="37"/>
  <c r="S676" i="37"/>
  <c r="P728" i="37"/>
  <c r="Q728" i="37"/>
  <c r="S728" i="37"/>
  <c r="Z680" i="37"/>
  <c r="S680" i="37"/>
  <c r="P680" i="37"/>
  <c r="T680" i="37"/>
  <c r="W680" i="37"/>
  <c r="X680" i="37"/>
  <c r="V680" i="37"/>
  <c r="P642" i="37"/>
  <c r="Q642" i="37"/>
  <c r="T642" i="37"/>
  <c r="Y642" i="37"/>
  <c r="W642" i="37"/>
  <c r="R642" i="37"/>
  <c r="S642" i="37"/>
  <c r="X642" i="37"/>
  <c r="Q739" i="37"/>
  <c r="P739" i="37"/>
  <c r="S739" i="37"/>
  <c r="T571" i="37"/>
  <c r="Y571" i="37"/>
  <c r="V571" i="37"/>
  <c r="Z571" i="37"/>
  <c r="S571" i="37"/>
  <c r="X571" i="37"/>
  <c r="P571" i="37"/>
  <c r="Q571" i="37"/>
  <c r="R571" i="37"/>
  <c r="W571" i="37"/>
  <c r="Y654" i="37"/>
  <c r="W654" i="37"/>
  <c r="Q654" i="37"/>
  <c r="P654" i="37"/>
  <c r="T654" i="37"/>
  <c r="X654" i="37"/>
  <c r="Z654" i="37"/>
  <c r="V654" i="37"/>
  <c r="Y338" i="37"/>
  <c r="Z338" i="37"/>
  <c r="AF338" i="37"/>
  <c r="AD338" i="37"/>
  <c r="S338" i="37"/>
  <c r="X338" i="37"/>
  <c r="U373" i="37"/>
  <c r="AB373" i="37"/>
  <c r="V373" i="37"/>
  <c r="T373" i="37"/>
  <c r="AA373" i="37"/>
  <c r="T335" i="37"/>
  <c r="Z335" i="37"/>
  <c r="AF335" i="37"/>
  <c r="Y335" i="37"/>
  <c r="R335" i="37"/>
  <c r="AA335" i="37"/>
  <c r="AD335" i="37"/>
  <c r="V335" i="37"/>
  <c r="AE335" i="37"/>
  <c r="U293" i="37"/>
  <c r="AH293" i="37"/>
  <c r="V293" i="37"/>
  <c r="AD293" i="37"/>
  <c r="Z293" i="37"/>
  <c r="AG293" i="37"/>
  <c r="AF293" i="37"/>
  <c r="T293" i="37"/>
  <c r="AE293" i="37"/>
  <c r="V642" i="37"/>
  <c r="R680" i="37"/>
  <c r="Q680" i="37"/>
  <c r="Y587" i="37"/>
  <c r="S587" i="37"/>
  <c r="W587" i="37"/>
  <c r="V587" i="37"/>
  <c r="R587" i="37"/>
  <c r="Z587" i="37"/>
  <c r="P587" i="37"/>
  <c r="T587" i="37"/>
  <c r="Q587" i="37"/>
  <c r="X544" i="37"/>
  <c r="W544" i="37"/>
  <c r="Z544" i="37"/>
  <c r="P544" i="37"/>
  <c r="R544" i="37"/>
  <c r="S544" i="37"/>
  <c r="Y544" i="37"/>
  <c r="V544" i="37"/>
  <c r="Q544" i="37"/>
  <c r="T544" i="37"/>
  <c r="AA293" i="37"/>
  <c r="Y293" i="37"/>
  <c r="S373" i="37"/>
  <c r="AB338" i="37"/>
  <c r="U338" i="37"/>
  <c r="V338" i="37"/>
  <c r="Q558" i="37"/>
  <c r="S654" i="37"/>
  <c r="X587" i="37"/>
  <c r="V650" i="37"/>
  <c r="Z642" i="37"/>
  <c r="V617" i="37"/>
  <c r="P712" i="37"/>
  <c r="Q712" i="37"/>
  <c r="R673" i="37"/>
  <c r="T673" i="37"/>
  <c r="P673" i="37"/>
  <c r="W673" i="37"/>
  <c r="V673" i="37"/>
  <c r="Z673" i="37"/>
  <c r="S673" i="37"/>
  <c r="Y673" i="37"/>
  <c r="X673" i="37"/>
  <c r="Y629" i="37"/>
  <c r="T629" i="37"/>
  <c r="V629" i="37"/>
  <c r="Z629" i="37"/>
  <c r="Q629" i="37"/>
  <c r="R629" i="37"/>
  <c r="P711" i="37"/>
  <c r="T711" i="37"/>
  <c r="Z711" i="37"/>
  <c r="R724" i="37"/>
  <c r="T634" i="37"/>
  <c r="Y634" i="37"/>
  <c r="R634" i="37"/>
  <c r="X634" i="37"/>
  <c r="Q634" i="37"/>
  <c r="Y623" i="37"/>
  <c r="T623" i="37"/>
  <c r="P623" i="37"/>
  <c r="V623" i="37"/>
  <c r="R623" i="37"/>
  <c r="S623" i="37"/>
  <c r="W623" i="37"/>
  <c r="S574" i="37"/>
  <c r="P574" i="37"/>
  <c r="Z574" i="37"/>
  <c r="Y574" i="37"/>
  <c r="R574" i="37"/>
  <c r="T574" i="37"/>
  <c r="V574" i="37"/>
  <c r="W574" i="37"/>
  <c r="X574" i="37"/>
  <c r="T656" i="37"/>
  <c r="W656" i="37"/>
  <c r="Y656" i="37"/>
  <c r="Q656" i="37"/>
  <c r="P656" i="37"/>
  <c r="Z656" i="37"/>
  <c r="R656" i="37"/>
  <c r="W672" i="37"/>
  <c r="T672" i="37"/>
  <c r="S672" i="37"/>
  <c r="Z672" i="37"/>
  <c r="X672" i="37"/>
  <c r="Y672" i="37"/>
  <c r="R672" i="37"/>
  <c r="V672" i="37"/>
  <c r="P672" i="37"/>
  <c r="P543" i="37"/>
  <c r="R543" i="37"/>
  <c r="Q543" i="37"/>
  <c r="V543" i="37"/>
  <c r="T543" i="37"/>
  <c r="X543" i="37"/>
  <c r="Y543" i="37"/>
  <c r="W543" i="37"/>
  <c r="R576" i="37"/>
  <c r="T576" i="37"/>
  <c r="S576" i="37"/>
  <c r="P576" i="37"/>
  <c r="V576" i="37" s="1"/>
  <c r="P585" i="37"/>
  <c r="Z585" i="37"/>
  <c r="T585" i="37"/>
  <c r="S585" i="37"/>
  <c r="X585" i="37"/>
  <c r="Y585" i="37"/>
  <c r="Q585" i="37"/>
  <c r="W585" i="37"/>
  <c r="Y608" i="37"/>
  <c r="T608" i="37"/>
  <c r="W608" i="37"/>
  <c r="P608" i="37"/>
  <c r="V608" i="37"/>
  <c r="X608" i="37"/>
  <c r="Y602" i="37"/>
  <c r="T602" i="37"/>
  <c r="X602" i="37"/>
  <c r="Q602" i="37"/>
  <c r="S602" i="37"/>
  <c r="V602" i="37"/>
  <c r="T692" i="37"/>
  <c r="P662" i="37"/>
  <c r="S662" i="37"/>
  <c r="Y662" i="37"/>
  <c r="R662" i="37"/>
  <c r="X662" i="37"/>
  <c r="T662" i="37"/>
  <c r="Q662" i="37"/>
  <c r="W662" i="37"/>
  <c r="V662" i="37"/>
  <c r="P550" i="37"/>
  <c r="R550" i="37"/>
  <c r="V550" i="37"/>
  <c r="T550" i="37"/>
  <c r="W550" i="37"/>
  <c r="Q550" i="37"/>
  <c r="S550" i="37"/>
  <c r="Y550" i="37"/>
  <c r="X550" i="37"/>
  <c r="Z550" i="37"/>
  <c r="T661" i="37"/>
  <c r="T707" i="37"/>
  <c r="Z707" i="37"/>
  <c r="P554" i="37"/>
  <c r="R554" i="37"/>
  <c r="S554" i="37"/>
  <c r="T554" i="37"/>
  <c r="X554" i="37"/>
  <c r="Z554" i="37"/>
  <c r="Y554" i="37"/>
  <c r="T562" i="37"/>
  <c r="Z562" i="37"/>
  <c r="Q562" i="37"/>
  <c r="R605" i="37"/>
  <c r="Q605" i="37"/>
  <c r="P605" i="37"/>
  <c r="S605" i="37"/>
  <c r="T605" i="37"/>
  <c r="T596" i="37"/>
  <c r="Q596" i="37"/>
  <c r="R596" i="37"/>
  <c r="S735" i="37"/>
  <c r="Q735" i="37"/>
  <c r="Y631" i="37"/>
  <c r="T631" i="37"/>
  <c r="Q631" i="37"/>
  <c r="S631" i="37"/>
  <c r="W631" i="37"/>
  <c r="V631" i="37"/>
  <c r="T630" i="37"/>
  <c r="Y630" i="37"/>
  <c r="Q630" i="37"/>
  <c r="P630" i="37"/>
  <c r="V630" i="37"/>
  <c r="R630" i="37"/>
  <c r="S566" i="37"/>
  <c r="Z566" i="37"/>
  <c r="T566" i="37"/>
  <c r="Y566" i="37"/>
  <c r="R566" i="37"/>
  <c r="X566" i="37"/>
  <c r="Q643" i="37"/>
  <c r="V653" i="37"/>
  <c r="R735" i="37"/>
  <c r="T688" i="37"/>
  <c r="V640" i="37"/>
  <c r="V688" i="37"/>
  <c r="T676" i="37"/>
  <c r="T643" i="37"/>
  <c r="Q669" i="37"/>
  <c r="T669" i="37"/>
  <c r="P692" i="37"/>
  <c r="AB293" i="37"/>
  <c r="AH335" i="37"/>
  <c r="R293" i="37"/>
  <c r="AH338" i="37"/>
  <c r="R338" i="37"/>
  <c r="R739" i="37"/>
  <c r="R654" i="37"/>
  <c r="P651" i="37"/>
  <c r="Z651" i="37"/>
  <c r="Y651" i="37"/>
  <c r="W651" i="37"/>
  <c r="T651" i="37"/>
  <c r="Q651" i="37"/>
  <c r="X651" i="37"/>
  <c r="S651" i="37"/>
  <c r="P679" i="37"/>
  <c r="S543" i="37"/>
  <c r="Y680" i="37"/>
  <c r="V492" i="37"/>
  <c r="AF492" i="37"/>
  <c r="Z492" i="37"/>
  <c r="AA492" i="37"/>
  <c r="AA297" i="37"/>
  <c r="T297" i="37"/>
  <c r="AE297" i="37"/>
  <c r="R655" i="37"/>
  <c r="R676" i="37"/>
  <c r="Z643" i="37"/>
  <c r="Z591" i="37"/>
  <c r="X591" i="37"/>
  <c r="Q591" i="37"/>
  <c r="Y591" i="37"/>
  <c r="P591" i="37"/>
  <c r="S591" i="37"/>
  <c r="W591" i="37"/>
  <c r="R591" i="37"/>
  <c r="T591" i="37"/>
  <c r="V591" i="37"/>
  <c r="P658" i="37"/>
  <c r="W658" i="37"/>
  <c r="T658" i="37"/>
  <c r="Q658" i="37"/>
  <c r="Y635" i="37"/>
  <c r="T635" i="37"/>
  <c r="T598" i="37"/>
  <c r="Y597" i="37"/>
  <c r="T597" i="37"/>
  <c r="Y593" i="37"/>
  <c r="T593" i="37"/>
  <c r="R722" i="37"/>
  <c r="Q722" i="37"/>
  <c r="Q732" i="37"/>
  <c r="S732" i="37"/>
  <c r="P732" i="37"/>
  <c r="Y618" i="37"/>
  <c r="T618" i="37"/>
  <c r="Y573" i="37"/>
  <c r="V573" i="37"/>
  <c r="S573" i="37"/>
  <c r="X573" i="37"/>
  <c r="T573" i="37"/>
  <c r="R573" i="37"/>
  <c r="P573" i="37"/>
  <c r="Z573" i="37"/>
  <c r="Q573" i="37"/>
  <c r="Q718" i="37"/>
  <c r="S734" i="37"/>
  <c r="W674" i="37"/>
  <c r="Z674" i="37"/>
  <c r="S674" i="37"/>
  <c r="T674" i="37"/>
  <c r="P674" i="37"/>
  <c r="R674" i="37"/>
  <c r="V674" i="37"/>
  <c r="Y674" i="37"/>
  <c r="X674" i="37"/>
  <c r="Q674" i="37"/>
  <c r="S552" i="37"/>
  <c r="Q552" i="37"/>
  <c r="Y552" i="37"/>
  <c r="X552" i="37"/>
  <c r="W552" i="37"/>
  <c r="Z552" i="37"/>
  <c r="T552" i="37"/>
  <c r="R552" i="37"/>
  <c r="P552" i="37"/>
  <c r="V552" i="37"/>
  <c r="P668" i="37"/>
  <c r="Y652" i="37"/>
  <c r="W652" i="37"/>
  <c r="Q652" i="37"/>
  <c r="P652" i="37"/>
  <c r="T652" i="37"/>
  <c r="S582" i="37"/>
  <c r="Q582" i="37"/>
  <c r="P582" i="37"/>
  <c r="Z582" i="37"/>
  <c r="X582" i="37"/>
  <c r="W582" i="37"/>
  <c r="T582" i="37"/>
  <c r="Y582" i="37"/>
  <c r="R699" i="37"/>
  <c r="T699" i="37"/>
  <c r="X699" i="37"/>
  <c r="S699" i="37"/>
  <c r="Z699" i="37"/>
  <c r="Y699" i="37"/>
  <c r="Q699" i="37"/>
  <c r="R715" i="37"/>
  <c r="T715" i="37"/>
  <c r="Z715" i="37"/>
  <c r="R560" i="37"/>
  <c r="P677" i="37"/>
  <c r="S677" i="37"/>
  <c r="T570" i="37"/>
  <c r="Y570" i="37"/>
  <c r="V570" i="37"/>
  <c r="R570" i="37"/>
  <c r="Z570" i="37"/>
  <c r="P570" i="37"/>
  <c r="S570" i="37"/>
  <c r="R691" i="37"/>
  <c r="P691" i="37"/>
  <c r="X691" i="37"/>
  <c r="Q691" i="37"/>
  <c r="W691" i="37"/>
  <c r="T691" i="37"/>
  <c r="S691" i="37"/>
  <c r="Y691" i="37"/>
  <c r="Z691" i="37"/>
  <c r="Q644" i="37"/>
  <c r="Z644" i="37"/>
  <c r="X671" i="37"/>
  <c r="Y339" i="37"/>
  <c r="X339" i="37"/>
  <c r="Z684" i="37"/>
  <c r="S652" i="37"/>
  <c r="X635" i="37"/>
  <c r="S618" i="37"/>
  <c r="S598" i="37"/>
  <c r="S725" i="37"/>
  <c r="Q725" i="37"/>
  <c r="R725" i="37"/>
  <c r="X559" i="37"/>
  <c r="Y559" i="37"/>
  <c r="P559" i="37"/>
  <c r="R559" i="37"/>
  <c r="Q559" i="37"/>
  <c r="Z559" i="37"/>
  <c r="V559" i="37"/>
  <c r="S559" i="37"/>
  <c r="T559" i="37"/>
  <c r="Y622" i="37"/>
  <c r="T622" i="37"/>
  <c r="S597" i="37"/>
  <c r="R593" i="37"/>
  <c r="AG395" i="37"/>
  <c r="X395" i="37"/>
  <c r="AD310" i="37"/>
  <c r="X310" i="37"/>
  <c r="R658" i="37"/>
  <c r="S658" i="37"/>
  <c r="S622" i="37"/>
  <c r="R622" i="37"/>
  <c r="T575" i="37"/>
  <c r="R575" i="37"/>
  <c r="Y575" i="37"/>
  <c r="V575" i="37"/>
  <c r="W575" i="37"/>
  <c r="P575" i="37"/>
  <c r="Q575" i="37"/>
  <c r="S575" i="37"/>
  <c r="X575" i="37"/>
  <c r="Z575" i="37"/>
  <c r="T599" i="37"/>
  <c r="Y599" i="37"/>
  <c r="Y619" i="37"/>
  <c r="T619" i="37"/>
  <c r="R683" i="37"/>
  <c r="V683" i="37"/>
  <c r="W683" i="37"/>
  <c r="T683" i="37"/>
  <c r="Z683" i="37"/>
  <c r="P683" i="37"/>
  <c r="Y683" i="37"/>
  <c r="Q683" i="37"/>
  <c r="S683" i="37"/>
  <c r="Z556" i="37"/>
  <c r="X556" i="37"/>
  <c r="Y601" i="37"/>
  <c r="T601" i="37"/>
  <c r="T607" i="37"/>
  <c r="Y607" i="37"/>
  <c r="Y647" i="37"/>
  <c r="T647" i="37"/>
  <c r="P647" i="37"/>
  <c r="W647" i="37"/>
  <c r="Q647" i="37"/>
  <c r="T729" i="37"/>
  <c r="T636" i="37"/>
  <c r="Y636" i="37"/>
  <c r="Q665" i="37"/>
  <c r="T665" i="37"/>
  <c r="Y690" i="37"/>
  <c r="R690" i="37"/>
  <c r="P690" i="37"/>
  <c r="V690" i="37" s="1"/>
  <c r="Q690" i="37"/>
  <c r="W690" i="37"/>
  <c r="S690" i="37"/>
  <c r="Z690" i="37"/>
  <c r="X690" i="37"/>
  <c r="T690" i="37"/>
  <c r="S581" i="37"/>
  <c r="P581" i="37"/>
  <c r="Z581" i="37"/>
  <c r="T581" i="37"/>
  <c r="X581" i="37"/>
  <c r="Y581" i="37"/>
  <c r="Q581" i="37"/>
  <c r="Y577" i="37"/>
  <c r="V577" i="37"/>
  <c r="S577" i="37"/>
  <c r="X577" i="37"/>
  <c r="Z577" i="37"/>
  <c r="P577" i="37"/>
  <c r="Q577" i="37"/>
  <c r="T577" i="37"/>
  <c r="Y595" i="37"/>
  <c r="T595" i="37"/>
  <c r="S665" i="37"/>
  <c r="Q645" i="37"/>
  <c r="R633" i="37"/>
  <c r="Z633" i="37"/>
  <c r="W627" i="37"/>
  <c r="Z627" i="37"/>
  <c r="P627" i="37"/>
  <c r="S343" i="37"/>
  <c r="AD343" i="37"/>
  <c r="Y343" i="37"/>
  <c r="P547" i="37"/>
  <c r="Z339" i="37"/>
  <c r="W693" i="37"/>
  <c r="T693" i="37"/>
  <c r="S693" i="37"/>
  <c r="Z693" i="37"/>
  <c r="P693" i="37"/>
  <c r="Q693" i="37"/>
  <c r="Y693" i="37"/>
  <c r="R693" i="37"/>
  <c r="X693" i="37"/>
  <c r="S698" i="37"/>
  <c r="Q698" i="37"/>
  <c r="W649" i="37"/>
  <c r="P649" i="37"/>
  <c r="V660" i="37"/>
  <c r="Y664" i="37"/>
  <c r="P664" i="37"/>
  <c r="Q664" i="37"/>
  <c r="S664" i="37"/>
  <c r="W664" i="37"/>
  <c r="R664" i="37"/>
  <c r="X664" i="37"/>
  <c r="V664" i="37"/>
  <c r="T664" i="37"/>
  <c r="S712" i="37"/>
  <c r="S678" i="37"/>
  <c r="Z678" i="37"/>
  <c r="Y678" i="37"/>
  <c r="V678" i="37"/>
  <c r="R678" i="37"/>
  <c r="P678" i="37"/>
  <c r="W678" i="37"/>
  <c r="Q678" i="37"/>
  <c r="T678" i="37"/>
  <c r="X678" i="37"/>
  <c r="T567" i="37"/>
  <c r="P567" i="37"/>
  <c r="W567" i="37"/>
  <c r="Y567" i="37"/>
  <c r="X567" i="37"/>
  <c r="Q567" i="37"/>
  <c r="R567" i="37"/>
  <c r="Z567" i="37"/>
  <c r="S567" i="37"/>
  <c r="S584" i="37"/>
  <c r="P584" i="37"/>
  <c r="Z584" i="37"/>
  <c r="Y584" i="37"/>
  <c r="T584" i="37"/>
  <c r="R717" i="37"/>
  <c r="P563" i="37"/>
  <c r="Z563" i="37"/>
  <c r="Q563" i="37"/>
  <c r="T563" i="37"/>
  <c r="R563" i="37"/>
  <c r="X563" i="37"/>
  <c r="V563" i="37"/>
  <c r="Y563" i="37"/>
  <c r="W563" i="37"/>
  <c r="S563" i="37"/>
  <c r="T727" i="37"/>
  <c r="P727" i="37"/>
  <c r="T632" i="37"/>
  <c r="Y632" i="37"/>
  <c r="Z561" i="37"/>
  <c r="T561" i="37"/>
  <c r="W682" i="37"/>
  <c r="T682" i="37"/>
  <c r="S682" i="37"/>
  <c r="Z682" i="37"/>
  <c r="X682" i="37"/>
  <c r="Y682" i="37"/>
  <c r="P682" i="37"/>
  <c r="R682" i="37"/>
  <c r="V682" i="37"/>
  <c r="Y670" i="37"/>
  <c r="P670" i="37"/>
  <c r="X670" i="37"/>
  <c r="R670" i="37"/>
  <c r="T670" i="37"/>
  <c r="V670" i="37"/>
  <c r="S670" i="37"/>
  <c r="W670" i="37"/>
  <c r="Z670" i="37"/>
  <c r="Y697" i="37"/>
  <c r="P697" i="37"/>
  <c r="S697" i="37"/>
  <c r="T697" i="37"/>
  <c r="X697" i="37"/>
  <c r="Z697" i="37"/>
  <c r="R697" i="37"/>
  <c r="T579" i="37"/>
  <c r="R579" i="37"/>
  <c r="Y579" i="37"/>
  <c r="V579" i="37"/>
  <c r="Z579" i="37"/>
  <c r="S579" i="37"/>
  <c r="X579" i="37"/>
  <c r="P579" i="37"/>
  <c r="Q579" i="37"/>
  <c r="Y613" i="37"/>
  <c r="T613" i="37"/>
  <c r="Y675" i="37"/>
  <c r="V675" i="37"/>
  <c r="R675" i="37"/>
  <c r="P675" i="37"/>
  <c r="X675" i="37"/>
  <c r="T675" i="37"/>
  <c r="Q675" i="37"/>
  <c r="Z675" i="37"/>
  <c r="S675" i="37"/>
  <c r="W675" i="37"/>
  <c r="W637" i="37"/>
  <c r="X637" i="37"/>
  <c r="P572" i="37"/>
  <c r="Q560" i="37"/>
  <c r="Q556" i="37"/>
  <c r="S551" i="37"/>
  <c r="Z551" i="37"/>
  <c r="Q684" i="37"/>
  <c r="V689" i="37"/>
  <c r="X334" i="37"/>
  <c r="S334" i="37"/>
  <c r="T660" i="37"/>
  <c r="AA322" i="37"/>
  <c r="AF322" i="37"/>
  <c r="V322" i="37"/>
  <c r="AB322" i="37"/>
  <c r="AD322" i="37"/>
  <c r="Z322" i="37"/>
  <c r="Y322" i="37"/>
  <c r="AG322" i="37"/>
  <c r="AH322" i="37"/>
  <c r="AE322" i="37"/>
  <c r="R322" i="37"/>
  <c r="X322" i="37"/>
  <c r="U322" i="37"/>
  <c r="S322" i="37"/>
  <c r="T322" i="37"/>
  <c r="R713" i="37"/>
  <c r="R695" i="37"/>
  <c r="P695" i="37"/>
  <c r="X695" i="37"/>
  <c r="W695" i="37"/>
  <c r="T695" i="37"/>
  <c r="Q695" i="37"/>
  <c r="Y695" i="37"/>
  <c r="S695" i="37"/>
  <c r="Z695" i="37"/>
  <c r="T708" i="37"/>
  <c r="W660" i="37"/>
  <c r="P660" i="37"/>
  <c r="P644" i="37"/>
  <c r="X644" i="37"/>
  <c r="P671" i="37"/>
  <c r="R659" i="37"/>
  <c r="Z659" i="37"/>
  <c r="Q726" i="37"/>
  <c r="R726" i="37"/>
  <c r="Z687" i="37"/>
  <c r="X687" i="37"/>
  <c r="T702" i="37"/>
  <c r="S702" i="37"/>
  <c r="Z702" i="37"/>
  <c r="Q702" i="37"/>
  <c r="Y702" i="37"/>
  <c r="T606" i="37"/>
  <c r="P685" i="37"/>
  <c r="V551" i="37"/>
  <c r="AG339" i="37"/>
  <c r="Y360" i="37"/>
  <c r="Z403" i="37"/>
  <c r="S716" i="37"/>
  <c r="R716" i="37"/>
  <c r="R732" i="37"/>
  <c r="S722" i="37"/>
  <c r="R652" i="37"/>
  <c r="S635" i="37"/>
  <c r="W635" i="37"/>
  <c r="P635" i="37"/>
  <c r="W618" i="37"/>
  <c r="X618" i="37"/>
  <c r="R598" i="37"/>
  <c r="AE374" i="37"/>
  <c r="R599" i="37"/>
  <c r="X601" i="37"/>
  <c r="Q601" i="37"/>
  <c r="R597" i="37"/>
  <c r="V593" i="37"/>
  <c r="W593" i="37"/>
  <c r="Y586" i="37"/>
  <c r="W586" i="37"/>
  <c r="V586" i="37"/>
  <c r="S586" i="37"/>
  <c r="Q586" i="37"/>
  <c r="Z586" i="37"/>
  <c r="P586" i="37"/>
  <c r="X586" i="37"/>
  <c r="T586" i="37"/>
  <c r="Y621" i="37"/>
  <c r="T621" i="37"/>
  <c r="S583" i="37"/>
  <c r="W583" i="37"/>
  <c r="P583" i="37"/>
  <c r="Z583" i="37"/>
  <c r="V583" i="37"/>
  <c r="T583" i="37"/>
  <c r="Y583" i="37"/>
  <c r="X541" i="37"/>
  <c r="W541" i="37"/>
  <c r="P541" i="37"/>
  <c r="Q541" i="37"/>
  <c r="V541" i="37"/>
  <c r="S541" i="37"/>
  <c r="S636" i="37"/>
  <c r="Z619" i="37"/>
  <c r="W619" i="37"/>
  <c r="P619" i="37"/>
  <c r="R607" i="37"/>
  <c r="Q607" i="37"/>
  <c r="Z658" i="37"/>
  <c r="X658" i="37"/>
  <c r="W622" i="37"/>
  <c r="W573" i="37"/>
  <c r="W684" i="37"/>
  <c r="P665" i="37"/>
  <c r="V681" i="37"/>
  <c r="T560" i="37"/>
  <c r="AH339" i="37"/>
  <c r="W681" i="37"/>
  <c r="X665" i="37"/>
  <c r="V665" i="37"/>
  <c r="Y633" i="37"/>
  <c r="Q633" i="37"/>
  <c r="S633" i="37"/>
  <c r="Q733" i="37"/>
  <c r="V627" i="37"/>
  <c r="S627" i="37"/>
  <c r="T569" i="37"/>
  <c r="W569" i="37"/>
  <c r="Y569" i="37"/>
  <c r="V569" i="37"/>
  <c r="Z569" i="37"/>
  <c r="X569" i="37"/>
  <c r="S569" i="37"/>
  <c r="P569" i="37"/>
  <c r="Q569" i="37"/>
  <c r="P565" i="37"/>
  <c r="Y600" i="37"/>
  <c r="Q600" i="37"/>
  <c r="P600" i="37"/>
  <c r="T600" i="37"/>
  <c r="Y615" i="37"/>
  <c r="T615" i="37"/>
  <c r="T638" i="37"/>
  <c r="Y638" i="37"/>
  <c r="T592" i="37"/>
  <c r="Y592" i="37"/>
  <c r="Y705" i="37"/>
  <c r="R705" i="37"/>
  <c r="T705" i="37"/>
  <c r="Z705" i="37"/>
  <c r="S705" i="37"/>
  <c r="P705" i="37"/>
  <c r="T594" i="37"/>
  <c r="Y594" i="37"/>
  <c r="S555" i="37"/>
  <c r="X555" i="37"/>
  <c r="Q555" i="37"/>
  <c r="P555" i="37"/>
  <c r="Y667" i="37"/>
  <c r="W667" i="37"/>
  <c r="T667" i="37"/>
  <c r="Q667" i="37"/>
  <c r="R667" i="37"/>
  <c r="S667" i="37"/>
  <c r="P667" i="37"/>
  <c r="V667" i="37"/>
  <c r="X667" i="37"/>
  <c r="T616" i="37"/>
  <c r="Y616" i="37"/>
  <c r="Y611" i="37"/>
  <c r="T611" i="37"/>
  <c r="Q671" i="37"/>
  <c r="S339" i="37"/>
  <c r="V339" i="37"/>
  <c r="Y637" i="37"/>
  <c r="V637" i="37"/>
  <c r="R637" i="37"/>
  <c r="T572" i="37"/>
  <c r="Q572" i="37"/>
  <c r="Z560" i="37"/>
  <c r="S556" i="37"/>
  <c r="W551" i="37"/>
  <c r="S547" i="37"/>
  <c r="R684" i="37"/>
  <c r="AA339" i="37"/>
  <c r="Y689" i="37"/>
  <c r="R740" i="37"/>
  <c r="T740" i="37"/>
  <c r="S740" i="37"/>
  <c r="Z740" i="37"/>
  <c r="Y740" i="37"/>
  <c r="Y701" i="37"/>
  <c r="R701" i="37"/>
  <c r="Z701" i="37"/>
  <c r="T701" i="37"/>
  <c r="S701" i="37"/>
  <c r="Y614" i="37"/>
  <c r="T614" i="37"/>
  <c r="P641" i="37"/>
  <c r="T641" i="37"/>
  <c r="W641" i="37"/>
  <c r="Y641" i="37"/>
  <c r="Q641" i="37"/>
  <c r="Y610" i="37"/>
  <c r="T610" i="37"/>
  <c r="V545" i="37"/>
  <c r="S545" i="37"/>
  <c r="Q545" i="37"/>
  <c r="P545" i="37"/>
  <c r="W545" i="37"/>
  <c r="X545" i="37"/>
  <c r="V671" i="37"/>
  <c r="T681" i="37"/>
  <c r="X548" i="37"/>
  <c r="W548" i="37"/>
  <c r="P548" i="37"/>
  <c r="R548" i="37"/>
  <c r="S548" i="37"/>
  <c r="V548" i="37"/>
  <c r="T548" i="37"/>
  <c r="Q548" i="37"/>
  <c r="T590" i="37"/>
  <c r="Y666" i="37"/>
  <c r="Q666" i="37"/>
  <c r="R666" i="37"/>
  <c r="X666" i="37"/>
  <c r="P666" i="37"/>
  <c r="W666" i="37"/>
  <c r="T666" i="37"/>
  <c r="S666" i="37"/>
  <c r="V666" i="37"/>
  <c r="Y660" i="37"/>
  <c r="Z660" i="37"/>
  <c r="R644" i="37"/>
  <c r="T671" i="37"/>
  <c r="Y681" i="37"/>
  <c r="S689" i="37"/>
  <c r="P626" i="37" l="1"/>
  <c r="V626" i="37" s="1"/>
  <c r="AD520" i="37"/>
  <c r="AE520" i="37" s="1"/>
  <c r="AF520" i="37" s="1"/>
  <c r="AG520" i="37" s="1"/>
  <c r="AH520" i="37" s="1"/>
  <c r="AE348" i="37"/>
  <c r="AF348" i="37" s="1"/>
  <c r="S626" i="37"/>
  <c r="Q606" i="37"/>
  <c r="W744" i="37"/>
  <c r="X744" i="37" s="1"/>
  <c r="Y744" i="37" s="1"/>
  <c r="Z744" i="37" s="1"/>
  <c r="W761" i="37"/>
  <c r="X761" i="37" s="1"/>
  <c r="W774" i="37"/>
  <c r="X774" i="37" s="1"/>
  <c r="Y774" i="37" s="1"/>
  <c r="X760" i="37"/>
  <c r="Y760" i="37" s="1"/>
  <c r="Z760" i="37" s="1"/>
  <c r="Q765" i="37"/>
  <c r="T765" i="37"/>
  <c r="R606" i="37"/>
  <c r="R747" i="37"/>
  <c r="P747" i="37"/>
  <c r="W757" i="37"/>
  <c r="X757" i="37" s="1"/>
  <c r="X759" i="37"/>
  <c r="Y759" i="37" s="1"/>
  <c r="W755" i="37"/>
  <c r="X755" i="37" s="1"/>
  <c r="Y755" i="37" s="1"/>
  <c r="Z755" i="37" s="1"/>
  <c r="S765" i="37"/>
  <c r="AD341" i="37"/>
  <c r="AE341" i="37" s="1"/>
  <c r="P606" i="37"/>
  <c r="V606" i="37" s="1"/>
  <c r="P765" i="37"/>
  <c r="V765" i="37" s="1"/>
  <c r="W741" i="37"/>
  <c r="X741" i="37" s="1"/>
  <c r="Y741" i="37" s="1"/>
  <c r="W758" i="37"/>
  <c r="X758" i="37" s="1"/>
  <c r="Y758" i="37" s="1"/>
  <c r="Z758" i="37" s="1"/>
  <c r="W763" i="37"/>
  <c r="W769" i="37"/>
  <c r="X769" i="37" s="1"/>
  <c r="Y769" i="37" s="1"/>
  <c r="Z769" i="37" s="1"/>
  <c r="W752" i="37"/>
  <c r="X752" i="37" s="1"/>
  <c r="R626" i="37"/>
  <c r="AD350" i="37"/>
  <c r="AE350" i="37" s="1"/>
  <c r="AF350" i="37" s="1"/>
  <c r="AG350" i="37" s="1"/>
  <c r="AH350" i="37" s="1"/>
  <c r="Q626" i="37"/>
  <c r="W588" i="37"/>
  <c r="X588" i="37" s="1"/>
  <c r="Y588" i="37" s="1"/>
  <c r="W748" i="37"/>
  <c r="X748" i="37" s="1"/>
  <c r="Y748" i="37" s="1"/>
  <c r="W576" i="37"/>
  <c r="X576" i="37" s="1"/>
  <c r="Y576" i="37" s="1"/>
  <c r="Z576" i="37" s="1"/>
  <c r="R564" i="37"/>
  <c r="W598" i="37"/>
  <c r="X598" i="37" s="1"/>
  <c r="Y598" i="37" s="1"/>
  <c r="Z598" i="37" s="1"/>
  <c r="W775" i="37"/>
  <c r="X775" i="37" s="1"/>
  <c r="Y775" i="37" s="1"/>
  <c r="Z775" i="37" s="1"/>
  <c r="AD342" i="37"/>
  <c r="AE342" i="37" s="1"/>
  <c r="AF342" i="37" s="1"/>
  <c r="AG342" i="37" s="1"/>
  <c r="AH342" i="37" s="1"/>
  <c r="P737" i="37"/>
  <c r="V737" i="37" s="1"/>
  <c r="W737" i="37" s="1"/>
  <c r="AD340" i="37"/>
  <c r="AE340" i="37" s="1"/>
  <c r="AF340" i="37" s="1"/>
  <c r="AG340" i="37" s="1"/>
  <c r="AH340" i="37" s="1"/>
  <c r="P597" i="37"/>
  <c r="V597" i="37" s="1"/>
  <c r="W597" i="37" s="1"/>
  <c r="R737" i="37"/>
  <c r="S737" i="37"/>
  <c r="T737" i="37"/>
  <c r="Q754" i="37"/>
  <c r="P754" i="37"/>
  <c r="V754" i="37" s="1"/>
  <c r="R754" i="37"/>
  <c r="W753" i="37"/>
  <c r="X753" i="37" s="1"/>
  <c r="W709" i="37"/>
  <c r="X709" i="37" s="1"/>
  <c r="Y709" i="37" s="1"/>
  <c r="P766" i="37"/>
  <c r="S766" i="37"/>
  <c r="Q766" i="37"/>
  <c r="R766" i="37"/>
  <c r="W731" i="37"/>
  <c r="V732" i="37"/>
  <c r="W732" i="37" s="1"/>
  <c r="X732" i="37" s="1"/>
  <c r="V692" i="37"/>
  <c r="V566" i="37"/>
  <c r="V712" i="37"/>
  <c r="W712" i="37" s="1"/>
  <c r="X712" i="37" s="1"/>
  <c r="Y712" i="37" s="1"/>
  <c r="V728" i="37"/>
  <c r="W728" i="37" s="1"/>
  <c r="V738" i="37"/>
  <c r="X763" i="37"/>
  <c r="Y763" i="37" s="1"/>
  <c r="W768" i="37"/>
  <c r="X768" i="37" s="1"/>
  <c r="Y768" i="37" s="1"/>
  <c r="Z768" i="37" s="1"/>
  <c r="V736" i="37"/>
  <c r="W736" i="37" s="1"/>
  <c r="V705" i="37"/>
  <c r="V697" i="37"/>
  <c r="V693" i="37"/>
  <c r="W779" i="37"/>
  <c r="X779" i="37" s="1"/>
  <c r="V691" i="37"/>
  <c r="V554" i="37"/>
  <c r="V711" i="37"/>
  <c r="V549" i="37"/>
  <c r="V694" i="37"/>
  <c r="V740" i="37"/>
  <c r="V567" i="37"/>
  <c r="V668" i="37"/>
  <c r="V589" i="37"/>
  <c r="W589" i="37" s="1"/>
  <c r="X589" i="37" s="1"/>
  <c r="V669" i="37"/>
  <c r="W669" i="37" s="1"/>
  <c r="X669" i="37" s="1"/>
  <c r="Y669" i="37" s="1"/>
  <c r="Z669" i="37" s="1"/>
  <c r="V663" i="37"/>
  <c r="W663" i="37" s="1"/>
  <c r="X663" i="37" s="1"/>
  <c r="Y663" i="37" s="1"/>
  <c r="Z663" i="37" s="1"/>
  <c r="T639" i="37"/>
  <c r="V743" i="37"/>
  <c r="W743" i="37" s="1"/>
  <c r="X743" i="37" s="1"/>
  <c r="V751" i="37"/>
  <c r="W751" i="37" s="1"/>
  <c r="T718" i="37"/>
  <c r="Q738" i="37"/>
  <c r="P639" i="37"/>
  <c r="S639" i="37"/>
  <c r="P609" i="37"/>
  <c r="W772" i="37"/>
  <c r="X772" i="37" s="1"/>
  <c r="Y772" i="37" s="1"/>
  <c r="S771" i="37"/>
  <c r="Q771" i="37"/>
  <c r="V767" i="37"/>
  <c r="V742" i="37"/>
  <c r="W742" i="37" s="1"/>
  <c r="X742" i="37" s="1"/>
  <c r="Y742" i="37" s="1"/>
  <c r="Z742" i="37" s="1"/>
  <c r="W762" i="37"/>
  <c r="X762" i="37" s="1"/>
  <c r="Y762" i="37" s="1"/>
  <c r="P716" i="37"/>
  <c r="T716" i="37"/>
  <c r="V560" i="37"/>
  <c r="W560" i="37" s="1"/>
  <c r="X560" i="37" s="1"/>
  <c r="Y560" i="37" s="1"/>
  <c r="V750" i="37"/>
  <c r="W750" i="37" s="1"/>
  <c r="T668" i="37"/>
  <c r="Q711" i="37"/>
  <c r="T734" i="37"/>
  <c r="T725" i="37"/>
  <c r="P725" i="37"/>
  <c r="R668" i="37"/>
  <c r="R718" i="37"/>
  <c r="T732" i="37"/>
  <c r="S711" i="37"/>
  <c r="V739" i="37"/>
  <c r="W739" i="37" s="1"/>
  <c r="X739" i="37" s="1"/>
  <c r="Y739" i="37" s="1"/>
  <c r="T739" i="37"/>
  <c r="R738" i="37"/>
  <c r="S738" i="37"/>
  <c r="P703" i="37"/>
  <c r="Q639" i="37"/>
  <c r="Q609" i="37"/>
  <c r="V776" i="37"/>
  <c r="W776" i="37" s="1"/>
  <c r="P764" i="37"/>
  <c r="T764" i="37"/>
  <c r="R771" i="37"/>
  <c r="T778" i="37"/>
  <c r="P778" i="37"/>
  <c r="R767" i="37"/>
  <c r="P773" i="37"/>
  <c r="V770" i="37"/>
  <c r="Q716" i="37"/>
  <c r="W749" i="37"/>
  <c r="X749" i="37" s="1"/>
  <c r="V747" i="37"/>
  <c r="W747" i="37" s="1"/>
  <c r="S668" i="37"/>
  <c r="T738" i="37"/>
  <c r="R736" i="37"/>
  <c r="Q703" i="37"/>
  <c r="V745" i="37"/>
  <c r="W745" i="37" s="1"/>
  <c r="V746" i="37"/>
  <c r="W746" i="37" s="1"/>
  <c r="R764" i="37"/>
  <c r="P771" i="37"/>
  <c r="R778" i="37"/>
  <c r="Q767" i="37"/>
  <c r="V756" i="37"/>
  <c r="W756" i="37" s="1"/>
  <c r="X756" i="37" s="1"/>
  <c r="T773" i="37"/>
  <c r="R770" i="37"/>
  <c r="Q770" i="37"/>
  <c r="V565" i="37"/>
  <c r="R710" i="37"/>
  <c r="S710" i="37"/>
  <c r="T710" i="37"/>
  <c r="P710" i="37"/>
  <c r="P734" i="37"/>
  <c r="R734" i="37"/>
  <c r="S562" i="37"/>
  <c r="P562" i="37"/>
  <c r="R707" i="37"/>
  <c r="P707" i="37"/>
  <c r="R661" i="37"/>
  <c r="R692" i="37"/>
  <c r="P720" i="37"/>
  <c r="T720" i="37"/>
  <c r="T730" i="37"/>
  <c r="R719" i="37"/>
  <c r="T719" i="37"/>
  <c r="S719" i="37"/>
  <c r="Q719" i="37"/>
  <c r="P723" i="37"/>
  <c r="R723" i="37"/>
  <c r="R708" i="37"/>
  <c r="S708" i="37"/>
  <c r="Q708" i="37"/>
  <c r="P708" i="37"/>
  <c r="P700" i="37"/>
  <c r="R700" i="37"/>
  <c r="Q700" i="37"/>
  <c r="T700" i="37"/>
  <c r="V555" i="37"/>
  <c r="W555" i="37" s="1"/>
  <c r="Q580" i="37"/>
  <c r="R580" i="37"/>
  <c r="T580" i="37"/>
  <c r="R721" i="37"/>
  <c r="Q721" i="37"/>
  <c r="T721" i="37"/>
  <c r="S721" i="37"/>
  <c r="Q715" i="37"/>
  <c r="S715" i="37"/>
  <c r="V679" i="37"/>
  <c r="W679" i="37" s="1"/>
  <c r="V557" i="37"/>
  <c r="P714" i="37"/>
  <c r="R714" i="37"/>
  <c r="P701" i="37"/>
  <c r="Q740" i="37"/>
  <c r="Q565" i="37"/>
  <c r="V695" i="37"/>
  <c r="V727" i="37"/>
  <c r="P704" i="37"/>
  <c r="R704" i="37"/>
  <c r="Q701" i="37"/>
  <c r="Q705" i="37"/>
  <c r="S580" i="37"/>
  <c r="P561" i="37"/>
  <c r="S561" i="37"/>
  <c r="Q561" i="37"/>
  <c r="R561" i="37"/>
  <c r="S727" i="37"/>
  <c r="R727" i="37"/>
  <c r="Q727" i="37"/>
  <c r="Q710" i="37"/>
  <c r="V547" i="37"/>
  <c r="W547" i="37" s="1"/>
  <c r="P580" i="37"/>
  <c r="V677" i="37"/>
  <c r="P699" i="37"/>
  <c r="Q668" i="37"/>
  <c r="Q734" i="37"/>
  <c r="T735" i="37"/>
  <c r="R562" i="37"/>
  <c r="S707" i="37"/>
  <c r="S661" i="37"/>
  <c r="P661" i="37"/>
  <c r="S692" i="37"/>
  <c r="R711" i="37"/>
  <c r="Q720" i="37"/>
  <c r="Q557" i="37"/>
  <c r="S549" i="37"/>
  <c r="R549" i="37"/>
  <c r="S723" i="37"/>
  <c r="S609" i="37"/>
  <c r="S714" i="37"/>
  <c r="V600" i="37"/>
  <c r="W600" i="37" s="1"/>
  <c r="X600" i="37" s="1"/>
  <c r="R565" i="37"/>
  <c r="T565" i="37"/>
  <c r="R733" i="37"/>
  <c r="T733" i="37"/>
  <c r="P733" i="37"/>
  <c r="P713" i="37"/>
  <c r="Q713" i="37"/>
  <c r="T713" i="37"/>
  <c r="S713" i="37"/>
  <c r="S733" i="37"/>
  <c r="R706" i="37"/>
  <c r="P706" i="37"/>
  <c r="Q706" i="37"/>
  <c r="P730" i="37"/>
  <c r="R730" i="37"/>
  <c r="W590" i="37"/>
  <c r="Q697" i="37"/>
  <c r="S700" i="37"/>
  <c r="S565" i="37"/>
  <c r="P702" i="37"/>
  <c r="R702" i="37"/>
  <c r="P726" i="37"/>
  <c r="T726" i="37"/>
  <c r="S726" i="37"/>
  <c r="T717" i="37"/>
  <c r="P717" i="37"/>
  <c r="Q717" i="37"/>
  <c r="S717" i="37"/>
  <c r="P698" i="37"/>
  <c r="R698" i="37"/>
  <c r="T698" i="37"/>
  <c r="R645" i="37"/>
  <c r="S645" i="37"/>
  <c r="P645" i="37"/>
  <c r="P729" i="37"/>
  <c r="S729" i="37"/>
  <c r="R729" i="37"/>
  <c r="Q729" i="37"/>
  <c r="P721" i="37"/>
  <c r="S564" i="37"/>
  <c r="T564" i="37"/>
  <c r="T645" i="37"/>
  <c r="Q677" i="37"/>
  <c r="T677" i="37"/>
  <c r="R677" i="37"/>
  <c r="P715" i="37"/>
  <c r="P718" i="37"/>
  <c r="S718" i="37"/>
  <c r="T722" i="37"/>
  <c r="P722" i="37"/>
  <c r="P735" i="37"/>
  <c r="W596" i="37"/>
  <c r="V605" i="37"/>
  <c r="W605" i="37" s="1"/>
  <c r="X605" i="37" s="1"/>
  <c r="Y605" i="37" s="1"/>
  <c r="Z605" i="37" s="1"/>
  <c r="Q554" i="37"/>
  <c r="Q707" i="37"/>
  <c r="Q661" i="37"/>
  <c r="Q692" i="37"/>
  <c r="P724" i="37"/>
  <c r="Q724" i="37"/>
  <c r="T724" i="37"/>
  <c r="S724" i="37"/>
  <c r="Q564" i="37"/>
  <c r="V655" i="37"/>
  <c r="W655" i="37" s="1"/>
  <c r="X655" i="37" s="1"/>
  <c r="Y655" i="37" s="1"/>
  <c r="Z655" i="37" s="1"/>
  <c r="S720" i="37"/>
  <c r="Q730" i="37"/>
  <c r="V719" i="37"/>
  <c r="S736" i="37"/>
  <c r="T736" i="37"/>
  <c r="P568" i="37"/>
  <c r="T723" i="37"/>
  <c r="T609" i="37"/>
  <c r="T714" i="37"/>
  <c r="W765" i="37" l="1"/>
  <c r="X765" i="37" s="1"/>
  <c r="Y765" i="37" s="1"/>
  <c r="W606" i="37"/>
  <c r="X606" i="37" s="1"/>
  <c r="Y606" i="37" s="1"/>
  <c r="X747" i="37"/>
  <c r="W626" i="37"/>
  <c r="X626" i="37" s="1"/>
  <c r="W668" i="37"/>
  <c r="X668" i="37" s="1"/>
  <c r="Y668" i="37" s="1"/>
  <c r="X736" i="37"/>
  <c r="Y736" i="37" s="1"/>
  <c r="Z736" i="37" s="1"/>
  <c r="W754" i="37"/>
  <c r="X754" i="37" s="1"/>
  <c r="W738" i="37"/>
  <c r="X738" i="37" s="1"/>
  <c r="Y738" i="37" s="1"/>
  <c r="Z738" i="37" s="1"/>
  <c r="W770" i="37"/>
  <c r="X770" i="37" s="1"/>
  <c r="Y770" i="37" s="1"/>
  <c r="V766" i="37"/>
  <c r="W766" i="37" s="1"/>
  <c r="W697" i="37"/>
  <c r="Y761" i="37"/>
  <c r="Y757" i="37"/>
  <c r="Z741" i="37"/>
  <c r="V639" i="37"/>
  <c r="W639" i="37" s="1"/>
  <c r="X639" i="37" s="1"/>
  <c r="V717" i="37"/>
  <c r="W717" i="37" s="1"/>
  <c r="X717" i="37" s="1"/>
  <c r="V726" i="37"/>
  <c r="W726" i="37" s="1"/>
  <c r="W705" i="37"/>
  <c r="X705" i="37" s="1"/>
  <c r="Z762" i="37"/>
  <c r="V725" i="37"/>
  <c r="W725" i="37" s="1"/>
  <c r="Z588" i="37"/>
  <c r="V778" i="37"/>
  <c r="W778" i="37" s="1"/>
  <c r="W719" i="37"/>
  <c r="X719" i="37" s="1"/>
  <c r="Y719" i="37" s="1"/>
  <c r="Z719" i="37" s="1"/>
  <c r="V713" i="37"/>
  <c r="W713" i="37" s="1"/>
  <c r="W740" i="37"/>
  <c r="V707" i="37"/>
  <c r="W707" i="37" s="1"/>
  <c r="W692" i="37"/>
  <c r="X692" i="37" s="1"/>
  <c r="Y692" i="37" s="1"/>
  <c r="W549" i="37"/>
  <c r="X549" i="37" s="1"/>
  <c r="Y549" i="37" s="1"/>
  <c r="V609" i="37"/>
  <c r="X737" i="37"/>
  <c r="X731" i="37"/>
  <c r="Z748" i="37"/>
  <c r="X776" i="37"/>
  <c r="Y743" i="37"/>
  <c r="Z739" i="37"/>
  <c r="Y756" i="37"/>
  <c r="X745" i="37"/>
  <c r="V703" i="37"/>
  <c r="W703" i="37" s="1"/>
  <c r="X703" i="37" s="1"/>
  <c r="Y752" i="37"/>
  <c r="V716" i="37"/>
  <c r="W716" i="37" s="1"/>
  <c r="X716" i="37" s="1"/>
  <c r="X751" i="37"/>
  <c r="V773" i="37"/>
  <c r="W773" i="37" s="1"/>
  <c r="V764" i="37"/>
  <c r="W764" i="37" s="1"/>
  <c r="X750" i="37"/>
  <c r="V771" i="37"/>
  <c r="W771" i="37" s="1"/>
  <c r="X771" i="37" s="1"/>
  <c r="Y749" i="37"/>
  <c r="W767" i="37"/>
  <c r="X767" i="37" s="1"/>
  <c r="Y767" i="37" s="1"/>
  <c r="W711" i="37"/>
  <c r="X711" i="37" s="1"/>
  <c r="Y711" i="37" s="1"/>
  <c r="Z774" i="37"/>
  <c r="Z772" i="37"/>
  <c r="Z763" i="37"/>
  <c r="Y779" i="37"/>
  <c r="X728" i="37"/>
  <c r="V564" i="37"/>
  <c r="W677" i="37"/>
  <c r="X677" i="37" s="1"/>
  <c r="V580" i="37"/>
  <c r="W580" i="37" s="1"/>
  <c r="X580" i="37" s="1"/>
  <c r="Y580" i="37" s="1"/>
  <c r="Z580" i="37" s="1"/>
  <c r="X547" i="37"/>
  <c r="V701" i="37"/>
  <c r="W701" i="37" s="1"/>
  <c r="X701" i="37" s="1"/>
  <c r="X679" i="37"/>
  <c r="V720" i="37"/>
  <c r="W720" i="37" s="1"/>
  <c r="X720" i="37" s="1"/>
  <c r="V645" i="37"/>
  <c r="W645" i="37" s="1"/>
  <c r="V730" i="37"/>
  <c r="W730" i="37" s="1"/>
  <c r="X730" i="37" s="1"/>
  <c r="V661" i="37"/>
  <c r="W661" i="37" s="1"/>
  <c r="V708" i="37"/>
  <c r="W708" i="37" s="1"/>
  <c r="V715" i="37"/>
  <c r="W715" i="37" s="1"/>
  <c r="X715" i="37" s="1"/>
  <c r="V568" i="37"/>
  <c r="W568" i="37" s="1"/>
  <c r="X596" i="37"/>
  <c r="V718" i="37"/>
  <c r="W718" i="37" s="1"/>
  <c r="V721" i="37"/>
  <c r="W721" i="37" s="1"/>
  <c r="X721" i="37" s="1"/>
  <c r="V729" i="37"/>
  <c r="W729" i="37" s="1"/>
  <c r="V706" i="37"/>
  <c r="W706" i="37" s="1"/>
  <c r="V733" i="37"/>
  <c r="W733" i="37" s="1"/>
  <c r="W557" i="37"/>
  <c r="V700" i="37"/>
  <c r="W700" i="37" s="1"/>
  <c r="X700" i="37" s="1"/>
  <c r="V723" i="37"/>
  <c r="W723" i="37" s="1"/>
  <c r="V562" i="37"/>
  <c r="W562" i="37" s="1"/>
  <c r="V734" i="37"/>
  <c r="W734" i="37" s="1"/>
  <c r="X734" i="37" s="1"/>
  <c r="Y734" i="37" s="1"/>
  <c r="V710" i="37"/>
  <c r="W710" i="37" s="1"/>
  <c r="Y589" i="37"/>
  <c r="V735" i="37"/>
  <c r="W735" i="37" s="1"/>
  <c r="V561" i="37"/>
  <c r="W561" i="37" s="1"/>
  <c r="V714" i="37"/>
  <c r="W714" i="37" s="1"/>
  <c r="V722" i="37"/>
  <c r="W722" i="37" s="1"/>
  <c r="V724" i="37"/>
  <c r="W724" i="37" s="1"/>
  <c r="X724" i="37" s="1"/>
  <c r="V698" i="37"/>
  <c r="W698" i="37" s="1"/>
  <c r="V702" i="37"/>
  <c r="W702" i="37" s="1"/>
  <c r="X590" i="37"/>
  <c r="Y732" i="37"/>
  <c r="V699" i="37"/>
  <c r="W699" i="37" s="1"/>
  <c r="V704" i="37"/>
  <c r="W704" i="37" s="1"/>
  <c r="W727" i="37"/>
  <c r="W554" i="37"/>
  <c r="W565" i="37"/>
  <c r="X565" i="37" s="1"/>
  <c r="Y565" i="37" s="1"/>
  <c r="Z565" i="37" s="1"/>
  <c r="AF341" i="37"/>
  <c r="AG348" i="37"/>
  <c r="X766" i="37" l="1"/>
  <c r="W564" i="37"/>
  <c r="X564" i="37" s="1"/>
  <c r="X726" i="37"/>
  <c r="Z761" i="37"/>
  <c r="Z757" i="37"/>
  <c r="Y731" i="37"/>
  <c r="Y737" i="37"/>
  <c r="X778" i="37"/>
  <c r="Z765" i="37"/>
  <c r="W609" i="37"/>
  <c r="X725" i="37"/>
  <c r="Y639" i="37"/>
  <c r="Y771" i="37"/>
  <c r="X773" i="37"/>
  <c r="Y776" i="37"/>
  <c r="Z767" i="37"/>
  <c r="Y751" i="37"/>
  <c r="Z752" i="37"/>
  <c r="Y745" i="37"/>
  <c r="Z749" i="37"/>
  <c r="X764" i="37"/>
  <c r="Z743" i="37"/>
  <c r="Y716" i="37"/>
  <c r="Z756" i="37"/>
  <c r="Z770" i="37"/>
  <c r="Z779" i="37"/>
  <c r="X713" i="37"/>
  <c r="X714" i="37"/>
  <c r="X735" i="37"/>
  <c r="X733" i="37"/>
  <c r="X707" i="37"/>
  <c r="X723" i="37"/>
  <c r="Y596" i="37"/>
  <c r="X704" i="37"/>
  <c r="Y590" i="37"/>
  <c r="X702" i="37"/>
  <c r="X561" i="37"/>
  <c r="Z734" i="37"/>
  <c r="X729" i="37"/>
  <c r="Z668" i="37"/>
  <c r="Y715" i="37"/>
  <c r="Y677" i="37"/>
  <c r="Y724" i="37"/>
  <c r="X562" i="37"/>
  <c r="X557" i="37"/>
  <c r="X708" i="37"/>
  <c r="X645" i="37"/>
  <c r="X727" i="37"/>
  <c r="X722" i="37"/>
  <c r="Z589" i="37"/>
  <c r="Y730" i="37"/>
  <c r="Y547" i="37"/>
  <c r="Y626" i="37"/>
  <c r="Z732" i="37"/>
  <c r="X698" i="37"/>
  <c r="Z692" i="37"/>
  <c r="X710" i="37"/>
  <c r="Y700" i="37"/>
  <c r="X706" i="37"/>
  <c r="Y717" i="37"/>
  <c r="Y721" i="37"/>
  <c r="X718" i="37"/>
  <c r="X661" i="37"/>
  <c r="Y720" i="37"/>
  <c r="Y679" i="37"/>
  <c r="Y728" i="37"/>
  <c r="Z549" i="37"/>
  <c r="AH348" i="37"/>
  <c r="AG341" i="37"/>
  <c r="Y766" i="37" l="1"/>
  <c r="Z639" i="37"/>
  <c r="Y725" i="37"/>
  <c r="X609" i="37"/>
  <c r="Z737" i="37"/>
  <c r="Y778" i="37"/>
  <c r="Y726" i="37"/>
  <c r="Z731" i="37"/>
  <c r="Z716" i="37"/>
  <c r="Y773" i="37"/>
  <c r="Z745" i="37"/>
  <c r="Z751" i="37"/>
  <c r="Z776" i="37"/>
  <c r="Z771" i="37"/>
  <c r="Y764" i="37"/>
  <c r="Z700" i="37"/>
  <c r="Z626" i="37"/>
  <c r="Y564" i="37"/>
  <c r="Y707" i="37"/>
  <c r="Y713" i="37"/>
  <c r="Z717" i="37"/>
  <c r="Y708" i="37"/>
  <c r="Z590" i="37"/>
  <c r="Z596" i="37"/>
  <c r="Y661" i="37"/>
  <c r="Z721" i="37"/>
  <c r="Y710" i="37"/>
  <c r="Y562" i="37"/>
  <c r="Z677" i="37"/>
  <c r="Y729" i="37"/>
  <c r="Y733" i="37"/>
  <c r="Y714" i="37"/>
  <c r="Y698" i="37"/>
  <c r="Z724" i="37"/>
  <c r="Y735" i="37"/>
  <c r="Z679" i="37"/>
  <c r="Y718" i="37"/>
  <c r="Z730" i="37"/>
  <c r="Y727" i="37"/>
  <c r="Z728" i="37"/>
  <c r="Z720" i="37"/>
  <c r="Z547" i="37"/>
  <c r="Y722" i="37"/>
  <c r="Y645" i="37"/>
  <c r="Y561" i="37"/>
  <c r="Y723" i="37"/>
  <c r="AH341" i="37"/>
  <c r="Z766" i="37" l="1"/>
  <c r="Z725" i="37"/>
  <c r="Z726" i="37"/>
  <c r="Z778" i="37"/>
  <c r="Y609" i="37"/>
  <c r="Z764" i="37"/>
  <c r="Z773" i="37"/>
  <c r="Z722" i="37"/>
  <c r="Z718" i="37"/>
  <c r="Z735" i="37"/>
  <c r="Z698" i="37"/>
  <c r="Z733" i="37"/>
  <c r="Z729" i="37"/>
  <c r="Z710" i="37"/>
  <c r="Z727" i="37"/>
  <c r="Z723" i="37"/>
  <c r="Z645" i="37"/>
  <c r="Z714" i="37"/>
  <c r="Z661" i="37"/>
  <c r="Z713" i="37"/>
  <c r="Z564" i="37"/>
  <c r="Z609" i="37" l="1"/>
  <c r="J16" i="37" l="1"/>
  <c r="K16" i="37"/>
  <c r="L16" i="37"/>
  <c r="M16" i="37"/>
  <c r="I16" i="37"/>
  <c r="H15" i="37"/>
  <c r="G15" i="37"/>
  <c r="F28" i="37"/>
  <c r="AM506" i="37" l="1"/>
  <c r="AM291" i="37"/>
  <c r="AM426" i="37"/>
  <c r="AM427" i="37"/>
  <c r="AM337" i="37"/>
  <c r="AM354" i="37"/>
  <c r="AE769" i="37"/>
  <c r="AE754" i="37"/>
  <c r="AM441" i="37"/>
  <c r="AM502" i="37"/>
  <c r="AM385" i="37"/>
  <c r="AM310" i="37"/>
  <c r="AM457" i="37"/>
  <c r="AE753" i="37"/>
  <c r="AM345" i="37"/>
  <c r="AM331" i="37"/>
  <c r="AM409" i="37"/>
  <c r="AM366" i="37"/>
  <c r="AE750" i="37"/>
  <c r="AM356" i="37"/>
  <c r="AM292" i="37"/>
  <c r="AM298" i="37"/>
  <c r="AM400" i="37"/>
  <c r="AM458" i="37"/>
  <c r="AM347" i="37"/>
  <c r="AM370" i="37"/>
  <c r="AM346" i="37"/>
  <c r="AM368" i="37"/>
  <c r="AM388" i="37"/>
  <c r="AM355" i="37"/>
  <c r="AM505" i="37"/>
  <c r="AM448" i="37"/>
  <c r="AM344" i="37"/>
  <c r="AM437" i="37"/>
  <c r="AM376" i="37"/>
  <c r="AM343" i="37"/>
  <c r="AE705" i="37"/>
  <c r="AE633" i="37"/>
  <c r="AE636" i="37"/>
  <c r="AE601" i="37"/>
  <c r="AE618" i="37"/>
  <c r="AM492" i="37"/>
  <c r="AE614" i="37"/>
  <c r="AE594" i="37"/>
  <c r="AE593" i="37"/>
  <c r="AM297" i="37"/>
  <c r="AE602" i="37"/>
  <c r="AE648" i="37"/>
  <c r="AE744" i="37"/>
  <c r="AE657" i="37"/>
  <c r="AE624" i="37"/>
  <c r="AM405" i="37"/>
  <c r="AM424" i="37"/>
  <c r="AM352" i="37"/>
  <c r="AE579" i="37"/>
  <c r="AE674" i="37"/>
  <c r="AE706" i="37"/>
  <c r="AE643" i="37"/>
  <c r="AE572" i="37"/>
  <c r="AE689" i="37"/>
  <c r="AE545" i="37"/>
  <c r="AM350" i="37"/>
  <c r="AE675" i="37"/>
  <c r="AE608" i="37"/>
  <c r="AE604" i="37"/>
  <c r="AE746" i="37"/>
  <c r="AM324" i="37"/>
  <c r="AM432" i="37"/>
  <c r="AE758" i="37"/>
  <c r="AM353" i="37"/>
  <c r="AM419" i="37"/>
  <c r="AM349" i="37"/>
  <c r="AM360" i="37"/>
  <c r="AE591" i="37"/>
  <c r="AE597" i="37"/>
  <c r="AE740" i="37"/>
  <c r="AE558" i="37"/>
  <c r="AM384" i="37"/>
  <c r="AM395" i="37"/>
  <c r="AE667" i="37"/>
  <c r="AE567" i="37"/>
  <c r="AE575" i="37"/>
  <c r="AE603" i="37"/>
  <c r="AE696" i="37"/>
  <c r="AE546" i="37"/>
  <c r="AE632" i="37"/>
  <c r="AM342" i="37"/>
  <c r="AE680" i="37"/>
  <c r="AE592" i="37"/>
  <c r="AE585" i="37"/>
  <c r="AE672" i="37"/>
  <c r="AE540" i="37"/>
  <c r="AE653" i="37"/>
  <c r="AE616" i="37"/>
  <c r="AE600" i="37"/>
  <c r="AM319" i="37"/>
  <c r="AE595" i="37"/>
  <c r="AM327" i="37"/>
  <c r="AM340" i="37"/>
  <c r="AM498" i="37"/>
  <c r="AE685" i="37"/>
  <c r="AM520" i="37"/>
  <c r="AE739" i="37"/>
  <c r="AE663" i="37"/>
  <c r="AE588" i="37"/>
  <c r="AE741" i="37"/>
  <c r="AE742" i="37"/>
  <c r="AE598" i="37"/>
  <c r="AE669" i="37"/>
  <c r="AE774" i="37"/>
  <c r="AE768" i="37"/>
  <c r="AE605" i="37"/>
  <c r="AE775" i="37"/>
  <c r="AE655" i="37"/>
  <c r="AE576" i="37"/>
  <c r="AE606" i="37"/>
  <c r="AE589" i="37"/>
  <c r="AE668" i="37"/>
  <c r="AE749" i="37"/>
  <c r="AE765" i="37"/>
  <c r="AM348" i="37"/>
  <c r="AE549" i="37"/>
  <c r="AE732" i="37"/>
  <c r="AE767" i="37"/>
  <c r="AE752" i="37"/>
  <c r="AE719" i="37"/>
  <c r="AE757" i="37"/>
  <c r="AE738" i="37"/>
  <c r="AE734" i="37"/>
  <c r="AE692" i="37"/>
  <c r="AE580" i="37"/>
  <c r="AM341" i="37"/>
  <c r="AE679" i="37"/>
  <c r="AE721" i="37"/>
  <c r="AE626" i="37"/>
  <c r="AE677" i="37"/>
  <c r="AE547" i="37"/>
  <c r="AE715" i="37"/>
  <c r="AE596" i="37"/>
  <c r="AE639" i="37"/>
  <c r="AE728" i="37"/>
  <c r="AE700" i="37"/>
  <c r="AE590" i="37"/>
  <c r="AE716" i="37"/>
  <c r="AE745" i="37"/>
  <c r="AE776" i="37"/>
  <c r="AE737" i="37"/>
  <c r="AE645" i="37"/>
  <c r="AE714" i="37"/>
  <c r="AE773" i="37"/>
  <c r="AE778" i="37"/>
  <c r="AE698" i="37"/>
  <c r="AE661" i="37"/>
  <c r="AE725" i="37"/>
  <c r="AE562" i="37"/>
  <c r="AE713" i="37"/>
  <c r="AE722" i="37"/>
  <c r="AE707" i="37"/>
  <c r="AE609" i="37"/>
  <c r="AK291" i="37"/>
  <c r="AK344" i="37"/>
  <c r="AK405" i="37"/>
  <c r="AK353" i="37"/>
  <c r="AK292" i="37"/>
  <c r="AK298" i="37"/>
  <c r="AK448" i="37"/>
  <c r="AK419" i="37"/>
  <c r="AK376" i="37"/>
  <c r="AC685" i="37"/>
  <c r="AK331" i="37"/>
  <c r="AK355" i="37"/>
  <c r="AC753" i="37"/>
  <c r="AK427" i="37"/>
  <c r="AK385" i="37"/>
  <c r="AK441" i="37"/>
  <c r="AK356" i="37"/>
  <c r="AK310" i="37"/>
  <c r="AC614" i="37"/>
  <c r="AC769" i="37"/>
  <c r="AK400" i="37"/>
  <c r="AK347" i="37"/>
  <c r="AK366" i="37"/>
  <c r="AK370" i="37"/>
  <c r="AK337" i="37"/>
  <c r="AC672" i="37"/>
  <c r="AC593" i="37"/>
  <c r="AC601" i="37"/>
  <c r="AC618" i="37"/>
  <c r="AC579" i="37"/>
  <c r="AC608" i="37"/>
  <c r="AC558" i="37"/>
  <c r="AC603" i="37"/>
  <c r="AC632" i="37"/>
  <c r="AK432" i="37"/>
  <c r="AK324" i="37"/>
  <c r="AK426" i="37"/>
  <c r="AK346" i="37"/>
  <c r="AK354" i="37"/>
  <c r="AC643" i="37"/>
  <c r="AC680" i="37"/>
  <c r="AC657" i="37"/>
  <c r="AC648" i="37"/>
  <c r="AC741" i="37"/>
  <c r="AC616" i="37"/>
  <c r="AK384" i="37"/>
  <c r="AC572" i="37"/>
  <c r="AC598" i="37"/>
  <c r="AC602" i="37"/>
  <c r="AC667" i="37"/>
  <c r="AC633" i="37"/>
  <c r="AK360" i="37"/>
  <c r="AC575" i="37"/>
  <c r="AK297" i="37"/>
  <c r="AC624" i="37"/>
  <c r="AC540" i="37"/>
  <c r="AC752" i="37"/>
  <c r="AC594" i="37"/>
  <c r="AK319" i="37"/>
  <c r="AC592" i="37"/>
  <c r="AC757" i="37"/>
  <c r="AC604" i="37"/>
  <c r="AC689" i="37"/>
  <c r="AK327" i="37"/>
  <c r="AC588" i="37"/>
  <c r="AK437" i="37"/>
  <c r="AK409" i="37"/>
  <c r="AK368" i="37"/>
  <c r="AK345" i="37"/>
  <c r="AK388" i="37"/>
  <c r="AC636" i="37"/>
  <c r="AC675" i="37"/>
  <c r="AC567" i="37"/>
  <c r="AC585" i="37"/>
  <c r="AC696" i="37"/>
  <c r="AC546" i="37"/>
  <c r="AC653" i="37"/>
  <c r="AK395" i="37"/>
  <c r="AK342" i="37"/>
  <c r="AK343" i="37"/>
  <c r="AC595" i="37"/>
  <c r="AC775" i="37"/>
  <c r="AC758" i="37"/>
  <c r="AC744" i="37"/>
  <c r="AC774" i="37"/>
  <c r="AK520" i="37"/>
  <c r="AC674" i="37"/>
  <c r="AK424" i="37"/>
  <c r="AC576" i="37"/>
  <c r="AC545" i="37"/>
  <c r="AC591" i="37"/>
  <c r="AK340" i="37"/>
  <c r="AK350" i="37"/>
  <c r="AC754" i="37"/>
  <c r="AK348" i="37"/>
  <c r="AC547" i="37"/>
  <c r="AC596" i="37"/>
  <c r="AC626" i="37"/>
  <c r="AC679" i="37"/>
  <c r="AC746" i="37"/>
  <c r="AC776" i="37"/>
  <c r="AK341" i="37"/>
  <c r="AC728" i="37"/>
  <c r="AC745" i="37"/>
  <c r="AC765" i="37"/>
  <c r="AC606" i="37"/>
  <c r="AC668" i="37"/>
  <c r="AC655" i="37"/>
  <c r="AC605" i="37"/>
  <c r="AC597" i="37"/>
  <c r="AC750" i="37"/>
  <c r="AC590" i="37"/>
  <c r="AC669" i="37"/>
  <c r="AC737" i="37"/>
  <c r="AC739" i="37"/>
  <c r="AC663" i="37"/>
  <c r="AC749" i="37"/>
  <c r="AC589" i="37"/>
  <c r="AC732" i="37"/>
  <c r="AC742" i="37"/>
  <c r="AC768" i="37"/>
  <c r="AC600" i="37"/>
  <c r="AC707" i="37"/>
  <c r="AC722" i="37"/>
  <c r="AC706" i="37"/>
  <c r="AC645" i="37"/>
  <c r="AC773" i="37"/>
  <c r="AC714" i="37"/>
  <c r="AC692" i="37"/>
  <c r="AC725" i="37"/>
  <c r="AC738" i="37"/>
  <c r="AC580" i="37"/>
  <c r="AC677" i="37"/>
  <c r="AC700" i="37"/>
  <c r="AC716" i="37"/>
  <c r="AC767" i="37"/>
  <c r="AC705" i="37"/>
  <c r="AC713" i="37"/>
  <c r="AC698" i="37"/>
  <c r="AC661" i="37"/>
  <c r="AC549" i="37"/>
  <c r="AC562" i="37"/>
  <c r="AC740" i="37"/>
  <c r="AC778" i="37"/>
  <c r="AC719" i="37"/>
  <c r="AC721" i="37"/>
  <c r="AC715" i="37"/>
  <c r="AC639" i="37"/>
  <c r="AC734" i="37"/>
  <c r="AC609" i="37"/>
  <c r="AJ291" i="37"/>
  <c r="AJ385" i="37"/>
  <c r="AJ400" i="37"/>
  <c r="AJ409" i="37"/>
  <c r="AJ347" i="37"/>
  <c r="AB618" i="37"/>
  <c r="AJ292" i="37"/>
  <c r="AJ405" i="37"/>
  <c r="AJ331" i="37"/>
  <c r="AJ355" i="37"/>
  <c r="AJ370" i="37"/>
  <c r="AJ346" i="37"/>
  <c r="AJ441" i="37"/>
  <c r="AJ368" i="37"/>
  <c r="AB636" i="37"/>
  <c r="AB754" i="37"/>
  <c r="AJ298" i="37"/>
  <c r="AJ437" i="37"/>
  <c r="AJ426" i="37"/>
  <c r="AJ360" i="37"/>
  <c r="AJ354" i="37"/>
  <c r="AJ388" i="37"/>
  <c r="AJ376" i="37"/>
  <c r="AJ345" i="37"/>
  <c r="AB633" i="37"/>
  <c r="AB757" i="37"/>
  <c r="AB769" i="37"/>
  <c r="AB752" i="37"/>
  <c r="AJ344" i="37"/>
  <c r="AJ366" i="37"/>
  <c r="AJ356" i="37"/>
  <c r="AB614" i="37"/>
  <c r="AB753" i="37"/>
  <c r="AJ427" i="37"/>
  <c r="AJ297" i="37"/>
  <c r="AJ419" i="37"/>
  <c r="AB624" i="37"/>
  <c r="AB774" i="37"/>
  <c r="AB590" i="37"/>
  <c r="AB685" i="37"/>
  <c r="AB572" i="37"/>
  <c r="AB579" i="37"/>
  <c r="AB596" i="37"/>
  <c r="AB603" i="37"/>
  <c r="AB675" i="37"/>
  <c r="AB604" i="37"/>
  <c r="AB601" i="37"/>
  <c r="AB598" i="37"/>
  <c r="AB546" i="37"/>
  <c r="AB741" i="37"/>
  <c r="AJ337" i="37"/>
  <c r="AB667" i="37"/>
  <c r="AJ343" i="37"/>
  <c r="AB593" i="37"/>
  <c r="AB575" i="37"/>
  <c r="AJ341" i="37"/>
  <c r="AB585" i="37"/>
  <c r="AB648" i="37"/>
  <c r="AB643" i="37"/>
  <c r="AJ384" i="37"/>
  <c r="AB749" i="37"/>
  <c r="AB591" i="37"/>
  <c r="AJ324" i="37"/>
  <c r="AB632" i="37"/>
  <c r="AJ350" i="37"/>
  <c r="AJ310" i="37"/>
  <c r="AJ348" i="37"/>
  <c r="AB545" i="37"/>
  <c r="AB608" i="37"/>
  <c r="AB576" i="37"/>
  <c r="AB672" i="37"/>
  <c r="AB680" i="37"/>
  <c r="AB558" i="37"/>
  <c r="AB595" i="37"/>
  <c r="AJ353" i="37"/>
  <c r="AJ327" i="37"/>
  <c r="AB594" i="37"/>
  <c r="AJ424" i="37"/>
  <c r="AB758" i="37"/>
  <c r="AB696" i="37"/>
  <c r="AB653" i="37"/>
  <c r="AJ432" i="37"/>
  <c r="AB744" i="37"/>
  <c r="AB588" i="37"/>
  <c r="AB616" i="37"/>
  <c r="AB689" i="37"/>
  <c r="AB592" i="37"/>
  <c r="AJ520" i="37"/>
  <c r="AB768" i="37"/>
  <c r="AB674" i="37"/>
  <c r="AJ342" i="37"/>
  <c r="AB540" i="37"/>
  <c r="AJ395" i="37"/>
  <c r="AJ340" i="37"/>
  <c r="AB775" i="37"/>
  <c r="AB657" i="37"/>
  <c r="AB602" i="37"/>
  <c r="AB668" i="37"/>
  <c r="AB567" i="37"/>
  <c r="AB732" i="37"/>
  <c r="AB677" i="37"/>
  <c r="AB739" i="37"/>
  <c r="AB767" i="37"/>
  <c r="AB589" i="37"/>
  <c r="AB705" i="37"/>
  <c r="AB746" i="37"/>
  <c r="AB655" i="37"/>
  <c r="AB669" i="37"/>
  <c r="AB745" i="37"/>
  <c r="AB742" i="37"/>
  <c r="AB737" i="37"/>
  <c r="AB776" i="37"/>
  <c r="AB740" i="37"/>
  <c r="AB719" i="37"/>
  <c r="AB549" i="37"/>
  <c r="AB728" i="37"/>
  <c r="AB626" i="37"/>
  <c r="AB738" i="37"/>
  <c r="AB692" i="37"/>
  <c r="AB765" i="37"/>
  <c r="AB750" i="37"/>
  <c r="AB597" i="37"/>
  <c r="AB679" i="37"/>
  <c r="AB663" i="37"/>
  <c r="AB600" i="37"/>
  <c r="AB605" i="37"/>
  <c r="AB547" i="37"/>
  <c r="AB606" i="37"/>
  <c r="AB707" i="37"/>
  <c r="AB661" i="37"/>
  <c r="AB716" i="37"/>
  <c r="AB773" i="37"/>
  <c r="AB721" i="37"/>
  <c r="AB725" i="37"/>
  <c r="AB700" i="37"/>
  <c r="AB714" i="37"/>
  <c r="AB713" i="37"/>
  <c r="AB609" i="37"/>
  <c r="AB639" i="37"/>
  <c r="AB778" i="37"/>
  <c r="AB562" i="37"/>
  <c r="AB580" i="37"/>
  <c r="AB698" i="37"/>
  <c r="AB715" i="37"/>
  <c r="AB722" i="37"/>
  <c r="AB734" i="37"/>
  <c r="AB706" i="37"/>
  <c r="AB645" i="37"/>
  <c r="AN506" i="37"/>
  <c r="AN291" i="37"/>
  <c r="AF545" i="37"/>
  <c r="AF754" i="37"/>
  <c r="AN347" i="37"/>
  <c r="AN298" i="37"/>
  <c r="AF753" i="37"/>
  <c r="AN360" i="37"/>
  <c r="AN376" i="37"/>
  <c r="AN467" i="37"/>
  <c r="AN437" i="37"/>
  <c r="AN458" i="37"/>
  <c r="AN385" i="37"/>
  <c r="AN441" i="37"/>
  <c r="AN368" i="37"/>
  <c r="AN354" i="37"/>
  <c r="AN343" i="37"/>
  <c r="AN502" i="37"/>
  <c r="AN505" i="37"/>
  <c r="AN427" i="37"/>
  <c r="AN356" i="37"/>
  <c r="AN349" i="37"/>
  <c r="AN345" i="37"/>
  <c r="AN346" i="37"/>
  <c r="AN292" i="37"/>
  <c r="AN405" i="37"/>
  <c r="AN409" i="37"/>
  <c r="AN331" i="37"/>
  <c r="AN337" i="37"/>
  <c r="AN419" i="37"/>
  <c r="AF750" i="37"/>
  <c r="AN352" i="37"/>
  <c r="AN344" i="37"/>
  <c r="AN457" i="37"/>
  <c r="AN297" i="37"/>
  <c r="AN324" i="37"/>
  <c r="AN358" i="37"/>
  <c r="AN426" i="37"/>
  <c r="AN388" i="37"/>
  <c r="AN520" i="37"/>
  <c r="AF614" i="37"/>
  <c r="AF674" i="37"/>
  <c r="AF593" i="37"/>
  <c r="AF602" i="37"/>
  <c r="AF608" i="37"/>
  <c r="AF572" i="37"/>
  <c r="AF616" i="37"/>
  <c r="AF600" i="37"/>
  <c r="AF595" i="37"/>
  <c r="AF591" i="37"/>
  <c r="AF604" i="37"/>
  <c r="AF769" i="37"/>
  <c r="AF685" i="37"/>
  <c r="AN424" i="37"/>
  <c r="AN459" i="37"/>
  <c r="AN448" i="37"/>
  <c r="AN400" i="37"/>
  <c r="AN370" i="37"/>
  <c r="AF715" i="37"/>
  <c r="AF562" i="37"/>
  <c r="AF585" i="37"/>
  <c r="AF657" i="37"/>
  <c r="AN342" i="37"/>
  <c r="AF667" i="37"/>
  <c r="AF594" i="37"/>
  <c r="AF592" i="37"/>
  <c r="AF606" i="37"/>
  <c r="AF632" i="37"/>
  <c r="AF636" i="37"/>
  <c r="AF597" i="37"/>
  <c r="AF601" i="37"/>
  <c r="AF618" i="37"/>
  <c r="AF648" i="37"/>
  <c r="AF546" i="37"/>
  <c r="AF558" i="37"/>
  <c r="AN432" i="37"/>
  <c r="AF689" i="37"/>
  <c r="AN353" i="37"/>
  <c r="AF603" i="37"/>
  <c r="AF540" i="37"/>
  <c r="AN310" i="37"/>
  <c r="AN319" i="37"/>
  <c r="AN355" i="37"/>
  <c r="AN366" i="37"/>
  <c r="AN492" i="37"/>
  <c r="AF705" i="37"/>
  <c r="AF680" i="37"/>
  <c r="AF706" i="37"/>
  <c r="AF575" i="37"/>
  <c r="AN395" i="37"/>
  <c r="AF675" i="37"/>
  <c r="AF567" i="37"/>
  <c r="AF707" i="37"/>
  <c r="AF653" i="37"/>
  <c r="AN498" i="37"/>
  <c r="AN314" i="37"/>
  <c r="AF672" i="37"/>
  <c r="AF624" i="37"/>
  <c r="AF746" i="37"/>
  <c r="AF633" i="37"/>
  <c r="AF740" i="37"/>
  <c r="AF579" i="37"/>
  <c r="AF643" i="37"/>
  <c r="AF696" i="37"/>
  <c r="AN384" i="37"/>
  <c r="AN327" i="37"/>
  <c r="AN340" i="37"/>
  <c r="AF663" i="37"/>
  <c r="AF758" i="37"/>
  <c r="AF742" i="37"/>
  <c r="AF605" i="37"/>
  <c r="AF598" i="37"/>
  <c r="AF775" i="37"/>
  <c r="AF669" i="37"/>
  <c r="AF576" i="37"/>
  <c r="AF768" i="37"/>
  <c r="AN350" i="37"/>
  <c r="AF655" i="37"/>
  <c r="AF744" i="37"/>
  <c r="AF719" i="37"/>
  <c r="AF739" i="37"/>
  <c r="AF738" i="37"/>
  <c r="AF580" i="37"/>
  <c r="AF588" i="37"/>
  <c r="AF741" i="37"/>
  <c r="AF774" i="37"/>
  <c r="AF734" i="37"/>
  <c r="AF752" i="37"/>
  <c r="AN348" i="37"/>
  <c r="AF692" i="37"/>
  <c r="AF765" i="37"/>
  <c r="AF757" i="37"/>
  <c r="AF549" i="37"/>
  <c r="AF668" i="37"/>
  <c r="AF749" i="37"/>
  <c r="AF767" i="37"/>
  <c r="AF732" i="37"/>
  <c r="AF589" i="37"/>
  <c r="AF639" i="37"/>
  <c r="AF547" i="37"/>
  <c r="AF679" i="37"/>
  <c r="AF596" i="37"/>
  <c r="AF700" i="37"/>
  <c r="AF677" i="37"/>
  <c r="AF626" i="37"/>
  <c r="AF776" i="37"/>
  <c r="AF716" i="37"/>
  <c r="AF737" i="37"/>
  <c r="AF721" i="37"/>
  <c r="AF728" i="37"/>
  <c r="AN341" i="37"/>
  <c r="AF590" i="37"/>
  <c r="AF745" i="37"/>
  <c r="AF661" i="37"/>
  <c r="AF773" i="37"/>
  <c r="AF714" i="37"/>
  <c r="AF725" i="37"/>
  <c r="AF778" i="37"/>
  <c r="AF645" i="37"/>
  <c r="AF698" i="37"/>
  <c r="AF713" i="37"/>
  <c r="AF722" i="37"/>
  <c r="AL291" i="37"/>
  <c r="AD636" i="37"/>
  <c r="AL345" i="37"/>
  <c r="AL370" i="37"/>
  <c r="AL354" i="37"/>
  <c r="AL400" i="37"/>
  <c r="AL409" i="37"/>
  <c r="AL349" i="37"/>
  <c r="AL366" i="37"/>
  <c r="AL360" i="37"/>
  <c r="AL388" i="37"/>
  <c r="AL356" i="37"/>
  <c r="AL405" i="37"/>
  <c r="AL343" i="37"/>
  <c r="AD614" i="37"/>
  <c r="AL355" i="37"/>
  <c r="AL441" i="37"/>
  <c r="AL384" i="37"/>
  <c r="AL437" i="37"/>
  <c r="AL448" i="37"/>
  <c r="AL419" i="37"/>
  <c r="AL376" i="37"/>
  <c r="AL427" i="37"/>
  <c r="AL324" i="37"/>
  <c r="AL346" i="37"/>
  <c r="AL426" i="37"/>
  <c r="AL368" i="37"/>
  <c r="AL337" i="37"/>
  <c r="AL327" i="37"/>
  <c r="AD769" i="37"/>
  <c r="AD545" i="37"/>
  <c r="AD740" i="37"/>
  <c r="AD618" i="37"/>
  <c r="AD633" i="37"/>
  <c r="AD593" i="37"/>
  <c r="AD591" i="37"/>
  <c r="AD585" i="37"/>
  <c r="AD546" i="37"/>
  <c r="AD643" i="37"/>
  <c r="AD774" i="37"/>
  <c r="AD753" i="37"/>
  <c r="AD616" i="37"/>
  <c r="AD758" i="37"/>
  <c r="AD648" i="37"/>
  <c r="AD604" i="37"/>
  <c r="AD540" i="37"/>
  <c r="AD741" i="37"/>
  <c r="AL319" i="37"/>
  <c r="AD595" i="37"/>
  <c r="AD754" i="37"/>
  <c r="AL347" i="37"/>
  <c r="AL492" i="37"/>
  <c r="AD696" i="37"/>
  <c r="AD558" i="37"/>
  <c r="AD592" i="37"/>
  <c r="AD588" i="37"/>
  <c r="AL297" i="37"/>
  <c r="AD608" i="37"/>
  <c r="AD672" i="37"/>
  <c r="AD597" i="37"/>
  <c r="AD567" i="37"/>
  <c r="AD602" i="37"/>
  <c r="AD603" i="37"/>
  <c r="AD685" i="37"/>
  <c r="AL310" i="37"/>
  <c r="AD657" i="37"/>
  <c r="AL424" i="37"/>
  <c r="AD744" i="37"/>
  <c r="AD624" i="37"/>
  <c r="AL331" i="37"/>
  <c r="AL298" i="37"/>
  <c r="AL344" i="37"/>
  <c r="AL385" i="37"/>
  <c r="AL292" i="37"/>
  <c r="AD746" i="37"/>
  <c r="AD579" i="37"/>
  <c r="AL340" i="37"/>
  <c r="AD674" i="37"/>
  <c r="AL342" i="37"/>
  <c r="AD689" i="37"/>
  <c r="AD601" i="37"/>
  <c r="AD572" i="37"/>
  <c r="AD667" i="37"/>
  <c r="AL498" i="37"/>
  <c r="AL353" i="37"/>
  <c r="AD632" i="37"/>
  <c r="AL520" i="37"/>
  <c r="AD594" i="37"/>
  <c r="AD575" i="37"/>
  <c r="AD680" i="37"/>
  <c r="AD653" i="37"/>
  <c r="AL395" i="37"/>
  <c r="AD775" i="37"/>
  <c r="AL350" i="37"/>
  <c r="AD675" i="37"/>
  <c r="AL432" i="37"/>
  <c r="AD765" i="37"/>
  <c r="AD589" i="37"/>
  <c r="AD757" i="37"/>
  <c r="AD576" i="37"/>
  <c r="AD739" i="37"/>
  <c r="AD668" i="37"/>
  <c r="AD669" i="37"/>
  <c r="AD768" i="37"/>
  <c r="AD655" i="37"/>
  <c r="AD598" i="37"/>
  <c r="AD606" i="37"/>
  <c r="AL348" i="37"/>
  <c r="AD600" i="37"/>
  <c r="AD732" i="37"/>
  <c r="AD749" i="37"/>
  <c r="AD752" i="37"/>
  <c r="AD742" i="37"/>
  <c r="AD605" i="37"/>
  <c r="AD663" i="37"/>
  <c r="AD715" i="37"/>
  <c r="AD547" i="37"/>
  <c r="AD626" i="37"/>
  <c r="AD776" i="37"/>
  <c r="AD737" i="37"/>
  <c r="AD700" i="37"/>
  <c r="AD549" i="37"/>
  <c r="AD738" i="37"/>
  <c r="AD692" i="37"/>
  <c r="AD719" i="37"/>
  <c r="AD596" i="37"/>
  <c r="AD679" i="37"/>
  <c r="AD677" i="37"/>
  <c r="AD750" i="37"/>
  <c r="AD716" i="37"/>
  <c r="AD705" i="37"/>
  <c r="AL341" i="37"/>
  <c r="AD590" i="37"/>
  <c r="AD721" i="37"/>
  <c r="AD728" i="37"/>
  <c r="AD745" i="37"/>
  <c r="AD639" i="37"/>
  <c r="AD767" i="37"/>
  <c r="AD734" i="37"/>
  <c r="AD580" i="37"/>
  <c r="AD722" i="37"/>
  <c r="AD773" i="37"/>
  <c r="AD562" i="37"/>
  <c r="AD661" i="37"/>
  <c r="AD706" i="37"/>
  <c r="AD698" i="37"/>
  <c r="AD645" i="37"/>
  <c r="AD714" i="37"/>
  <c r="AD778" i="37"/>
  <c r="AD707" i="37"/>
  <c r="AD713" i="37"/>
  <c r="AD725" i="37"/>
  <c r="AD609" i="37"/>
  <c r="AF609" i="37"/>
  <c r="F25" i="37"/>
  <c r="F22" i="37"/>
  <c r="F19" i="37"/>
  <c r="AB718" i="37" s="1"/>
  <c r="G41" i="37"/>
  <c r="G289" i="37" s="1"/>
  <c r="H41" i="37"/>
  <c r="H289" i="37" s="1"/>
  <c r="I41" i="37"/>
  <c r="L41" i="37"/>
  <c r="M41" i="37"/>
  <c r="G290" i="37"/>
  <c r="H290" i="37"/>
  <c r="I290" i="37"/>
  <c r="L290" i="37"/>
  <c r="M37" i="37"/>
  <c r="L36" i="37"/>
  <c r="K35" i="37"/>
  <c r="J34" i="37"/>
  <c r="I33" i="37"/>
  <c r="H32" i="37"/>
  <c r="G31" i="37"/>
  <c r="F290" i="37"/>
  <c r="R299" i="37" l="1"/>
  <c r="AD726" i="37"/>
  <c r="AD729" i="37"/>
  <c r="AD708" i="37"/>
  <c r="AD723" i="37"/>
  <c r="AD561" i="37"/>
  <c r="AD727" i="37"/>
  <c r="AD557" i="37"/>
  <c r="AD710" i="37"/>
  <c r="AD770" i="37"/>
  <c r="AD730" i="37"/>
  <c r="AD717" i="37"/>
  <c r="AD756" i="37"/>
  <c r="AD747" i="37"/>
  <c r="AD560" i="37"/>
  <c r="AD712" i="37"/>
  <c r="AD581" i="37"/>
  <c r="AD673" i="37"/>
  <c r="AL351" i="37"/>
  <c r="AD766" i="37"/>
  <c r="AD564" i="37"/>
  <c r="AD718" i="37"/>
  <c r="AD702" i="37"/>
  <c r="AD735" i="37"/>
  <c r="AD704" i="37"/>
  <c r="AD565" i="37"/>
  <c r="AD771" i="37"/>
  <c r="AD701" i="37"/>
  <c r="AD711" i="37"/>
  <c r="AD731" i="37"/>
  <c r="AD720" i="37"/>
  <c r="AD709" i="37"/>
  <c r="AD743" i="37"/>
  <c r="AD761" i="37"/>
  <c r="AD772" i="37"/>
  <c r="AD762" i="37"/>
  <c r="AD779" i="37"/>
  <c r="AD763" i="37"/>
  <c r="AD569" i="37"/>
  <c r="AL335" i="37"/>
  <c r="AD699" i="37"/>
  <c r="AD568" i="37"/>
  <c r="AL408" i="37"/>
  <c r="AL396" i="37"/>
  <c r="AD646" i="37"/>
  <c r="AD571" i="37"/>
  <c r="AD634" i="37"/>
  <c r="AD550" i="37"/>
  <c r="AD666" i="37"/>
  <c r="AD613" i="37"/>
  <c r="AL439" i="37"/>
  <c r="AD583" i="37"/>
  <c r="AD556" i="37"/>
  <c r="AD760" i="37"/>
  <c r="AL300" i="37"/>
  <c r="AL315" i="37"/>
  <c r="AL443" i="37"/>
  <c r="AD611" i="37"/>
  <c r="AL338" i="37"/>
  <c r="AD642" i="37"/>
  <c r="AD574" i="37"/>
  <c r="AD678" i="37"/>
  <c r="AD695" i="37"/>
  <c r="AL394" i="37"/>
  <c r="AD628" i="37"/>
  <c r="AL399" i="37"/>
  <c r="AD694" i="37"/>
  <c r="AD688" i="37"/>
  <c r="AD662" i="37"/>
  <c r="AD559" i="37"/>
  <c r="AD664" i="37"/>
  <c r="AD670" i="37"/>
  <c r="AL333" i="37"/>
  <c r="AD619" i="37"/>
  <c r="AL302" i="37"/>
  <c r="AL389" i="37"/>
  <c r="AL318" i="37"/>
  <c r="AL326" i="37"/>
  <c r="AD684" i="37"/>
  <c r="AD552" i="37"/>
  <c r="AL403" i="37"/>
  <c r="AD647" i="37"/>
  <c r="AL406" i="37"/>
  <c r="AL322" i="37"/>
  <c r="AL371" i="37"/>
  <c r="AL362" i="37"/>
  <c r="AL365" i="37"/>
  <c r="AD542" i="37"/>
  <c r="AL451" i="37"/>
  <c r="AL374" i="37"/>
  <c r="AD635" i="37"/>
  <c r="AD622" i="37"/>
  <c r="AL369" i="37"/>
  <c r="AL330" i="37"/>
  <c r="AL402" i="37"/>
  <c r="AL433" i="37"/>
  <c r="AL447" i="37"/>
  <c r="AL445" i="37"/>
  <c r="AL320" i="37"/>
  <c r="AL398" i="37"/>
  <c r="AL336" i="37"/>
  <c r="AL294" i="37"/>
  <c r="AL446" i="37"/>
  <c r="AL414" i="37"/>
  <c r="AL438" i="37"/>
  <c r="AL382" i="37"/>
  <c r="AL435" i="37"/>
  <c r="AD553" i="37"/>
  <c r="AF735" i="37"/>
  <c r="AF724" i="37"/>
  <c r="AF731" i="37"/>
  <c r="AF717" i="37"/>
  <c r="AF720" i="37"/>
  <c r="AF771" i="37"/>
  <c r="AN295" i="37"/>
  <c r="AF556" i="37"/>
  <c r="AF702" i="37"/>
  <c r="AF625" i="37"/>
  <c r="AF571" i="37"/>
  <c r="AF683" i="37"/>
  <c r="AF627" i="37"/>
  <c r="AF642" i="37"/>
  <c r="AF554" i="37"/>
  <c r="AF649" i="37"/>
  <c r="AN529" i="37"/>
  <c r="AF568" i="37"/>
  <c r="AF673" i="37"/>
  <c r="AF691" i="37"/>
  <c r="AF695" i="37"/>
  <c r="AF697" i="37"/>
  <c r="AF660" i="37"/>
  <c r="AF569" i="37"/>
  <c r="AF650" i="37"/>
  <c r="AF582" i="37"/>
  <c r="AN379" i="37"/>
  <c r="AF612" i="37"/>
  <c r="AN447" i="37"/>
  <c r="AF686" i="37"/>
  <c r="AF563" i="37"/>
  <c r="AF631" i="37"/>
  <c r="AF607" i="37"/>
  <c r="AF690" i="37"/>
  <c r="AF708" i="37"/>
  <c r="AF621" i="37"/>
  <c r="AF641" i="37"/>
  <c r="AF581" i="37"/>
  <c r="AF541" i="37"/>
  <c r="AN390" i="37"/>
  <c r="AN455" i="37"/>
  <c r="AN443" i="37"/>
  <c r="AN302" i="37"/>
  <c r="AF640" i="37"/>
  <c r="AF623" i="37"/>
  <c r="AF584" i="37"/>
  <c r="AF611" i="37"/>
  <c r="AF610" i="37"/>
  <c r="AN511" i="37"/>
  <c r="AN371" i="37"/>
  <c r="AN392" i="37"/>
  <c r="AN499" i="37"/>
  <c r="AN438" i="37"/>
  <c r="AN435" i="37"/>
  <c r="AN306" i="37"/>
  <c r="AF759" i="37"/>
  <c r="AN315" i="37"/>
  <c r="AN442" i="37"/>
  <c r="AN334" i="37"/>
  <c r="AN416" i="37"/>
  <c r="AN330" i="37"/>
  <c r="AN320" i="37"/>
  <c r="AB564" i="37"/>
  <c r="AB735" i="37"/>
  <c r="AM389" i="37"/>
  <c r="AM330" i="37"/>
  <c r="AM307" i="37"/>
  <c r="AM433" i="37"/>
  <c r="AM377" i="37"/>
  <c r="AM436" i="37"/>
  <c r="AM440" i="37"/>
  <c r="AM398" i="37"/>
  <c r="AM363" i="37"/>
  <c r="AM329" i="37"/>
  <c r="AM380" i="37"/>
  <c r="AM414" i="37"/>
  <c r="AM438" i="37"/>
  <c r="AM393" i="37"/>
  <c r="AM435" i="37"/>
  <c r="AE687" i="37"/>
  <c r="AM387" i="37"/>
  <c r="AM379" i="37"/>
  <c r="AE747" i="37"/>
  <c r="AM321" i="37"/>
  <c r="AM410" i="37"/>
  <c r="AM367" i="37"/>
  <c r="AM423" i="37"/>
  <c r="AM320" i="37"/>
  <c r="AM334" i="37"/>
  <c r="AM451" i="37"/>
  <c r="AM333" i="37"/>
  <c r="AM392" i="37"/>
  <c r="AM499" i="37"/>
  <c r="AM308" i="37"/>
  <c r="AE548" i="37"/>
  <c r="AE556" i="37"/>
  <c r="AE654" i="37"/>
  <c r="AE627" i="37"/>
  <c r="AE621" i="37"/>
  <c r="AE683" i="37"/>
  <c r="AM456" i="37"/>
  <c r="AE612" i="37"/>
  <c r="AM402" i="37"/>
  <c r="AM326" i="37"/>
  <c r="AM382" i="37"/>
  <c r="AM434" i="37"/>
  <c r="AM375" i="37"/>
  <c r="AM447" i="37"/>
  <c r="AM309" i="37"/>
  <c r="AE584" i="37"/>
  <c r="AE691" i="37"/>
  <c r="AE550" i="37"/>
  <c r="AE673" i="37"/>
  <c r="AE642" i="37"/>
  <c r="AM374" i="37"/>
  <c r="AE582" i="37"/>
  <c r="AE701" i="37"/>
  <c r="AE569" i="37"/>
  <c r="AE665" i="37"/>
  <c r="AE658" i="37"/>
  <c r="AE573" i="37"/>
  <c r="AM300" i="37"/>
  <c r="AE670" i="37"/>
  <c r="AE543" i="37"/>
  <c r="AE656" i="37"/>
  <c r="AM303" i="37"/>
  <c r="AM422" i="37"/>
  <c r="AM416" i="37"/>
  <c r="AM306" i="37"/>
  <c r="AM396" i="37"/>
  <c r="AE617" i="37"/>
  <c r="AE649" i="37"/>
  <c r="AM454" i="37"/>
  <c r="AE666" i="37"/>
  <c r="AE695" i="37"/>
  <c r="AE651" i="37"/>
  <c r="AE694" i="37"/>
  <c r="AE671" i="37"/>
  <c r="AE644" i="37"/>
  <c r="AE586" i="37"/>
  <c r="AM453" i="37"/>
  <c r="AE583" i="37"/>
  <c r="AE678" i="37"/>
  <c r="AE570" i="37"/>
  <c r="AE631" i="37"/>
  <c r="AM373" i="37"/>
  <c r="AM411" i="37"/>
  <c r="AM439" i="37"/>
  <c r="AM404" i="37"/>
  <c r="AE552" i="37"/>
  <c r="AE568" i="37"/>
  <c r="AE615" i="37"/>
  <c r="AE647" i="37"/>
  <c r="AE607" i="37"/>
  <c r="AE684" i="37"/>
  <c r="AM323" i="37"/>
  <c r="AE693" i="37"/>
  <c r="AE574" i="37"/>
  <c r="AM293" i="37"/>
  <c r="AE688" i="37"/>
  <c r="AE703" i="37"/>
  <c r="AE659" i="37"/>
  <c r="AE578" i="37"/>
  <c r="AE638" i="37"/>
  <c r="AM529" i="37"/>
  <c r="AE660" i="37"/>
  <c r="AE560" i="37"/>
  <c r="AE763" i="37"/>
  <c r="AE709" i="37"/>
  <c r="AE761" i="37"/>
  <c r="AE743" i="37"/>
  <c r="AE711" i="37"/>
  <c r="AE736" i="37"/>
  <c r="AE770" i="37"/>
  <c r="AE565" i="37"/>
  <c r="AE731" i="37"/>
  <c r="AE717" i="37"/>
  <c r="AE751" i="37"/>
  <c r="AE730" i="37"/>
  <c r="AE708" i="37"/>
  <c r="AE561" i="37"/>
  <c r="AE766" i="37"/>
  <c r="AE564" i="37"/>
  <c r="AE735" i="37"/>
  <c r="AE710" i="37"/>
  <c r="AE764" i="37"/>
  <c r="AK363" i="37"/>
  <c r="AK440" i="37"/>
  <c r="AK330" i="37"/>
  <c r="AK423" i="37"/>
  <c r="AK333" i="37"/>
  <c r="AK390" i="37"/>
  <c r="AK438" i="37"/>
  <c r="AK433" i="37"/>
  <c r="AK294" i="37"/>
  <c r="AC621" i="37"/>
  <c r="AK305" i="37"/>
  <c r="AK329" i="37"/>
  <c r="AC610" i="37"/>
  <c r="AK379" i="37"/>
  <c r="AC566" i="37"/>
  <c r="AC553" i="37"/>
  <c r="AK428" i="37"/>
  <c r="AK381" i="37"/>
  <c r="AK325" i="37"/>
  <c r="AK362" i="37"/>
  <c r="AK377" i="37"/>
  <c r="AK371" i="37"/>
  <c r="AK369" i="37"/>
  <c r="AC570" i="37"/>
  <c r="AK393" i="37"/>
  <c r="AK386" i="37"/>
  <c r="AK412" i="37"/>
  <c r="AK446" i="37"/>
  <c r="AC687" i="37"/>
  <c r="AC695" i="37"/>
  <c r="AC577" i="37"/>
  <c r="AC559" i="37"/>
  <c r="AC641" i="37"/>
  <c r="AC581" i="37"/>
  <c r="AK443" i="37"/>
  <c r="AK383" i="37"/>
  <c r="AC612" i="37"/>
  <c r="AK394" i="37"/>
  <c r="AC759" i="37"/>
  <c r="AC613" i="37"/>
  <c r="AC569" i="37"/>
  <c r="AC678" i="37"/>
  <c r="AK300" i="37"/>
  <c r="AC694" i="37"/>
  <c r="AK411" i="37"/>
  <c r="AK529" i="37"/>
  <c r="AC548" i="37"/>
  <c r="AK339" i="37"/>
  <c r="AC658" i="37"/>
  <c r="AC656" i="37"/>
  <c r="AC629" i="37"/>
  <c r="AK338" i="37"/>
  <c r="AC671" i="37"/>
  <c r="AC635" i="37"/>
  <c r="AC630" i="37"/>
  <c r="AK382" i="37"/>
  <c r="AK315" i="37"/>
  <c r="AK375" i="37"/>
  <c r="AC584" i="37"/>
  <c r="AC761" i="37"/>
  <c r="AK422" i="37"/>
  <c r="AK416" i="37"/>
  <c r="AC760" i="37"/>
  <c r="AK318" i="37"/>
  <c r="AK373" i="37"/>
  <c r="AC544" i="37"/>
  <c r="AC777" i="37"/>
  <c r="AK396" i="37"/>
  <c r="AC664" i="37"/>
  <c r="AC684" i="37"/>
  <c r="AC582" i="37"/>
  <c r="AC662" i="37"/>
  <c r="AC676" i="37"/>
  <c r="AC646" i="37"/>
  <c r="AC578" i="37"/>
  <c r="AK351" i="37"/>
  <c r="AC659" i="37"/>
  <c r="AC755" i="37"/>
  <c r="AC563" i="37"/>
  <c r="AC622" i="37"/>
  <c r="AK322" i="37"/>
  <c r="AC691" i="37"/>
  <c r="AC550" i="37"/>
  <c r="AC542" i="37"/>
  <c r="AC627" i="37"/>
  <c r="AC681" i="37"/>
  <c r="AC583" i="37"/>
  <c r="AK296" i="37"/>
  <c r="AC637" i="37"/>
  <c r="AC649" i="37"/>
  <c r="AC599" i="37"/>
  <c r="AC631" i="37"/>
  <c r="AC686" i="37"/>
  <c r="AC551" i="37"/>
  <c r="AC748" i="37"/>
  <c r="AC779" i="37"/>
  <c r="AC772" i="37"/>
  <c r="AC756" i="37"/>
  <c r="AC560" i="37"/>
  <c r="AC555" i="37"/>
  <c r="AC751" i="37"/>
  <c r="AC747" i="37"/>
  <c r="AC762" i="37"/>
  <c r="AC702" i="37"/>
  <c r="AC710" i="37"/>
  <c r="AC708" i="37"/>
  <c r="AC726" i="37"/>
  <c r="AC766" i="37"/>
  <c r="AC717" i="37"/>
  <c r="AC727" i="37"/>
  <c r="AC557" i="37"/>
  <c r="AC770" i="37"/>
  <c r="AC735" i="37"/>
  <c r="AC733" i="37"/>
  <c r="AC697" i="37"/>
  <c r="AC730" i="37"/>
  <c r="AC565" i="37"/>
  <c r="AB553" i="37"/>
  <c r="AJ371" i="37"/>
  <c r="AJ363" i="37"/>
  <c r="AJ379" i="37"/>
  <c r="AJ433" i="37"/>
  <c r="AJ401" i="37"/>
  <c r="AJ386" i="37"/>
  <c r="AJ304" i="37"/>
  <c r="AB763" i="37"/>
  <c r="AJ422" i="37"/>
  <c r="AJ365" i="37"/>
  <c r="AJ398" i="37"/>
  <c r="AJ308" i="37"/>
  <c r="AJ329" i="37"/>
  <c r="AJ393" i="37"/>
  <c r="AJ435" i="37"/>
  <c r="AJ387" i="37"/>
  <c r="AJ423" i="37"/>
  <c r="AJ325" i="37"/>
  <c r="AJ362" i="37"/>
  <c r="AJ411" i="37"/>
  <c r="AB760" i="37"/>
  <c r="AB731" i="37"/>
  <c r="AB586" i="37"/>
  <c r="AB660" i="37"/>
  <c r="AB647" i="37"/>
  <c r="AB631" i="37"/>
  <c r="AB571" i="37"/>
  <c r="AB652" i="37"/>
  <c r="AB656" i="37"/>
  <c r="AJ321" i="37"/>
  <c r="AJ430" i="37"/>
  <c r="AB613" i="37"/>
  <c r="AB748" i="37"/>
  <c r="AJ383" i="37"/>
  <c r="AJ396" i="37"/>
  <c r="AJ351" i="37"/>
  <c r="AB678" i="37"/>
  <c r="AJ382" i="37"/>
  <c r="AB552" i="37"/>
  <c r="AB623" i="37"/>
  <c r="AB709" i="37"/>
  <c r="AB772" i="37"/>
  <c r="AB684" i="37"/>
  <c r="AB683" i="37"/>
  <c r="AB651" i="37"/>
  <c r="AB641" i="37"/>
  <c r="AB619" i="37"/>
  <c r="AB649" i="37"/>
  <c r="AB582" i="37"/>
  <c r="AJ293" i="37"/>
  <c r="AB612" i="37"/>
  <c r="AB779" i="37"/>
  <c r="AB621" i="37"/>
  <c r="AB762" i="37"/>
  <c r="AB686" i="37"/>
  <c r="AJ364" i="37"/>
  <c r="AB570" i="37"/>
  <c r="AB574" i="37"/>
  <c r="AJ375" i="37"/>
  <c r="AJ311" i="37"/>
  <c r="AB583" i="37"/>
  <c r="AB627" i="37"/>
  <c r="AB542" i="37"/>
  <c r="AB578" i="37"/>
  <c r="AB681" i="37"/>
  <c r="AJ295" i="37"/>
  <c r="AB629" i="37"/>
  <c r="AB670" i="37"/>
  <c r="AB673" i="37"/>
  <c r="AB654" i="37"/>
  <c r="AB637" i="37"/>
  <c r="AJ302" i="37"/>
  <c r="AB559" i="37"/>
  <c r="AB662" i="37"/>
  <c r="AB640" i="37"/>
  <c r="AJ296" i="37"/>
  <c r="AJ529" i="37"/>
  <c r="AB607" i="37"/>
  <c r="AB563" i="37"/>
  <c r="AB550" i="37"/>
  <c r="AB688" i="37"/>
  <c r="AB646" i="37"/>
  <c r="AJ406" i="37"/>
  <c r="AB611" i="37"/>
  <c r="AB777" i="37"/>
  <c r="AB566" i="37"/>
  <c r="AB554" i="37"/>
  <c r="AB557" i="37"/>
  <c r="AB711" i="37"/>
  <c r="AB712" i="37"/>
  <c r="AB751" i="37"/>
  <c r="AB756" i="37"/>
  <c r="AB736" i="37"/>
  <c r="AB727" i="37"/>
  <c r="AB565" i="37"/>
  <c r="AB694" i="37"/>
  <c r="AB693" i="37"/>
  <c r="AB743" i="37"/>
  <c r="AB555" i="37"/>
  <c r="AB764" i="37"/>
  <c r="AB771" i="37"/>
  <c r="AM418" i="37"/>
  <c r="AM365" i="37"/>
  <c r="AE620" i="37"/>
  <c r="AM445" i="37"/>
  <c r="AM442" i="37"/>
  <c r="AM362" i="37"/>
  <c r="AM364" i="37"/>
  <c r="AM428" i="37"/>
  <c r="AM386" i="37"/>
  <c r="AE553" i="37"/>
  <c r="AM417" i="37"/>
  <c r="AM371" i="37"/>
  <c r="AM294" i="37"/>
  <c r="AM401" i="37"/>
  <c r="AM455" i="37"/>
  <c r="AM446" i="37"/>
  <c r="AM403" i="37"/>
  <c r="AM443" i="37"/>
  <c r="AM430" i="37"/>
  <c r="AM369" i="37"/>
  <c r="AM372" i="37"/>
  <c r="AM305" i="37"/>
  <c r="AM390" i="37"/>
  <c r="AM315" i="37"/>
  <c r="AM325" i="37"/>
  <c r="AE704" i="37"/>
  <c r="AE641" i="37"/>
  <c r="AE555" i="37"/>
  <c r="AE635" i="37"/>
  <c r="AE599" i="37"/>
  <c r="AM335" i="37"/>
  <c r="AE541" i="37"/>
  <c r="AE563" i="37"/>
  <c r="AE622" i="37"/>
  <c r="AE634" i="37"/>
  <c r="AE650" i="37"/>
  <c r="AE777" i="37"/>
  <c r="AM318" i="37"/>
  <c r="AM449" i="37"/>
  <c r="AM399" i="37"/>
  <c r="AE755" i="37"/>
  <c r="AM304" i="37"/>
  <c r="AE690" i="37"/>
  <c r="AE682" i="37"/>
  <c r="AE664" i="37"/>
  <c r="AE662" i="37"/>
  <c r="AE587" i="37"/>
  <c r="AM381" i="37"/>
  <c r="AM295" i="37"/>
  <c r="AE610" i="37"/>
  <c r="AM339" i="37"/>
  <c r="AE577" i="37"/>
  <c r="AE652" i="37"/>
  <c r="AE630" i="37"/>
  <c r="AE551" i="37"/>
  <c r="AE559" i="37"/>
  <c r="AM338" i="37"/>
  <c r="AE625" i="37"/>
  <c r="AM412" i="37"/>
  <c r="AM302" i="37"/>
  <c r="AE646" i="37"/>
  <c r="AM394" i="37"/>
  <c r="AM425" i="37"/>
  <c r="AE697" i="37"/>
  <c r="AM322" i="37"/>
  <c r="AE557" i="37"/>
  <c r="AM336" i="37"/>
  <c r="AM408" i="37"/>
  <c r="AM351" i="37"/>
  <c r="AE581" i="37"/>
  <c r="AM359" i="37"/>
  <c r="AE699" i="37"/>
  <c r="AE623" i="37"/>
  <c r="AE571" i="37"/>
  <c r="AE686" i="37"/>
  <c r="AE613" i="37"/>
  <c r="AE566" i="37"/>
  <c r="AE542" i="37"/>
  <c r="AM296" i="37"/>
  <c r="AE619" i="37"/>
  <c r="AE629" i="37"/>
  <c r="AM383" i="37"/>
  <c r="AE702" i="37"/>
  <c r="AE554" i="37"/>
  <c r="AE544" i="37"/>
  <c r="AE676" i="37"/>
  <c r="AE640" i="37"/>
  <c r="AM406" i="37"/>
  <c r="AM311" i="37"/>
  <c r="AE628" i="37"/>
  <c r="AE760" i="37"/>
  <c r="AE611" i="37"/>
  <c r="AE681" i="37"/>
  <c r="AE637" i="37"/>
  <c r="AE712" i="37"/>
  <c r="AE759" i="37"/>
  <c r="AE772" i="37"/>
  <c r="AE748" i="37"/>
  <c r="AE762" i="37"/>
  <c r="AE779" i="37"/>
  <c r="AE756" i="37"/>
  <c r="AE720" i="37"/>
  <c r="AE771" i="37"/>
  <c r="AE724" i="37"/>
  <c r="AE729" i="37"/>
  <c r="AE718" i="37"/>
  <c r="AE723" i="37"/>
  <c r="AE727" i="37"/>
  <c r="AE733" i="37"/>
  <c r="AE726" i="37"/>
  <c r="AK303" i="37"/>
  <c r="AK417" i="37"/>
  <c r="AK442" i="37"/>
  <c r="AK321" i="37"/>
  <c r="AK403" i="37"/>
  <c r="AK387" i="37"/>
  <c r="AK434" i="37"/>
  <c r="AK445" i="37"/>
  <c r="AK435" i="37"/>
  <c r="AK304" i="37"/>
  <c r="AC620" i="37"/>
  <c r="AK410" i="37"/>
  <c r="AK380" i="37"/>
  <c r="AK401" i="37"/>
  <c r="AK364" i="37"/>
  <c r="AK436" i="37"/>
  <c r="AK402" i="37"/>
  <c r="AK398" i="37"/>
  <c r="AK308" i="37"/>
  <c r="AK392" i="37"/>
  <c r="AK372" i="37"/>
  <c r="AK334" i="37"/>
  <c r="AC665" i="37"/>
  <c r="AC607" i="37"/>
  <c r="AC651" i="37"/>
  <c r="AC574" i="37"/>
  <c r="AK359" i="37"/>
  <c r="AK406" i="37"/>
  <c r="AC763" i="37"/>
  <c r="AC611" i="37"/>
  <c r="AK430" i="37"/>
  <c r="AK367" i="37"/>
  <c r="AK414" i="37"/>
  <c r="AC586" i="37"/>
  <c r="AC693" i="37"/>
  <c r="AC650" i="37"/>
  <c r="AK389" i="37"/>
  <c r="AK447" i="37"/>
  <c r="AK335" i="37"/>
  <c r="AC556" i="37"/>
  <c r="AC644" i="37"/>
  <c r="AC634" i="37"/>
  <c r="AC587" i="37"/>
  <c r="AK418" i="37"/>
  <c r="AC541" i="37"/>
  <c r="AK408" i="37"/>
  <c r="AK365" i="37"/>
  <c r="AC625" i="37"/>
  <c r="AK336" i="37"/>
  <c r="AK399" i="37"/>
  <c r="AK404" i="37"/>
  <c r="AC688" i="37"/>
  <c r="AK295" i="37"/>
  <c r="AC543" i="37"/>
  <c r="AK425" i="37"/>
  <c r="AC683" i="37"/>
  <c r="AC647" i="37"/>
  <c r="AC552" i="37"/>
  <c r="AC654" i="37"/>
  <c r="AC709" i="37"/>
  <c r="AC640" i="37"/>
  <c r="AK323" i="37"/>
  <c r="AK374" i="37"/>
  <c r="AC623" i="37"/>
  <c r="AC682" i="37"/>
  <c r="AC666" i="37"/>
  <c r="AK326" i="37"/>
  <c r="AC673" i="37"/>
  <c r="AK293" i="37"/>
  <c r="AC690" i="37"/>
  <c r="AC652" i="37"/>
  <c r="AC573" i="37"/>
  <c r="AC642" i="37"/>
  <c r="AC617" i="37"/>
  <c r="AK302" i="37"/>
  <c r="AC619" i="37"/>
  <c r="AK439" i="37"/>
  <c r="AC628" i="37"/>
  <c r="AC660" i="37"/>
  <c r="AC615" i="37"/>
  <c r="AC670" i="37"/>
  <c r="AC571" i="37"/>
  <c r="AK311" i="37"/>
  <c r="AC638" i="37"/>
  <c r="AC712" i="37"/>
  <c r="AC736" i="37"/>
  <c r="AC731" i="37"/>
  <c r="AC743" i="37"/>
  <c r="AC699" i="37"/>
  <c r="AC723" i="37"/>
  <c r="AC554" i="37"/>
  <c r="AC718" i="37"/>
  <c r="AC764" i="37"/>
  <c r="AC711" i="37"/>
  <c r="AC701" i="37"/>
  <c r="AC724" i="37"/>
  <c r="AC720" i="37"/>
  <c r="AC561" i="37"/>
  <c r="AC729" i="37"/>
  <c r="AC704" i="37"/>
  <c r="AC568" i="37"/>
  <c r="AC771" i="37"/>
  <c r="AC703" i="37"/>
  <c r="AC564" i="37"/>
  <c r="AJ380" i="37"/>
  <c r="AJ367" i="37"/>
  <c r="AB610" i="37"/>
  <c r="AJ294" i="37"/>
  <c r="AB620" i="37"/>
  <c r="AJ377" i="37"/>
  <c r="AJ392" i="37"/>
  <c r="AJ333" i="37"/>
  <c r="AJ305" i="37"/>
  <c r="AJ434" i="37"/>
  <c r="AJ403" i="37"/>
  <c r="AJ440" i="37"/>
  <c r="AJ414" i="37"/>
  <c r="AJ390" i="37"/>
  <c r="AJ417" i="37"/>
  <c r="AJ438" i="37"/>
  <c r="AJ369" i="37"/>
  <c r="AB687" i="37"/>
  <c r="AJ372" i="37"/>
  <c r="AJ436" i="37"/>
  <c r="AJ330" i="37"/>
  <c r="AB761" i="37"/>
  <c r="AB581" i="37"/>
  <c r="AJ339" i="37"/>
  <c r="AJ418" i="37"/>
  <c r="AJ334" i="37"/>
  <c r="AB584" i="37"/>
  <c r="AJ338" i="37"/>
  <c r="AJ373" i="37"/>
  <c r="AJ315" i="37"/>
  <c r="AJ425" i="37"/>
  <c r="AJ404" i="37"/>
  <c r="AB625" i="37"/>
  <c r="AJ399" i="37"/>
  <c r="AJ359" i="37"/>
  <c r="AB659" i="37"/>
  <c r="AJ410" i="37"/>
  <c r="AB759" i="37"/>
  <c r="AB690" i="37"/>
  <c r="AB548" i="37"/>
  <c r="AJ322" i="37"/>
  <c r="AB543" i="37"/>
  <c r="AB676" i="37"/>
  <c r="AB622" i="37"/>
  <c r="AJ336" i="37"/>
  <c r="AB635" i="37"/>
  <c r="AB569" i="37"/>
  <c r="AB644" i="37"/>
  <c r="AB577" i="37"/>
  <c r="AB658" i="37"/>
  <c r="AJ323" i="37"/>
  <c r="AB556" i="37"/>
  <c r="AJ326" i="37"/>
  <c r="AJ303" i="37"/>
  <c r="AJ402" i="37"/>
  <c r="AJ412" i="37"/>
  <c r="AJ428" i="37"/>
  <c r="AJ439" i="37"/>
  <c r="AB638" i="37"/>
  <c r="AJ416" i="37"/>
  <c r="AJ374" i="37"/>
  <c r="AB666" i="37"/>
  <c r="AB671" i="37"/>
  <c r="AB541" i="37"/>
  <c r="AB573" i="37"/>
  <c r="AB544" i="37"/>
  <c r="AJ300" i="37"/>
  <c r="AB617" i="37"/>
  <c r="AB650" i="37"/>
  <c r="AJ389" i="37"/>
  <c r="AB634" i="37"/>
  <c r="AJ381" i="37"/>
  <c r="AB628" i="37"/>
  <c r="AB664" i="37"/>
  <c r="AJ335" i="37"/>
  <c r="AJ408" i="37"/>
  <c r="AB551" i="37"/>
  <c r="AB665" i="37"/>
  <c r="AB630" i="37"/>
  <c r="AB587" i="37"/>
  <c r="AJ394" i="37"/>
  <c r="AB682" i="37"/>
  <c r="AB642" i="37"/>
  <c r="AB599" i="37"/>
  <c r="AB755" i="37"/>
  <c r="AB615" i="37"/>
  <c r="AB697" i="37"/>
  <c r="AB770" i="37"/>
  <c r="AB695" i="37"/>
  <c r="AB691" i="37"/>
  <c r="AB560" i="37"/>
  <c r="AB747" i="37"/>
  <c r="AB717" i="37"/>
  <c r="AB710" i="37"/>
  <c r="AB701" i="37"/>
  <c r="AB702" i="37"/>
  <c r="AB720" i="37"/>
  <c r="AB726" i="37"/>
  <c r="AB766" i="37"/>
  <c r="AB703" i="37"/>
  <c r="AB723" i="37"/>
  <c r="AB730" i="37"/>
  <c r="AB708" i="37"/>
  <c r="AB724" i="37"/>
  <c r="AF747" i="37"/>
  <c r="AF620" i="37"/>
  <c r="AN313" i="37"/>
  <c r="AN451" i="37"/>
  <c r="AN387" i="37"/>
  <c r="AN464" i="37"/>
  <c r="AN308" i="37"/>
  <c r="AN325" i="37"/>
  <c r="AN463" i="37"/>
  <c r="AN402" i="37"/>
  <c r="AN372" i="37"/>
  <c r="AN422" i="37"/>
  <c r="AF553" i="37"/>
  <c r="AN386" i="37"/>
  <c r="AN428" i="37"/>
  <c r="AN433" i="37"/>
  <c r="AN396" i="37"/>
  <c r="AN364" i="37"/>
  <c r="AN307" i="37"/>
  <c r="AN294" i="37"/>
  <c r="AN449" i="37"/>
  <c r="AN303" i="37"/>
  <c r="AN414" i="37"/>
  <c r="AN446" i="37"/>
  <c r="AN309" i="37"/>
  <c r="AN363" i="37"/>
  <c r="AN359" i="37"/>
  <c r="AN304" i="37"/>
  <c r="AN305" i="37"/>
  <c r="AF666" i="37"/>
  <c r="AF638" i="37"/>
  <c r="AF687" i="37"/>
  <c r="AF652" i="37"/>
  <c r="AF688" i="37"/>
  <c r="AF634" i="37"/>
  <c r="AF599" i="37"/>
  <c r="AF676" i="37"/>
  <c r="AF543" i="37"/>
  <c r="AF703" i="37"/>
  <c r="AN460" i="37"/>
  <c r="AN351" i="37"/>
  <c r="AF646" i="37"/>
  <c r="AN434" i="37"/>
  <c r="AN411" i="37"/>
  <c r="AN425" i="37"/>
  <c r="AF704" i="37"/>
  <c r="AN417" i="37"/>
  <c r="AN406" i="37"/>
  <c r="AF574" i="37"/>
  <c r="AN321" i="37"/>
  <c r="AN326" i="37"/>
  <c r="AF548" i="37"/>
  <c r="AF622" i="37"/>
  <c r="AF566" i="37"/>
  <c r="AF681" i="37"/>
  <c r="AF613" i="37"/>
  <c r="AF665" i="37"/>
  <c r="AF587" i="37"/>
  <c r="AF617" i="37"/>
  <c r="AN318" i="37"/>
  <c r="AN382" i="37"/>
  <c r="AN377" i="37"/>
  <c r="AN394" i="37"/>
  <c r="AF586" i="37"/>
  <c r="AF552" i="37"/>
  <c r="AF711" i="37"/>
  <c r="AN296" i="37"/>
  <c r="AN323" i="37"/>
  <c r="AF701" i="37"/>
  <c r="AF560" i="37"/>
  <c r="AF561" i="37"/>
  <c r="AF619" i="37"/>
  <c r="AF670" i="37"/>
  <c r="AF559" i="37"/>
  <c r="AF651" i="37"/>
  <c r="AF550" i="37"/>
  <c r="AF544" i="37"/>
  <c r="AN335" i="37"/>
  <c r="AF694" i="37"/>
  <c r="AN399" i="37"/>
  <c r="AF555" i="37"/>
  <c r="AF637" i="37"/>
  <c r="AF684" i="37"/>
  <c r="AF658" i="37"/>
  <c r="AN418" i="37"/>
  <c r="AN404" i="37"/>
  <c r="AN381" i="37"/>
  <c r="AF678" i="37"/>
  <c r="AF570" i="37"/>
  <c r="AF573" i="37"/>
  <c r="AN338" i="37"/>
  <c r="AF654" i="37"/>
  <c r="AF709" i="37"/>
  <c r="AF578" i="37"/>
  <c r="AF777" i="37"/>
  <c r="AN336" i="37"/>
  <c r="AN374" i="37"/>
  <c r="AN439" i="37"/>
  <c r="AF693" i="37"/>
  <c r="AN412" i="37"/>
  <c r="AN375" i="37"/>
  <c r="AF644" i="37"/>
  <c r="AN408" i="37"/>
  <c r="AF772" i="37"/>
  <c r="AF763" i="37"/>
  <c r="AF565" i="37"/>
  <c r="AF748" i="37"/>
  <c r="AF743" i="37"/>
  <c r="AF770" i="37"/>
  <c r="AF761" i="37"/>
  <c r="AF730" i="37"/>
  <c r="AF751" i="37"/>
  <c r="AF718" i="37"/>
  <c r="AF729" i="37"/>
  <c r="AF766" i="37"/>
  <c r="AF710" i="37"/>
  <c r="AF764" i="37"/>
  <c r="AF726" i="37"/>
  <c r="AF723" i="37"/>
  <c r="AL410" i="37"/>
  <c r="AD610" i="37"/>
  <c r="AL381" i="37"/>
  <c r="AL380" i="37"/>
  <c r="AL364" i="37"/>
  <c r="AL367" i="37"/>
  <c r="AL303" i="37"/>
  <c r="AL417" i="37"/>
  <c r="AL329" i="37"/>
  <c r="AL393" i="37"/>
  <c r="AL377" i="37"/>
  <c r="AD631" i="37"/>
  <c r="AL442" i="37"/>
  <c r="AL386" i="37"/>
  <c r="AL392" i="37"/>
  <c r="AD625" i="37"/>
  <c r="AL428" i="37"/>
  <c r="AL390" i="37"/>
  <c r="AL304" i="37"/>
  <c r="AL436" i="37"/>
  <c r="AL423" i="37"/>
  <c r="AD620" i="37"/>
  <c r="AL307" i="37"/>
  <c r="AL334" i="37"/>
  <c r="AD637" i="37"/>
  <c r="AD630" i="37"/>
  <c r="AD687" i="37"/>
  <c r="AD582" i="37"/>
  <c r="AD544" i="37"/>
  <c r="AD617" i="37"/>
  <c r="AL411" i="37"/>
  <c r="AD578" i="37"/>
  <c r="AL321" i="37"/>
  <c r="AL449" i="37"/>
  <c r="AL416" i="37"/>
  <c r="AD681" i="37"/>
  <c r="AL401" i="37"/>
  <c r="AD676" i="37"/>
  <c r="AD697" i="37"/>
  <c r="AD644" i="37"/>
  <c r="AD541" i="37"/>
  <c r="AD659" i="37"/>
  <c r="AL339" i="37"/>
  <c r="AD586" i="37"/>
  <c r="AD599" i="37"/>
  <c r="AD683" i="37"/>
  <c r="AD654" i="37"/>
  <c r="AD656" i="37"/>
  <c r="AD629" i="37"/>
  <c r="AD759" i="37"/>
  <c r="AL425" i="37"/>
  <c r="AD612" i="37"/>
  <c r="AD748" i="37"/>
  <c r="AD638" i="37"/>
  <c r="AD764" i="37"/>
  <c r="AD733" i="37"/>
  <c r="AD751" i="37"/>
  <c r="AD724" i="37"/>
  <c r="AD703" i="37"/>
  <c r="AD736" i="37"/>
  <c r="AD671" i="37"/>
  <c r="AD658" i="37"/>
  <c r="AD650" i="37"/>
  <c r="AD577" i="37"/>
  <c r="AD686" i="37"/>
  <c r="AD640" i="37"/>
  <c r="AD543" i="37"/>
  <c r="AL295" i="37"/>
  <c r="AD755" i="37"/>
  <c r="AD551" i="37"/>
  <c r="AD555" i="37"/>
  <c r="AD651" i="37"/>
  <c r="AD691" i="37"/>
  <c r="AL296" i="37"/>
  <c r="AL311" i="37"/>
  <c r="AD621" i="37"/>
  <c r="AD615" i="37"/>
  <c r="AD665" i="37"/>
  <c r="AD587" i="37"/>
  <c r="AD566" i="37"/>
  <c r="AD690" i="37"/>
  <c r="AD682" i="37"/>
  <c r="AD548" i="37"/>
  <c r="AD649" i="37"/>
  <c r="AL529" i="37"/>
  <c r="AL418" i="37"/>
  <c r="AL293" i="37"/>
  <c r="AD554" i="37"/>
  <c r="AD693" i="37"/>
  <c r="AD563" i="37"/>
  <c r="AD573" i="37"/>
  <c r="AL308" i="37"/>
  <c r="AL325" i="37"/>
  <c r="AD584" i="37"/>
  <c r="AL359" i="37"/>
  <c r="AL306" i="37"/>
  <c r="AD777" i="37"/>
  <c r="AD660" i="37"/>
  <c r="AD623" i="37"/>
  <c r="AD570" i="37"/>
  <c r="AD607" i="37"/>
  <c r="AL373" i="37"/>
  <c r="AL440" i="37"/>
  <c r="AL383" i="37"/>
  <c r="AL412" i="37"/>
  <c r="AL404" i="37"/>
  <c r="AD627" i="37"/>
  <c r="AL323" i="37"/>
  <c r="AL363" i="37"/>
  <c r="AD652" i="37"/>
  <c r="AL372" i="37"/>
  <c r="AL305" i="37"/>
  <c r="AL375" i="37"/>
  <c r="AL379" i="37"/>
  <c r="AL387" i="37"/>
  <c r="AL422" i="37"/>
  <c r="AL434" i="37"/>
  <c r="AD641" i="37"/>
  <c r="AL430" i="37"/>
  <c r="AF733" i="37"/>
  <c r="AF727" i="37"/>
  <c r="AF564" i="37"/>
  <c r="AF756" i="37"/>
  <c r="AF779" i="37"/>
  <c r="AF762" i="37"/>
  <c r="AF736" i="37"/>
  <c r="AF755" i="37"/>
  <c r="AF659" i="37"/>
  <c r="AF629" i="37"/>
  <c r="AN311" i="37"/>
  <c r="AF557" i="37"/>
  <c r="AN300" i="37"/>
  <c r="AN373" i="37"/>
  <c r="AF699" i="37"/>
  <c r="AF682" i="37"/>
  <c r="AN322" i="37"/>
  <c r="AF551" i="37"/>
  <c r="AN293" i="37"/>
  <c r="AF577" i="37"/>
  <c r="AN339" i="37"/>
  <c r="AN456" i="37"/>
  <c r="AF656" i="37"/>
  <c r="AN398" i="37"/>
  <c r="AF628" i="37"/>
  <c r="AN383" i="37"/>
  <c r="AF760" i="37"/>
  <c r="AF662" i="37"/>
  <c r="AF615" i="37"/>
  <c r="AF542" i="37"/>
  <c r="AN445" i="37"/>
  <c r="AF712" i="37"/>
  <c r="AN389" i="37"/>
  <c r="AN403" i="37"/>
  <c r="AN380" i="37"/>
  <c r="AF630" i="37"/>
  <c r="AF647" i="37"/>
  <c r="AF664" i="37"/>
  <c r="AF671" i="37"/>
  <c r="AF635" i="37"/>
  <c r="AF583" i="37"/>
  <c r="AN423" i="37"/>
  <c r="AN393" i="37"/>
  <c r="AN367" i="37"/>
  <c r="AN401" i="37"/>
  <c r="AN461" i="37"/>
  <c r="AN312" i="37"/>
  <c r="AN365" i="37"/>
  <c r="AN430" i="37"/>
  <c r="AN440" i="37"/>
  <c r="AN453" i="37"/>
  <c r="AN362" i="37"/>
  <c r="AN369" i="37"/>
  <c r="AN436" i="37"/>
  <c r="AN329" i="37"/>
  <c r="AN410" i="37"/>
  <c r="AN333" i="37"/>
  <c r="AN454" i="37"/>
  <c r="AB729" i="37"/>
  <c r="AB561" i="37"/>
  <c r="AB733" i="37"/>
  <c r="AB568" i="37"/>
  <c r="AB704" i="37"/>
  <c r="AB699" i="37"/>
  <c r="I289" i="37"/>
  <c r="L289" i="37"/>
  <c r="AB528" i="37"/>
  <c r="S526" i="37"/>
  <c r="T500" i="37"/>
  <c r="R528" i="37"/>
  <c r="Y508" i="37"/>
  <c r="Y506" i="37"/>
  <c r="Y503" i="37"/>
  <c r="Z503" i="37"/>
  <c r="Y502" i="37"/>
  <c r="T530" i="37"/>
  <c r="Z528" i="37"/>
  <c r="U526" i="37"/>
  <c r="X530" i="37"/>
  <c r="X526" i="37"/>
  <c r="V513" i="37"/>
  <c r="V510" i="37"/>
  <c r="AA503" i="37"/>
  <c r="Y499" i="37"/>
  <c r="Z499" i="37"/>
  <c r="AA530" i="37"/>
  <c r="Y527" i="37"/>
  <c r="T525" i="37"/>
  <c r="U501" i="37"/>
  <c r="AB531" i="37"/>
  <c r="X525" i="37"/>
  <c r="X521" i="37"/>
  <c r="R504" i="37"/>
  <c r="V500" i="37"/>
  <c r="AB526" i="37"/>
  <c r="Y498" i="37"/>
  <c r="R526" i="37"/>
  <c r="T508" i="37"/>
  <c r="T504" i="37"/>
  <c r="Y478" i="37"/>
  <c r="Y456" i="37"/>
  <c r="T478" i="37"/>
  <c r="T506" i="37"/>
  <c r="R503" i="37"/>
  <c r="T502" i="37"/>
  <c r="Y530" i="37"/>
  <c r="T528" i="37"/>
  <c r="Z526" i="37"/>
  <c r="AB513" i="37"/>
  <c r="Y513" i="37"/>
  <c r="AA510" i="37"/>
  <c r="X499" i="37"/>
  <c r="R499" i="37"/>
  <c r="V530" i="37"/>
  <c r="T527" i="37"/>
  <c r="S514" i="37"/>
  <c r="Y505" i="37"/>
  <c r="X501" i="37"/>
  <c r="X531" i="37"/>
  <c r="AB527" i="37"/>
  <c r="U511" i="37"/>
  <c r="R478" i="37"/>
  <c r="R508" i="37"/>
  <c r="V504" i="37"/>
  <c r="AA500" i="37"/>
  <c r="S530" i="37"/>
  <c r="Y492" i="37"/>
  <c r="T456" i="37"/>
  <c r="X503" i="37"/>
  <c r="V503" i="37"/>
  <c r="U530" i="37"/>
  <c r="Y528" i="37"/>
  <c r="T526" i="37"/>
  <c r="X528" i="37"/>
  <c r="R513" i="37"/>
  <c r="T510" i="37"/>
  <c r="AA528" i="37"/>
  <c r="AA526" i="37"/>
  <c r="Y521" i="37"/>
  <c r="X505" i="37"/>
  <c r="Y501" i="37"/>
  <c r="X527" i="37"/>
  <c r="X511" i="37"/>
  <c r="Z511" i="37"/>
  <c r="V478" i="37"/>
  <c r="V508" i="37"/>
  <c r="AA504" i="37"/>
  <c r="S510" i="37"/>
  <c r="AB504" i="37"/>
  <c r="X500" i="37"/>
  <c r="X498" i="37"/>
  <c r="R530" i="37"/>
  <c r="AB503" i="37"/>
  <c r="Z530" i="37"/>
  <c r="V526" i="37"/>
  <c r="AA478" i="37"/>
  <c r="R500" i="37"/>
  <c r="S451" i="37"/>
  <c r="X508" i="37"/>
  <c r="X506" i="37"/>
  <c r="AB500" i="37"/>
  <c r="S498" i="37"/>
  <c r="U508" i="37"/>
  <c r="U504" i="37"/>
  <c r="U500" i="37"/>
  <c r="U466" i="37"/>
  <c r="AB466" i="37"/>
  <c r="Z421" i="37"/>
  <c r="S397" i="37"/>
  <c r="U378" i="37"/>
  <c r="Z397" i="37"/>
  <c r="R378" i="37"/>
  <c r="S528" i="37"/>
  <c r="Z513" i="37"/>
  <c r="AB510" i="37"/>
  <c r="S508" i="37"/>
  <c r="S506" i="37"/>
  <c r="S500" i="37"/>
  <c r="X492" i="37"/>
  <c r="AB478" i="37"/>
  <c r="Z510" i="37"/>
  <c r="Z506" i="37"/>
  <c r="Z502" i="37"/>
  <c r="Z478" i="37"/>
  <c r="Z466" i="37"/>
  <c r="Z378" i="37"/>
  <c r="X397" i="37"/>
  <c r="T378" i="37"/>
  <c r="U397" i="37"/>
  <c r="V378" i="37"/>
  <c r="AB530" i="37"/>
  <c r="Y397" i="37"/>
  <c r="U503" i="37"/>
  <c r="U528" i="37"/>
  <c r="R510" i="37"/>
  <c r="Y531" i="37"/>
  <c r="T521" i="37"/>
  <c r="AB525" i="37"/>
  <c r="X510" i="37"/>
  <c r="X504" i="37"/>
  <c r="X502" i="37"/>
  <c r="S492" i="37"/>
  <c r="X478" i="37"/>
  <c r="U510" i="37"/>
  <c r="U478" i="37"/>
  <c r="S466" i="37"/>
  <c r="X456" i="37"/>
  <c r="R397" i="37"/>
  <c r="V397" i="37"/>
  <c r="AB397" i="37"/>
  <c r="T397" i="37"/>
  <c r="AB378" i="37"/>
  <c r="AA378" i="37"/>
  <c r="Y500" i="37"/>
  <c r="Y504" i="37"/>
  <c r="Y526" i="37"/>
  <c r="S478" i="37"/>
  <c r="AA397" i="37"/>
  <c r="Z456" i="37"/>
  <c r="R506" i="37"/>
  <c r="X481" i="37"/>
  <c r="AB490" i="37"/>
  <c r="R457" i="37"/>
  <c r="Y358" i="37"/>
  <c r="R352" i="37"/>
  <c r="Z317" i="37"/>
  <c r="S317" i="37"/>
  <c r="R502" i="37"/>
  <c r="S502" i="37"/>
  <c r="Z504" i="37"/>
  <c r="U421" i="37"/>
  <c r="Y378" i="37"/>
  <c r="AB521" i="37"/>
  <c r="AB508" i="37"/>
  <c r="X457" i="37"/>
  <c r="Z508" i="37"/>
  <c r="S456" i="37"/>
  <c r="S378" i="37"/>
  <c r="Z332" i="37"/>
  <c r="Y317" i="37"/>
  <c r="V528" i="37"/>
  <c r="AA508" i="37"/>
  <c r="S504" i="37"/>
  <c r="Y519" i="37"/>
  <c r="Z500" i="37"/>
  <c r="X466" i="37"/>
  <c r="T299" i="37"/>
  <c r="S313" i="37"/>
  <c r="Y314" i="37"/>
  <c r="X318" i="37"/>
  <c r="Z484" i="37"/>
  <c r="AA313" i="37"/>
  <c r="Z488" i="37"/>
  <c r="X431" i="37"/>
  <c r="T413" i="37"/>
  <c r="R471" i="37"/>
  <c r="U471" i="37"/>
  <c r="T391" i="37"/>
  <c r="U391" i="37"/>
  <c r="Y320" i="37"/>
  <c r="Y450" i="37"/>
  <c r="Z450" i="37"/>
  <c r="X446" i="37"/>
  <c r="Z461" i="37"/>
  <c r="X357" i="37"/>
  <c r="R494" i="37"/>
  <c r="X494" i="37"/>
  <c r="Y481" i="37"/>
  <c r="X507" i="37"/>
  <c r="V444" i="37"/>
  <c r="U444" i="37"/>
  <c r="U473" i="37"/>
  <c r="AB519" i="37"/>
  <c r="S299" i="37"/>
  <c r="AA328" i="37"/>
  <c r="X497" i="37"/>
  <c r="U489" i="37"/>
  <c r="Y509" i="37"/>
  <c r="AA476" i="37"/>
  <c r="U476" i="37"/>
  <c r="AB523" i="37"/>
  <c r="Y463" i="37"/>
  <c r="X463" i="37"/>
  <c r="T317" i="37"/>
  <c r="U299" i="37"/>
  <c r="X317" i="37"/>
  <c r="X458" i="37"/>
  <c r="R472" i="37"/>
  <c r="R480" i="37"/>
  <c r="S480" i="37"/>
  <c r="Z479" i="37"/>
  <c r="AA482" i="37"/>
  <c r="T482" i="37"/>
  <c r="X361" i="37"/>
  <c r="V361" i="37"/>
  <c r="V407" i="37"/>
  <c r="X459" i="37"/>
  <c r="T459" i="37"/>
  <c r="Y413" i="37"/>
  <c r="X413" i="37"/>
  <c r="R522" i="37"/>
  <c r="AA522" i="37"/>
  <c r="U522" i="37"/>
  <c r="Z420" i="37"/>
  <c r="R452" i="37"/>
  <c r="X452" i="37"/>
  <c r="R486" i="37"/>
  <c r="Z486" i="37"/>
  <c r="R484" i="37"/>
  <c r="AB484" i="37"/>
  <c r="S484" i="37"/>
  <c r="AA474" i="37"/>
  <c r="S474" i="37"/>
  <c r="R496" i="37"/>
  <c r="T496" i="37"/>
  <c r="T518" i="37"/>
  <c r="X352" i="37"/>
  <c r="Y524" i="37"/>
  <c r="Z524" i="37"/>
  <c r="Y312" i="37"/>
  <c r="Z352" i="37"/>
  <c r="S361" i="37"/>
  <c r="AB420" i="37"/>
  <c r="AB450" i="37"/>
  <c r="AA450" i="37"/>
  <c r="U527" i="37"/>
  <c r="X469" i="37"/>
  <c r="T517" i="37"/>
  <c r="Y488" i="37"/>
  <c r="S488" i="37"/>
  <c r="Z464" i="37"/>
  <c r="R320" i="37"/>
  <c r="Z458" i="37"/>
  <c r="Y487" i="37"/>
  <c r="R487" i="37"/>
  <c r="AB487" i="37"/>
  <c r="X472" i="37"/>
  <c r="AB495" i="37"/>
  <c r="Y357" i="37"/>
  <c r="R415" i="37"/>
  <c r="AA415" i="37"/>
  <c r="S309" i="37"/>
  <c r="Z465" i="37"/>
  <c r="V490" i="37"/>
  <c r="X490" i="37"/>
  <c r="R313" i="37"/>
  <c r="S306" i="37"/>
  <c r="R454" i="37"/>
  <c r="Y306" i="37"/>
  <c r="Y307" i="37"/>
  <c r="U358" i="37"/>
  <c r="S454" i="37"/>
  <c r="U469" i="37"/>
  <c r="R443" i="37"/>
  <c r="Y510" i="37"/>
  <c r="AB501" i="37"/>
  <c r="Z301" i="37"/>
  <c r="Y309" i="37"/>
  <c r="X301" i="37"/>
  <c r="S320" i="37"/>
  <c r="Y328" i="37"/>
  <c r="T358" i="37"/>
  <c r="X349" i="37"/>
  <c r="S357" i="37"/>
  <c r="R420" i="37"/>
  <c r="X442" i="37"/>
  <c r="V465" i="37"/>
  <c r="R306" i="37"/>
  <c r="AA480" i="37"/>
  <c r="Z361" i="37"/>
  <c r="S471" i="37"/>
  <c r="AB471" i="37"/>
  <c r="Y391" i="37"/>
  <c r="X391" i="37"/>
  <c r="X450" i="37"/>
  <c r="V450" i="37"/>
  <c r="U461" i="37"/>
  <c r="R461" i="37"/>
  <c r="T494" i="37"/>
  <c r="AB494" i="37"/>
  <c r="Z494" i="37"/>
  <c r="R507" i="37"/>
  <c r="T444" i="37"/>
  <c r="Z444" i="37"/>
  <c r="X332" i="37"/>
  <c r="X473" i="37"/>
  <c r="AA519" i="37"/>
  <c r="Z299" i="37"/>
  <c r="X489" i="37"/>
  <c r="Y476" i="37"/>
  <c r="X476" i="37"/>
  <c r="X523" i="37"/>
  <c r="U463" i="37"/>
  <c r="X314" i="37"/>
  <c r="X299" i="37"/>
  <c r="U413" i="37"/>
  <c r="AA507" i="37"/>
  <c r="Y444" i="37"/>
  <c r="U480" i="37"/>
  <c r="V479" i="37"/>
  <c r="R482" i="37"/>
  <c r="X482" i="37"/>
  <c r="U482" i="37"/>
  <c r="Y455" i="37"/>
  <c r="Z455" i="37"/>
  <c r="R455" i="37"/>
  <c r="Y361" i="37"/>
  <c r="T407" i="37"/>
  <c r="AB407" i="37"/>
  <c r="Z459" i="37"/>
  <c r="AA459" i="37"/>
  <c r="AA413" i="37"/>
  <c r="Z413" i="37"/>
  <c r="AA391" i="37"/>
  <c r="X480" i="37"/>
  <c r="S522" i="37"/>
  <c r="Y522" i="37"/>
  <c r="AB452" i="37"/>
  <c r="AA452" i="37"/>
  <c r="Y486" i="37"/>
  <c r="AA486" i="37"/>
  <c r="S307" i="37"/>
  <c r="V484" i="37"/>
  <c r="U484" i="37"/>
  <c r="T474" i="37"/>
  <c r="Z474" i="37"/>
  <c r="V496" i="37"/>
  <c r="AB496" i="37"/>
  <c r="S312" i="37"/>
  <c r="AB518" i="37"/>
  <c r="U518" i="37"/>
  <c r="Y352" i="37"/>
  <c r="R524" i="37"/>
  <c r="U524" i="37"/>
  <c r="X524" i="37"/>
  <c r="S352" i="37"/>
  <c r="AB474" i="37"/>
  <c r="Z463" i="37"/>
  <c r="U479" i="37"/>
  <c r="S516" i="37"/>
  <c r="Z469" i="37"/>
  <c r="R469" i="37"/>
  <c r="AB517" i="37"/>
  <c r="R488" i="37"/>
  <c r="U488" i="37"/>
  <c r="S314" i="37"/>
  <c r="Z487" i="37"/>
  <c r="X487" i="37"/>
  <c r="U487" i="37"/>
  <c r="X449" i="37"/>
  <c r="T472" i="37"/>
  <c r="Z472" i="37"/>
  <c r="Y415" i="37"/>
  <c r="U415" i="37"/>
  <c r="AA314" i="37"/>
  <c r="AA465" i="37"/>
  <c r="Y490" i="37"/>
  <c r="S490" i="37"/>
  <c r="U313" i="37"/>
  <c r="Y313" i="37"/>
  <c r="Y454" i="37"/>
  <c r="U317" i="37"/>
  <c r="Y453" i="37"/>
  <c r="Z453" i="37"/>
  <c r="X316" i="37"/>
  <c r="AB332" i="37"/>
  <c r="Y299" i="37"/>
  <c r="U407" i="37"/>
  <c r="T450" i="37"/>
  <c r="AB468" i="37"/>
  <c r="X518" i="37"/>
  <c r="T480" i="37"/>
  <c r="S499" i="37"/>
  <c r="U525" i="37"/>
  <c r="U514" i="37"/>
  <c r="S316" i="37"/>
  <c r="AA301" i="37"/>
  <c r="Y316" i="37"/>
  <c r="T316" i="37"/>
  <c r="V301" i="37"/>
  <c r="X328" i="37"/>
  <c r="AA358" i="37"/>
  <c r="AB361" i="37"/>
  <c r="Y420" i="37"/>
  <c r="T420" i="37"/>
  <c r="X445" i="37"/>
  <c r="X443" i="37"/>
  <c r="R301" i="37"/>
  <c r="U357" i="37"/>
  <c r="R462" i="37"/>
  <c r="S431" i="37"/>
  <c r="Y477" i="37"/>
  <c r="Z477" i="37"/>
  <c r="S429" i="37"/>
  <c r="T429" i="37"/>
  <c r="R470" i="37"/>
  <c r="S470" i="37"/>
  <c r="Y421" i="37"/>
  <c r="R468" i="37"/>
  <c r="Z452" i="37"/>
  <c r="Z496" i="37"/>
  <c r="V317" i="37"/>
  <c r="AB482" i="37"/>
  <c r="X464" i="37"/>
  <c r="V471" i="37"/>
  <c r="Z471" i="37"/>
  <c r="S391" i="37"/>
  <c r="Z391" i="37"/>
  <c r="R450" i="37"/>
  <c r="U450" i="37"/>
  <c r="AA461" i="37"/>
  <c r="AA494" i="37"/>
  <c r="Y494" i="37"/>
  <c r="S494" i="37"/>
  <c r="U481" i="37"/>
  <c r="Y507" i="37"/>
  <c r="R444" i="37"/>
  <c r="AA444" i="37"/>
  <c r="U332" i="37"/>
  <c r="Y473" i="37"/>
  <c r="Y489" i="37"/>
  <c r="S512" i="37"/>
  <c r="U509" i="37"/>
  <c r="V476" i="37"/>
  <c r="R476" i="37"/>
  <c r="S476" i="37"/>
  <c r="AA463" i="37"/>
  <c r="T313" i="37"/>
  <c r="Y480" i="37"/>
  <c r="AB480" i="37"/>
  <c r="R479" i="37"/>
  <c r="AA479" i="37"/>
  <c r="V482" i="37"/>
  <c r="S482" i="37"/>
  <c r="Z460" i="37"/>
  <c r="R361" i="37"/>
  <c r="R407" i="37"/>
  <c r="AA407" i="37"/>
  <c r="R459" i="37"/>
  <c r="S413" i="37"/>
  <c r="AB413" i="37"/>
  <c r="T522" i="37"/>
  <c r="V522" i="37"/>
  <c r="Z522" i="37"/>
  <c r="S420" i="37"/>
  <c r="T452" i="37"/>
  <c r="U452" i="37"/>
  <c r="S452" i="37"/>
  <c r="V486" i="37"/>
  <c r="X486" i="37"/>
  <c r="Z470" i="37"/>
  <c r="X484" i="37"/>
  <c r="Y474" i="37"/>
  <c r="X474" i="37"/>
  <c r="R474" i="37"/>
  <c r="U429" i="37"/>
  <c r="AA496" i="37"/>
  <c r="Y496" i="37"/>
  <c r="R518" i="37"/>
  <c r="Y518" i="37"/>
  <c r="V518" i="37"/>
  <c r="AB524" i="37"/>
  <c r="AA524" i="37"/>
  <c r="V524" i="37"/>
  <c r="X307" i="37"/>
  <c r="V299" i="37"/>
  <c r="S486" i="37"/>
  <c r="AB469" i="37"/>
  <c r="T488" i="37"/>
  <c r="AA488" i="37"/>
  <c r="T431" i="37"/>
  <c r="S462" i="37"/>
  <c r="X448" i="37"/>
  <c r="S458" i="37"/>
  <c r="AA487" i="37"/>
  <c r="Y449" i="37"/>
  <c r="V472" i="37"/>
  <c r="Y472" i="37"/>
  <c r="Z495" i="37"/>
  <c r="S415" i="37"/>
  <c r="X415" i="37"/>
  <c r="AB415" i="37"/>
  <c r="U465" i="37"/>
  <c r="AB465" i="37"/>
  <c r="AA490" i="37"/>
  <c r="Z490" i="37"/>
  <c r="AB301" i="37"/>
  <c r="X313" i="37"/>
  <c r="Z454" i="37"/>
  <c r="AB317" i="37"/>
  <c r="R467" i="37"/>
  <c r="R317" i="37"/>
  <c r="Z314" i="37"/>
  <c r="X488" i="37"/>
  <c r="AB421" i="37"/>
  <c r="R505" i="37"/>
  <c r="U531" i="37"/>
  <c r="R456" i="37"/>
  <c r="T513" i="37"/>
  <c r="AA316" i="37"/>
  <c r="Z312" i="37"/>
  <c r="R312" i="37"/>
  <c r="U316" i="37"/>
  <c r="X312" i="37"/>
  <c r="Y471" i="37"/>
  <c r="X461" i="37"/>
  <c r="V494" i="37"/>
  <c r="V507" i="37"/>
  <c r="X479" i="37"/>
  <c r="Y482" i="37"/>
  <c r="T361" i="37"/>
  <c r="X407" i="37"/>
  <c r="R413" i="37"/>
  <c r="AB522" i="37"/>
  <c r="V452" i="37"/>
  <c r="T484" i="37"/>
  <c r="U474" i="37"/>
  <c r="U496" i="37"/>
  <c r="Z518" i="37"/>
  <c r="X517" i="37"/>
  <c r="S407" i="37"/>
  <c r="V487" i="37"/>
  <c r="U472" i="37"/>
  <c r="Z415" i="37"/>
  <c r="U490" i="37"/>
  <c r="S496" i="37"/>
  <c r="R498" i="37"/>
  <c r="AB299" i="37"/>
  <c r="X358" i="37"/>
  <c r="T357" i="37"/>
  <c r="T453" i="37"/>
  <c r="R319" i="37"/>
  <c r="T462" i="37"/>
  <c r="AA431" i="37"/>
  <c r="V477" i="37"/>
  <c r="AB477" i="37"/>
  <c r="AB429" i="37"/>
  <c r="U470" i="37"/>
  <c r="AB470" i="37"/>
  <c r="AA468" i="37"/>
  <c r="X468" i="37"/>
  <c r="Y301" i="37"/>
  <c r="R309" i="37"/>
  <c r="R314" i="37"/>
  <c r="R332" i="37"/>
  <c r="AB328" i="37"/>
  <c r="Z357" i="37"/>
  <c r="X421" i="37"/>
  <c r="Y458" i="37"/>
  <c r="V466" i="37"/>
  <c r="V470" i="37"/>
  <c r="X470" i="37"/>
  <c r="AB431" i="37"/>
  <c r="Y460" i="37"/>
  <c r="U460" i="37"/>
  <c r="AA464" i="37"/>
  <c r="T477" i="37"/>
  <c r="T485" i="37"/>
  <c r="T512" i="37"/>
  <c r="S467" i="37"/>
  <c r="T475" i="37"/>
  <c r="AA483" i="37"/>
  <c r="R491" i="37"/>
  <c r="Y497" i="37"/>
  <c r="Y515" i="37"/>
  <c r="Z489" i="37"/>
  <c r="T495" i="37"/>
  <c r="Z509" i="37"/>
  <c r="Z521" i="37"/>
  <c r="V521" i="37"/>
  <c r="T497" i="37"/>
  <c r="R514" i="37"/>
  <c r="U517" i="37"/>
  <c r="S531" i="37"/>
  <c r="Y516" i="37"/>
  <c r="Z475" i="37"/>
  <c r="Z491" i="37"/>
  <c r="AA471" i="37"/>
  <c r="T473" i="37"/>
  <c r="AA481" i="37"/>
  <c r="R489" i="37"/>
  <c r="S489" i="37"/>
  <c r="T501" i="37"/>
  <c r="S505" i="37"/>
  <c r="T509" i="37"/>
  <c r="V527" i="37"/>
  <c r="S525" i="37"/>
  <c r="Z493" i="37"/>
  <c r="Y461" i="37"/>
  <c r="S465" i="37"/>
  <c r="X485" i="37"/>
  <c r="X512" i="37"/>
  <c r="X467" i="37"/>
  <c r="Z497" i="37"/>
  <c r="T511" i="37"/>
  <c r="X515" i="37"/>
  <c r="AB514" i="37"/>
  <c r="Y525" i="37"/>
  <c r="U513" i="37"/>
  <c r="R523" i="37"/>
  <c r="R493" i="37"/>
  <c r="Z527" i="37"/>
  <c r="V357" i="37"/>
  <c r="V462" i="37"/>
  <c r="R421" i="37"/>
  <c r="X477" i="37"/>
  <c r="S477" i="37"/>
  <c r="R429" i="37"/>
  <c r="AA470" i="37"/>
  <c r="T468" i="37"/>
  <c r="X309" i="37"/>
  <c r="V332" i="37"/>
  <c r="S358" i="37"/>
  <c r="AB462" i="37"/>
  <c r="R466" i="37"/>
  <c r="T457" i="37"/>
  <c r="S421" i="37"/>
  <c r="R460" i="37"/>
  <c r="X460" i="37"/>
  <c r="T464" i="37"/>
  <c r="X451" i="37"/>
  <c r="S485" i="37"/>
  <c r="AA512" i="37"/>
  <c r="V475" i="37"/>
  <c r="S475" i="37"/>
  <c r="R483" i="37"/>
  <c r="T491" i="37"/>
  <c r="R515" i="37"/>
  <c r="S515" i="37"/>
  <c r="R495" i="37"/>
  <c r="S495" i="37"/>
  <c r="Y512" i="37"/>
  <c r="T463" i="37"/>
  <c r="Z507" i="37"/>
  <c r="T493" i="37"/>
  <c r="V497" i="37"/>
  <c r="S497" i="37"/>
  <c r="AA514" i="37"/>
  <c r="Z517" i="37"/>
  <c r="R517" i="37"/>
  <c r="R525" i="37"/>
  <c r="Z531" i="37"/>
  <c r="AB512" i="37"/>
  <c r="X516" i="37"/>
  <c r="AB475" i="37"/>
  <c r="AB491" i="37"/>
  <c r="R473" i="37"/>
  <c r="S473" i="37"/>
  <c r="T481" i="37"/>
  <c r="V489" i="37"/>
  <c r="R501" i="37"/>
  <c r="S501" i="37"/>
  <c r="R509" i="37"/>
  <c r="S509" i="37"/>
  <c r="Z523" i="37"/>
  <c r="AB493" i="37"/>
  <c r="S461" i="37"/>
  <c r="T469" i="37"/>
  <c r="U512" i="37"/>
  <c r="U475" i="37"/>
  <c r="U483" i="37"/>
  <c r="U491" i="37"/>
  <c r="AB497" i="37"/>
  <c r="Y511" i="37"/>
  <c r="U495" i="37"/>
  <c r="Z514" i="37"/>
  <c r="T531" i="37"/>
  <c r="T499" i="37"/>
  <c r="X513" i="37"/>
  <c r="R519" i="37"/>
  <c r="AA525" i="37"/>
  <c r="V531" i="37"/>
  <c r="T487" i="37"/>
  <c r="S519" i="37"/>
  <c r="U493" i="37"/>
  <c r="S503" i="37"/>
  <c r="R492" i="37"/>
  <c r="V316" i="37"/>
  <c r="U301" i="37"/>
  <c r="Y349" i="37"/>
  <c r="R357" i="37"/>
  <c r="U420" i="37"/>
  <c r="X420" i="37"/>
  <c r="Z429" i="37"/>
  <c r="AB316" i="37"/>
  <c r="S328" i="37"/>
  <c r="S349" i="37"/>
  <c r="AA462" i="37"/>
  <c r="Y431" i="37"/>
  <c r="U477" i="37"/>
  <c r="Z316" i="37"/>
  <c r="V429" i="37"/>
  <c r="Y429" i="37"/>
  <c r="T470" i="37"/>
  <c r="V468" i="37"/>
  <c r="T332" i="37"/>
  <c r="AA421" i="37"/>
  <c r="T458" i="37"/>
  <c r="Z462" i="37"/>
  <c r="AA466" i="37"/>
  <c r="Y457" i="37"/>
  <c r="V421" i="37"/>
  <c r="AA460" i="37"/>
  <c r="Y464" i="37"/>
  <c r="S468" i="37"/>
  <c r="Y451" i="37"/>
  <c r="AA485" i="37"/>
  <c r="R512" i="37"/>
  <c r="AA475" i="37"/>
  <c r="T483" i="37"/>
  <c r="V491" i="37"/>
  <c r="S491" i="37"/>
  <c r="AA515" i="37"/>
  <c r="Z473" i="37"/>
  <c r="V495" i="37"/>
  <c r="Z501" i="37"/>
  <c r="X514" i="37"/>
  <c r="S513" i="37"/>
  <c r="V512" i="37"/>
  <c r="R531" i="37"/>
  <c r="AB507" i="37"/>
  <c r="S493" i="37"/>
  <c r="AA497" i="37"/>
  <c r="Z516" i="37"/>
  <c r="T514" i="37"/>
  <c r="R521" i="37"/>
  <c r="AA527" i="37"/>
  <c r="V515" i="37"/>
  <c r="Z485" i="37"/>
  <c r="Z512" i="37"/>
  <c r="AB516" i="37"/>
  <c r="Y467" i="37"/>
  <c r="Z483" i="37"/>
  <c r="Z515" i="37"/>
  <c r="V473" i="37"/>
  <c r="R481" i="37"/>
  <c r="S481" i="37"/>
  <c r="AA489" i="37"/>
  <c r="V501" i="37"/>
  <c r="V509" i="37"/>
  <c r="V523" i="37"/>
  <c r="AA531" i="37"/>
  <c r="T507" i="37"/>
  <c r="Z525" i="37"/>
  <c r="T465" i="37"/>
  <c r="Y469" i="37"/>
  <c r="T455" i="37"/>
  <c r="U485" i="37"/>
  <c r="AA467" i="37"/>
  <c r="Y475" i="37"/>
  <c r="Y483" i="37"/>
  <c r="Y491" i="37"/>
  <c r="R511" i="37"/>
  <c r="S511" i="37"/>
  <c r="Y495" i="37"/>
  <c r="V516" i="37"/>
  <c r="T523" i="37"/>
  <c r="U519" i="37"/>
  <c r="AA521" i="37"/>
  <c r="V469" i="37"/>
  <c r="T503" i="37"/>
  <c r="S527" i="37"/>
  <c r="Y493" i="37"/>
  <c r="AB391" i="37"/>
  <c r="U507" i="37"/>
  <c r="AB444" i="37"/>
  <c r="T519" i="37"/>
  <c r="AA493" i="37"/>
  <c r="X509" i="37"/>
  <c r="T309" i="37"/>
  <c r="Y479" i="37"/>
  <c r="X522" i="37"/>
  <c r="Y452" i="37"/>
  <c r="U486" i="37"/>
  <c r="AA484" i="37"/>
  <c r="T352" i="37"/>
  <c r="AB488" i="37"/>
  <c r="U464" i="37"/>
  <c r="AB472" i="37"/>
  <c r="V415" i="37"/>
  <c r="R465" i="37"/>
  <c r="X306" i="37"/>
  <c r="X444" i="37"/>
  <c r="X378" i="37"/>
  <c r="R328" i="37"/>
  <c r="R358" i="37"/>
  <c r="AA357" i="37"/>
  <c r="Y462" i="37"/>
  <c r="U431" i="37"/>
  <c r="AA477" i="37"/>
  <c r="R477" i="37"/>
  <c r="AB357" i="37"/>
  <c r="AA429" i="37"/>
  <c r="X429" i="37"/>
  <c r="Y470" i="37"/>
  <c r="Y468" i="37"/>
  <c r="U468" i="37"/>
  <c r="T301" i="37"/>
  <c r="U314" i="37"/>
  <c r="AA332" i="37"/>
  <c r="S332" i="37"/>
  <c r="Z328" i="37"/>
  <c r="T421" i="37"/>
  <c r="AA472" i="37"/>
  <c r="R391" i="37"/>
  <c r="U494" i="37"/>
  <c r="X519" i="37"/>
  <c r="T476" i="37"/>
  <c r="Y523" i="37"/>
  <c r="T314" i="37"/>
  <c r="Z482" i="37"/>
  <c r="X455" i="37"/>
  <c r="Z407" i="37"/>
  <c r="Y459" i="37"/>
  <c r="V413" i="37"/>
  <c r="T486" i="37"/>
  <c r="Z457" i="37"/>
  <c r="Y484" i="37"/>
  <c r="X496" i="37"/>
  <c r="S518" i="37"/>
  <c r="S524" i="37"/>
  <c r="Y332" i="37"/>
  <c r="AA469" i="37"/>
  <c r="R431" i="37"/>
  <c r="T415" i="37"/>
  <c r="Z313" i="37"/>
  <c r="X454" i="37"/>
  <c r="AA312" i="37"/>
  <c r="Z476" i="37"/>
  <c r="R316" i="37"/>
  <c r="U328" i="37"/>
  <c r="AA361" i="37"/>
  <c r="AA420" i="37"/>
  <c r="X462" i="37"/>
  <c r="V431" i="37"/>
  <c r="S453" i="37"/>
  <c r="S301" i="37"/>
  <c r="T328" i="37"/>
  <c r="T490" i="37"/>
  <c r="U459" i="37"/>
  <c r="V391" i="37"/>
  <c r="S450" i="37"/>
  <c r="S444" i="37"/>
  <c r="AB476" i="37"/>
  <c r="R463" i="37"/>
  <c r="V480" i="37"/>
  <c r="AB479" i="37"/>
  <c r="Y407" i="37"/>
  <c r="Z468" i="37"/>
  <c r="V420" i="37"/>
  <c r="AB486" i="37"/>
  <c r="V474" i="37"/>
  <c r="AA518" i="37"/>
  <c r="T524" i="37"/>
  <c r="R307" i="37"/>
  <c r="T312" i="37"/>
  <c r="V328" i="37"/>
  <c r="Z358" i="37"/>
  <c r="V488" i="37"/>
  <c r="Z480" i="37"/>
  <c r="S472" i="37"/>
  <c r="X465" i="37"/>
  <c r="R490" i="37"/>
  <c r="T454" i="37"/>
  <c r="AA317" i="37"/>
  <c r="X453" i="37"/>
  <c r="Y466" i="37"/>
  <c r="X447" i="37"/>
  <c r="R451" i="37"/>
  <c r="S483" i="37"/>
  <c r="Z481" i="37"/>
  <c r="U521" i="37"/>
  <c r="S521" i="37"/>
  <c r="Y514" i="37"/>
  <c r="R516" i="37"/>
  <c r="AA473" i="37"/>
  <c r="AA501" i="37"/>
  <c r="V493" i="37"/>
  <c r="T461" i="37"/>
  <c r="Y485" i="37"/>
  <c r="X483" i="37"/>
  <c r="X495" i="37"/>
  <c r="AA513" i="37"/>
  <c r="R527" i="37"/>
  <c r="T471" i="37"/>
  <c r="X491" i="37"/>
  <c r="Y517" i="37"/>
  <c r="R458" i="37"/>
  <c r="R464" i="37"/>
  <c r="V525" i="37"/>
  <c r="AB485" i="37"/>
  <c r="AA509" i="37"/>
  <c r="AA511" i="37"/>
  <c r="AA517" i="37"/>
  <c r="V485" i="37"/>
  <c r="T515" i="37"/>
  <c r="T516" i="37"/>
  <c r="AB515" i="37"/>
  <c r="S517" i="37"/>
  <c r="S449" i="37"/>
  <c r="T460" i="37"/>
  <c r="AA491" i="37"/>
  <c r="AA495" i="37"/>
  <c r="V514" i="37"/>
  <c r="S523" i="37"/>
  <c r="Z467" i="37"/>
  <c r="V481" i="37"/>
  <c r="T505" i="37"/>
  <c r="Y465" i="37"/>
  <c r="Z519" i="37"/>
  <c r="S457" i="37"/>
  <c r="R475" i="37"/>
  <c r="U497" i="37"/>
  <c r="Z505" i="37"/>
  <c r="R497" i="37"/>
  <c r="AB483" i="37"/>
  <c r="R485" i="37"/>
  <c r="S469" i="37"/>
  <c r="U467" i="37"/>
  <c r="T466" i="37"/>
  <c r="V483" i="37"/>
  <c r="AA516" i="37"/>
  <c r="AA523" i="37"/>
  <c r="T489" i="37"/>
  <c r="X475" i="37"/>
  <c r="U515" i="37"/>
  <c r="T479" i="37"/>
  <c r="S455" i="37"/>
  <c r="R449" i="37"/>
  <c r="R349" i="37"/>
  <c r="X493" i="37"/>
  <c r="X319" i="37"/>
  <c r="R448" i="37"/>
  <c r="S479" i="37"/>
  <c r="AA299" i="37"/>
  <c r="U361" i="37"/>
  <c r="AB489" i="37"/>
  <c r="U462" i="37"/>
  <c r="V519" i="37"/>
  <c r="R318" i="37"/>
  <c r="AB509" i="37"/>
  <c r="R453" i="37"/>
  <c r="X320" i="37"/>
  <c r="S463" i="37"/>
  <c r="R447" i="37"/>
  <c r="V517" i="37"/>
  <c r="S459" i="37"/>
  <c r="U523" i="37"/>
  <c r="Z309" i="37"/>
  <c r="S460" i="37"/>
  <c r="AB481" i="37"/>
  <c r="X471" i="37"/>
  <c r="R445" i="37"/>
  <c r="S507" i="37"/>
  <c r="AB473" i="37"/>
  <c r="T467" i="37"/>
  <c r="R442" i="37"/>
  <c r="Z431" i="37"/>
  <c r="R446" i="37"/>
  <c r="U312" i="37"/>
  <c r="S487" i="37"/>
  <c r="S464" i="37"/>
  <c r="U516" i="37"/>
  <c r="N488" i="37"/>
  <c r="N531" i="37"/>
  <c r="N529" i="37"/>
  <c r="N482" i="37"/>
  <c r="N503" i="37"/>
  <c r="N500" i="37"/>
  <c r="N481" i="37"/>
  <c r="N487" i="37"/>
  <c r="N495" i="37"/>
  <c r="N508" i="37"/>
  <c r="N507" i="37"/>
  <c r="N499" i="37"/>
  <c r="N383" i="37"/>
  <c r="N320" i="37"/>
  <c r="N485" i="37"/>
  <c r="N440" i="37"/>
  <c r="N309" i="37"/>
  <c r="N325" i="37"/>
  <c r="N408" i="37"/>
  <c r="N308" i="37"/>
  <c r="N305" i="37"/>
  <c r="N416" i="37"/>
  <c r="N418" i="37"/>
  <c r="N438" i="37"/>
  <c r="N464" i="37"/>
  <c r="N372" i="37"/>
  <c r="N351" i="37"/>
  <c r="N449" i="37"/>
  <c r="N323" i="37"/>
  <c r="N435" i="37"/>
  <c r="N522" i="37"/>
  <c r="N359" i="37"/>
  <c r="N377" i="37"/>
  <c r="N451" i="37"/>
  <c r="N317" i="37"/>
  <c r="N516" i="37"/>
  <c r="N417" i="37"/>
  <c r="N364" i="37"/>
  <c r="N339" i="37"/>
  <c r="N365" i="37"/>
  <c r="N479" i="37"/>
  <c r="N312" i="37"/>
  <c r="N306" i="37"/>
  <c r="N311" i="37"/>
  <c r="N446" i="37"/>
  <c r="N369" i="37"/>
  <c r="N363" i="37"/>
  <c r="N374" i="37"/>
  <c r="N322" i="37"/>
  <c r="N430" i="37"/>
  <c r="N295" i="37"/>
  <c r="N334" i="37"/>
  <c r="N515" i="37"/>
  <c r="N367" i="37"/>
  <c r="N326" i="37"/>
  <c r="N338" i="37"/>
  <c r="N478" i="37"/>
  <c r="N442" i="37"/>
  <c r="N336" i="37"/>
  <c r="N423" i="37"/>
  <c r="N443" i="37"/>
  <c r="N455" i="37"/>
  <c r="N410" i="37"/>
  <c r="N313" i="37"/>
  <c r="N436" i="37"/>
  <c r="N472" i="37"/>
  <c r="N433" i="37"/>
  <c r="N390" i="37"/>
  <c r="N303" i="37"/>
  <c r="N316" i="37"/>
  <c r="N399" i="37"/>
  <c r="N387" i="37"/>
  <c r="N318" i="37"/>
  <c r="N321" i="37"/>
  <c r="N434" i="37"/>
  <c r="N439" i="37"/>
  <c r="N454" i="37"/>
  <c r="N514" i="37"/>
  <c r="N379" i="37"/>
  <c r="N414" i="37"/>
  <c r="N362" i="37"/>
  <c r="N462" i="37"/>
  <c r="N315" i="37"/>
  <c r="N375" i="37"/>
  <c r="N335" i="37"/>
  <c r="N411" i="37"/>
  <c r="N307" i="37"/>
  <c r="N398" i="37"/>
  <c r="N511" i="37"/>
  <c r="N386" i="37"/>
  <c r="N456" i="37"/>
  <c r="N380" i="37"/>
  <c r="N453" i="37"/>
  <c r="N476" i="37"/>
  <c r="N460" i="37"/>
  <c r="N333" i="37"/>
  <c r="N402" i="37"/>
  <c r="N293" i="37"/>
  <c r="N512" i="37"/>
  <c r="N401" i="37"/>
  <c r="N392" i="37"/>
  <c r="N447" i="37"/>
  <c r="N403" i="37"/>
  <c r="N302" i="37"/>
  <c r="N463" i="37"/>
  <c r="N393" i="37"/>
  <c r="N483" i="37"/>
  <c r="N329" i="37"/>
  <c r="N469" i="37"/>
  <c r="N513" i="37"/>
  <c r="N300" i="37"/>
  <c r="N518" i="37"/>
  <c r="N381" i="37"/>
  <c r="N475" i="37"/>
  <c r="N396" i="37"/>
  <c r="N470" i="37"/>
  <c r="N371" i="37"/>
  <c r="N330" i="37"/>
  <c r="N422" i="37"/>
  <c r="N294" i="37"/>
  <c r="N394" i="37"/>
  <c r="N404" i="37"/>
  <c r="N524" i="37"/>
  <c r="N428" i="37"/>
  <c r="N523" i="37"/>
  <c r="N412" i="37"/>
  <c r="N373" i="37"/>
  <c r="N461" i="37"/>
  <c r="N304" i="37"/>
  <c r="N382" i="37"/>
  <c r="N445" i="37"/>
  <c r="N296" i="37"/>
  <c r="N389" i="37"/>
  <c r="N425" i="37"/>
  <c r="N406" i="37"/>
  <c r="H537" i="37"/>
  <c r="G537" i="37"/>
  <c r="G539" i="37"/>
  <c r="G538" i="37"/>
  <c r="K290" i="37"/>
  <c r="J290" i="37"/>
  <c r="P290" i="37" s="1"/>
  <c r="F539" i="37"/>
  <c r="L539" i="37"/>
  <c r="H539" i="37"/>
  <c r="I538" i="37"/>
  <c r="L537" i="37"/>
  <c r="F537" i="37"/>
  <c r="F538" i="37"/>
  <c r="I539" i="37"/>
  <c r="L538" i="37"/>
  <c r="H538" i="37"/>
  <c r="I537" i="37"/>
  <c r="AD445" i="37" l="1"/>
  <c r="AJ445" i="37" s="1"/>
  <c r="K289" i="37"/>
  <c r="AD513" i="37"/>
  <c r="AJ513" i="37" s="1"/>
  <c r="J289" i="37"/>
  <c r="R289" i="37" s="1"/>
  <c r="AD415" i="37"/>
  <c r="AE415" i="37" s="1"/>
  <c r="AF415" i="37" s="1"/>
  <c r="AG415" i="37" s="1"/>
  <c r="AH415" i="37" s="1"/>
  <c r="AN415" i="37" s="1"/>
  <c r="AD447" i="37"/>
  <c r="AJ447" i="37" s="1"/>
  <c r="AD443" i="37"/>
  <c r="AJ443" i="37" s="1"/>
  <c r="AD524" i="37"/>
  <c r="AJ524" i="37" s="1"/>
  <c r="AD463" i="37"/>
  <c r="AE463" i="37" s="1"/>
  <c r="AF463" i="37" s="1"/>
  <c r="AG463" i="37" s="1"/>
  <c r="AM463" i="37" s="1"/>
  <c r="AD357" i="37"/>
  <c r="AE357" i="37" s="1"/>
  <c r="AF357" i="37" s="1"/>
  <c r="AG357" i="37" s="1"/>
  <c r="AH357" i="37" s="1"/>
  <c r="AN357" i="37" s="1"/>
  <c r="AD509" i="37"/>
  <c r="AE509" i="37" s="1"/>
  <c r="AF509" i="37" s="1"/>
  <c r="AG509" i="37" s="1"/>
  <c r="AH509" i="37" s="1"/>
  <c r="AN509" i="37" s="1"/>
  <c r="AD525" i="37"/>
  <c r="AE525" i="37" s="1"/>
  <c r="AF525" i="37" s="1"/>
  <c r="AG525" i="37" s="1"/>
  <c r="AH525" i="37" s="1"/>
  <c r="AN525" i="37" s="1"/>
  <c r="AD421" i="37"/>
  <c r="AE421" i="37" s="1"/>
  <c r="AF421" i="37" s="1"/>
  <c r="AG421" i="37" s="1"/>
  <c r="AH421" i="37" s="1"/>
  <c r="AN421" i="37" s="1"/>
  <c r="AD493" i="37"/>
  <c r="AE493" i="37" s="1"/>
  <c r="AF493" i="37" s="1"/>
  <c r="AG493" i="37" s="1"/>
  <c r="AH493" i="37" s="1"/>
  <c r="AN493" i="37" s="1"/>
  <c r="AD489" i="37"/>
  <c r="AE489" i="37" s="1"/>
  <c r="AF489" i="37" s="1"/>
  <c r="AG489" i="37" s="1"/>
  <c r="AH489" i="37" s="1"/>
  <c r="AN489" i="37" s="1"/>
  <c r="AD332" i="37"/>
  <c r="AE332" i="37" s="1"/>
  <c r="AF332" i="37" s="1"/>
  <c r="AG332" i="37" s="1"/>
  <c r="AH332" i="37" s="1"/>
  <c r="AN332" i="37" s="1"/>
  <c r="AD413" i="37"/>
  <c r="AE413" i="37" s="1"/>
  <c r="AF413" i="37" s="1"/>
  <c r="AG413" i="37" s="1"/>
  <c r="AH413" i="37" s="1"/>
  <c r="AN413" i="37" s="1"/>
  <c r="AD299" i="37"/>
  <c r="AJ299" i="37" s="1"/>
  <c r="AD462" i="37"/>
  <c r="AE462" i="37" s="1"/>
  <c r="AF462" i="37" s="1"/>
  <c r="AG462" i="37" s="1"/>
  <c r="AH462" i="37" s="1"/>
  <c r="AN462" i="37" s="1"/>
  <c r="AD449" i="37"/>
  <c r="AJ449" i="37" s="1"/>
  <c r="AD469" i="37"/>
  <c r="AE469" i="37" s="1"/>
  <c r="AF469" i="37" s="1"/>
  <c r="AG469" i="37" s="1"/>
  <c r="AH469" i="37" s="1"/>
  <c r="AN469" i="37" s="1"/>
  <c r="AD455" i="37"/>
  <c r="AE455" i="37" s="1"/>
  <c r="AF455" i="37" s="1"/>
  <c r="AL455" i="37" s="1"/>
  <c r="AD507" i="37"/>
  <c r="AE507" i="37" s="1"/>
  <c r="AK507" i="37" s="1"/>
  <c r="AD461" i="37"/>
  <c r="AE461" i="37" s="1"/>
  <c r="AF461" i="37" s="1"/>
  <c r="AG461" i="37" s="1"/>
  <c r="AM461" i="37" s="1"/>
  <c r="AD391" i="37"/>
  <c r="AE391" i="37" s="1"/>
  <c r="AF391" i="37" s="1"/>
  <c r="AG391" i="37" s="1"/>
  <c r="AH391" i="37" s="1"/>
  <c r="AN391" i="37" s="1"/>
  <c r="AD442" i="37"/>
  <c r="AJ442" i="37" s="1"/>
  <c r="AD313" i="37"/>
  <c r="AE313" i="37" s="1"/>
  <c r="AF313" i="37" s="1"/>
  <c r="AG313" i="37" s="1"/>
  <c r="AM313" i="37" s="1"/>
  <c r="AD496" i="37"/>
  <c r="AE496" i="37" s="1"/>
  <c r="AF496" i="37" s="1"/>
  <c r="AG496" i="37" s="1"/>
  <c r="AH496" i="37" s="1"/>
  <c r="AN496" i="37" s="1"/>
  <c r="AD494" i="37"/>
  <c r="AE494" i="37" s="1"/>
  <c r="AF494" i="37" s="1"/>
  <c r="AG494" i="37" s="1"/>
  <c r="AH494" i="37" s="1"/>
  <c r="AN494" i="37" s="1"/>
  <c r="AD478" i="37"/>
  <c r="AE478" i="37" s="1"/>
  <c r="AF478" i="37" s="1"/>
  <c r="AG478" i="37" s="1"/>
  <c r="AH478" i="37" s="1"/>
  <c r="AN478" i="37" s="1"/>
  <c r="AD528" i="37"/>
  <c r="AE528" i="37" s="1"/>
  <c r="AF528" i="37" s="1"/>
  <c r="AG528" i="37" s="1"/>
  <c r="AH528" i="37" s="1"/>
  <c r="AN528" i="37" s="1"/>
  <c r="AD451" i="37"/>
  <c r="AE451" i="37" s="1"/>
  <c r="AK451" i="37" s="1"/>
  <c r="AD328" i="37"/>
  <c r="AE328" i="37" s="1"/>
  <c r="AF328" i="37" s="1"/>
  <c r="AG328" i="37" s="1"/>
  <c r="AH328" i="37" s="1"/>
  <c r="AN328" i="37" s="1"/>
  <c r="AD318" i="37"/>
  <c r="AJ318" i="37" s="1"/>
  <c r="AD475" i="37"/>
  <c r="AE475" i="37" s="1"/>
  <c r="AF475" i="37" s="1"/>
  <c r="AG475" i="37" s="1"/>
  <c r="AH475" i="37" s="1"/>
  <c r="AN475" i="37" s="1"/>
  <c r="AD458" i="37"/>
  <c r="AE458" i="37" s="1"/>
  <c r="AF458" i="37" s="1"/>
  <c r="AL458" i="37" s="1"/>
  <c r="AD527" i="37"/>
  <c r="AE527" i="37" s="1"/>
  <c r="AF527" i="37" s="1"/>
  <c r="AG527" i="37" s="1"/>
  <c r="AH527" i="37" s="1"/>
  <c r="AN527" i="37" s="1"/>
  <c r="AD431" i="37"/>
  <c r="AE431" i="37" s="1"/>
  <c r="AF431" i="37" s="1"/>
  <c r="AG431" i="37" s="1"/>
  <c r="AH431" i="37" s="1"/>
  <c r="AN431" i="37" s="1"/>
  <c r="AD481" i="37"/>
  <c r="AE481" i="37" s="1"/>
  <c r="AF481" i="37" s="1"/>
  <c r="AG481" i="37" s="1"/>
  <c r="AH481" i="37" s="1"/>
  <c r="AN481" i="37" s="1"/>
  <c r="AD531" i="37"/>
  <c r="AE531" i="37" s="1"/>
  <c r="AF531" i="37" s="1"/>
  <c r="AG531" i="37" s="1"/>
  <c r="AH531" i="37" s="1"/>
  <c r="AN531" i="37" s="1"/>
  <c r="AD512" i="37"/>
  <c r="AE512" i="37" s="1"/>
  <c r="AF512" i="37" s="1"/>
  <c r="AG512" i="37" s="1"/>
  <c r="AH512" i="37" s="1"/>
  <c r="AN512" i="37" s="1"/>
  <c r="AD517" i="37"/>
  <c r="AE517" i="37" s="1"/>
  <c r="AF517" i="37" s="1"/>
  <c r="AG517" i="37" s="1"/>
  <c r="AH517" i="37" s="1"/>
  <c r="AN517" i="37" s="1"/>
  <c r="AD515" i="37"/>
  <c r="AE515" i="37" s="1"/>
  <c r="AF515" i="37" s="1"/>
  <c r="AG515" i="37" s="1"/>
  <c r="AH515" i="37" s="1"/>
  <c r="AN515" i="37" s="1"/>
  <c r="AD429" i="37"/>
  <c r="AE429" i="37" s="1"/>
  <c r="AF429" i="37" s="1"/>
  <c r="AG429" i="37" s="1"/>
  <c r="AH429" i="37" s="1"/>
  <c r="AN429" i="37" s="1"/>
  <c r="AD523" i="37"/>
  <c r="AE523" i="37" s="1"/>
  <c r="AF523" i="37" s="1"/>
  <c r="AG523" i="37" s="1"/>
  <c r="AH523" i="37" s="1"/>
  <c r="AN523" i="37" s="1"/>
  <c r="AD514" i="37"/>
  <c r="AE514" i="37" s="1"/>
  <c r="AF514" i="37" s="1"/>
  <c r="AG514" i="37" s="1"/>
  <c r="AH514" i="37" s="1"/>
  <c r="AN514" i="37" s="1"/>
  <c r="AD314" i="37"/>
  <c r="AE314" i="37" s="1"/>
  <c r="AF314" i="37" s="1"/>
  <c r="AG314" i="37" s="1"/>
  <c r="AM314" i="37" s="1"/>
  <c r="AD319" i="37"/>
  <c r="AJ319" i="37" s="1"/>
  <c r="AD505" i="37"/>
  <c r="AE505" i="37" s="1"/>
  <c r="AF505" i="37" s="1"/>
  <c r="AL505" i="37" s="1"/>
  <c r="AD407" i="37"/>
  <c r="AE407" i="37" s="1"/>
  <c r="AF407" i="37" s="1"/>
  <c r="AG407" i="37" s="1"/>
  <c r="AH407" i="37" s="1"/>
  <c r="AN407" i="37" s="1"/>
  <c r="AD476" i="37"/>
  <c r="AE476" i="37" s="1"/>
  <c r="AF476" i="37" s="1"/>
  <c r="AG476" i="37" s="1"/>
  <c r="AH476" i="37" s="1"/>
  <c r="AN476" i="37" s="1"/>
  <c r="AD444" i="37"/>
  <c r="AE444" i="37" s="1"/>
  <c r="AF444" i="37" s="1"/>
  <c r="AG444" i="37" s="1"/>
  <c r="AH444" i="37" s="1"/>
  <c r="AN444" i="37" s="1"/>
  <c r="AD450" i="37"/>
  <c r="AE450" i="37" s="1"/>
  <c r="AF450" i="37" s="1"/>
  <c r="AG450" i="37" s="1"/>
  <c r="AH450" i="37" s="1"/>
  <c r="AN450" i="37" s="1"/>
  <c r="AD482" i="37"/>
  <c r="AE482" i="37" s="1"/>
  <c r="AF482" i="37" s="1"/>
  <c r="AG482" i="37" s="1"/>
  <c r="AH482" i="37" s="1"/>
  <c r="AN482" i="37" s="1"/>
  <c r="AD420" i="37"/>
  <c r="AE420" i="37" s="1"/>
  <c r="AF420" i="37" s="1"/>
  <c r="AG420" i="37" s="1"/>
  <c r="AH420" i="37" s="1"/>
  <c r="AN420" i="37" s="1"/>
  <c r="AD484" i="37"/>
  <c r="AE484" i="37" s="1"/>
  <c r="AF484" i="37" s="1"/>
  <c r="AG484" i="37" s="1"/>
  <c r="AH484" i="37" s="1"/>
  <c r="AN484" i="37" s="1"/>
  <c r="AD452" i="37"/>
  <c r="AE452" i="37" s="1"/>
  <c r="AF452" i="37" s="1"/>
  <c r="AG452" i="37" s="1"/>
  <c r="AH452" i="37" s="1"/>
  <c r="AN452" i="37" s="1"/>
  <c r="AD522" i="37"/>
  <c r="AE522" i="37" s="1"/>
  <c r="AF522" i="37" s="1"/>
  <c r="AG522" i="37" s="1"/>
  <c r="AH522" i="37" s="1"/>
  <c r="AN522" i="37" s="1"/>
  <c r="AD459" i="37"/>
  <c r="AE459" i="37" s="1"/>
  <c r="AF459" i="37" s="1"/>
  <c r="AG459" i="37" s="1"/>
  <c r="AM459" i="37" s="1"/>
  <c r="AD480" i="37"/>
  <c r="AE480" i="37" s="1"/>
  <c r="AF480" i="37" s="1"/>
  <c r="AG480" i="37" s="1"/>
  <c r="AH480" i="37" s="1"/>
  <c r="AN480" i="37" s="1"/>
  <c r="AD352" i="37"/>
  <c r="AE352" i="37" s="1"/>
  <c r="AF352" i="37" s="1"/>
  <c r="AL352" i="37" s="1"/>
  <c r="AD500" i="37"/>
  <c r="AE500" i="37" s="1"/>
  <c r="AF500" i="37" s="1"/>
  <c r="AG500" i="37" s="1"/>
  <c r="AH500" i="37" s="1"/>
  <c r="AN500" i="37" s="1"/>
  <c r="AD499" i="37"/>
  <c r="AE499" i="37" s="1"/>
  <c r="AF499" i="37" s="1"/>
  <c r="AL499" i="37" s="1"/>
  <c r="AD526" i="37"/>
  <c r="AE526" i="37" s="1"/>
  <c r="AF526" i="37" s="1"/>
  <c r="AG526" i="37" s="1"/>
  <c r="AH526" i="37" s="1"/>
  <c r="AN526" i="37" s="1"/>
  <c r="AD504" i="37"/>
  <c r="AE504" i="37" s="1"/>
  <c r="AF504" i="37" s="1"/>
  <c r="AG504" i="37" s="1"/>
  <c r="AH504" i="37" s="1"/>
  <c r="AN504" i="37" s="1"/>
  <c r="AD448" i="37"/>
  <c r="AJ448" i="37" s="1"/>
  <c r="AD485" i="37"/>
  <c r="AE485" i="37" s="1"/>
  <c r="AF485" i="37" s="1"/>
  <c r="AG485" i="37" s="1"/>
  <c r="AH485" i="37" s="1"/>
  <c r="AN485" i="37" s="1"/>
  <c r="AD464" i="37"/>
  <c r="AE464" i="37" s="1"/>
  <c r="AF464" i="37" s="1"/>
  <c r="AG464" i="37" s="1"/>
  <c r="AM464" i="37" s="1"/>
  <c r="AD465" i="37"/>
  <c r="AE465" i="37" s="1"/>
  <c r="AF465" i="37" s="1"/>
  <c r="AG465" i="37" s="1"/>
  <c r="AH465" i="37" s="1"/>
  <c r="AN465" i="37" s="1"/>
  <c r="AD497" i="37"/>
  <c r="AE497" i="37" s="1"/>
  <c r="AF497" i="37" s="1"/>
  <c r="AG497" i="37" s="1"/>
  <c r="AH497" i="37" s="1"/>
  <c r="AN497" i="37" s="1"/>
  <c r="AD516" i="37"/>
  <c r="AE516" i="37" s="1"/>
  <c r="AF516" i="37" s="1"/>
  <c r="AG516" i="37" s="1"/>
  <c r="AH516" i="37" s="1"/>
  <c r="AN516" i="37" s="1"/>
  <c r="AD490" i="37"/>
  <c r="AE490" i="37" s="1"/>
  <c r="AF490" i="37" s="1"/>
  <c r="AG490" i="37" s="1"/>
  <c r="AH490" i="37" s="1"/>
  <c r="AN490" i="37" s="1"/>
  <c r="AD307" i="37"/>
  <c r="AE307" i="37" s="1"/>
  <c r="AK307" i="37" s="1"/>
  <c r="AD477" i="37"/>
  <c r="AE477" i="37" s="1"/>
  <c r="AF477" i="37" s="1"/>
  <c r="AG477" i="37" s="1"/>
  <c r="AH477" i="37" s="1"/>
  <c r="AN477" i="37" s="1"/>
  <c r="AD501" i="37"/>
  <c r="AE501" i="37" s="1"/>
  <c r="AF501" i="37" s="1"/>
  <c r="AG501" i="37" s="1"/>
  <c r="AH501" i="37" s="1"/>
  <c r="AN501" i="37" s="1"/>
  <c r="AD473" i="37"/>
  <c r="AE473" i="37" s="1"/>
  <c r="AF473" i="37" s="1"/>
  <c r="AG473" i="37" s="1"/>
  <c r="AH473" i="37" s="1"/>
  <c r="AN473" i="37" s="1"/>
  <c r="AD466" i="37"/>
  <c r="AE466" i="37" s="1"/>
  <c r="AF466" i="37" s="1"/>
  <c r="AG466" i="37" s="1"/>
  <c r="AH466" i="37" s="1"/>
  <c r="AN466" i="37" s="1"/>
  <c r="AD491" i="37"/>
  <c r="AE491" i="37" s="1"/>
  <c r="AF491" i="37" s="1"/>
  <c r="AG491" i="37" s="1"/>
  <c r="AH491" i="37" s="1"/>
  <c r="AN491" i="37" s="1"/>
  <c r="AD309" i="37"/>
  <c r="AE309" i="37" s="1"/>
  <c r="AF309" i="37" s="1"/>
  <c r="AL309" i="37" s="1"/>
  <c r="AD498" i="37"/>
  <c r="AE498" i="37" s="1"/>
  <c r="AK498" i="37" s="1"/>
  <c r="AD317" i="37"/>
  <c r="AE317" i="37" s="1"/>
  <c r="AF317" i="37" s="1"/>
  <c r="AG317" i="37" s="1"/>
  <c r="AH317" i="37" s="1"/>
  <c r="AN317" i="37" s="1"/>
  <c r="AD361" i="37"/>
  <c r="AE361" i="37" s="1"/>
  <c r="AF361" i="37" s="1"/>
  <c r="AG361" i="37" s="1"/>
  <c r="AM361" i="37" s="1"/>
  <c r="AD470" i="37"/>
  <c r="AE470" i="37" s="1"/>
  <c r="AF470" i="37" s="1"/>
  <c r="AG470" i="37" s="1"/>
  <c r="AH470" i="37" s="1"/>
  <c r="AN470" i="37" s="1"/>
  <c r="AD301" i="37"/>
  <c r="AE301" i="37" s="1"/>
  <c r="AF301" i="37" s="1"/>
  <c r="AG301" i="37" s="1"/>
  <c r="AH301" i="37" s="1"/>
  <c r="AN301" i="37" s="1"/>
  <c r="AD488" i="37"/>
  <c r="AE488" i="37" s="1"/>
  <c r="AF488" i="37" s="1"/>
  <c r="AG488" i="37" s="1"/>
  <c r="AH488" i="37" s="1"/>
  <c r="AN488" i="37" s="1"/>
  <c r="AD306" i="37"/>
  <c r="AE306" i="37" s="1"/>
  <c r="AK306" i="37" s="1"/>
  <c r="AD454" i="37"/>
  <c r="AE454" i="37" s="1"/>
  <c r="AF454" i="37" s="1"/>
  <c r="AL454" i="37" s="1"/>
  <c r="AD320" i="37"/>
  <c r="AE320" i="37" s="1"/>
  <c r="AK320" i="37" s="1"/>
  <c r="AD472" i="37"/>
  <c r="AE472" i="37" s="1"/>
  <c r="AF472" i="37" s="1"/>
  <c r="AG472" i="37" s="1"/>
  <c r="AH472" i="37" s="1"/>
  <c r="AN472" i="37" s="1"/>
  <c r="AD471" i="37"/>
  <c r="AE471" i="37" s="1"/>
  <c r="AK471" i="37" s="1"/>
  <c r="AD502" i="37"/>
  <c r="AE502" i="37" s="1"/>
  <c r="AF502" i="37" s="1"/>
  <c r="AL502" i="37" s="1"/>
  <c r="AD506" i="37"/>
  <c r="AE506" i="37" s="1"/>
  <c r="AF506" i="37" s="1"/>
  <c r="AL506" i="37" s="1"/>
  <c r="AD397" i="37"/>
  <c r="AE397" i="37" s="1"/>
  <c r="AF397" i="37" s="1"/>
  <c r="AG397" i="37" s="1"/>
  <c r="AH397" i="37" s="1"/>
  <c r="AN397" i="37" s="1"/>
  <c r="AD378" i="37"/>
  <c r="AE378" i="37" s="1"/>
  <c r="AF378" i="37" s="1"/>
  <c r="AG378" i="37" s="1"/>
  <c r="AH378" i="37" s="1"/>
  <c r="AN378" i="37" s="1"/>
  <c r="AD530" i="37"/>
  <c r="AE530" i="37" s="1"/>
  <c r="AF530" i="37" s="1"/>
  <c r="AG530" i="37" s="1"/>
  <c r="AH530" i="37" s="1"/>
  <c r="AN530" i="37" s="1"/>
  <c r="AD503" i="37"/>
  <c r="AE503" i="37" s="1"/>
  <c r="AK503" i="37" s="1"/>
  <c r="AD511" i="37"/>
  <c r="AE511" i="37" s="1"/>
  <c r="AF511" i="37" s="1"/>
  <c r="AG511" i="37" s="1"/>
  <c r="AM511" i="37" s="1"/>
  <c r="AD492" i="37"/>
  <c r="AE492" i="37" s="1"/>
  <c r="AK492" i="37" s="1"/>
  <c r="AD453" i="37"/>
  <c r="AE453" i="37" s="1"/>
  <c r="AF453" i="37" s="1"/>
  <c r="AL453" i="37" s="1"/>
  <c r="AD349" i="37"/>
  <c r="AE349" i="37" s="1"/>
  <c r="AK349" i="37" s="1"/>
  <c r="AD316" i="37"/>
  <c r="AE316" i="37" s="1"/>
  <c r="AF316" i="37" s="1"/>
  <c r="AG316" i="37" s="1"/>
  <c r="AH316" i="37" s="1"/>
  <c r="AN316" i="37" s="1"/>
  <c r="AD358" i="37"/>
  <c r="AE358" i="37" s="1"/>
  <c r="AF358" i="37" s="1"/>
  <c r="AG358" i="37" s="1"/>
  <c r="AM358" i="37" s="1"/>
  <c r="AD521" i="37"/>
  <c r="AE521" i="37" s="1"/>
  <c r="AF521" i="37" s="1"/>
  <c r="AG521" i="37" s="1"/>
  <c r="AH521" i="37" s="1"/>
  <c r="AN521" i="37" s="1"/>
  <c r="AD519" i="37"/>
  <c r="AE519" i="37" s="1"/>
  <c r="AF519" i="37" s="1"/>
  <c r="AG519" i="37" s="1"/>
  <c r="AH519" i="37" s="1"/>
  <c r="AN519" i="37" s="1"/>
  <c r="AD495" i="37"/>
  <c r="AE495" i="37" s="1"/>
  <c r="AF495" i="37" s="1"/>
  <c r="AG495" i="37" s="1"/>
  <c r="AH495" i="37" s="1"/>
  <c r="AN495" i="37" s="1"/>
  <c r="AD483" i="37"/>
  <c r="AE483" i="37" s="1"/>
  <c r="AF483" i="37" s="1"/>
  <c r="AG483" i="37" s="1"/>
  <c r="AH483" i="37" s="1"/>
  <c r="AN483" i="37" s="1"/>
  <c r="AD460" i="37"/>
  <c r="AE460" i="37" s="1"/>
  <c r="AF460" i="37" s="1"/>
  <c r="AG460" i="37" s="1"/>
  <c r="AM460" i="37" s="1"/>
  <c r="AD312" i="37"/>
  <c r="AE312" i="37" s="1"/>
  <c r="AF312" i="37" s="1"/>
  <c r="AG312" i="37" s="1"/>
  <c r="AM312" i="37" s="1"/>
  <c r="AD467" i="37"/>
  <c r="AE467" i="37" s="1"/>
  <c r="AF467" i="37" s="1"/>
  <c r="AG467" i="37" s="1"/>
  <c r="AM467" i="37" s="1"/>
  <c r="AD518" i="37"/>
  <c r="AE518" i="37" s="1"/>
  <c r="AF518" i="37" s="1"/>
  <c r="AG518" i="37" s="1"/>
  <c r="AH518" i="37" s="1"/>
  <c r="AN518" i="37" s="1"/>
  <c r="AD474" i="37"/>
  <c r="AE474" i="37" s="1"/>
  <c r="AF474" i="37" s="1"/>
  <c r="AG474" i="37" s="1"/>
  <c r="AH474" i="37" s="1"/>
  <c r="AN474" i="37" s="1"/>
  <c r="AD479" i="37"/>
  <c r="AE479" i="37" s="1"/>
  <c r="AF479" i="37" s="1"/>
  <c r="AG479" i="37" s="1"/>
  <c r="AH479" i="37" s="1"/>
  <c r="AN479" i="37" s="1"/>
  <c r="AD468" i="37"/>
  <c r="AE468" i="37" s="1"/>
  <c r="AF468" i="37" s="1"/>
  <c r="AG468" i="37" s="1"/>
  <c r="AH468" i="37" s="1"/>
  <c r="AN468" i="37" s="1"/>
  <c r="AD487" i="37"/>
  <c r="AE487" i="37" s="1"/>
  <c r="AF487" i="37" s="1"/>
  <c r="AG487" i="37" s="1"/>
  <c r="AH487" i="37" s="1"/>
  <c r="AN487" i="37" s="1"/>
  <c r="AD486" i="37"/>
  <c r="AE486" i="37" s="1"/>
  <c r="AF486" i="37" s="1"/>
  <c r="AG486" i="37" s="1"/>
  <c r="AH486" i="37" s="1"/>
  <c r="AN486" i="37" s="1"/>
  <c r="AD446" i="37"/>
  <c r="AJ446" i="37" s="1"/>
  <c r="AD457" i="37"/>
  <c r="AE457" i="37" s="1"/>
  <c r="AF457" i="37" s="1"/>
  <c r="AL457" i="37" s="1"/>
  <c r="AD456" i="37"/>
  <c r="AE456" i="37" s="1"/>
  <c r="AF456" i="37" s="1"/>
  <c r="AL456" i="37" s="1"/>
  <c r="AD510" i="37"/>
  <c r="AE510" i="37" s="1"/>
  <c r="AF510" i="37" s="1"/>
  <c r="AG510" i="37" s="1"/>
  <c r="AH510" i="37" s="1"/>
  <c r="AN510" i="37" s="1"/>
  <c r="AD508" i="37"/>
  <c r="AE508" i="37" s="1"/>
  <c r="AF508" i="37" s="1"/>
  <c r="AG508" i="37" s="1"/>
  <c r="AH508" i="37" s="1"/>
  <c r="AN508" i="37" s="1"/>
  <c r="J539" i="37"/>
  <c r="N539" i="37" s="1"/>
  <c r="K538" i="37"/>
  <c r="K539" i="37"/>
  <c r="J537" i="37"/>
  <c r="N290" i="37"/>
  <c r="K537" i="37"/>
  <c r="J538" i="37"/>
  <c r="N538" i="37" s="1"/>
  <c r="AB290" i="37"/>
  <c r="V290" i="37"/>
  <c r="X290" i="37"/>
  <c r="J18" i="32"/>
  <c r="AE513" i="37" l="1"/>
  <c r="AF513" i="37" s="1"/>
  <c r="AG513" i="37" s="1"/>
  <c r="AH513" i="37" s="1"/>
  <c r="AN513" i="37" s="1"/>
  <c r="AB289" i="37"/>
  <c r="S537" i="37"/>
  <c r="N537" i="37"/>
  <c r="AL500" i="37"/>
  <c r="AM501" i="37"/>
  <c r="AJ526" i="37"/>
  <c r="AL528" i="37"/>
  <c r="AL527" i="37"/>
  <c r="AJ508" i="37"/>
  <c r="AL526" i="37"/>
  <c r="AJ500" i="37"/>
  <c r="AM500" i="37"/>
  <c r="AK528" i="37"/>
  <c r="AM397" i="37"/>
  <c r="AJ510" i="37"/>
  <c r="AM478" i="37"/>
  <c r="AL397" i="37"/>
  <c r="AJ457" i="37"/>
  <c r="AK317" i="37"/>
  <c r="AM421" i="37"/>
  <c r="AL413" i="37"/>
  <c r="AM391" i="37"/>
  <c r="AM489" i="37"/>
  <c r="AL482" i="37"/>
  <c r="AJ522" i="37"/>
  <c r="AJ452" i="37"/>
  <c r="AJ484" i="37"/>
  <c r="AK474" i="37"/>
  <c r="AJ487" i="37"/>
  <c r="AJ420" i="37"/>
  <c r="AL494" i="37"/>
  <c r="AM480" i="37"/>
  <c r="AM482" i="37"/>
  <c r="AL474" i="37"/>
  <c r="AK312" i="37"/>
  <c r="AM488" i="37"/>
  <c r="AL472" i="37"/>
  <c r="AL450" i="37"/>
  <c r="AM514" i="37"/>
  <c r="AL420" i="37"/>
  <c r="AK431" i="37"/>
  <c r="AK470" i="37"/>
  <c r="AJ450" i="37"/>
  <c r="AJ444" i="37"/>
  <c r="AM509" i="37"/>
  <c r="AJ479" i="37"/>
  <c r="AJ407" i="37"/>
  <c r="AM452" i="37"/>
  <c r="AJ474" i="37"/>
  <c r="AL488" i="37"/>
  <c r="AJ467" i="37"/>
  <c r="AJ413" i="37"/>
  <c r="AM474" i="37"/>
  <c r="AM472" i="37"/>
  <c r="AJ498" i="37"/>
  <c r="AL462" i="37"/>
  <c r="AJ309" i="37"/>
  <c r="AL477" i="37"/>
  <c r="AL475" i="37"/>
  <c r="AL495" i="37"/>
  <c r="AM517" i="37"/>
  <c r="AJ489" i="37"/>
  <c r="AL509" i="37"/>
  <c r="AL511" i="37"/>
  <c r="AJ493" i="37"/>
  <c r="AJ421" i="37"/>
  <c r="AK358" i="37"/>
  <c r="AK421" i="37"/>
  <c r="AL491" i="37"/>
  <c r="AK495" i="37"/>
  <c r="AL493" i="37"/>
  <c r="AJ525" i="37"/>
  <c r="AL481" i="37"/>
  <c r="AJ509" i="37"/>
  <c r="AM512" i="37"/>
  <c r="AM495" i="37"/>
  <c r="AL487" i="37"/>
  <c r="AJ492" i="37"/>
  <c r="AJ357" i="37"/>
  <c r="AL523" i="37"/>
  <c r="AJ465" i="37"/>
  <c r="AM431" i="37"/>
  <c r="AM468" i="37"/>
  <c r="AK332" i="37"/>
  <c r="AJ391" i="37"/>
  <c r="AM328" i="37"/>
  <c r="AK301" i="37"/>
  <c r="AJ463" i="37"/>
  <c r="AK472" i="37"/>
  <c r="AJ451" i="37"/>
  <c r="AJ516" i="37"/>
  <c r="AK517" i="37"/>
  <c r="AK523" i="37"/>
  <c r="AK457" i="37"/>
  <c r="AJ497" i="37"/>
  <c r="AL479" i="37"/>
  <c r="AK487" i="37"/>
  <c r="AK526" i="37"/>
  <c r="AL530" i="37"/>
  <c r="AL478" i="37"/>
  <c r="AJ478" i="37"/>
  <c r="AK530" i="37"/>
  <c r="AJ530" i="37"/>
  <c r="AM466" i="37"/>
  <c r="AJ378" i="37"/>
  <c r="AK500" i="37"/>
  <c r="AK466" i="37"/>
  <c r="AJ506" i="37"/>
  <c r="AK378" i="37"/>
  <c r="AJ471" i="37"/>
  <c r="AJ494" i="37"/>
  <c r="AM473" i="37"/>
  <c r="AL317" i="37"/>
  <c r="AK480" i="37"/>
  <c r="AL459" i="37"/>
  <c r="AL518" i="37"/>
  <c r="AM527" i="37"/>
  <c r="AK488" i="37"/>
  <c r="AJ415" i="37"/>
  <c r="AJ454" i="37"/>
  <c r="AL358" i="37"/>
  <c r="AJ306" i="37"/>
  <c r="AJ461" i="37"/>
  <c r="AM413" i="37"/>
  <c r="AJ455" i="37"/>
  <c r="AK522" i="37"/>
  <c r="AM484" i="37"/>
  <c r="AK352" i="37"/>
  <c r="AJ469" i="37"/>
  <c r="AK314" i="37"/>
  <c r="AK490" i="37"/>
  <c r="AM407" i="37"/>
  <c r="AM525" i="37"/>
  <c r="AJ462" i="37"/>
  <c r="AJ470" i="37"/>
  <c r="AM450" i="37"/>
  <c r="AK512" i="37"/>
  <c r="AK476" i="37"/>
  <c r="AK482" i="37"/>
  <c r="AK413" i="37"/>
  <c r="AL452" i="37"/>
  <c r="AM429" i="37"/>
  <c r="AK462" i="37"/>
  <c r="AK415" i="37"/>
  <c r="AJ505" i="37"/>
  <c r="AJ312" i="37"/>
  <c r="AL484" i="37"/>
  <c r="AL357" i="37"/>
  <c r="AM470" i="37"/>
  <c r="AK467" i="37"/>
  <c r="AJ514" i="37"/>
  <c r="AK489" i="37"/>
  <c r="AJ523" i="37"/>
  <c r="AJ429" i="37"/>
  <c r="AJ460" i="37"/>
  <c r="AK485" i="37"/>
  <c r="AJ483" i="37"/>
  <c r="AJ495" i="37"/>
  <c r="AJ517" i="37"/>
  <c r="AK509" i="37"/>
  <c r="AM475" i="37"/>
  <c r="AM420" i="37"/>
  <c r="AM477" i="37"/>
  <c r="AL470" i="37"/>
  <c r="AJ512" i="37"/>
  <c r="AK491" i="37"/>
  <c r="AJ531" i="37"/>
  <c r="AJ521" i="37"/>
  <c r="AJ481" i="37"/>
  <c r="AM485" i="37"/>
  <c r="AL301" i="37"/>
  <c r="AL476" i="37"/>
  <c r="AL486" i="37"/>
  <c r="AJ431" i="37"/>
  <c r="AK453" i="37"/>
  <c r="AL312" i="37"/>
  <c r="AK483" i="37"/>
  <c r="AJ458" i="37"/>
  <c r="AL515" i="37"/>
  <c r="AJ475" i="37"/>
  <c r="AL466" i="37"/>
  <c r="AM515" i="37"/>
  <c r="AJ349" i="37"/>
  <c r="AK463" i="37"/>
  <c r="AM523" i="37"/>
  <c r="V289" i="37"/>
  <c r="P289" i="37"/>
  <c r="AJ504" i="37"/>
  <c r="AL504" i="37"/>
  <c r="AJ499" i="37"/>
  <c r="AM530" i="37"/>
  <c r="AM508" i="37"/>
  <c r="AK397" i="37"/>
  <c r="AK506" i="37"/>
  <c r="AL521" i="37"/>
  <c r="AK478" i="37"/>
  <c r="AJ352" i="37"/>
  <c r="AK502" i="37"/>
  <c r="AK456" i="37"/>
  <c r="AK504" i="37"/>
  <c r="AM444" i="37"/>
  <c r="AJ480" i="37"/>
  <c r="AM522" i="37"/>
  <c r="AJ486" i="37"/>
  <c r="AK484" i="37"/>
  <c r="AL496" i="37"/>
  <c r="AM469" i="37"/>
  <c r="AL444" i="37"/>
  <c r="AJ482" i="37"/>
  <c r="AM518" i="37"/>
  <c r="AM479" i="37"/>
  <c r="AM487" i="37"/>
  <c r="AK499" i="37"/>
  <c r="AL316" i="37"/>
  <c r="AM357" i="37"/>
  <c r="AL429" i="37"/>
  <c r="AJ468" i="37"/>
  <c r="AK391" i="37"/>
  <c r="AM481" i="37"/>
  <c r="AM332" i="37"/>
  <c r="AJ476" i="37"/>
  <c r="AJ459" i="37"/>
  <c r="AK420" i="37"/>
  <c r="AJ518" i="37"/>
  <c r="AK486" i="37"/>
  <c r="AL431" i="37"/>
  <c r="AM465" i="37"/>
  <c r="AM531" i="37"/>
  <c r="AM316" i="37"/>
  <c r="AL361" i="37"/>
  <c r="AK407" i="37"/>
  <c r="AM490" i="37"/>
  <c r="AJ332" i="37"/>
  <c r="AL512" i="37"/>
  <c r="AJ491" i="37"/>
  <c r="AL497" i="37"/>
  <c r="AL473" i="37"/>
  <c r="AL501" i="37"/>
  <c r="AK525" i="37"/>
  <c r="AK477" i="37"/>
  <c r="AJ466" i="37"/>
  <c r="AK475" i="37"/>
  <c r="AK515" i="37"/>
  <c r="AL463" i="37"/>
  <c r="AK497" i="37"/>
  <c r="AJ473" i="37"/>
  <c r="AJ501" i="37"/>
  <c r="AK461" i="37"/>
  <c r="AM483" i="37"/>
  <c r="AL531" i="37"/>
  <c r="AM493" i="37"/>
  <c r="AM301" i="37"/>
  <c r="AK468" i="37"/>
  <c r="AL514" i="37"/>
  <c r="AK481" i="37"/>
  <c r="AL465" i="37"/>
  <c r="AJ511" i="37"/>
  <c r="AL519" i="37"/>
  <c r="AJ328" i="37"/>
  <c r="AJ477" i="37"/>
  <c r="AL421" i="37"/>
  <c r="AL415" i="37"/>
  <c r="AL490" i="37"/>
  <c r="AK444" i="37"/>
  <c r="AJ307" i="37"/>
  <c r="AJ490" i="37"/>
  <c r="AK521" i="37"/>
  <c r="AL461" i="37"/>
  <c r="AJ464" i="37"/>
  <c r="AL516" i="37"/>
  <c r="AL460" i="37"/>
  <c r="AM497" i="37"/>
  <c r="AJ485" i="37"/>
  <c r="AK459" i="37"/>
  <c r="AM516" i="37"/>
  <c r="AJ528" i="37"/>
  <c r="AM526" i="37"/>
  <c r="AL525" i="37"/>
  <c r="AL508" i="37"/>
  <c r="AJ503" i="37"/>
  <c r="AK514" i="37"/>
  <c r="AL510" i="37"/>
  <c r="AK510" i="37"/>
  <c r="AM504" i="37"/>
  <c r="AM378" i="37"/>
  <c r="AK508" i="37"/>
  <c r="AL378" i="37"/>
  <c r="AM528" i="37"/>
  <c r="AM510" i="37"/>
  <c r="AJ397" i="37"/>
  <c r="AJ502" i="37"/>
  <c r="AK313" i="37"/>
  <c r="AL391" i="37"/>
  <c r="AM476" i="37"/>
  <c r="AJ472" i="37"/>
  <c r="AJ496" i="37"/>
  <c r="AK361" i="37"/>
  <c r="AL517" i="37"/>
  <c r="AJ320" i="37"/>
  <c r="AK309" i="37"/>
  <c r="AJ313" i="37"/>
  <c r="AK454" i="37"/>
  <c r="AK357" i="37"/>
  <c r="AJ507" i="37"/>
  <c r="AL407" i="37"/>
  <c r="AK516" i="37"/>
  <c r="AJ488" i="37"/>
  <c r="AM415" i="37"/>
  <c r="AM317" i="37"/>
  <c r="AL480" i="37"/>
  <c r="AK316" i="37"/>
  <c r="AJ301" i="37"/>
  <c r="AK429" i="37"/>
  <c r="AK494" i="37"/>
  <c r="AL313" i="37"/>
  <c r="AJ361" i="37"/>
  <c r="AL522" i="37"/>
  <c r="AK452" i="37"/>
  <c r="AK458" i="37"/>
  <c r="AJ317" i="37"/>
  <c r="AJ456" i="37"/>
  <c r="AM496" i="37"/>
  <c r="AK496" i="37"/>
  <c r="AJ314" i="37"/>
  <c r="AL485" i="37"/>
  <c r="AK531" i="37"/>
  <c r="AK505" i="37"/>
  <c r="AK465" i="37"/>
  <c r="AL468" i="37"/>
  <c r="AL464" i="37"/>
  <c r="AJ515" i="37"/>
  <c r="AK473" i="37"/>
  <c r="AK501" i="37"/>
  <c r="AL469" i="37"/>
  <c r="AM491" i="37"/>
  <c r="AJ519" i="37"/>
  <c r="AK519" i="37"/>
  <c r="AK328" i="37"/>
  <c r="AL332" i="37"/>
  <c r="AL483" i="37"/>
  <c r="AK493" i="37"/>
  <c r="AK511" i="37"/>
  <c r="AM519" i="37"/>
  <c r="AK527" i="37"/>
  <c r="AM486" i="37"/>
  <c r="AJ358" i="37"/>
  <c r="AM494" i="37"/>
  <c r="AL314" i="37"/>
  <c r="AK518" i="37"/>
  <c r="AJ316" i="37"/>
  <c r="AL328" i="37"/>
  <c r="AK450" i="37"/>
  <c r="AM521" i="37"/>
  <c r="AJ527" i="37"/>
  <c r="AK469" i="37"/>
  <c r="AL489" i="37"/>
  <c r="AK455" i="37"/>
  <c r="AK479" i="37"/>
  <c r="AM462" i="37"/>
  <c r="AJ453" i="37"/>
  <c r="AK460" i="37"/>
  <c r="AL467" i="37"/>
  <c r="AK464" i="37"/>
  <c r="N289" i="37"/>
  <c r="H786" i="37" s="1"/>
  <c r="H785" i="37" s="1"/>
  <c r="AE299" i="37"/>
  <c r="AE524" i="37"/>
  <c r="AF507" i="37"/>
  <c r="AE449" i="37"/>
  <c r="AK449" i="37" s="1"/>
  <c r="AH361" i="37"/>
  <c r="AN361" i="37" s="1"/>
  <c r="AF503" i="37"/>
  <c r="AL503" i="37" s="1"/>
  <c r="AF471" i="37"/>
  <c r="AL471" i="37" s="1"/>
  <c r="P539" i="37"/>
  <c r="X539" i="37"/>
  <c r="Y539" i="37" s="1"/>
  <c r="Z539" i="37" s="1"/>
  <c r="V539" i="37"/>
  <c r="T539" i="37"/>
  <c r="W539" i="37"/>
  <c r="S539" i="37"/>
  <c r="T537" i="37"/>
  <c r="X538" i="37"/>
  <c r="V538" i="37"/>
  <c r="Z538" i="37"/>
  <c r="W538" i="37"/>
  <c r="Y538" i="37"/>
  <c r="S538" i="37"/>
  <c r="R538" i="37"/>
  <c r="W537" i="37"/>
  <c r="X537" i="37" s="1"/>
  <c r="Y537" i="37" s="1"/>
  <c r="AE537" i="37" s="1"/>
  <c r="Z537" i="37"/>
  <c r="V537" i="37"/>
  <c r="P538" i="37"/>
  <c r="Y289" i="37"/>
  <c r="T538" i="37"/>
  <c r="Q537" i="37"/>
  <c r="P537" i="37"/>
  <c r="Q538" i="37"/>
  <c r="R537" i="37"/>
  <c r="R539" i="37"/>
  <c r="Q539" i="37"/>
  <c r="R290" i="37"/>
  <c r="AA290" i="37"/>
  <c r="S290" i="37"/>
  <c r="Z290" i="37"/>
  <c r="Z289" i="37"/>
  <c r="S289" i="37"/>
  <c r="AA289" i="37"/>
  <c r="T290" i="37"/>
  <c r="Y290" i="37"/>
  <c r="U290" i="37"/>
  <c r="T289" i="37"/>
  <c r="U289" i="37"/>
  <c r="X289" i="37"/>
  <c r="AD289" i="37" s="1"/>
  <c r="E686" i="40"/>
  <c r="E687" i="40"/>
  <c r="E688" i="40"/>
  <c r="E689" i="40"/>
  <c r="E690" i="40"/>
  <c r="E691" i="40"/>
  <c r="E692" i="40"/>
  <c r="E693" i="40"/>
  <c r="E694" i="40"/>
  <c r="E695" i="40"/>
  <c r="E696" i="40"/>
  <c r="E697" i="40"/>
  <c r="E698" i="40"/>
  <c r="E699" i="40"/>
  <c r="E700" i="40"/>
  <c r="E701" i="40"/>
  <c r="E702" i="40"/>
  <c r="E703" i="40"/>
  <c r="E704" i="40"/>
  <c r="E705" i="40"/>
  <c r="E706" i="40"/>
  <c r="E707" i="40"/>
  <c r="E708" i="40"/>
  <c r="E709" i="40"/>
  <c r="E710" i="40"/>
  <c r="E711" i="40"/>
  <c r="E712" i="40"/>
  <c r="E713" i="40"/>
  <c r="E714" i="40"/>
  <c r="E715" i="40"/>
  <c r="E716" i="40"/>
  <c r="E717" i="40"/>
  <c r="E718" i="40"/>
  <c r="E719" i="40"/>
  <c r="E720" i="40"/>
  <c r="E721" i="40"/>
  <c r="E722" i="40"/>
  <c r="E723" i="40"/>
  <c r="E724" i="40"/>
  <c r="E725" i="40"/>
  <c r="E726" i="40"/>
  <c r="E727" i="40"/>
  <c r="E728" i="40"/>
  <c r="E729" i="40"/>
  <c r="E730" i="40"/>
  <c r="E731" i="40"/>
  <c r="E732" i="40"/>
  <c r="E733" i="40"/>
  <c r="E734" i="40"/>
  <c r="E735" i="40"/>
  <c r="E736" i="40"/>
  <c r="E737" i="40"/>
  <c r="E738" i="40"/>
  <c r="E739" i="40"/>
  <c r="E740" i="40"/>
  <c r="E741" i="40"/>
  <c r="E742" i="40"/>
  <c r="E743" i="40"/>
  <c r="E744" i="40"/>
  <c r="E745" i="40"/>
  <c r="E746" i="40"/>
  <c r="E747" i="40"/>
  <c r="E748" i="40"/>
  <c r="E749" i="40"/>
  <c r="E750" i="40"/>
  <c r="E751" i="40"/>
  <c r="E752" i="40"/>
  <c r="E753" i="40"/>
  <c r="E754" i="40"/>
  <c r="E755" i="40"/>
  <c r="E756" i="40"/>
  <c r="E757" i="40"/>
  <c r="E758" i="40"/>
  <c r="E759" i="40"/>
  <c r="E760" i="40"/>
  <c r="E761" i="40"/>
  <c r="E762" i="40"/>
  <c r="E763" i="40"/>
  <c r="E764" i="40"/>
  <c r="E765" i="40"/>
  <c r="E766" i="40"/>
  <c r="E767" i="40"/>
  <c r="E768" i="40"/>
  <c r="E769" i="40"/>
  <c r="E770" i="40"/>
  <c r="E771" i="40"/>
  <c r="E772" i="40"/>
  <c r="E773" i="40"/>
  <c r="E774" i="40"/>
  <c r="E775" i="40"/>
  <c r="E776" i="40"/>
  <c r="E777" i="40"/>
  <c r="E778" i="40"/>
  <c r="E779" i="40"/>
  <c r="E780" i="40"/>
  <c r="E781" i="40"/>
  <c r="E782" i="40"/>
  <c r="E783" i="40"/>
  <c r="E784" i="40"/>
  <c r="E785" i="40"/>
  <c r="E786" i="40"/>
  <c r="E787" i="40"/>
  <c r="E788" i="40"/>
  <c r="E789" i="40"/>
  <c r="E790" i="40"/>
  <c r="E791" i="40"/>
  <c r="E792" i="40"/>
  <c r="E793" i="40"/>
  <c r="E794" i="40"/>
  <c r="E795" i="40"/>
  <c r="E796" i="40"/>
  <c r="E797" i="40"/>
  <c r="E798" i="40"/>
  <c r="E799" i="40"/>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678" i="40"/>
  <c r="E679" i="40"/>
  <c r="E680" i="40"/>
  <c r="E681" i="40"/>
  <c r="E682" i="40"/>
  <c r="E683" i="40"/>
  <c r="E684" i="40"/>
  <c r="E685" i="40"/>
  <c r="E671" i="40"/>
  <c r="E672" i="40"/>
  <c r="E673" i="40"/>
  <c r="E674" i="40"/>
  <c r="E675" i="40"/>
  <c r="E676" i="40"/>
  <c r="E677" i="40"/>
  <c r="E647" i="40"/>
  <c r="E648" i="40"/>
  <c r="E649" i="40"/>
  <c r="E650" i="40"/>
  <c r="E651" i="40"/>
  <c r="E652" i="40"/>
  <c r="E653" i="40"/>
  <c r="E654" i="40"/>
  <c r="E655" i="40"/>
  <c r="E656" i="40"/>
  <c r="E657" i="40"/>
  <c r="E658" i="40"/>
  <c r="E659" i="40"/>
  <c r="E660" i="40"/>
  <c r="E661" i="40"/>
  <c r="E662" i="40"/>
  <c r="E663" i="40"/>
  <c r="E664" i="40"/>
  <c r="E665" i="40"/>
  <c r="E666" i="40"/>
  <c r="E667" i="40"/>
  <c r="E668" i="40"/>
  <c r="E669" i="40"/>
  <c r="E670" i="40"/>
  <c r="E646" i="40"/>
  <c r="E645" i="40"/>
  <c r="AL513" i="37" l="1"/>
  <c r="AK513" i="37"/>
  <c r="AM513" i="37"/>
  <c r="AC537" i="37"/>
  <c r="AD538" i="37"/>
  <c r="AE539" i="37"/>
  <c r="AF538" i="37"/>
  <c r="AC538" i="37"/>
  <c r="AF539" i="37"/>
  <c r="AF537" i="37"/>
  <c r="AC539" i="37"/>
  <c r="AD537" i="37"/>
  <c r="AB537" i="37"/>
  <c r="AB538" i="37"/>
  <c r="AD290" i="37"/>
  <c r="AE290" i="37" s="1"/>
  <c r="AF290" i="37" s="1"/>
  <c r="AG290" i="37" s="1"/>
  <c r="AH290" i="37" s="1"/>
  <c r="AN290" i="37" s="1"/>
  <c r="AD539" i="37"/>
  <c r="AE538" i="37"/>
  <c r="AB539" i="37"/>
  <c r="AF524" i="37"/>
  <c r="AK524" i="37"/>
  <c r="AJ289" i="37"/>
  <c r="AG507" i="37"/>
  <c r="AL507" i="37"/>
  <c r="AF299" i="37"/>
  <c r="AK299" i="37"/>
  <c r="AG503" i="37"/>
  <c r="AM503" i="37" s="1"/>
  <c r="AG471" i="37"/>
  <c r="AM471" i="37" s="1"/>
  <c r="AE289" i="37"/>
  <c r="AF289" i="37" s="1"/>
  <c r="B94" i="10"/>
  <c r="B81" i="10"/>
  <c r="L784" i="37" l="1"/>
  <c r="K784" i="37"/>
  <c r="J784" i="37"/>
  <c r="M784" i="37"/>
  <c r="AM290" i="37"/>
  <c r="AH507" i="37"/>
  <c r="AN507" i="37" s="1"/>
  <c r="AM507" i="37"/>
  <c r="AK289" i="37"/>
  <c r="AG289" i="37"/>
  <c r="AL289" i="37"/>
  <c r="AL290" i="37"/>
  <c r="AG524" i="37"/>
  <c r="AL524" i="37"/>
  <c r="AJ290" i="37"/>
  <c r="I783" i="37" s="1"/>
  <c r="AK290" i="37"/>
  <c r="AG299" i="37"/>
  <c r="AL299" i="37"/>
  <c r="I784" i="37"/>
  <c r="AH471" i="37"/>
  <c r="AN471" i="37" s="1"/>
  <c r="AH503" i="37"/>
  <c r="AN503" i="37" s="1"/>
  <c r="B82" i="10"/>
  <c r="B83" i="10" s="1"/>
  <c r="B88" i="10" s="1"/>
  <c r="AH289" i="37" l="1"/>
  <c r="AN289" i="37" s="1"/>
  <c r="AM289" i="37"/>
  <c r="AH524" i="37"/>
  <c r="AN524" i="37" s="1"/>
  <c r="AM524" i="37"/>
  <c r="AH299" i="37"/>
  <c r="AN299" i="37" s="1"/>
  <c r="AM299" i="37"/>
  <c r="J783" i="37"/>
  <c r="K783" i="37"/>
  <c r="K787" i="37" s="1"/>
  <c r="K49" i="32" s="1"/>
  <c r="M783" i="37" l="1"/>
  <c r="L783" i="37"/>
  <c r="L787" i="37" s="1"/>
  <c r="F45" i="25"/>
  <c r="E642" i="40" l="1"/>
  <c r="E643" i="40"/>
  <c r="E644" i="40"/>
  <c r="E639" i="40"/>
  <c r="E640" i="40"/>
  <c r="E641" i="40"/>
  <c r="E535" i="40"/>
  <c r="E536" i="40"/>
  <c r="E537" i="40"/>
  <c r="E538" i="40"/>
  <c r="E539" i="40"/>
  <c r="E540" i="40"/>
  <c r="E541" i="40"/>
  <c r="E542" i="40"/>
  <c r="E543" i="40"/>
  <c r="E544" i="40"/>
  <c r="E545" i="40"/>
  <c r="E546" i="40"/>
  <c r="E547" i="40"/>
  <c r="E548" i="40"/>
  <c r="E549" i="40"/>
  <c r="E550" i="40"/>
  <c r="E551" i="40"/>
  <c r="E552" i="40"/>
  <c r="E553" i="40"/>
  <c r="E554" i="40"/>
  <c r="E555" i="40"/>
  <c r="E556" i="40"/>
  <c r="E557" i="40"/>
  <c r="E558" i="40"/>
  <c r="E559" i="40"/>
  <c r="E560" i="40"/>
  <c r="E561" i="40"/>
  <c r="E562" i="40"/>
  <c r="E563" i="40"/>
  <c r="E564" i="40"/>
  <c r="E565" i="40"/>
  <c r="E566" i="40"/>
  <c r="E567" i="40"/>
  <c r="E568" i="40"/>
  <c r="E569" i="40"/>
  <c r="E570" i="40"/>
  <c r="E571" i="40"/>
  <c r="E572" i="40"/>
  <c r="E573" i="40"/>
  <c r="E574" i="40"/>
  <c r="E575" i="40"/>
  <c r="E576" i="40"/>
  <c r="E577" i="40"/>
  <c r="E578" i="40"/>
  <c r="E579" i="40"/>
  <c r="E580" i="40"/>
  <c r="E581" i="40"/>
  <c r="E582" i="40"/>
  <c r="E583" i="40"/>
  <c r="E584" i="40"/>
  <c r="E585" i="40"/>
  <c r="E586" i="40"/>
  <c r="E587" i="40"/>
  <c r="E588" i="40"/>
  <c r="E589" i="40"/>
  <c r="E590" i="40"/>
  <c r="E591" i="40"/>
  <c r="E592" i="40"/>
  <c r="E593" i="40"/>
  <c r="E594" i="40"/>
  <c r="E595" i="40"/>
  <c r="E596" i="40"/>
  <c r="E597" i="40"/>
  <c r="E598" i="40"/>
  <c r="E599" i="40"/>
  <c r="E600" i="40"/>
  <c r="E601" i="40"/>
  <c r="E602" i="40"/>
  <c r="E603" i="40"/>
  <c r="E604" i="40"/>
  <c r="E605" i="40"/>
  <c r="E606" i="40"/>
  <c r="E607" i="40"/>
  <c r="E608" i="40"/>
  <c r="E609" i="40"/>
  <c r="E610" i="40"/>
  <c r="E611" i="40"/>
  <c r="E612" i="40"/>
  <c r="E613" i="40"/>
  <c r="E614" i="40"/>
  <c r="E615" i="40"/>
  <c r="E616" i="40"/>
  <c r="E617" i="40"/>
  <c r="E618" i="40"/>
  <c r="E619" i="40"/>
  <c r="E620" i="40"/>
  <c r="E621" i="40"/>
  <c r="E622" i="40"/>
  <c r="E623" i="40"/>
  <c r="E624" i="40"/>
  <c r="E625" i="40"/>
  <c r="E626" i="40"/>
  <c r="E627" i="40"/>
  <c r="E628" i="40"/>
  <c r="E629" i="40"/>
  <c r="E630" i="40"/>
  <c r="E631" i="40"/>
  <c r="E632" i="40"/>
  <c r="E633" i="40"/>
  <c r="E634" i="40"/>
  <c r="E635" i="40"/>
  <c r="E636" i="40"/>
  <c r="E637" i="40"/>
  <c r="E638" i="40"/>
  <c r="E528" i="40"/>
  <c r="E529" i="40"/>
  <c r="E530" i="40"/>
  <c r="E531" i="40"/>
  <c r="E532" i="40"/>
  <c r="E533" i="40"/>
  <c r="E534" i="40"/>
  <c r="J31" i="42" l="1"/>
  <c r="I30" i="42"/>
  <c r="K32" i="42"/>
  <c r="L33" i="42"/>
  <c r="M34" i="42"/>
  <c r="N35" i="42"/>
  <c r="H29" i="42"/>
  <c r="F26" i="42"/>
  <c r="F23" i="42"/>
  <c r="F20" i="42"/>
  <c r="I16" i="42"/>
  <c r="H16" i="42"/>
  <c r="F78" i="36"/>
  <c r="F72" i="36"/>
  <c r="F53" i="36"/>
  <c r="F54" i="36"/>
  <c r="F55" i="36"/>
  <c r="F56" i="36"/>
  <c r="F57" i="36"/>
  <c r="F58" i="36"/>
  <c r="F59" i="36"/>
  <c r="F60" i="36"/>
  <c r="F61" i="36"/>
  <c r="F62" i="36"/>
  <c r="F63" i="36"/>
  <c r="F52" i="36"/>
  <c r="F39" i="36"/>
  <c r="F40" i="36"/>
  <c r="F41" i="36"/>
  <c r="F42" i="36"/>
  <c r="F43" i="36"/>
  <c r="F44" i="36"/>
  <c r="F45" i="36"/>
  <c r="F46" i="36"/>
  <c r="F47" i="36"/>
  <c r="F48" i="36"/>
  <c r="F49" i="36"/>
  <c r="F38" i="36"/>
  <c r="F25" i="36"/>
  <c r="F26" i="36"/>
  <c r="F27" i="36"/>
  <c r="F28" i="36"/>
  <c r="F29" i="36"/>
  <c r="F30" i="36"/>
  <c r="F31" i="36"/>
  <c r="F32" i="36"/>
  <c r="F33" i="36"/>
  <c r="F34" i="36"/>
  <c r="F35" i="36"/>
  <c r="F24" i="36"/>
  <c r="F19" i="36"/>
  <c r="F20" i="36"/>
  <c r="F21" i="36"/>
  <c r="F18" i="36"/>
  <c r="F13" i="36"/>
  <c r="F14" i="36"/>
  <c r="F15" i="36"/>
  <c r="F12" i="36"/>
  <c r="F23" i="34"/>
  <c r="F20" i="34"/>
  <c r="F19" i="34"/>
  <c r="I18" i="32"/>
  <c r="N37" i="50"/>
  <c r="M36" i="50"/>
  <c r="L35" i="50"/>
  <c r="K34" i="50"/>
  <c r="J33" i="50"/>
  <c r="I32" i="50"/>
  <c r="H31" i="50"/>
  <c r="F28" i="50"/>
  <c r="F25" i="50"/>
  <c r="F22" i="50"/>
  <c r="F19" i="50"/>
  <c r="K16" i="50"/>
  <c r="L16" i="50"/>
  <c r="M16" i="50"/>
  <c r="N16" i="50"/>
  <c r="AV62" i="42" l="1"/>
  <c r="BL62" i="42" s="1"/>
  <c r="AV64" i="42"/>
  <c r="BL64" i="42" s="1"/>
  <c r="AV61" i="42"/>
  <c r="BL61" i="42" s="1"/>
  <c r="AV65" i="42"/>
  <c r="BL65"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X65" i="42"/>
  <c r="AJ65" i="42" s="1"/>
  <c r="Z65" i="42"/>
  <c r="AL65" i="42" s="1"/>
  <c r="AA61" i="42"/>
  <c r="AM61" i="42" s="1"/>
  <c r="Y65" i="42"/>
  <c r="AK65" i="42" s="1"/>
  <c r="AB65" i="42"/>
  <c r="AN65" i="42" s="1"/>
  <c r="BJ65" i="42" s="1"/>
  <c r="Z61" i="42"/>
  <c r="AA65" i="42"/>
  <c r="AA63" i="42"/>
  <c r="X62" i="42"/>
  <c r="AJ62" i="42" s="1"/>
  <c r="Y62" i="42"/>
  <c r="AA62" i="42"/>
  <c r="AM62" i="42" s="1"/>
  <c r="Z64" i="42"/>
  <c r="Z63" i="42"/>
  <c r="AL63" i="42" s="1"/>
  <c r="AB64" i="42"/>
  <c r="Y64" i="42"/>
  <c r="Y63" i="42"/>
  <c r="AB63" i="42"/>
  <c r="AN63" i="42" s="1"/>
  <c r="BJ63" i="42" s="1"/>
  <c r="X63" i="42"/>
  <c r="X64" i="42"/>
  <c r="AJ64" i="42" s="1"/>
  <c r="AA64" i="42"/>
  <c r="AM64" i="42" s="1"/>
  <c r="Z62" i="42"/>
  <c r="AL62" i="42" s="1"/>
  <c r="AB62" i="42"/>
  <c r="AN62" i="42" s="1"/>
  <c r="BJ62" i="42" s="1"/>
  <c r="AB60" i="42"/>
  <c r="Y60" i="42"/>
  <c r="X60" i="42"/>
  <c r="AA60" i="42"/>
  <c r="Z60" i="42"/>
  <c r="AF204" i="50"/>
  <c r="AC204" i="50"/>
  <c r="X200" i="50"/>
  <c r="Y200" i="50"/>
  <c r="AD204" i="50"/>
  <c r="V204" i="50"/>
  <c r="W204" i="50"/>
  <c r="AB204" i="50"/>
  <c r="AF219" i="50"/>
  <c r="AD219" i="50"/>
  <c r="AB219" i="50"/>
  <c r="Y217" i="50"/>
  <c r="V217" i="50"/>
  <c r="AF205" i="50"/>
  <c r="AB205" i="50"/>
  <c r="AC201" i="50"/>
  <c r="X209" i="50"/>
  <c r="AD205" i="50"/>
  <c r="AE201" i="50"/>
  <c r="AB189" i="50"/>
  <c r="AB206" i="50"/>
  <c r="W194" i="50"/>
  <c r="Y194" i="50"/>
  <c r="Z190" i="50"/>
  <c r="X218" i="50"/>
  <c r="AB203" i="50"/>
  <c r="X203" i="50"/>
  <c r="Y219" i="50"/>
  <c r="Z217" i="50"/>
  <c r="AE205" i="50"/>
  <c r="Z201" i="50"/>
  <c r="AB201" i="50"/>
  <c r="AC206" i="50"/>
  <c r="Y206" i="50"/>
  <c r="AB218" i="50"/>
  <c r="W219" i="50"/>
  <c r="AE217" i="50"/>
  <c r="AD213" i="50"/>
  <c r="W193" i="50"/>
  <c r="X185" i="50"/>
  <c r="AB210" i="50"/>
  <c r="AE206" i="50"/>
  <c r="AF202" i="50"/>
  <c r="AC198" i="50"/>
  <c r="Y190" i="50"/>
  <c r="X186" i="50"/>
  <c r="Y218" i="50"/>
  <c r="AF215" i="50"/>
  <c r="AB215" i="50"/>
  <c r="AB207" i="50"/>
  <c r="AF203" i="50"/>
  <c r="W203" i="50"/>
  <c r="AB217" i="50"/>
  <c r="Z205" i="50"/>
  <c r="AE191" i="50"/>
  <c r="V191" i="50"/>
  <c r="AE199" i="50"/>
  <c r="V199" i="50"/>
  <c r="Y199" i="50"/>
  <c r="X193" i="50"/>
  <c r="W187" i="50"/>
  <c r="Y186" i="50"/>
  <c r="X215" i="50"/>
  <c r="V195" i="50"/>
  <c r="AE195" i="50"/>
  <c r="AD195" i="50"/>
  <c r="AD194" i="50"/>
  <c r="AD203" i="50"/>
  <c r="Z207" i="50"/>
  <c r="X189" i="50"/>
  <c r="X192" i="50"/>
  <c r="W192" i="50"/>
  <c r="AF216" i="50"/>
  <c r="AD216" i="50"/>
  <c r="Z216" i="50"/>
  <c r="AB214" i="50"/>
  <c r="AF214" i="50"/>
  <c r="X214" i="50"/>
  <c r="AF207" i="50"/>
  <c r="Y215" i="50"/>
  <c r="AC215" i="50"/>
  <c r="AB186" i="50"/>
  <c r="AE198" i="50"/>
  <c r="W198" i="50"/>
  <c r="AI198" i="50" s="1"/>
  <c r="AU198" i="50" s="1"/>
  <c r="Y202" i="50"/>
  <c r="AC205" i="50"/>
  <c r="Y213" i="50"/>
  <c r="AB213" i="50"/>
  <c r="AD207" i="50"/>
  <c r="AD218" i="50"/>
  <c r="V218" i="50"/>
  <c r="AH218" i="50" s="1"/>
  <c r="Z206" i="50"/>
  <c r="X210" i="50"/>
  <c r="AF210" i="50"/>
  <c r="Y193" i="50"/>
  <c r="AE193" i="50"/>
  <c r="W184" i="50"/>
  <c r="AE184" i="50"/>
  <c r="Z208" i="50"/>
  <c r="W208" i="50"/>
  <c r="X212" i="50"/>
  <c r="V212" i="50"/>
  <c r="V186" i="50"/>
  <c r="AF190" i="50"/>
  <c r="AF194" i="50"/>
  <c r="AE202" i="50"/>
  <c r="AF185" i="50"/>
  <c r="AD185" i="50"/>
  <c r="AF189" i="50"/>
  <c r="AD189" i="50"/>
  <c r="Z209" i="50"/>
  <c r="AC209" i="50"/>
  <c r="Z211" i="50"/>
  <c r="Y211" i="50"/>
  <c r="AE211" i="50"/>
  <c r="W205" i="50"/>
  <c r="AC217" i="50"/>
  <c r="AE200" i="50"/>
  <c r="AD217" i="50"/>
  <c r="W200" i="50"/>
  <c r="AC191" i="50"/>
  <c r="AB191" i="50"/>
  <c r="Y191" i="50"/>
  <c r="AK191" i="50" s="1"/>
  <c r="X199" i="50"/>
  <c r="AB199" i="50"/>
  <c r="AC199" i="50"/>
  <c r="AD187" i="50"/>
  <c r="AE187" i="50"/>
  <c r="AF187" i="50"/>
  <c r="AE210" i="50"/>
  <c r="X190" i="50"/>
  <c r="AC195" i="50"/>
  <c r="Y195" i="50"/>
  <c r="AK195" i="50" s="1"/>
  <c r="AB195" i="50"/>
  <c r="AB198" i="50"/>
  <c r="Z203" i="50"/>
  <c r="V190" i="50"/>
  <c r="AF192" i="50"/>
  <c r="AE192" i="50"/>
  <c r="V192" i="50"/>
  <c r="AC216" i="50"/>
  <c r="AE216" i="50"/>
  <c r="Z214" i="50"/>
  <c r="W214" i="50"/>
  <c r="W207" i="50"/>
  <c r="W215" i="50"/>
  <c r="AC186" i="50"/>
  <c r="AD186" i="50"/>
  <c r="Z198" i="50"/>
  <c r="V198" i="50"/>
  <c r="AB202" i="50"/>
  <c r="AC213" i="50"/>
  <c r="V213" i="50"/>
  <c r="AE219" i="50"/>
  <c r="V215" i="50"/>
  <c r="AC218" i="50"/>
  <c r="W186" i="50"/>
  <c r="Z202" i="50"/>
  <c r="Z210" i="50"/>
  <c r="W210" i="50"/>
  <c r="AB193" i="50"/>
  <c r="AD193" i="50"/>
  <c r="AF213" i="50"/>
  <c r="AC184" i="50"/>
  <c r="AB184" i="50"/>
  <c r="Z200" i="50"/>
  <c r="AC208" i="50"/>
  <c r="AD208" i="50"/>
  <c r="Z212" i="50"/>
  <c r="AF212" i="50"/>
  <c r="AC212" i="50"/>
  <c r="AE203" i="50"/>
  <c r="AC190" i="50"/>
  <c r="AD190" i="50"/>
  <c r="X194" i="50"/>
  <c r="AJ194" i="50" s="1"/>
  <c r="AV194" i="50" s="1"/>
  <c r="AE185" i="50"/>
  <c r="V185" i="50"/>
  <c r="AE189" i="50"/>
  <c r="V189" i="50"/>
  <c r="X201" i="50"/>
  <c r="AE209" i="50"/>
  <c r="V209" i="50"/>
  <c r="AC211" i="50"/>
  <c r="V211" i="50"/>
  <c r="AB211" i="50"/>
  <c r="W201" i="50"/>
  <c r="V205" i="50"/>
  <c r="V219" i="50"/>
  <c r="AH219" i="50" s="1"/>
  <c r="AC200" i="50"/>
  <c r="AF201" i="50"/>
  <c r="AC219" i="50"/>
  <c r="AE204" i="50"/>
  <c r="X191" i="50"/>
  <c r="Z191" i="50"/>
  <c r="W191" i="50"/>
  <c r="Z199" i="50"/>
  <c r="AF199" i="50"/>
  <c r="V187" i="50"/>
  <c r="AC187" i="50"/>
  <c r="Y187" i="50"/>
  <c r="AK187" i="50" s="1"/>
  <c r="X213" i="50"/>
  <c r="V202" i="50"/>
  <c r="AF195" i="50"/>
  <c r="X195" i="50"/>
  <c r="Z195" i="50"/>
  <c r="AB185" i="50"/>
  <c r="V203" i="50"/>
  <c r="AB190" i="50"/>
  <c r="AD192" i="50"/>
  <c r="AB192" i="50"/>
  <c r="V216" i="50"/>
  <c r="Y216" i="50"/>
  <c r="AB216" i="50"/>
  <c r="AD214" i="50"/>
  <c r="AC214" i="50"/>
  <c r="AB187" i="50"/>
  <c r="Y207" i="50"/>
  <c r="Z186" i="50"/>
  <c r="X198" i="50"/>
  <c r="AD202" i="50"/>
  <c r="X202" i="50"/>
  <c r="W213" i="50"/>
  <c r="Z213" i="50"/>
  <c r="AL213" i="50" s="1"/>
  <c r="AX213" i="50" s="1"/>
  <c r="AC203" i="50"/>
  <c r="Z215" i="50"/>
  <c r="AF218" i="50"/>
  <c r="Z194" i="50"/>
  <c r="X206" i="50"/>
  <c r="W206" i="50"/>
  <c r="AI206" i="50" s="1"/>
  <c r="AD210" i="50"/>
  <c r="V210" i="50"/>
  <c r="Z193" i="50"/>
  <c r="AC193" i="50"/>
  <c r="AF184" i="50"/>
  <c r="V184" i="50"/>
  <c r="X184" i="50"/>
  <c r="V208" i="50"/>
  <c r="AB208" i="50"/>
  <c r="X208" i="50"/>
  <c r="AD212" i="50"/>
  <c r="W212" i="50"/>
  <c r="AE212" i="50"/>
  <c r="AE207" i="50"/>
  <c r="AE190" i="50"/>
  <c r="AE194" i="50"/>
  <c r="AB194" i="50"/>
  <c r="Y185" i="50"/>
  <c r="W185" i="50"/>
  <c r="Y189" i="50"/>
  <c r="Y209" i="50"/>
  <c r="AB209" i="50"/>
  <c r="AF217" i="50"/>
  <c r="W211" i="50"/>
  <c r="Y201" i="50"/>
  <c r="AB200" i="50"/>
  <c r="AD201" i="50"/>
  <c r="X219" i="50"/>
  <c r="AD200" i="50"/>
  <c r="X205" i="50"/>
  <c r="X204" i="50"/>
  <c r="AF191" i="50"/>
  <c r="AD191" i="50"/>
  <c r="AD199" i="50"/>
  <c r="W199" i="50"/>
  <c r="V206" i="50"/>
  <c r="AH206" i="50" s="1"/>
  <c r="X187" i="50"/>
  <c r="Z187" i="50"/>
  <c r="AE218" i="50"/>
  <c r="X207" i="50"/>
  <c r="AD209" i="50"/>
  <c r="W195" i="50"/>
  <c r="Y203" i="50"/>
  <c r="AK203" i="50" s="1"/>
  <c r="Z189" i="50"/>
  <c r="AL189" i="50" s="1"/>
  <c r="AX189" i="50" s="1"/>
  <c r="AC194" i="50"/>
  <c r="AI194" i="50" s="1"/>
  <c r="Y192" i="50"/>
  <c r="AK192" i="50" s="1"/>
  <c r="Z192" i="50"/>
  <c r="AC192" i="50"/>
  <c r="X216" i="50"/>
  <c r="AJ216" i="50" s="1"/>
  <c r="W216" i="50"/>
  <c r="AE214" i="50"/>
  <c r="V214" i="50"/>
  <c r="Y214" i="50"/>
  <c r="AC207" i="50"/>
  <c r="V207" i="50"/>
  <c r="AE215" i="50"/>
  <c r="AE186" i="50"/>
  <c r="AF186" i="50"/>
  <c r="Y198" i="50"/>
  <c r="AK198" i="50" s="1"/>
  <c r="W202" i="50"/>
  <c r="AC202" i="50"/>
  <c r="AE213" i="50"/>
  <c r="Z218" i="50"/>
  <c r="W218" i="50"/>
  <c r="AD198" i="50"/>
  <c r="AD206" i="50"/>
  <c r="AF206" i="50"/>
  <c r="AC210" i="50"/>
  <c r="Y210" i="50"/>
  <c r="AK210" i="50" s="1"/>
  <c r="AF193" i="50"/>
  <c r="V193" i="50"/>
  <c r="Z184" i="50"/>
  <c r="AD184" i="50"/>
  <c r="Y184" i="50"/>
  <c r="Y208" i="50"/>
  <c r="AE208" i="50"/>
  <c r="AF208" i="50"/>
  <c r="Y212" i="50"/>
  <c r="AB212" i="50"/>
  <c r="AD215" i="50"/>
  <c r="W190" i="50"/>
  <c r="V194" i="50"/>
  <c r="AF198" i="50"/>
  <c r="Z185" i="50"/>
  <c r="AL185" i="50" s="1"/>
  <c r="AX185" i="50" s="1"/>
  <c r="AC185" i="50"/>
  <c r="W189" i="50"/>
  <c r="AC189" i="50"/>
  <c r="W209" i="50"/>
  <c r="AF209" i="50"/>
  <c r="AD211" i="50"/>
  <c r="AF211" i="50"/>
  <c r="X211" i="50"/>
  <c r="Y205" i="50"/>
  <c r="V200" i="50"/>
  <c r="AH200" i="50" s="1"/>
  <c r="V201" i="50"/>
  <c r="W217" i="50"/>
  <c r="AI217" i="50" s="1"/>
  <c r="Z219" i="50"/>
  <c r="Z204" i="50"/>
  <c r="X217" i="50"/>
  <c r="AJ217" i="50" s="1"/>
  <c r="AF200" i="50"/>
  <c r="Y204" i="50"/>
  <c r="AB196" i="50"/>
  <c r="X196" i="50"/>
  <c r="X197" i="50"/>
  <c r="Z197" i="50"/>
  <c r="AF197" i="50"/>
  <c r="V188" i="50"/>
  <c r="Y188" i="50"/>
  <c r="AF196" i="50"/>
  <c r="AD196" i="50"/>
  <c r="V196" i="50"/>
  <c r="AB197" i="50"/>
  <c r="AC197" i="50"/>
  <c r="AD188" i="50"/>
  <c r="AF188" i="50"/>
  <c r="Z188" i="50"/>
  <c r="Z196" i="50"/>
  <c r="AL196" i="50" s="1"/>
  <c r="AX196" i="50" s="1"/>
  <c r="Y196" i="50"/>
  <c r="AE196" i="50"/>
  <c r="AE197" i="50"/>
  <c r="V197" i="50"/>
  <c r="AD197" i="50"/>
  <c r="AE188" i="50"/>
  <c r="AC188" i="50"/>
  <c r="AC196" i="50"/>
  <c r="W196" i="50"/>
  <c r="W197" i="50"/>
  <c r="Y197" i="50"/>
  <c r="AK197" i="50" s="1"/>
  <c r="X188" i="50"/>
  <c r="AB188" i="50"/>
  <c r="W188" i="50"/>
  <c r="BB231" i="50"/>
  <c r="BB227" i="50"/>
  <c r="BB238" i="50"/>
  <c r="BB230" i="50"/>
  <c r="BB221" i="50"/>
  <c r="BB220" i="50"/>
  <c r="BB237" i="50"/>
  <c r="L246" i="50" s="1"/>
  <c r="BB233" i="50"/>
  <c r="BB222" i="50"/>
  <c r="BB235" i="50"/>
  <c r="BB236" i="50"/>
  <c r="BB226" i="50"/>
  <c r="BB229" i="50"/>
  <c r="BB224" i="50"/>
  <c r="BB232" i="50"/>
  <c r="BB225" i="50"/>
  <c r="BB228" i="50"/>
  <c r="BB239" i="50"/>
  <c r="BB223" i="50"/>
  <c r="BB234" i="50"/>
  <c r="BA233" i="50"/>
  <c r="BA225" i="50"/>
  <c r="BA223" i="50"/>
  <c r="BA239" i="50"/>
  <c r="BA221" i="50"/>
  <c r="BA222" i="50"/>
  <c r="BA235" i="50"/>
  <c r="BA232" i="50"/>
  <c r="BA231" i="50"/>
  <c r="BA230" i="50"/>
  <c r="BA234" i="50"/>
  <c r="BA236" i="50"/>
  <c r="BA220" i="50"/>
  <c r="BA224" i="50"/>
  <c r="BA238" i="50"/>
  <c r="BA226" i="50"/>
  <c r="BA237" i="50"/>
  <c r="K246" i="50" s="1"/>
  <c r="BA229" i="50"/>
  <c r="BA228" i="50"/>
  <c r="BA227" i="50"/>
  <c r="BD237" i="50"/>
  <c r="N246" i="50" s="1"/>
  <c r="BD234" i="50"/>
  <c r="BD221" i="50"/>
  <c r="BD229" i="50"/>
  <c r="BD233" i="50"/>
  <c r="BD222" i="50"/>
  <c r="BD231" i="50"/>
  <c r="BD235" i="50"/>
  <c r="BD225" i="50"/>
  <c r="BD230" i="50"/>
  <c r="BD228" i="50"/>
  <c r="BD232" i="50"/>
  <c r="BD239" i="50"/>
  <c r="BD220" i="50"/>
  <c r="BD238" i="50"/>
  <c r="BD223" i="50"/>
  <c r="BD226" i="50"/>
  <c r="BD227" i="50"/>
  <c r="BD236" i="50"/>
  <c r="BD224" i="50"/>
  <c r="BC230" i="50"/>
  <c r="BC239" i="50"/>
  <c r="BC238" i="50"/>
  <c r="BC235" i="50"/>
  <c r="BC220" i="50"/>
  <c r="BC223" i="50"/>
  <c r="BC221" i="50"/>
  <c r="BC228" i="50"/>
  <c r="BC224" i="50"/>
  <c r="BC234" i="50"/>
  <c r="BC222" i="50"/>
  <c r="BC226" i="50"/>
  <c r="BC237" i="50"/>
  <c r="M246" i="50" s="1"/>
  <c r="BC236" i="50"/>
  <c r="BC233" i="50"/>
  <c r="BC227" i="50"/>
  <c r="BC231" i="50"/>
  <c r="BC225" i="50"/>
  <c r="BC232" i="50"/>
  <c r="BC229" i="50"/>
  <c r="AZ153" i="50"/>
  <c r="AZ156" i="50"/>
  <c r="AZ147" i="50"/>
  <c r="AZ144" i="50"/>
  <c r="J165" i="50" s="1"/>
  <c r="J264" i="50" s="1"/>
  <c r="AZ150" i="50"/>
  <c r="AZ141" i="50"/>
  <c r="J164" i="50" s="1"/>
  <c r="AZ138" i="50"/>
  <c r="J163" i="50" s="1"/>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48" i="50"/>
  <c r="BD158" i="50"/>
  <c r="BD147" i="50"/>
  <c r="BD152" i="50"/>
  <c r="BD156" i="50"/>
  <c r="BD155" i="50"/>
  <c r="BD144" i="50"/>
  <c r="BD149" i="50"/>
  <c r="BD151" i="50"/>
  <c r="BD142" i="50"/>
  <c r="BD157" i="50"/>
  <c r="BD150" i="50"/>
  <c r="BD154" i="50"/>
  <c r="BD143" i="50"/>
  <c r="BD145" i="50"/>
  <c r="BD141" i="50"/>
  <c r="BD153" i="50"/>
  <c r="BD146" i="50"/>
  <c r="BD140" i="50"/>
  <c r="BD139" i="50"/>
  <c r="BD138" i="50"/>
  <c r="BB150" i="50"/>
  <c r="BB154" i="50"/>
  <c r="BB148" i="50"/>
  <c r="BB158" i="50"/>
  <c r="BB144" i="50"/>
  <c r="BB149" i="50"/>
  <c r="BB155" i="50"/>
  <c r="BB145" i="50"/>
  <c r="BB146" i="50"/>
  <c r="BB152" i="50"/>
  <c r="BB156" i="50"/>
  <c r="BB157" i="50"/>
  <c r="BB142" i="50"/>
  <c r="BB153" i="50"/>
  <c r="BB147" i="50"/>
  <c r="BB143" i="50"/>
  <c r="BB141" i="50"/>
  <c r="BB151" i="50"/>
  <c r="BB138" i="50"/>
  <c r="BB139" i="50"/>
  <c r="BB140" i="50"/>
  <c r="BC151" i="50"/>
  <c r="BC158" i="50"/>
  <c r="BC147" i="50"/>
  <c r="BC153" i="50"/>
  <c r="BC143" i="50"/>
  <c r="BC148" i="50"/>
  <c r="BC144" i="50"/>
  <c r="BC156" i="50"/>
  <c r="BC142" i="50"/>
  <c r="BC154" i="50"/>
  <c r="BC152" i="50"/>
  <c r="BC155" i="50"/>
  <c r="BC146" i="50"/>
  <c r="BC141" i="50"/>
  <c r="BC157" i="50"/>
  <c r="BC149" i="50"/>
  <c r="BC145" i="50"/>
  <c r="BC150" i="50"/>
  <c r="BC140" i="50"/>
  <c r="BC138" i="50"/>
  <c r="BC139" i="50"/>
  <c r="BB109" i="50"/>
  <c r="BB129" i="50"/>
  <c r="BB121" i="50"/>
  <c r="BB112" i="50"/>
  <c r="BB122" i="50"/>
  <c r="BB119" i="50"/>
  <c r="BB130" i="50"/>
  <c r="BB107" i="50"/>
  <c r="BB116" i="50"/>
  <c r="BB123" i="50"/>
  <c r="BB115" i="50"/>
  <c r="BB111" i="50"/>
  <c r="BB136" i="50"/>
  <c r="BB106" i="50"/>
  <c r="BB120" i="50"/>
  <c r="BB137" i="50"/>
  <c r="BB114" i="50"/>
  <c r="BB110" i="50"/>
  <c r="BB113" i="50"/>
  <c r="BB108" i="50"/>
  <c r="BB117" i="50"/>
  <c r="BB118" i="50"/>
  <c r="AZ90" i="50"/>
  <c r="AZ106" i="50"/>
  <c r="AZ117" i="50"/>
  <c r="AZ115" i="50"/>
  <c r="AZ99" i="50"/>
  <c r="AZ128" i="50"/>
  <c r="AZ127" i="50"/>
  <c r="AZ129" i="50"/>
  <c r="AZ98" i="50"/>
  <c r="AZ108" i="50"/>
  <c r="AZ88" i="50"/>
  <c r="AZ107" i="50"/>
  <c r="AZ89" i="50"/>
  <c r="AZ97" i="50"/>
  <c r="AZ116" i="50"/>
  <c r="AZ130" i="50"/>
  <c r="BA104" i="50"/>
  <c r="BA106" i="50"/>
  <c r="BA120" i="50"/>
  <c r="BA128" i="50"/>
  <c r="BA112" i="50"/>
  <c r="BA110" i="50"/>
  <c r="BA98" i="50"/>
  <c r="BA116" i="50"/>
  <c r="BA97" i="50"/>
  <c r="BA111" i="50"/>
  <c r="BA117" i="50"/>
  <c r="BA100" i="50"/>
  <c r="BA118" i="50"/>
  <c r="BA105" i="50"/>
  <c r="BA109" i="50"/>
  <c r="BA113" i="50"/>
  <c r="BA137" i="50"/>
  <c r="BA107" i="50"/>
  <c r="BA136" i="50"/>
  <c r="BA103" i="50"/>
  <c r="BA102" i="50"/>
  <c r="BA121" i="50"/>
  <c r="BA122" i="50"/>
  <c r="BA108" i="50"/>
  <c r="BA135" i="50"/>
  <c r="BA99" i="50"/>
  <c r="BA123" i="50"/>
  <c r="BA115" i="50"/>
  <c r="BA114" i="50"/>
  <c r="BA119" i="50"/>
  <c r="BA130" i="50"/>
  <c r="BA101" i="50"/>
  <c r="BA129"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O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AL72" i="50" s="1"/>
  <c r="AX72" i="50" s="1"/>
  <c r="W72" i="50"/>
  <c r="Z73" i="50"/>
  <c r="V71" i="50"/>
  <c r="AE67" i="50"/>
  <c r="W67" i="50"/>
  <c r="Z134" i="50"/>
  <c r="AL134" i="50" s="1"/>
  <c r="AX134" i="50" s="1"/>
  <c r="W134" i="50"/>
  <c r="AD132" i="50"/>
  <c r="AC132" i="50"/>
  <c r="AB132" i="50"/>
  <c r="Z128" i="50"/>
  <c r="AD128" i="50"/>
  <c r="AE126" i="50"/>
  <c r="V126" i="50"/>
  <c r="AB126" i="50"/>
  <c r="W126" i="50"/>
  <c r="Y112" i="50"/>
  <c r="AE110" i="50"/>
  <c r="Y106" i="50"/>
  <c r="AE104" i="50"/>
  <c r="Z102" i="50"/>
  <c r="Z100" i="50"/>
  <c r="AD98" i="50"/>
  <c r="W96" i="50"/>
  <c r="AI96" i="50" s="1"/>
  <c r="AO96" i="50" s="1"/>
  <c r="AE94" i="50"/>
  <c r="Z94" i="50"/>
  <c r="AD94" i="50"/>
  <c r="W94" i="50"/>
  <c r="AF92" i="50"/>
  <c r="AE92" i="50"/>
  <c r="W88" i="50"/>
  <c r="AC88" i="50"/>
  <c r="AC86" i="50"/>
  <c r="V86" i="50"/>
  <c r="AD86" i="50"/>
  <c r="V84" i="50"/>
  <c r="Y84" i="50"/>
  <c r="AD84" i="50"/>
  <c r="AB82" i="50"/>
  <c r="X82" i="50"/>
  <c r="Z82" i="50"/>
  <c r="AL82" i="50" s="1"/>
  <c r="AX82" i="50" s="1"/>
  <c r="Z80" i="50"/>
  <c r="V80" i="50"/>
  <c r="AF78" i="50"/>
  <c r="V78" i="50"/>
  <c r="AE78" i="50"/>
  <c r="AD72" i="50"/>
  <c r="V72" i="50"/>
  <c r="AD104" i="50"/>
  <c r="Z104" i="50"/>
  <c r="AL104" i="50" s="1"/>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AK94" i="50" s="1"/>
  <c r="Z110" i="50"/>
  <c r="AF122" i="50"/>
  <c r="AF132" i="50"/>
  <c r="AD71" i="50"/>
  <c r="AE75" i="50"/>
  <c r="AB75" i="50"/>
  <c r="AD77" i="50"/>
  <c r="AE77" i="50"/>
  <c r="Z101" i="50"/>
  <c r="X88" i="50"/>
  <c r="AF108" i="50"/>
  <c r="AF114" i="50"/>
  <c r="AF67" i="50"/>
  <c r="AE71" i="50"/>
  <c r="AD93" i="50"/>
  <c r="AD79" i="50"/>
  <c r="AF83" i="50"/>
  <c r="AE87" i="50"/>
  <c r="X91" i="50"/>
  <c r="AJ91" i="50" s="1"/>
  <c r="AV91" i="50" s="1"/>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AK88" i="50" s="1"/>
  <c r="X90" i="50"/>
  <c r="AC92" i="50"/>
  <c r="Z96" i="50"/>
  <c r="AC126" i="50"/>
  <c r="AF130" i="50"/>
  <c r="Z132" i="50"/>
  <c r="Y73" i="50"/>
  <c r="AE135" i="50"/>
  <c r="X104" i="50"/>
  <c r="Z106" i="50"/>
  <c r="Z118" i="50"/>
  <c r="Z120" i="50"/>
  <c r="Z136" i="50"/>
  <c r="AD73" i="50"/>
  <c r="V73" i="50"/>
  <c r="AD95" i="50"/>
  <c r="AE113" i="50"/>
  <c r="Z133" i="50"/>
  <c r="AL133" i="50" s="1"/>
  <c r="AX133" i="50" s="1"/>
  <c r="V61" i="50"/>
  <c r="Y61" i="50"/>
  <c r="AE86" i="50"/>
  <c r="AD88" i="50"/>
  <c r="Y114" i="50"/>
  <c r="W132" i="50"/>
  <c r="AI132" i="50" s="1"/>
  <c r="Z71" i="50"/>
  <c r="AF75" i="50"/>
  <c r="AD75" i="50"/>
  <c r="W75" i="50"/>
  <c r="V77" i="50"/>
  <c r="AB77" i="50"/>
  <c r="Y111" i="50"/>
  <c r="AK111" i="50" s="1"/>
  <c r="AQ111" i="50" s="1"/>
  <c r="AC84" i="50"/>
  <c r="AE108" i="50"/>
  <c r="V132" i="50"/>
  <c r="AB67" i="50"/>
  <c r="AF73" i="50"/>
  <c r="AD99" i="50"/>
  <c r="V83" i="50"/>
  <c r="AB85" i="50"/>
  <c r="AF91" i="50"/>
  <c r="X95" i="50"/>
  <c r="AD101" i="50"/>
  <c r="Z103" i="50"/>
  <c r="Z111" i="50"/>
  <c r="AF127" i="50"/>
  <c r="Z129" i="50"/>
  <c r="Y83" i="50"/>
  <c r="Z87" i="50"/>
  <c r="AE97" i="50"/>
  <c r="Y101" i="50"/>
  <c r="AK101" i="50" s="1"/>
  <c r="AW101" i="50" s="1"/>
  <c r="AF115" i="50"/>
  <c r="Z127" i="50"/>
  <c r="W133" i="50"/>
  <c r="AC79" i="50"/>
  <c r="X99" i="50"/>
  <c r="AD127" i="50"/>
  <c r="AF62" i="50"/>
  <c r="V62" i="50"/>
  <c r="AC62" i="50"/>
  <c r="AC66" i="50"/>
  <c r="X66" i="50"/>
  <c r="AF74" i="50"/>
  <c r="W74" i="50"/>
  <c r="Z74" i="50"/>
  <c r="X94" i="50"/>
  <c r="AJ94" i="50" s="1"/>
  <c r="Z70" i="50"/>
  <c r="X70" i="50"/>
  <c r="Y70" i="50"/>
  <c r="AF88" i="50"/>
  <c r="AB76" i="50"/>
  <c r="AC76" i="50"/>
  <c r="AF84" i="50"/>
  <c r="AE128" i="50"/>
  <c r="V68" i="50"/>
  <c r="W68" i="50"/>
  <c r="Y110" i="50"/>
  <c r="AK110" i="50" s="1"/>
  <c r="AQ110" i="50" s="1"/>
  <c r="AE63" i="50"/>
  <c r="AC63" i="50"/>
  <c r="X63" i="50"/>
  <c r="AJ63" i="50" s="1"/>
  <c r="AB64" i="50"/>
  <c r="W64" i="50"/>
  <c r="AE64" i="50"/>
  <c r="Y67" i="50"/>
  <c r="AK67" i="50" s="1"/>
  <c r="AD82" i="50"/>
  <c r="Z86" i="50"/>
  <c r="Z88" i="50"/>
  <c r="W90" i="50"/>
  <c r="X92" i="50"/>
  <c r="AF96" i="50"/>
  <c r="Z108" i="50"/>
  <c r="AF116" i="50"/>
  <c r="Y128" i="50"/>
  <c r="Z130" i="50"/>
  <c r="Y136" i="50"/>
  <c r="X67" i="50"/>
  <c r="AJ67" i="50" s="1"/>
  <c r="AD89" i="50"/>
  <c r="X100" i="50"/>
  <c r="AF106" i="50"/>
  <c r="AF120" i="50"/>
  <c r="AE73" i="50"/>
  <c r="W83" i="50"/>
  <c r="AD97" i="50"/>
  <c r="V125" i="50"/>
  <c r="AH125" i="50" s="1"/>
  <c r="AF137" i="50"/>
  <c r="AL137" i="50" s="1"/>
  <c r="AR137" i="50" s="1"/>
  <c r="AF61" i="50"/>
  <c r="Z61" i="50"/>
  <c r="W86" i="50"/>
  <c r="AI86" i="50" s="1"/>
  <c r="AU86" i="50" s="1"/>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J127" i="50" s="1"/>
  <c r="AD135" i="50"/>
  <c r="AC87" i="50"/>
  <c r="W62" i="50"/>
  <c r="AB66" i="50"/>
  <c r="AF66" i="50"/>
  <c r="AD74" i="50"/>
  <c r="AC74" i="50"/>
  <c r="AE74" i="50"/>
  <c r="Y96" i="50"/>
  <c r="AE70" i="50"/>
  <c r="V70" i="50"/>
  <c r="AH70" i="50" s="1"/>
  <c r="AN70" i="50" s="1"/>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AK75" i="50" s="1"/>
  <c r="W77" i="50"/>
  <c r="AC77" i="50"/>
  <c r="Y77" i="50"/>
  <c r="Y86" i="50"/>
  <c r="AC71" i="50"/>
  <c r="Y85" i="50"/>
  <c r="AB83" i="50"/>
  <c r="AE85" i="50"/>
  <c r="Z91" i="50"/>
  <c r="AF93" i="50"/>
  <c r="AF99" i="50"/>
  <c r="AL99" i="50" s="1"/>
  <c r="AX99" i="50" s="1"/>
  <c r="X101" i="50"/>
  <c r="AJ101" i="50" s="1"/>
  <c r="AP101" i="50" s="1"/>
  <c r="AQ101" i="50" s="1"/>
  <c r="AF121" i="50"/>
  <c r="X125" i="50"/>
  <c r="AF135" i="50"/>
  <c r="AE79" i="50"/>
  <c r="AF85" i="50"/>
  <c r="W87" i="50"/>
  <c r="AE99" i="50"/>
  <c r="Z109" i="50"/>
  <c r="AF111" i="50"/>
  <c r="Z115" i="50"/>
  <c r="Z135" i="50"/>
  <c r="AF109" i="50"/>
  <c r="Z113" i="50"/>
  <c r="X105" i="50"/>
  <c r="AJ105" i="50" s="1"/>
  <c r="AP105" i="50" s="1"/>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H124" i="50" s="1"/>
  <c r="AN124" i="50" s="1"/>
  <c r="AC124" i="50"/>
  <c r="Z69" i="50"/>
  <c r="W69" i="50"/>
  <c r="V65" i="50"/>
  <c r="W65" i="50"/>
  <c r="AI65" i="50" s="1"/>
  <c r="X65" i="50"/>
  <c r="AJ65" i="50" s="1"/>
  <c r="V131" i="50"/>
  <c r="AC131" i="50"/>
  <c r="X131" i="50"/>
  <c r="AJ131" i="50" s="1"/>
  <c r="BC116" i="50"/>
  <c r="BC115" i="50"/>
  <c r="BC121" i="50"/>
  <c r="BC130" i="50"/>
  <c r="BC118" i="50"/>
  <c r="BC120" i="50"/>
  <c r="BC117" i="50"/>
  <c r="BC122" i="50"/>
  <c r="BC123" i="50"/>
  <c r="BC119" i="50"/>
  <c r="BC137" i="50"/>
  <c r="X183" i="50"/>
  <c r="AD183" i="50"/>
  <c r="W183" i="50"/>
  <c r="Z183" i="50"/>
  <c r="Y183" i="50"/>
  <c r="AE183" i="50"/>
  <c r="AB183" i="50"/>
  <c r="AC183" i="50"/>
  <c r="V183" i="50"/>
  <c r="AF183" i="50"/>
  <c r="AL218" i="50" l="1"/>
  <c r="AX218" i="50" s="1"/>
  <c r="AH207" i="50"/>
  <c r="AL192" i="50"/>
  <c r="AX192" i="50" s="1"/>
  <c r="AI199" i="50"/>
  <c r="AU199" i="50" s="1"/>
  <c r="AK216" i="50"/>
  <c r="AJ195" i="50"/>
  <c r="AI205" i="50"/>
  <c r="AU205" i="50" s="1"/>
  <c r="AJ219" i="50"/>
  <c r="AJ213" i="50"/>
  <c r="AK184" i="50"/>
  <c r="AJ205" i="50"/>
  <c r="AV205" i="50" s="1"/>
  <c r="AH203" i="50"/>
  <c r="AN203" i="50" s="1"/>
  <c r="AL210" i="50"/>
  <c r="AX210" i="50" s="1"/>
  <c r="AH186" i="50"/>
  <c r="AM65" i="42"/>
  <c r="BI65" i="42" s="1"/>
  <c r="AJ61" i="42"/>
  <c r="BF61" i="42" s="1"/>
  <c r="AJ63" i="42"/>
  <c r="BF63" i="42" s="1"/>
  <c r="AL61" i="42"/>
  <c r="BH61" i="42" s="1"/>
  <c r="AN61" i="42"/>
  <c r="BJ61" i="42" s="1"/>
  <c r="AM63" i="42"/>
  <c r="BH62" i="42"/>
  <c r="BH63" i="42"/>
  <c r="BF62" i="42"/>
  <c r="AP62" i="42"/>
  <c r="AX62" i="42" s="1"/>
  <c r="AP65" i="42"/>
  <c r="BF65" i="42"/>
  <c r="AN64" i="42"/>
  <c r="BJ64" i="42" s="1"/>
  <c r="BI64" i="42"/>
  <c r="AK63" i="42"/>
  <c r="AL64" i="42"/>
  <c r="BH64" i="42" s="1"/>
  <c r="BG65" i="42"/>
  <c r="AK61" i="42"/>
  <c r="AK62" i="42"/>
  <c r="AK64" i="42"/>
  <c r="BF64" i="42"/>
  <c r="AP64" i="42"/>
  <c r="BI62" i="42"/>
  <c r="BI61" i="42"/>
  <c r="AP61" i="42"/>
  <c r="AQ61" i="42" s="1"/>
  <c r="AP63" i="42"/>
  <c r="BH65" i="42"/>
  <c r="BI63" i="42"/>
  <c r="AI204" i="50"/>
  <c r="AJ187" i="50"/>
  <c r="AK201" i="50"/>
  <c r="AL201" i="50"/>
  <c r="AX201" i="50" s="1"/>
  <c r="AL202" i="50"/>
  <c r="AX202" i="50" s="1"/>
  <c r="AI216" i="50"/>
  <c r="AL187" i="50"/>
  <c r="AX187" i="50" s="1"/>
  <c r="AH184" i="50"/>
  <c r="AN184" i="50" s="1"/>
  <c r="AH210" i="50"/>
  <c r="AT210" i="50" s="1"/>
  <c r="AL194" i="50"/>
  <c r="AX194" i="50" s="1"/>
  <c r="AI191" i="50"/>
  <c r="AU191" i="50" s="1"/>
  <c r="AH215" i="50"/>
  <c r="AT215" i="50" s="1"/>
  <c r="AL214" i="50"/>
  <c r="AX214" i="50" s="1"/>
  <c r="AH193" i="50"/>
  <c r="AJ204" i="50"/>
  <c r="AL219" i="50"/>
  <c r="AX219" i="50" s="1"/>
  <c r="AI190" i="50"/>
  <c r="AU190" i="50" s="1"/>
  <c r="AJ210" i="50"/>
  <c r="AI215" i="50"/>
  <c r="M164" i="50"/>
  <c r="L164" i="50"/>
  <c r="N254" i="50"/>
  <c r="K254" i="50"/>
  <c r="L254" i="50"/>
  <c r="M254" i="50"/>
  <c r="AH211" i="50"/>
  <c r="AT211" i="50" s="1"/>
  <c r="AK199" i="50"/>
  <c r="AW199" i="50" s="1"/>
  <c r="AK209" i="50"/>
  <c r="AW209" i="50" s="1"/>
  <c r="AK202" i="50"/>
  <c r="L163" i="50"/>
  <c r="N164" i="50"/>
  <c r="AI188" i="50"/>
  <c r="AU188" i="50" s="1"/>
  <c r="AI197" i="50"/>
  <c r="AU197" i="50" s="1"/>
  <c r="AK208" i="50"/>
  <c r="AW208" i="50" s="1"/>
  <c r="AI185" i="50"/>
  <c r="AU185" i="50" s="1"/>
  <c r="AJ184" i="50"/>
  <c r="AV184" i="50" s="1"/>
  <c r="AL199" i="50"/>
  <c r="AX199" i="50" s="1"/>
  <c r="AH192" i="50"/>
  <c r="AT192" i="50" s="1"/>
  <c r="AI200" i="50"/>
  <c r="AU200" i="50" s="1"/>
  <c r="AJ211" i="50"/>
  <c r="AV211" i="50" s="1"/>
  <c r="AH216" i="50"/>
  <c r="AT216" i="50" s="1"/>
  <c r="AL216" i="50"/>
  <c r="AX216" i="50" s="1"/>
  <c r="K163" i="50"/>
  <c r="AH196" i="50"/>
  <c r="AT196" i="50" s="1"/>
  <c r="AH188" i="50"/>
  <c r="AN188" i="50" s="1"/>
  <c r="AJ196" i="50"/>
  <c r="AV196" i="50" s="1"/>
  <c r="AL193" i="50"/>
  <c r="AX193" i="50" s="1"/>
  <c r="AK204" i="50"/>
  <c r="AW204" i="50" s="1"/>
  <c r="AI210" i="50"/>
  <c r="AU210" i="50" s="1"/>
  <c r="AI214" i="50"/>
  <c r="AU214" i="50" s="1"/>
  <c r="AJ199" i="50"/>
  <c r="AV199" i="50" s="1"/>
  <c r="AI208" i="50"/>
  <c r="AU208" i="50" s="1"/>
  <c r="AK193" i="50"/>
  <c r="AW193" i="50" s="1"/>
  <c r="AK215" i="50"/>
  <c r="AW215" i="50" s="1"/>
  <c r="AI192" i="50"/>
  <c r="AU192" i="50" s="1"/>
  <c r="AH195" i="50"/>
  <c r="AT195" i="50" s="1"/>
  <c r="AJ193" i="50"/>
  <c r="AV193" i="50" s="1"/>
  <c r="AH191" i="50"/>
  <c r="AT191" i="50" s="1"/>
  <c r="AI219" i="50"/>
  <c r="AU219" i="50" s="1"/>
  <c r="AK219" i="50"/>
  <c r="AW219" i="50" s="1"/>
  <c r="AK217" i="50"/>
  <c r="AW217" i="50" s="1"/>
  <c r="AK200" i="50"/>
  <c r="AW200" i="50" s="1"/>
  <c r="AI64" i="50"/>
  <c r="M163" i="50"/>
  <c r="AJ188" i="50"/>
  <c r="AV188" i="50" s="1"/>
  <c r="AH197" i="50"/>
  <c r="AT197" i="50" s="1"/>
  <c r="AL197" i="50"/>
  <c r="AX197" i="50" s="1"/>
  <c r="AL186" i="50"/>
  <c r="AX186" i="50" s="1"/>
  <c r="AH202" i="50"/>
  <c r="AN202" i="50" s="1"/>
  <c r="AL191" i="50"/>
  <c r="AX191" i="50" s="1"/>
  <c r="AH209" i="50"/>
  <c r="AT209" i="50" s="1"/>
  <c r="AH198" i="50"/>
  <c r="AT198" i="50" s="1"/>
  <c r="AI211" i="50"/>
  <c r="AU211" i="50" s="1"/>
  <c r="AI212" i="50"/>
  <c r="AU212" i="50" s="1"/>
  <c r="AV217" i="50"/>
  <c r="AN193" i="50"/>
  <c r="AT193" i="50"/>
  <c r="AW198" i="50"/>
  <c r="AT207" i="50"/>
  <c r="AN207" i="50"/>
  <c r="AW203" i="50"/>
  <c r="AV204" i="50"/>
  <c r="AW216" i="50"/>
  <c r="AV195" i="50"/>
  <c r="AW187" i="50"/>
  <c r="AT219" i="50"/>
  <c r="AN219" i="50"/>
  <c r="AN211" i="50"/>
  <c r="AJ201" i="50"/>
  <c r="AL206" i="50"/>
  <c r="AX206" i="50" s="1"/>
  <c r="AI203" i="50"/>
  <c r="AU203" i="50" s="1"/>
  <c r="AJ185" i="50"/>
  <c r="AH201" i="50"/>
  <c r="AL190" i="50"/>
  <c r="AX190" i="50" s="1"/>
  <c r="AK77" i="50"/>
  <c r="AW77" i="50" s="1"/>
  <c r="AL63" i="50"/>
  <c r="AX63" i="50" s="1"/>
  <c r="AI62" i="50"/>
  <c r="AL88" i="50"/>
  <c r="AX88" i="50" s="1"/>
  <c r="AK64" i="50"/>
  <c r="AL70" i="50"/>
  <c r="AX70" i="50" s="1"/>
  <c r="AL128" i="50"/>
  <c r="AX128" i="50" s="1"/>
  <c r="AH87" i="50"/>
  <c r="AN87" i="50" s="1"/>
  <c r="N165" i="50"/>
  <c r="N264" i="50" s="1"/>
  <c r="AI196" i="50"/>
  <c r="AU196" i="50" s="1"/>
  <c r="AK196" i="50"/>
  <c r="AT200" i="50"/>
  <c r="AN200" i="50"/>
  <c r="AO200" i="50" s="1"/>
  <c r="AI189" i="50"/>
  <c r="AH194" i="50"/>
  <c r="AK212" i="50"/>
  <c r="AW184" i="50"/>
  <c r="AJ206" i="50"/>
  <c r="AU216" i="50"/>
  <c r="AW192" i="50"/>
  <c r="AI195" i="50"/>
  <c r="AK185" i="50"/>
  <c r="AJ208" i="50"/>
  <c r="AJ198" i="50"/>
  <c r="AV198" i="50" s="1"/>
  <c r="AT203" i="50"/>
  <c r="AH189" i="50"/>
  <c r="AJ190" i="50"/>
  <c r="AV190" i="50" s="1"/>
  <c r="AW191" i="50"/>
  <c r="AL209" i="50"/>
  <c r="AX209" i="50" s="1"/>
  <c r="AT186" i="50"/>
  <c r="AN186" i="50"/>
  <c r="AL208" i="50"/>
  <c r="AX208" i="50" s="1"/>
  <c r="AT218" i="50"/>
  <c r="AN218" i="50"/>
  <c r="AK213" i="50"/>
  <c r="AJ192" i="50"/>
  <c r="AJ215" i="50"/>
  <c r="AL203" i="50"/>
  <c r="AX203" i="50" s="1"/>
  <c r="AK218" i="50"/>
  <c r="AI193" i="50"/>
  <c r="AU193" i="50" s="1"/>
  <c r="AJ203" i="50"/>
  <c r="AV203" i="50" s="1"/>
  <c r="AK194" i="50"/>
  <c r="AH205" i="50"/>
  <c r="AU204" i="50"/>
  <c r="AJ200" i="50"/>
  <c r="AJ87" i="50"/>
  <c r="AJ71" i="50"/>
  <c r="AK133" i="50"/>
  <c r="L165" i="50"/>
  <c r="L264" i="50" s="1"/>
  <c r="AW210" i="50"/>
  <c r="AK214" i="50"/>
  <c r="AV216" i="50"/>
  <c r="AU194" i="50"/>
  <c r="AV187" i="50"/>
  <c r="AW201" i="50"/>
  <c r="AV210" i="50"/>
  <c r="AI213" i="50"/>
  <c r="AU213" i="50" s="1"/>
  <c r="AH187" i="50"/>
  <c r="AI201" i="50"/>
  <c r="AL200" i="50"/>
  <c r="AX200" i="50" s="1"/>
  <c r="AU215" i="50"/>
  <c r="AK211" i="50"/>
  <c r="AW202" i="50"/>
  <c r="AH212" i="50"/>
  <c r="AJ214" i="50"/>
  <c r="AJ189" i="50"/>
  <c r="AK186" i="50"/>
  <c r="AH199" i="50"/>
  <c r="AJ186" i="50"/>
  <c r="AV186" i="50" s="1"/>
  <c r="AK206" i="50"/>
  <c r="AK205" i="50"/>
  <c r="AW205" i="50" s="1"/>
  <c r="AL205" i="50"/>
  <c r="AX205" i="50" s="1"/>
  <c r="AH204" i="50"/>
  <c r="AL115" i="50"/>
  <c r="AR115" i="50" s="1"/>
  <c r="AJ66" i="50"/>
  <c r="AV66" i="50" s="1"/>
  <c r="AJ135" i="50"/>
  <c r="AP135" i="50" s="1"/>
  <c r="AJ90" i="50"/>
  <c r="AV90" i="50" s="1"/>
  <c r="AJ82" i="50"/>
  <c r="AL127" i="50"/>
  <c r="AK112" i="50"/>
  <c r="AQ112" i="50" s="1"/>
  <c r="M165" i="50"/>
  <c r="M264" i="50" s="1"/>
  <c r="N163" i="50"/>
  <c r="K164" i="50"/>
  <c r="K165" i="50"/>
  <c r="K264" i="50" s="1"/>
  <c r="AW197" i="50"/>
  <c r="AL188" i="50"/>
  <c r="AX188" i="50" s="1"/>
  <c r="AK188" i="50"/>
  <c r="AJ197" i="50"/>
  <c r="AU217" i="50"/>
  <c r="AI209" i="50"/>
  <c r="AL184" i="50"/>
  <c r="AX184" i="50" s="1"/>
  <c r="AI218" i="50"/>
  <c r="AI202" i="50"/>
  <c r="AH214" i="50"/>
  <c r="AT206" i="50"/>
  <c r="AN206" i="50"/>
  <c r="AO206" i="50" s="1"/>
  <c r="AV219" i="50"/>
  <c r="AK189" i="50"/>
  <c r="AH208" i="50"/>
  <c r="AU206" i="50"/>
  <c r="AL215" i="50"/>
  <c r="AX215" i="50" s="1"/>
  <c r="AJ202" i="50"/>
  <c r="AV202" i="50" s="1"/>
  <c r="AK207" i="50"/>
  <c r="AL195" i="50"/>
  <c r="AX195" i="50" s="1"/>
  <c r="AV213" i="50"/>
  <c r="AJ191" i="50"/>
  <c r="AH185" i="50"/>
  <c r="AL212" i="50"/>
  <c r="AX212" i="50" s="1"/>
  <c r="AI186" i="50"/>
  <c r="AU186" i="50" s="1"/>
  <c r="AH213" i="50"/>
  <c r="AL198" i="50"/>
  <c r="AI207" i="50"/>
  <c r="AH190" i="50"/>
  <c r="AW195" i="50"/>
  <c r="AL211" i="50"/>
  <c r="AX211" i="50" s="1"/>
  <c r="AJ212" i="50"/>
  <c r="AI184" i="50"/>
  <c r="AJ207" i="50"/>
  <c r="AL207" i="50"/>
  <c r="AX207" i="50" s="1"/>
  <c r="AI187" i="50"/>
  <c r="AK190" i="50"/>
  <c r="AL217" i="50"/>
  <c r="AX217" i="50" s="1"/>
  <c r="AJ218" i="50"/>
  <c r="AJ209" i="50"/>
  <c r="AH217" i="50"/>
  <c r="AL204" i="50"/>
  <c r="AX204" i="50" s="1"/>
  <c r="AK86" i="50"/>
  <c r="AW86" i="50" s="1"/>
  <c r="AK71" i="50"/>
  <c r="AW71" i="50" s="1"/>
  <c r="AJ134" i="50"/>
  <c r="AV134" i="50" s="1"/>
  <c r="AL79" i="50"/>
  <c r="AX79" i="50" s="1"/>
  <c r="AI79" i="50"/>
  <c r="AU79" i="50" s="1"/>
  <c r="AJ77" i="50"/>
  <c r="AK83" i="50"/>
  <c r="AW83" i="50" s="1"/>
  <c r="AK66" i="50"/>
  <c r="AW66" i="50" s="1"/>
  <c r="AI127" i="50"/>
  <c r="AO127" i="50" s="1"/>
  <c r="AP127" i="50" s="1"/>
  <c r="AL126" i="50"/>
  <c r="AX126" i="50" s="1"/>
  <c r="AH63" i="50"/>
  <c r="AN63" i="50" s="1"/>
  <c r="AJ133" i="50"/>
  <c r="AV133" i="50" s="1"/>
  <c r="AL105" i="50"/>
  <c r="AX105" i="50" s="1"/>
  <c r="AJ102" i="50"/>
  <c r="AP102" i="50" s="1"/>
  <c r="AK103" i="50"/>
  <c r="AW103" i="50" s="1"/>
  <c r="AK134" i="50"/>
  <c r="AW134" i="50" s="1"/>
  <c r="AL97" i="50"/>
  <c r="AX97" i="50" s="1"/>
  <c r="AL114" i="50"/>
  <c r="AX114" i="50" s="1"/>
  <c r="AJ89" i="50"/>
  <c r="AJ132" i="50"/>
  <c r="AV132" i="50" s="1"/>
  <c r="AH78" i="50"/>
  <c r="AN78" i="50" s="1"/>
  <c r="AT125" i="50"/>
  <c r="AN125" i="50"/>
  <c r="AL75" i="50"/>
  <c r="AX75" i="50" s="1"/>
  <c r="AL64" i="50"/>
  <c r="AX64" i="50" s="1"/>
  <c r="AK89" i="50"/>
  <c r="AI87" i="50"/>
  <c r="AO87" i="50" s="1"/>
  <c r="AP87" i="50" s="1"/>
  <c r="AI69" i="50"/>
  <c r="AU69" i="50" s="1"/>
  <c r="AH64" i="50"/>
  <c r="AN64" i="50" s="1"/>
  <c r="AO64" i="50" s="1"/>
  <c r="AJ95" i="50"/>
  <c r="AP95" i="50" s="1"/>
  <c r="AL71" i="50"/>
  <c r="AX71" i="50" s="1"/>
  <c r="AJ81" i="50"/>
  <c r="AV81" i="50" s="1"/>
  <c r="AJ75" i="50"/>
  <c r="AV75" i="50" s="1"/>
  <c r="AI133" i="50"/>
  <c r="AH132" i="50"/>
  <c r="AJ84" i="50"/>
  <c r="AV84" i="50" s="1"/>
  <c r="AJ80" i="50"/>
  <c r="AV80" i="50" s="1"/>
  <c r="AJ74" i="50"/>
  <c r="AV74" i="50" s="1"/>
  <c r="AH62" i="50"/>
  <c r="AN62" i="50" s="1"/>
  <c r="AO62" i="50" s="1"/>
  <c r="AL132" i="50"/>
  <c r="AX132" i="50" s="1"/>
  <c r="AI82" i="50"/>
  <c r="AU82" i="50" s="1"/>
  <c r="AL101" i="50"/>
  <c r="AR101" i="50" s="1"/>
  <c r="AH72" i="50"/>
  <c r="AN72" i="50" s="1"/>
  <c r="AK104" i="50"/>
  <c r="AW104" i="50" s="1"/>
  <c r="AL123" i="50"/>
  <c r="AR123" i="50" s="1"/>
  <c r="AJ124" i="50"/>
  <c r="AV124" i="50" s="1"/>
  <c r="AL124" i="50"/>
  <c r="AX124" i="50" s="1"/>
  <c r="AL90" i="50"/>
  <c r="AX90" i="50" s="1"/>
  <c r="AH77" i="50"/>
  <c r="AN77" i="50" s="1"/>
  <c r="AK109" i="50"/>
  <c r="AQ109" i="50" s="1"/>
  <c r="AL67" i="50"/>
  <c r="AX67" i="50" s="1"/>
  <c r="AL108" i="50"/>
  <c r="AX108" i="50" s="1"/>
  <c r="AJ99" i="50"/>
  <c r="AK114" i="50"/>
  <c r="AQ114" i="50" s="1"/>
  <c r="AR114" i="50" s="1"/>
  <c r="AL80" i="50"/>
  <c r="AX80" i="50" s="1"/>
  <c r="AL100" i="50"/>
  <c r="AX100" i="50" s="1"/>
  <c r="AI89" i="50"/>
  <c r="AO89" i="50" s="1"/>
  <c r="AK131" i="50"/>
  <c r="AW131" i="50" s="1"/>
  <c r="AL113" i="50"/>
  <c r="AX113" i="50" s="1"/>
  <c r="AL91" i="50"/>
  <c r="AX91" i="50" s="1"/>
  <c r="AK90" i="50"/>
  <c r="AW90" i="50" s="1"/>
  <c r="AK127" i="50"/>
  <c r="AH75" i="50"/>
  <c r="AI68" i="50"/>
  <c r="AJ103" i="50"/>
  <c r="AJ76" i="50"/>
  <c r="AV76" i="50" s="1"/>
  <c r="AK100" i="50"/>
  <c r="AW100" i="50" s="1"/>
  <c r="AL131" i="50"/>
  <c r="AX131" i="50" s="1"/>
  <c r="AL107" i="50"/>
  <c r="AX107" i="50" s="1"/>
  <c r="AL135" i="50"/>
  <c r="AX135" i="50" s="1"/>
  <c r="AJ73" i="50"/>
  <c r="AK128" i="50"/>
  <c r="AW128" i="50" s="1"/>
  <c r="AJ92" i="50"/>
  <c r="AV92" i="50" s="1"/>
  <c r="AJ70" i="50"/>
  <c r="AV70" i="50" s="1"/>
  <c r="AL87" i="50"/>
  <c r="AX87" i="50" s="1"/>
  <c r="AL118" i="50"/>
  <c r="AR118" i="50" s="1"/>
  <c r="AH81" i="50"/>
  <c r="AN81" i="50" s="1"/>
  <c r="AH65" i="50"/>
  <c r="AN65" i="50" s="1"/>
  <c r="AO65" i="50" s="1"/>
  <c r="AP65" i="50" s="1"/>
  <c r="AT124" i="50"/>
  <c r="AZ124" i="50" s="1"/>
  <c r="AL65" i="50"/>
  <c r="AX65" i="50" s="1"/>
  <c r="AH69" i="50"/>
  <c r="AN69" i="50" s="1"/>
  <c r="AK69" i="50"/>
  <c r="AV105" i="50"/>
  <c r="AX115" i="50"/>
  <c r="AK85" i="50"/>
  <c r="AI77" i="50"/>
  <c r="AW82" i="50"/>
  <c r="AV127" i="50"/>
  <c r="AV77" i="50"/>
  <c r="AX137" i="50"/>
  <c r="AI90" i="50"/>
  <c r="AO90" i="50" s="1"/>
  <c r="AW67" i="50"/>
  <c r="AW64" i="50"/>
  <c r="AV94" i="50"/>
  <c r="AL111" i="50"/>
  <c r="AX111" i="50" s="1"/>
  <c r="AI75" i="50"/>
  <c r="AU132" i="50"/>
  <c r="AL106" i="50"/>
  <c r="AX106" i="50" s="1"/>
  <c r="AL130" i="50"/>
  <c r="AR130" i="50" s="1"/>
  <c r="AK63" i="50"/>
  <c r="AL76" i="50"/>
  <c r="AX76" i="50" s="1"/>
  <c r="AL85" i="50"/>
  <c r="AX85" i="50" s="1"/>
  <c r="AW94" i="50"/>
  <c r="AK132" i="50"/>
  <c r="AH74" i="50"/>
  <c r="AN74" i="50" s="1"/>
  <c r="AI66" i="50"/>
  <c r="AX104" i="50"/>
  <c r="AH80" i="50"/>
  <c r="AN80" i="50" s="1"/>
  <c r="AJ86" i="50"/>
  <c r="AI88" i="50"/>
  <c r="AO88" i="50" s="1"/>
  <c r="AJ98" i="50"/>
  <c r="AP98" i="50" s="1"/>
  <c r="AK106" i="50"/>
  <c r="AQ106" i="50" s="1"/>
  <c r="AI134" i="50"/>
  <c r="AO134" i="50" s="1"/>
  <c r="AL73" i="50"/>
  <c r="AJ78" i="50"/>
  <c r="AH82" i="50"/>
  <c r="AN82" i="50" s="1"/>
  <c r="AK126" i="50"/>
  <c r="AW126" i="50" s="1"/>
  <c r="AI71" i="50"/>
  <c r="AK78" i="50"/>
  <c r="AL94" i="50"/>
  <c r="AX94" i="50" s="1"/>
  <c r="AL136" i="50"/>
  <c r="AX136" i="50" s="1"/>
  <c r="AU95" i="50"/>
  <c r="AL129" i="50"/>
  <c r="AX129" i="50" s="1"/>
  <c r="AH85" i="50"/>
  <c r="AN85" i="50" s="1"/>
  <c r="AW89" i="50"/>
  <c r="AK97" i="50"/>
  <c r="AK105" i="50"/>
  <c r="AW105" i="50" s="1"/>
  <c r="AL121" i="50"/>
  <c r="AR121" i="50" s="1"/>
  <c r="AL81" i="50"/>
  <c r="AI85" i="50"/>
  <c r="AL95" i="50"/>
  <c r="AX95" i="50" s="1"/>
  <c r="AL125" i="50"/>
  <c r="AX125" i="50" s="1"/>
  <c r="AH133" i="50"/>
  <c r="AN133" i="50" s="1"/>
  <c r="AJ69" i="50"/>
  <c r="AI131" i="50"/>
  <c r="AK65" i="50"/>
  <c r="AI124" i="50"/>
  <c r="AO124" i="50" s="1"/>
  <c r="AJ125" i="50"/>
  <c r="AW75" i="50"/>
  <c r="AU127" i="50"/>
  <c r="AW109" i="50"/>
  <c r="AV102" i="50"/>
  <c r="AU64" i="50"/>
  <c r="AW110" i="50"/>
  <c r="AL74" i="50"/>
  <c r="AX74" i="50" s="1"/>
  <c r="AW111" i="50"/>
  <c r="AW114" i="50"/>
  <c r="AK73" i="50"/>
  <c r="AW88" i="50"/>
  <c r="AL68" i="50"/>
  <c r="AX68" i="50" s="1"/>
  <c r="AK136" i="50"/>
  <c r="AQ136" i="50" s="1"/>
  <c r="AI76" i="50"/>
  <c r="AL66" i="50"/>
  <c r="AX66" i="50" s="1"/>
  <c r="AJ97" i="50"/>
  <c r="AP97" i="50" s="1"/>
  <c r="AQ97" i="50" s="1"/>
  <c r="AR97" i="50" s="1"/>
  <c r="AJ88" i="50"/>
  <c r="AV88" i="50" s="1"/>
  <c r="AK68" i="50"/>
  <c r="AK76" i="50"/>
  <c r="AI70" i="50"/>
  <c r="AO70" i="50" s="1"/>
  <c r="AP70" i="50" s="1"/>
  <c r="AJ72" i="50"/>
  <c r="AJ104" i="50"/>
  <c r="AP104" i="50" s="1"/>
  <c r="AH86" i="50"/>
  <c r="AN86" i="50" s="1"/>
  <c r="AO86" i="50" s="1"/>
  <c r="AK92" i="50"/>
  <c r="AH126" i="50"/>
  <c r="AN126" i="50" s="1"/>
  <c r="AI67" i="50"/>
  <c r="AI72" i="50"/>
  <c r="AJ100" i="50"/>
  <c r="AP100" i="50" s="1"/>
  <c r="AJ126" i="50"/>
  <c r="AK72" i="50"/>
  <c r="AL78" i="50"/>
  <c r="AK96" i="50"/>
  <c r="AK102" i="50"/>
  <c r="AU89" i="50"/>
  <c r="AI81" i="50"/>
  <c r="AI93" i="50"/>
  <c r="AO93" i="50" s="1"/>
  <c r="AK107" i="50"/>
  <c r="AQ107" i="50" s="1"/>
  <c r="AI125" i="50"/>
  <c r="AK81" i="50"/>
  <c r="AJ85" i="50"/>
  <c r="AK95" i="50"/>
  <c r="AU65" i="50"/>
  <c r="AV101" i="50"/>
  <c r="AV73" i="50"/>
  <c r="AV65" i="50"/>
  <c r="AL69" i="50"/>
  <c r="AX69" i="50" s="1"/>
  <c r="AH131" i="50"/>
  <c r="AK124" i="50"/>
  <c r="AL109" i="50"/>
  <c r="AX109" i="50" s="1"/>
  <c r="AU62" i="50"/>
  <c r="AV87" i="50"/>
  <c r="AL77" i="50"/>
  <c r="AX77" i="50" s="1"/>
  <c r="AV89" i="50"/>
  <c r="AL86" i="50"/>
  <c r="AX86" i="50" s="1"/>
  <c r="AU68" i="50"/>
  <c r="AK70" i="50"/>
  <c r="AI74" i="50"/>
  <c r="AH83" i="50"/>
  <c r="AN83" i="50" s="1"/>
  <c r="AL120" i="50"/>
  <c r="AR120" i="50" s="1"/>
  <c r="AL96" i="50"/>
  <c r="AX96" i="50" s="1"/>
  <c r="AI84" i="50"/>
  <c r="AK74" i="50"/>
  <c r="AK62" i="50"/>
  <c r="AK125" i="50"/>
  <c r="AL122" i="50"/>
  <c r="AR122" i="50" s="1"/>
  <c r="AL84" i="50"/>
  <c r="AX84" i="50" s="1"/>
  <c r="AI73" i="50"/>
  <c r="AL117" i="50"/>
  <c r="AR117" i="50" s="1"/>
  <c r="AJ62" i="50"/>
  <c r="AV62" i="50" s="1"/>
  <c r="AT78" i="50"/>
  <c r="AK84" i="50"/>
  <c r="AL102" i="50"/>
  <c r="AI80" i="50"/>
  <c r="AI78" i="50"/>
  <c r="AU78" i="50" s="1"/>
  <c r="AJ96" i="50"/>
  <c r="AP96" i="50" s="1"/>
  <c r="AL112" i="50"/>
  <c r="AH67" i="50"/>
  <c r="AN67" i="50" s="1"/>
  <c r="AK93" i="50"/>
  <c r="AW133" i="50"/>
  <c r="AJ79" i="50"/>
  <c r="AV79" i="50" s="1"/>
  <c r="AK91" i="50"/>
  <c r="AW91" i="50" s="1"/>
  <c r="AK99" i="50"/>
  <c r="AW99" i="50" s="1"/>
  <c r="AH79" i="50"/>
  <c r="AN79" i="50" s="1"/>
  <c r="AO79" i="50" s="1"/>
  <c r="AJ83" i="50"/>
  <c r="AV83" i="50" s="1"/>
  <c r="AK87" i="50"/>
  <c r="AL89" i="50"/>
  <c r="AX89" i="50" s="1"/>
  <c r="AL93" i="50"/>
  <c r="AX93" i="50" s="1"/>
  <c r="AL103" i="50"/>
  <c r="AK129" i="50"/>
  <c r="AQ129" i="50" s="1"/>
  <c r="AV131" i="50"/>
  <c r="AT70" i="50"/>
  <c r="AV71" i="50"/>
  <c r="AI83" i="50"/>
  <c r="AV67" i="50"/>
  <c r="AV82" i="50"/>
  <c r="AV63" i="50"/>
  <c r="AH68" i="50"/>
  <c r="AN68" i="50" s="1"/>
  <c r="AX127" i="50"/>
  <c r="AH73" i="50"/>
  <c r="AN73" i="50" s="1"/>
  <c r="AJ64" i="50"/>
  <c r="AI63" i="50"/>
  <c r="AI92" i="50"/>
  <c r="AO92" i="50" s="1"/>
  <c r="AP92" i="50" s="1"/>
  <c r="AH76" i="50"/>
  <c r="AN76" i="50" s="1"/>
  <c r="AH66" i="50"/>
  <c r="AN66" i="50" s="1"/>
  <c r="AO66" i="50" s="1"/>
  <c r="AP66" i="50" s="1"/>
  <c r="AL119" i="50"/>
  <c r="AR119" i="50" s="1"/>
  <c r="AL110" i="50"/>
  <c r="AX110" i="50" s="1"/>
  <c r="AJ68" i="50"/>
  <c r="AK108" i="50"/>
  <c r="AQ108" i="50" s="1"/>
  <c r="AL62" i="50"/>
  <c r="AX62" i="50" s="1"/>
  <c r="AH84" i="50"/>
  <c r="AN84" i="50" s="1"/>
  <c r="AI94" i="50"/>
  <c r="AO94" i="50" s="1"/>
  <c r="AP94" i="50" s="1"/>
  <c r="AQ94" i="50" s="1"/>
  <c r="AU96" i="50"/>
  <c r="AI126" i="50"/>
  <c r="AJ128" i="50"/>
  <c r="AP128" i="50" s="1"/>
  <c r="AQ128" i="50" s="1"/>
  <c r="AR128" i="50" s="1"/>
  <c r="AH71" i="50"/>
  <c r="AN71" i="50" s="1"/>
  <c r="AK80" i="50"/>
  <c r="AK98" i="50"/>
  <c r="AL116" i="50"/>
  <c r="AR116" i="50" s="1"/>
  <c r="AL92" i="50"/>
  <c r="AL98" i="50"/>
  <c r="AX98" i="50" s="1"/>
  <c r="AK79" i="50"/>
  <c r="AW79" i="50" s="1"/>
  <c r="AL83" i="50"/>
  <c r="AX83" i="50" s="1"/>
  <c r="AT87" i="50"/>
  <c r="AI91" i="50"/>
  <c r="AO91" i="50" s="1"/>
  <c r="AP91" i="50" s="1"/>
  <c r="AK113" i="50"/>
  <c r="AQ113" i="50" s="1"/>
  <c r="AK135" i="50"/>
  <c r="AQ135" i="50" s="1"/>
  <c r="AR135" i="50" s="1"/>
  <c r="AJ93" i="50"/>
  <c r="AO211" i="50" l="1"/>
  <c r="AN209" i="50"/>
  <c r="AR61" i="42"/>
  <c r="AS61" i="42" s="1"/>
  <c r="AT61" i="42" s="1"/>
  <c r="BB61" i="42" s="1"/>
  <c r="BR61" i="42" s="1"/>
  <c r="BZ61" i="42" s="1"/>
  <c r="AQ63" i="42"/>
  <c r="AR63" i="42" s="1"/>
  <c r="AS63" i="42" s="1"/>
  <c r="BN62" i="42"/>
  <c r="BV62" i="42" s="1"/>
  <c r="AX61" i="42"/>
  <c r="BN61" i="42" s="1"/>
  <c r="BV61" i="42" s="1"/>
  <c r="AX63" i="42"/>
  <c r="BN63" i="42" s="1"/>
  <c r="BV63" i="42" s="1"/>
  <c r="AX64" i="42"/>
  <c r="BN64" i="42" s="1"/>
  <c r="BV64" i="42" s="1"/>
  <c r="AQ64" i="42"/>
  <c r="AR64" i="42" s="1"/>
  <c r="BG61" i="42"/>
  <c r="AY61" i="42"/>
  <c r="BG63" i="42"/>
  <c r="AQ62" i="42"/>
  <c r="AR62" i="42" s="1"/>
  <c r="BG62" i="42"/>
  <c r="AX65" i="42"/>
  <c r="BN65" i="42" s="1"/>
  <c r="BV65" i="42" s="1"/>
  <c r="AQ65" i="42"/>
  <c r="AZ61" i="42"/>
  <c r="BP61" i="42" s="1"/>
  <c r="BG64" i="42"/>
  <c r="AN196" i="50"/>
  <c r="AN198" i="50"/>
  <c r="AO198" i="50" s="1"/>
  <c r="BA198" i="50" s="1"/>
  <c r="AN215" i="50"/>
  <c r="AO215" i="50" s="1"/>
  <c r="AP215" i="50" s="1"/>
  <c r="AQ215" i="50" s="1"/>
  <c r="AP211" i="50"/>
  <c r="AQ211" i="50" s="1"/>
  <c r="AR211" i="50" s="1"/>
  <c r="BD211" i="50" s="1"/>
  <c r="AN195" i="50"/>
  <c r="AO188" i="50"/>
  <c r="AP188" i="50" s="1"/>
  <c r="AT202" i="50"/>
  <c r="AT184" i="50"/>
  <c r="BA211" i="50"/>
  <c r="M121" i="66"/>
  <c r="AN210" i="50"/>
  <c r="AO210" i="50" s="1"/>
  <c r="AP210" i="50" s="1"/>
  <c r="AQ210" i="50" s="1"/>
  <c r="AR210" i="50" s="1"/>
  <c r="BD210" i="50" s="1"/>
  <c r="AN191" i="50"/>
  <c r="AO191" i="50" s="1"/>
  <c r="BA191" i="50" s="1"/>
  <c r="AN197" i="50"/>
  <c r="AO197" i="50" s="1"/>
  <c r="BA197" i="50" s="1"/>
  <c r="AN216" i="50"/>
  <c r="AO216" i="50" s="1"/>
  <c r="AP216" i="50" s="1"/>
  <c r="AQ216" i="50" s="1"/>
  <c r="BC216" i="50" s="1"/>
  <c r="AT188" i="50"/>
  <c r="AZ188" i="50" s="1"/>
  <c r="AN192" i="50"/>
  <c r="AO192" i="50" s="1"/>
  <c r="AZ202" i="50"/>
  <c r="AZ203" i="50"/>
  <c r="AZ200" i="50"/>
  <c r="AT64" i="50"/>
  <c r="AQ66" i="50"/>
  <c r="AO68" i="50"/>
  <c r="AP86" i="50"/>
  <c r="AQ86" i="50" s="1"/>
  <c r="AP206" i="50"/>
  <c r="AQ206" i="50" s="1"/>
  <c r="AR206" i="50" s="1"/>
  <c r="BD206" i="50" s="1"/>
  <c r="AO195" i="50"/>
  <c r="AP195" i="50" s="1"/>
  <c r="AZ211" i="50"/>
  <c r="AX118" i="50"/>
  <c r="AP90" i="50"/>
  <c r="AO219" i="50"/>
  <c r="AO69" i="50"/>
  <c r="AW194" i="50"/>
  <c r="AV192" i="50"/>
  <c r="AT189" i="50"/>
  <c r="AN189" i="50"/>
  <c r="AO189" i="50" s="1"/>
  <c r="AP189" i="50" s="1"/>
  <c r="AQ189" i="50" s="1"/>
  <c r="AR189" i="50" s="1"/>
  <c r="BD189" i="50" s="1"/>
  <c r="AO184" i="50"/>
  <c r="AP184" i="50" s="1"/>
  <c r="AW185" i="50"/>
  <c r="AU189" i="50"/>
  <c r="AT201" i="50"/>
  <c r="AN201" i="50"/>
  <c r="AO201" i="50" s="1"/>
  <c r="AP201" i="50" s="1"/>
  <c r="AQ201" i="50" s="1"/>
  <c r="AT217" i="50"/>
  <c r="AN217" i="50"/>
  <c r="AO217" i="50" s="1"/>
  <c r="AW190" i="50"/>
  <c r="AU184" i="50"/>
  <c r="AV191" i="50"/>
  <c r="AW189" i="50"/>
  <c r="AT214" i="50"/>
  <c r="AN214" i="50"/>
  <c r="AO214" i="50" s="1"/>
  <c r="AW188" i="50"/>
  <c r="AT212" i="50"/>
  <c r="AN212" i="50"/>
  <c r="AO212" i="50" s="1"/>
  <c r="AU201" i="50"/>
  <c r="AV200" i="50"/>
  <c r="AT62" i="50"/>
  <c r="AV209" i="50"/>
  <c r="AT190" i="50"/>
  <c r="AN190" i="50"/>
  <c r="AO190" i="50" s="1"/>
  <c r="AU202" i="50"/>
  <c r="AW186" i="50"/>
  <c r="AO209" i="50"/>
  <c r="AP209" i="50" s="1"/>
  <c r="AQ209" i="50" s="1"/>
  <c r="AW213" i="50"/>
  <c r="AZ215" i="50"/>
  <c r="AZ184" i="50"/>
  <c r="AV201" i="50"/>
  <c r="AO193" i="50"/>
  <c r="AP193" i="50" s="1"/>
  <c r="AT213" i="50"/>
  <c r="AN213" i="50"/>
  <c r="AO213" i="50" s="1"/>
  <c r="AP213" i="50" s="1"/>
  <c r="AW207" i="50"/>
  <c r="AU209" i="50"/>
  <c r="AP134" i="50"/>
  <c r="AQ134" i="50" s="1"/>
  <c r="AR134" i="50" s="1"/>
  <c r="AU187" i="50"/>
  <c r="AT208" i="50"/>
  <c r="AN208" i="50"/>
  <c r="AO208" i="50" s="1"/>
  <c r="AP89" i="50"/>
  <c r="AV218" i="50"/>
  <c r="AU207" i="50"/>
  <c r="AZ206" i="50"/>
  <c r="AU218" i="50"/>
  <c r="AW206" i="50"/>
  <c r="AV189" i="50"/>
  <c r="AP198" i="50"/>
  <c r="AQ198" i="50" s="1"/>
  <c r="AZ209" i="50"/>
  <c r="AT187" i="50"/>
  <c r="AN187" i="50"/>
  <c r="AO187" i="50" s="1"/>
  <c r="AP187" i="50" s="1"/>
  <c r="AO218" i="50"/>
  <c r="AP218" i="50" s="1"/>
  <c r="AQ218" i="50" s="1"/>
  <c r="AR218" i="50" s="1"/>
  <c r="BD218" i="50" s="1"/>
  <c r="AO186" i="50"/>
  <c r="AP186" i="50" s="1"/>
  <c r="AQ186" i="50" s="1"/>
  <c r="AR186" i="50" s="1"/>
  <c r="BD186" i="50" s="1"/>
  <c r="AU195" i="50"/>
  <c r="AW212" i="50"/>
  <c r="AW196" i="50"/>
  <c r="AZ195" i="50"/>
  <c r="AZ219" i="50"/>
  <c r="AO207" i="50"/>
  <c r="AP207" i="50" s="1"/>
  <c r="AQ207" i="50" s="1"/>
  <c r="AR207" i="50" s="1"/>
  <c r="BD207" i="50" s="1"/>
  <c r="AO196" i="50"/>
  <c r="AP196" i="50" s="1"/>
  <c r="BA188" i="50"/>
  <c r="AT199" i="50"/>
  <c r="AN199" i="50"/>
  <c r="AO199" i="50" s="1"/>
  <c r="AR113" i="50"/>
  <c r="AT72" i="50"/>
  <c r="AZ72" i="50" s="1"/>
  <c r="AV135" i="50"/>
  <c r="BB135" i="50" s="1"/>
  <c r="AV212" i="50"/>
  <c r="AQ92" i="50"/>
  <c r="AO71" i="50"/>
  <c r="AP71" i="50" s="1"/>
  <c r="AQ71" i="50" s="1"/>
  <c r="AX101" i="50"/>
  <c r="BD101" i="50" s="1"/>
  <c r="AO63" i="50"/>
  <c r="AP63" i="50" s="1"/>
  <c r="AV95" i="50"/>
  <c r="AR112" i="50"/>
  <c r="AW112" i="50"/>
  <c r="BC112" i="50" s="1"/>
  <c r="AQ102" i="50"/>
  <c r="BD114" i="50"/>
  <c r="AT63" i="50"/>
  <c r="AZ63" i="50" s="1"/>
  <c r="AV207" i="50"/>
  <c r="AX198" i="50"/>
  <c r="AT185" i="50"/>
  <c r="AN185" i="50"/>
  <c r="AO185" i="50" s="1"/>
  <c r="BA206" i="50"/>
  <c r="AV197" i="50"/>
  <c r="AT204" i="50"/>
  <c r="AN204" i="50"/>
  <c r="AO204" i="50" s="1"/>
  <c r="AV214" i="50"/>
  <c r="AW211" i="50"/>
  <c r="AZ198" i="50"/>
  <c r="AO202" i="50"/>
  <c r="AP202" i="50" s="1"/>
  <c r="AQ202" i="50" s="1"/>
  <c r="AW214" i="50"/>
  <c r="AP197" i="50"/>
  <c r="AQ197" i="50" s="1"/>
  <c r="AT205" i="50"/>
  <c r="AN205" i="50"/>
  <c r="AO205" i="50" s="1"/>
  <c r="AW218" i="50"/>
  <c r="AV215" i="50"/>
  <c r="AZ218" i="50"/>
  <c r="AZ186" i="50"/>
  <c r="AO203" i="50"/>
  <c r="AP203" i="50" s="1"/>
  <c r="AQ203" i="50" s="1"/>
  <c r="AV208" i="50"/>
  <c r="AV206" i="50"/>
  <c r="AT194" i="50"/>
  <c r="AN194" i="50"/>
  <c r="AO194" i="50" s="1"/>
  <c r="AP200" i="50"/>
  <c r="AQ200" i="50" s="1"/>
  <c r="AV185" i="50"/>
  <c r="BA200" i="50"/>
  <c r="AZ207" i="50"/>
  <c r="AZ193" i="50"/>
  <c r="AZ196" i="50"/>
  <c r="AQ127" i="50"/>
  <c r="AR127" i="50" s="1"/>
  <c r="AO76" i="50"/>
  <c r="AP76" i="50" s="1"/>
  <c r="AQ76" i="50" s="1"/>
  <c r="AR76" i="50" s="1"/>
  <c r="AR136" i="50"/>
  <c r="AQ90" i="50"/>
  <c r="AR90" i="50" s="1"/>
  <c r="AT81" i="50"/>
  <c r="AR66" i="50"/>
  <c r="AQ63" i="50"/>
  <c r="AW127" i="50"/>
  <c r="AR107" i="50"/>
  <c r="AU87" i="50"/>
  <c r="BA87" i="50" s="1"/>
  <c r="AX123" i="50"/>
  <c r="BD123" i="50" s="1"/>
  <c r="AR108" i="50"/>
  <c r="BD108" i="50" s="1"/>
  <c r="AR92" i="50"/>
  <c r="AQ96" i="50"/>
  <c r="AR96" i="50" s="1"/>
  <c r="AP69" i="50"/>
  <c r="AQ69" i="50" s="1"/>
  <c r="AR69" i="50" s="1"/>
  <c r="AO77" i="50"/>
  <c r="AP77" i="50" s="1"/>
  <c r="AQ77" i="50" s="1"/>
  <c r="AR77" i="50" s="1"/>
  <c r="BD77" i="50" s="1"/>
  <c r="AP79" i="50"/>
  <c r="AQ79" i="50" s="1"/>
  <c r="AR79" i="50" s="1"/>
  <c r="AO85" i="50"/>
  <c r="AP85" i="50" s="1"/>
  <c r="AQ85" i="50" s="1"/>
  <c r="AR85" i="50" s="1"/>
  <c r="BD85" i="50" s="1"/>
  <c r="AP88" i="50"/>
  <c r="AQ88" i="50" s="1"/>
  <c r="AR88" i="50" s="1"/>
  <c r="AO78" i="50"/>
  <c r="AP78" i="50" s="1"/>
  <c r="AQ78" i="50" s="1"/>
  <c r="AR78" i="50" s="1"/>
  <c r="AR86" i="50"/>
  <c r="AQ70" i="50"/>
  <c r="AR70" i="50" s="1"/>
  <c r="AQ95" i="50"/>
  <c r="AR95" i="50" s="1"/>
  <c r="AQ87" i="50"/>
  <c r="AR87" i="50" s="1"/>
  <c r="BD87" i="50" s="1"/>
  <c r="AR102" i="50"/>
  <c r="AR110" i="50"/>
  <c r="AT75" i="50"/>
  <c r="AN75" i="50"/>
  <c r="AO75" i="50" s="1"/>
  <c r="AP75" i="50" s="1"/>
  <c r="AQ75" i="50" s="1"/>
  <c r="AR75" i="50" s="1"/>
  <c r="AQ98" i="50"/>
  <c r="AR98" i="50" s="1"/>
  <c r="AR94" i="50"/>
  <c r="AO82" i="50"/>
  <c r="AP82" i="50" s="1"/>
  <c r="AQ82" i="50" s="1"/>
  <c r="AR82" i="50" s="1"/>
  <c r="AV103" i="50"/>
  <c r="AP103" i="50"/>
  <c r="AQ103" i="50" s="1"/>
  <c r="AR103" i="50" s="1"/>
  <c r="AV99" i="50"/>
  <c r="BB99" i="50" s="1"/>
  <c r="AP99" i="50"/>
  <c r="AQ99" i="50" s="1"/>
  <c r="AR99" i="50" s="1"/>
  <c r="AO125" i="50"/>
  <c r="AP125" i="50" s="1"/>
  <c r="AQ125" i="50" s="1"/>
  <c r="AR125" i="50" s="1"/>
  <c r="BD125" i="50" s="1"/>
  <c r="AR129" i="50"/>
  <c r="BD129" i="50" s="1"/>
  <c r="AO83" i="50"/>
  <c r="AP83" i="50" s="1"/>
  <c r="AQ83" i="50" s="1"/>
  <c r="AR83" i="50" s="1"/>
  <c r="AQ104" i="50"/>
  <c r="AR104" i="50" s="1"/>
  <c r="AO74" i="50"/>
  <c r="AP74" i="50" s="1"/>
  <c r="AQ74" i="50" s="1"/>
  <c r="AR74" i="50" s="1"/>
  <c r="AO81" i="50"/>
  <c r="AP81" i="50" s="1"/>
  <c r="AQ81" i="50" s="1"/>
  <c r="AR81" i="50" s="1"/>
  <c r="AQ89" i="50"/>
  <c r="AR89" i="50" s="1"/>
  <c r="BD89" i="50" s="1"/>
  <c r="AO72" i="50"/>
  <c r="AP72" i="50" s="1"/>
  <c r="AQ72" i="50" s="1"/>
  <c r="AR72" i="50" s="1"/>
  <c r="BD72" i="50" s="1"/>
  <c r="AP62" i="50"/>
  <c r="AQ62" i="50" s="1"/>
  <c r="AR62" i="50" s="1"/>
  <c r="AP124" i="50"/>
  <c r="AQ124" i="50" s="1"/>
  <c r="AR124" i="50" s="1"/>
  <c r="AZ125" i="50"/>
  <c r="AR71" i="50"/>
  <c r="AO84" i="50"/>
  <c r="AP84" i="50" s="1"/>
  <c r="AQ84" i="50" s="1"/>
  <c r="AR84" i="50" s="1"/>
  <c r="AO73" i="50"/>
  <c r="AP73" i="50" s="1"/>
  <c r="AQ73" i="50" s="1"/>
  <c r="AR73" i="50" s="1"/>
  <c r="AT131" i="50"/>
  <c r="AN131" i="50"/>
  <c r="AO131" i="50" s="1"/>
  <c r="AP131" i="50" s="1"/>
  <c r="AQ131" i="50" s="1"/>
  <c r="AR131" i="50" s="1"/>
  <c r="AQ91" i="50"/>
  <c r="AR91" i="50" s="1"/>
  <c r="AP68" i="50"/>
  <c r="AQ68" i="50" s="1"/>
  <c r="AR68" i="50" s="1"/>
  <c r="AO67" i="50"/>
  <c r="AP67" i="50" s="1"/>
  <c r="AQ67" i="50" s="1"/>
  <c r="AR67" i="50" s="1"/>
  <c r="AU133" i="50"/>
  <c r="AP93" i="50"/>
  <c r="AQ93" i="50" s="1"/>
  <c r="AR93" i="50" s="1"/>
  <c r="AQ100" i="50"/>
  <c r="AR100" i="50" s="1"/>
  <c r="AO126" i="50"/>
  <c r="AP126" i="50" s="1"/>
  <c r="AQ126" i="50" s="1"/>
  <c r="AR126" i="50" s="1"/>
  <c r="BD126" i="50" s="1"/>
  <c r="AO133" i="50"/>
  <c r="AP133" i="50" s="1"/>
  <c r="AQ133" i="50" s="1"/>
  <c r="AR133" i="50" s="1"/>
  <c r="BD133" i="50" s="1"/>
  <c r="AR106" i="50"/>
  <c r="AO80" i="50"/>
  <c r="AP80" i="50" s="1"/>
  <c r="AQ80" i="50" s="1"/>
  <c r="AR80" i="50" s="1"/>
  <c r="AQ65" i="50"/>
  <c r="AR65" i="50" s="1"/>
  <c r="AR109" i="50"/>
  <c r="BD109" i="50" s="1"/>
  <c r="AT132" i="50"/>
  <c r="AN132" i="50"/>
  <c r="AO132" i="50" s="1"/>
  <c r="AP132" i="50" s="1"/>
  <c r="AQ132" i="50" s="1"/>
  <c r="AR132" i="50" s="1"/>
  <c r="AP64" i="50"/>
  <c r="AQ64" i="50" s="1"/>
  <c r="AR64" i="50" s="1"/>
  <c r="AR111" i="50"/>
  <c r="BD111" i="50" s="1"/>
  <c r="AQ105" i="50"/>
  <c r="AR105" i="50" s="1"/>
  <c r="BD115" i="50"/>
  <c r="BD96" i="50"/>
  <c r="AZ62" i="50"/>
  <c r="BC111" i="50"/>
  <c r="BB102" i="50"/>
  <c r="BB105" i="50"/>
  <c r="AZ78" i="50"/>
  <c r="AT77" i="50"/>
  <c r="AZ77" i="50" s="1"/>
  <c r="BC109" i="50"/>
  <c r="BB89" i="50"/>
  <c r="BB95" i="50"/>
  <c r="BD118" i="50"/>
  <c r="BA64" i="50"/>
  <c r="AZ64" i="50"/>
  <c r="AZ70" i="50"/>
  <c r="BA127" i="50"/>
  <c r="AZ87" i="50"/>
  <c r="BC110" i="50"/>
  <c r="AW108" i="50"/>
  <c r="AT67" i="50"/>
  <c r="AX122" i="50"/>
  <c r="AV93" i="50"/>
  <c r="AW113" i="50"/>
  <c r="BD113" i="50"/>
  <c r="AZ81" i="50"/>
  <c r="AX92" i="50"/>
  <c r="AW80" i="50"/>
  <c r="AU94" i="50"/>
  <c r="AV68" i="50"/>
  <c r="AT73" i="50"/>
  <c r="AU83" i="50"/>
  <c r="AW129" i="50"/>
  <c r="AW87" i="50"/>
  <c r="AX102" i="50"/>
  <c r="BD102" i="50" s="1"/>
  <c r="AX117" i="50"/>
  <c r="AW125" i="50"/>
  <c r="AW74" i="50"/>
  <c r="AU84" i="50"/>
  <c r="AT83" i="50"/>
  <c r="BB101" i="50"/>
  <c r="AW81" i="50"/>
  <c r="AU81" i="50"/>
  <c r="BA81" i="50" s="1"/>
  <c r="AW72" i="50"/>
  <c r="AU67" i="50"/>
  <c r="AT86" i="50"/>
  <c r="AU70" i="50"/>
  <c r="BA70" i="50" s="1"/>
  <c r="BD99" i="50"/>
  <c r="AV125" i="50"/>
  <c r="AU124" i="50"/>
  <c r="AU85" i="50"/>
  <c r="AT85" i="50"/>
  <c r="AW78" i="50"/>
  <c r="AV98" i="50"/>
  <c r="BD98" i="50"/>
  <c r="AU77" i="50"/>
  <c r="BA77" i="50" s="1"/>
  <c r="AW85" i="50"/>
  <c r="AW98" i="50"/>
  <c r="AU91" i="50"/>
  <c r="AT71" i="50"/>
  <c r="AV128" i="50"/>
  <c r="AT84" i="50"/>
  <c r="AU92" i="50"/>
  <c r="AT68" i="50"/>
  <c r="AX103" i="50"/>
  <c r="BB83" i="50"/>
  <c r="AX112" i="50"/>
  <c r="AU80" i="50"/>
  <c r="AW84" i="50"/>
  <c r="AU73" i="50"/>
  <c r="AX120" i="50"/>
  <c r="BB87" i="50"/>
  <c r="AW124" i="50"/>
  <c r="AU125" i="50"/>
  <c r="AW102" i="50"/>
  <c r="AV126" i="50"/>
  <c r="AV104" i="50"/>
  <c r="AW76" i="50"/>
  <c r="AV97" i="50"/>
  <c r="BD97" i="50"/>
  <c r="AU76" i="50"/>
  <c r="BB133" i="50"/>
  <c r="AW65" i="50"/>
  <c r="AT133" i="50"/>
  <c r="AZ133" i="50" s="1"/>
  <c r="AX81" i="50"/>
  <c r="BD81" i="50" s="1"/>
  <c r="AW97" i="50"/>
  <c r="BC97" i="50" s="1"/>
  <c r="BD95" i="50"/>
  <c r="AU71" i="50"/>
  <c r="AT82" i="50"/>
  <c r="AU88" i="50"/>
  <c r="AW63" i="50"/>
  <c r="AU75" i="50"/>
  <c r="AW69" i="50"/>
  <c r="AW135" i="50"/>
  <c r="AT66" i="50"/>
  <c r="AX116" i="50"/>
  <c r="AU126" i="50"/>
  <c r="BA96" i="50"/>
  <c r="AX119" i="50"/>
  <c r="AT76" i="50"/>
  <c r="AU63" i="50"/>
  <c r="AT79" i="50"/>
  <c r="AW93" i="50"/>
  <c r="AV96" i="50"/>
  <c r="BB96" i="50" s="1"/>
  <c r="AU74" i="50"/>
  <c r="BA62" i="50"/>
  <c r="AW95" i="50"/>
  <c r="AW107" i="50"/>
  <c r="BD107" i="50"/>
  <c r="BA89" i="50"/>
  <c r="AW96" i="50"/>
  <c r="BC96" i="50" s="1"/>
  <c r="AV100" i="50"/>
  <c r="AT126" i="50"/>
  <c r="AZ126" i="50" s="1"/>
  <c r="AV72" i="50"/>
  <c r="AW68" i="50"/>
  <c r="AW136" i="50"/>
  <c r="BD136" i="50"/>
  <c r="AW73" i="50"/>
  <c r="BC114" i="50"/>
  <c r="BC101" i="50"/>
  <c r="AU131" i="50"/>
  <c r="BC89" i="50"/>
  <c r="BA95" i="50"/>
  <c r="AV78" i="50"/>
  <c r="AU134" i="50"/>
  <c r="AV86" i="50"/>
  <c r="AU66" i="50"/>
  <c r="AW132" i="50"/>
  <c r="AX130" i="50"/>
  <c r="BD132" i="50"/>
  <c r="AU90" i="50"/>
  <c r="BD137" i="50"/>
  <c r="BD105" i="50"/>
  <c r="AT69" i="50"/>
  <c r="AT65" i="50"/>
  <c r="AV64" i="50"/>
  <c r="BA78" i="50"/>
  <c r="AW62" i="50"/>
  <c r="AW70" i="50"/>
  <c r="BC103" i="50"/>
  <c r="AV85" i="50"/>
  <c r="AU93" i="50"/>
  <c r="BD93" i="50"/>
  <c r="AX78" i="50"/>
  <c r="AU72" i="50"/>
  <c r="AW92" i="50"/>
  <c r="BD110" i="50"/>
  <c r="AV69" i="50"/>
  <c r="AX121" i="50"/>
  <c r="AX73" i="50"/>
  <c r="AW106" i="50"/>
  <c r="BD106" i="50"/>
  <c r="AT80" i="50"/>
  <c r="AT74" i="50"/>
  <c r="BB127" i="50"/>
  <c r="BD135" i="50"/>
  <c r="F42" i="25"/>
  <c r="I34" i="25"/>
  <c r="J35" i="25"/>
  <c r="K36" i="25"/>
  <c r="L37" i="25"/>
  <c r="M38" i="25"/>
  <c r="N39" i="25"/>
  <c r="H33" i="25"/>
  <c r="AZ63" i="42" l="1"/>
  <c r="BP63" i="42" s="1"/>
  <c r="AY63" i="42"/>
  <c r="BA61" i="42"/>
  <c r="BQ61" i="42" s="1"/>
  <c r="BY61" i="42" s="1"/>
  <c r="BC210" i="50"/>
  <c r="BA210" i="50"/>
  <c r="AZ210" i="50"/>
  <c r="BA215" i="50"/>
  <c r="AT63" i="42"/>
  <c r="BB63" i="42" s="1"/>
  <c r="BR63" i="42" s="1"/>
  <c r="BZ63" i="42" s="1"/>
  <c r="BA63" i="42"/>
  <c r="BQ63" i="42" s="1"/>
  <c r="BY63" i="42" s="1"/>
  <c r="AY62" i="42"/>
  <c r="BO62" i="42" s="1"/>
  <c r="BW62" i="42" s="1"/>
  <c r="BO63" i="42"/>
  <c r="BW63" i="42" s="1"/>
  <c r="AZ64" i="42"/>
  <c r="BP64" i="42" s="1"/>
  <c r="AS64" i="42"/>
  <c r="AR65" i="42"/>
  <c r="AY65" i="42"/>
  <c r="BO65" i="42" s="1"/>
  <c r="BW65" i="42" s="1"/>
  <c r="AS62" i="42"/>
  <c r="AZ62" i="42"/>
  <c r="BP62" i="42" s="1"/>
  <c r="BO61" i="42"/>
  <c r="BW61" i="42" s="1"/>
  <c r="AY64" i="42"/>
  <c r="BO64" i="42" s="1"/>
  <c r="BW64" i="42" s="1"/>
  <c r="BB189" i="50"/>
  <c r="AR215" i="50"/>
  <c r="BD215" i="50" s="1"/>
  <c r="BC215" i="50"/>
  <c r="BB215" i="50"/>
  <c r="BB188" i="50"/>
  <c r="AQ188" i="50"/>
  <c r="AR188" i="50" s="1"/>
  <c r="BD188" i="50" s="1"/>
  <c r="BB211" i="50"/>
  <c r="AR216" i="50"/>
  <c r="BD216" i="50" s="1"/>
  <c r="BA195" i="50"/>
  <c r="BA216" i="50"/>
  <c r="AZ216" i="50"/>
  <c r="BC211" i="50"/>
  <c r="BB216" i="50"/>
  <c r="AZ197" i="50"/>
  <c r="BB206" i="50"/>
  <c r="BC218" i="50"/>
  <c r="BC206" i="50"/>
  <c r="BB210" i="50"/>
  <c r="AZ191" i="50"/>
  <c r="AZ187" i="50"/>
  <c r="BB201" i="50"/>
  <c r="BA201" i="50"/>
  <c r="AP191" i="50"/>
  <c r="AQ191" i="50" s="1"/>
  <c r="BC191" i="50" s="1"/>
  <c r="M120" i="66"/>
  <c r="O124" i="66" s="1"/>
  <c r="BA193" i="50"/>
  <c r="BB186" i="50"/>
  <c r="BA192" i="50"/>
  <c r="AP192" i="50"/>
  <c r="AQ192" i="50" s="1"/>
  <c r="BC192" i="50" s="1"/>
  <c r="AZ192" i="50"/>
  <c r="AZ204" i="50"/>
  <c r="BC133" i="50"/>
  <c r="BA213" i="50"/>
  <c r="BA209" i="50"/>
  <c r="AZ212" i="50"/>
  <c r="BB207" i="50"/>
  <c r="BA184" i="50"/>
  <c r="BA132" i="50"/>
  <c r="BA207" i="50"/>
  <c r="AZ205" i="50"/>
  <c r="J245" i="50" s="1"/>
  <c r="J263" i="50" s="1"/>
  <c r="AP219" i="50"/>
  <c r="BA219" i="50"/>
  <c r="BB62" i="50"/>
  <c r="AZ194" i="50"/>
  <c r="BB218" i="50"/>
  <c r="AZ208" i="50"/>
  <c r="AQ195" i="50"/>
  <c r="BB195" i="50"/>
  <c r="BA196" i="50"/>
  <c r="AR197" i="50"/>
  <c r="BD197" i="50" s="1"/>
  <c r="BC197" i="50"/>
  <c r="BB197" i="50"/>
  <c r="AZ185" i="50"/>
  <c r="J244" i="50" s="1"/>
  <c r="J262" i="50" s="1"/>
  <c r="AZ199" i="50"/>
  <c r="AQ187" i="50"/>
  <c r="BB187" i="50"/>
  <c r="BA218" i="50"/>
  <c r="AP208" i="50"/>
  <c r="BA208" i="50"/>
  <c r="BA187" i="50"/>
  <c r="AZ213" i="50"/>
  <c r="BB198" i="50"/>
  <c r="BB203" i="50"/>
  <c r="AZ190" i="50"/>
  <c r="BB200" i="50"/>
  <c r="AP212" i="50"/>
  <c r="BA212" i="50"/>
  <c r="BC189" i="50"/>
  <c r="AR191" i="50"/>
  <c r="BD191" i="50" s="1"/>
  <c r="BA189" i="50"/>
  <c r="AQ184" i="50"/>
  <c r="BB184" i="50"/>
  <c r="AR200" i="50"/>
  <c r="BD200" i="50" s="1"/>
  <c r="BC200" i="50"/>
  <c r="BB202" i="50"/>
  <c r="BC207" i="50"/>
  <c r="AR209" i="50"/>
  <c r="BD209" i="50" s="1"/>
  <c r="BC209" i="50"/>
  <c r="BA202" i="50"/>
  <c r="BB209" i="50"/>
  <c r="AP214" i="50"/>
  <c r="BA214" i="50"/>
  <c r="AP217" i="50"/>
  <c r="BA217" i="50"/>
  <c r="BA203" i="50"/>
  <c r="AP194" i="50"/>
  <c r="BA194" i="50"/>
  <c r="AR203" i="50"/>
  <c r="BD203" i="50" s="1"/>
  <c r="BC203" i="50"/>
  <c r="AP205" i="50"/>
  <c r="BA205" i="50"/>
  <c r="K245" i="50" s="1"/>
  <c r="K263" i="50" s="1"/>
  <c r="AP204" i="50"/>
  <c r="BA204" i="50"/>
  <c r="BC186" i="50"/>
  <c r="AZ214" i="50"/>
  <c r="AZ217" i="50"/>
  <c r="AR201" i="50"/>
  <c r="BD201" i="50" s="1"/>
  <c r="BC201" i="50"/>
  <c r="AR202" i="50"/>
  <c r="BD202" i="50" s="1"/>
  <c r="BC202" i="50"/>
  <c r="AP185" i="50"/>
  <c r="BA185" i="50"/>
  <c r="K244" i="50" s="1"/>
  <c r="K262" i="50" s="1"/>
  <c r="AP199" i="50"/>
  <c r="BA199" i="50"/>
  <c r="AQ196" i="50"/>
  <c r="BB196" i="50"/>
  <c r="AR198" i="50"/>
  <c r="BD198" i="50" s="1"/>
  <c r="BC198" i="50"/>
  <c r="BA186" i="50"/>
  <c r="AQ213" i="50"/>
  <c r="BB213" i="50"/>
  <c r="AQ193" i="50"/>
  <c r="BB193" i="50"/>
  <c r="AP190" i="50"/>
  <c r="BA190" i="50"/>
  <c r="AZ201" i="50"/>
  <c r="AZ189" i="50"/>
  <c r="BB78" i="50"/>
  <c r="BB77" i="50"/>
  <c r="BC87" i="50"/>
  <c r="BC77" i="50"/>
  <c r="BA133" i="50"/>
  <c r="AZ132" i="50"/>
  <c r="AZ131" i="50"/>
  <c r="BB132" i="50"/>
  <c r="BA72" i="50"/>
  <c r="BB72" i="50"/>
  <c r="BB103" i="50"/>
  <c r="BC72" i="50"/>
  <c r="BD112" i="50"/>
  <c r="BB85" i="50"/>
  <c r="AZ75" i="50"/>
  <c r="BB75" i="50"/>
  <c r="BA73" i="50"/>
  <c r="BB70" i="50"/>
  <c r="BD70" i="50"/>
  <c r="AZ71" i="50"/>
  <c r="BC78" i="50"/>
  <c r="BC95" i="50"/>
  <c r="BA71" i="50"/>
  <c r="AZ83" i="50"/>
  <c r="AZ65" i="50"/>
  <c r="AZ68" i="50"/>
  <c r="BC81" i="50"/>
  <c r="BB81" i="50"/>
  <c r="AZ76" i="50"/>
  <c r="BB64" i="50"/>
  <c r="BA94" i="50"/>
  <c r="BD78" i="50"/>
  <c r="BD127" i="50"/>
  <c r="BC127" i="50"/>
  <c r="BC132" i="50"/>
  <c r="AZ66" i="50"/>
  <c r="BC113" i="50"/>
  <c r="BC99" i="50"/>
  <c r="BC136" i="50"/>
  <c r="BD103" i="50"/>
  <c r="BD119" i="50"/>
  <c r="BD116" i="50"/>
  <c r="BA75" i="50"/>
  <c r="BA88" i="50"/>
  <c r="AZ82" i="50"/>
  <c r="BB128" i="50"/>
  <c r="BD122" i="50"/>
  <c r="AZ67" i="50"/>
  <c r="BA66" i="50"/>
  <c r="BA67" i="50"/>
  <c r="BB74" i="50"/>
  <c r="AZ80" i="50"/>
  <c r="BC106" i="50"/>
  <c r="AZ74" i="50"/>
  <c r="BD130" i="50"/>
  <c r="BA134" i="50"/>
  <c r="BB100" i="50"/>
  <c r="BC107" i="50"/>
  <c r="AZ79" i="50"/>
  <c r="BA63" i="50"/>
  <c r="BA126" i="50"/>
  <c r="BA82" i="50"/>
  <c r="BB97" i="50"/>
  <c r="BB104" i="50"/>
  <c r="BB126" i="50"/>
  <c r="BD75" i="50"/>
  <c r="BC75" i="50"/>
  <c r="BA92" i="50"/>
  <c r="AZ84" i="50"/>
  <c r="BB71" i="50"/>
  <c r="BC105" i="50"/>
  <c r="BA124" i="50"/>
  <c r="BB94" i="50"/>
  <c r="BB93" i="50"/>
  <c r="BB67" i="50"/>
  <c r="BA69" i="50"/>
  <c r="BB90" i="50"/>
  <c r="BB131" i="50"/>
  <c r="BA74" i="50"/>
  <c r="BC135" i="50"/>
  <c r="BA76" i="50"/>
  <c r="BB91" i="50"/>
  <c r="BA85" i="50"/>
  <c r="BB124" i="50"/>
  <c r="BA84" i="50"/>
  <c r="BC125" i="50"/>
  <c r="BB73" i="50"/>
  <c r="BB80" i="50"/>
  <c r="BD121" i="50"/>
  <c r="BA93" i="50"/>
  <c r="BA65" i="50"/>
  <c r="AZ69" i="50"/>
  <c r="BA90" i="50"/>
  <c r="BA131" i="50"/>
  <c r="BB76" i="50"/>
  <c r="BB66" i="50"/>
  <c r="BD88" i="50"/>
  <c r="BC88" i="50"/>
  <c r="BB88" i="50"/>
  <c r="BC102" i="50"/>
  <c r="BA125" i="50"/>
  <c r="BD120" i="50"/>
  <c r="BA68" i="50"/>
  <c r="BD128" i="50"/>
  <c r="BC128" i="50"/>
  <c r="BA91" i="50"/>
  <c r="BC98" i="50"/>
  <c r="BC85" i="50"/>
  <c r="BB98" i="50"/>
  <c r="BC126" i="50"/>
  <c r="BA86" i="50"/>
  <c r="BD83" i="50"/>
  <c r="BC83" i="50"/>
  <c r="BD117" i="50"/>
  <c r="BC129" i="50"/>
  <c r="AZ73" i="50"/>
  <c r="BC108" i="50"/>
  <c r="BB134" i="50"/>
  <c r="BD100" i="50"/>
  <c r="BC100" i="50"/>
  <c r="BC93" i="50"/>
  <c r="BA79" i="50"/>
  <c r="BB63" i="50"/>
  <c r="BD104" i="50"/>
  <c r="BC104" i="50"/>
  <c r="BA80" i="50"/>
  <c r="BB92" i="50"/>
  <c r="BB84" i="50"/>
  <c r="AZ85" i="50"/>
  <c r="BD64" i="50"/>
  <c r="BC64" i="50"/>
  <c r="BB125" i="50"/>
  <c r="AZ86" i="50"/>
  <c r="BA83" i="50"/>
  <c r="BD60" i="42"/>
  <c r="AT62" i="42" l="1"/>
  <c r="BB62" i="42" s="1"/>
  <c r="BR62" i="42" s="1"/>
  <c r="BZ62" i="42" s="1"/>
  <c r="BA62" i="42"/>
  <c r="BQ62" i="42" s="1"/>
  <c r="BY62" i="42" s="1"/>
  <c r="AT64" i="42"/>
  <c r="BB64" i="42" s="1"/>
  <c r="BR64" i="42" s="1"/>
  <c r="BZ64" i="42" s="1"/>
  <c r="BA64" i="42"/>
  <c r="BQ64" i="42" s="1"/>
  <c r="BY64" i="42" s="1"/>
  <c r="AS65" i="42"/>
  <c r="AZ65" i="42"/>
  <c r="BP65" i="42" s="1"/>
  <c r="BC188" i="50"/>
  <c r="AR192" i="50"/>
  <c r="BD192" i="50" s="1"/>
  <c r="BB192" i="50"/>
  <c r="BB191" i="50"/>
  <c r="K253" i="50"/>
  <c r="J253" i="50"/>
  <c r="K172" i="50"/>
  <c r="AQ219" i="50"/>
  <c r="BB219" i="50"/>
  <c r="AR195" i="50"/>
  <c r="BD195" i="50" s="1"/>
  <c r="BC195" i="50"/>
  <c r="J172" i="50"/>
  <c r="AQ190" i="50"/>
  <c r="BB190" i="50"/>
  <c r="AR213" i="50"/>
  <c r="BD213" i="50" s="1"/>
  <c r="BC213" i="50"/>
  <c r="AQ205" i="50"/>
  <c r="BB205" i="50"/>
  <c r="L245" i="50" s="1"/>
  <c r="L263" i="50" s="1"/>
  <c r="AQ194" i="50"/>
  <c r="BB194" i="50"/>
  <c r="AQ217" i="50"/>
  <c r="BB217" i="50"/>
  <c r="AR196" i="50"/>
  <c r="BD196" i="50" s="1"/>
  <c r="BC196" i="50"/>
  <c r="AQ185" i="50"/>
  <c r="BB185" i="50"/>
  <c r="L244" i="50" s="1"/>
  <c r="L262" i="50" s="1"/>
  <c r="AR184" i="50"/>
  <c r="BD184" i="50" s="1"/>
  <c r="BC184" i="50"/>
  <c r="J173" i="50"/>
  <c r="J272" i="50" s="1"/>
  <c r="AR193" i="50"/>
  <c r="BD193" i="50" s="1"/>
  <c r="BC193" i="50"/>
  <c r="AQ204" i="50"/>
  <c r="BB204" i="50"/>
  <c r="AQ214" i="50"/>
  <c r="BB214" i="50"/>
  <c r="AR187" i="50"/>
  <c r="BD187" i="50" s="1"/>
  <c r="BC187" i="50"/>
  <c r="K173" i="50"/>
  <c r="L172" i="50"/>
  <c r="AQ199" i="50"/>
  <c r="BB199" i="50"/>
  <c r="AQ212" i="50"/>
  <c r="BB212" i="50"/>
  <c r="AQ208" i="50"/>
  <c r="BB208" i="50"/>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BC134" i="50"/>
  <c r="BB68" i="50"/>
  <c r="BB65" i="50"/>
  <c r="BD124" i="50"/>
  <c r="BC124" i="50"/>
  <c r="BD74" i="50"/>
  <c r="BC74" i="50"/>
  <c r="AV60" i="42"/>
  <c r="AT65" i="42" l="1"/>
  <c r="BB65" i="42" s="1"/>
  <c r="BR65" i="42" s="1"/>
  <c r="BZ65" i="42" s="1"/>
  <c r="BA65" i="42"/>
  <c r="BQ65" i="42" s="1"/>
  <c r="BY65" i="42" s="1"/>
  <c r="L253" i="50"/>
  <c r="N172" i="50"/>
  <c r="AR219" i="50"/>
  <c r="BD219" i="50" s="1"/>
  <c r="BC219" i="50"/>
  <c r="AR214" i="50"/>
  <c r="BD214" i="50" s="1"/>
  <c r="BC214" i="50"/>
  <c r="AR194" i="50"/>
  <c r="BD194" i="50" s="1"/>
  <c r="BC194" i="50"/>
  <c r="L173" i="50"/>
  <c r="M172" i="50"/>
  <c r="AR212" i="50"/>
  <c r="BD212" i="50" s="1"/>
  <c r="BC212" i="50"/>
  <c r="AR208" i="50"/>
  <c r="BD208" i="50" s="1"/>
  <c r="BC208" i="50"/>
  <c r="AR199" i="50"/>
  <c r="BD199" i="50" s="1"/>
  <c r="BC199" i="50"/>
  <c r="AR204" i="50"/>
  <c r="BD204" i="50" s="1"/>
  <c r="BC204" i="50"/>
  <c r="AR185" i="50"/>
  <c r="BD185" i="50" s="1"/>
  <c r="N244" i="50" s="1"/>
  <c r="N262" i="50" s="1"/>
  <c r="BC185" i="50"/>
  <c r="M244" i="50" s="1"/>
  <c r="M262" i="50" s="1"/>
  <c r="AR217" i="50"/>
  <c r="BD217" i="50" s="1"/>
  <c r="BC217" i="50"/>
  <c r="AR205" i="50"/>
  <c r="BD205" i="50" s="1"/>
  <c r="N245" i="50" s="1"/>
  <c r="N263" i="50" s="1"/>
  <c r="BC205" i="50"/>
  <c r="M245" i="50" s="1"/>
  <c r="M263" i="50" s="1"/>
  <c r="AR190" i="50"/>
  <c r="BD190" i="50" s="1"/>
  <c r="BC190" i="50"/>
  <c r="BD65" i="50"/>
  <c r="BC65" i="50"/>
  <c r="BD82" i="50"/>
  <c r="BC82" i="50"/>
  <c r="BD86" i="50"/>
  <c r="BC86" i="50"/>
  <c r="BD68" i="50"/>
  <c r="BC68" i="50"/>
  <c r="BD69" i="50"/>
  <c r="BC69" i="50"/>
  <c r="BD79" i="50"/>
  <c r="N173" i="50" s="1"/>
  <c r="BC79" i="50"/>
  <c r="M173" i="50" s="1"/>
  <c r="BL60" i="42"/>
  <c r="M253" i="50" l="1"/>
  <c r="N253" i="50"/>
  <c r="F178" i="24"/>
  <c r="F174" i="24"/>
  <c r="F69" i="36" s="1"/>
  <c r="F173" i="24"/>
  <c r="F68" i="36" s="1"/>
  <c r="F172" i="24"/>
  <c r="F67" i="36" s="1"/>
  <c r="F171" i="24"/>
  <c r="F66" i="36" s="1"/>
  <c r="F104" i="24"/>
  <c r="F24" i="34" s="1"/>
  <c r="L37" i="65"/>
  <c r="K36" i="65"/>
  <c r="J35" i="65"/>
  <c r="I34" i="65"/>
  <c r="H31" i="37" l="1"/>
  <c r="L28" i="62"/>
  <c r="N30" i="62"/>
  <c r="J22" i="32"/>
  <c r="L35" i="37"/>
  <c r="P32" i="62"/>
  <c r="L24" i="32"/>
  <c r="I32" i="37"/>
  <c r="M29" i="62"/>
  <c r="I21" i="32"/>
  <c r="O31" i="62"/>
  <c r="K23" i="32"/>
  <c r="M36" i="37"/>
  <c r="Q33" i="62"/>
  <c r="M25" i="32"/>
  <c r="J18" i="68"/>
  <c r="J57" i="68" s="1"/>
  <c r="K46" i="32" s="1"/>
  <c r="J33" i="37"/>
  <c r="J787" i="37" s="1"/>
  <c r="K19" i="68"/>
  <c r="K34" i="37"/>
  <c r="N36" i="50"/>
  <c r="N34" i="42"/>
  <c r="N38" i="25"/>
  <c r="I29" i="42"/>
  <c r="I31" i="50"/>
  <c r="I33" i="25"/>
  <c r="J30" i="42"/>
  <c r="J32" i="50"/>
  <c r="J34" i="25"/>
  <c r="F179" i="24"/>
  <c r="F74" i="36" s="1"/>
  <c r="F73" i="36"/>
  <c r="L32" i="42"/>
  <c r="L34" i="50"/>
  <c r="L36" i="25"/>
  <c r="K33" i="50"/>
  <c r="K31" i="42"/>
  <c r="K35" i="25"/>
  <c r="M33" i="42"/>
  <c r="M35" i="50"/>
  <c r="M37" i="25"/>
  <c r="L36" i="65" l="1"/>
  <c r="L20" i="68"/>
  <c r="K35" i="65"/>
  <c r="J34" i="65"/>
  <c r="J157" i="65" s="1"/>
  <c r="L31" i="42"/>
  <c r="M32" i="42"/>
  <c r="L35" i="25"/>
  <c r="L33" i="50"/>
  <c r="M36" i="25"/>
  <c r="M34" i="50"/>
  <c r="I31" i="37"/>
  <c r="M28" i="62"/>
  <c r="J32" i="37"/>
  <c r="N29" i="62"/>
  <c r="J21" i="32"/>
  <c r="L22" i="32"/>
  <c r="L34" i="37"/>
  <c r="P31" i="62"/>
  <c r="L23" i="32"/>
  <c r="K33" i="37"/>
  <c r="O30" i="62"/>
  <c r="K22" i="32"/>
  <c r="M35" i="37"/>
  <c r="Q32" i="62"/>
  <c r="M24" i="32"/>
  <c r="M34" i="37"/>
  <c r="Q31" i="62"/>
  <c r="M23" i="32"/>
  <c r="BE60" i="42"/>
  <c r="K32" i="50"/>
  <c r="K30" i="42"/>
  <c r="K34" i="25"/>
  <c r="N35" i="50"/>
  <c r="N33" i="42"/>
  <c r="N37" i="25"/>
  <c r="J29" i="42"/>
  <c r="J31" i="50"/>
  <c r="J33" i="25"/>
  <c r="M35" i="25"/>
  <c r="N32" i="42"/>
  <c r="N34" i="50"/>
  <c r="N36" i="25"/>
  <c r="E527" i="40"/>
  <c r="G439" i="40"/>
  <c r="G443" i="40" s="1"/>
  <c r="H439" i="40"/>
  <c r="H444" i="40" s="1"/>
  <c r="I439" i="40"/>
  <c r="I445" i="40" s="1"/>
  <c r="J439" i="40"/>
  <c r="J446" i="40" s="1"/>
  <c r="K439" i="40"/>
  <c r="K447" i="40" s="1"/>
  <c r="L439" i="40"/>
  <c r="L448" i="40" s="1"/>
  <c r="M439" i="40"/>
  <c r="M449" i="40" s="1"/>
  <c r="N439" i="40"/>
  <c r="N450" i="40" s="1"/>
  <c r="O439" i="40"/>
  <c r="O451" i="40" s="1"/>
  <c r="P439" i="40"/>
  <c r="P452" i="40" s="1"/>
  <c r="Q439" i="40"/>
  <c r="Q453" i="40" s="1"/>
  <c r="R439" i="40"/>
  <c r="R454" i="40" s="1"/>
  <c r="S439" i="40"/>
  <c r="S455" i="40" s="1"/>
  <c r="T439" i="40"/>
  <c r="T456" i="40" s="1"/>
  <c r="U439" i="40"/>
  <c r="U457" i="40" s="1"/>
  <c r="V439" i="40"/>
  <c r="V458" i="40" s="1"/>
  <c r="W439" i="40"/>
  <c r="W459" i="40" s="1"/>
  <c r="X439" i="40"/>
  <c r="X460" i="40" s="1"/>
  <c r="Y439" i="40"/>
  <c r="Y461" i="40" s="1"/>
  <c r="Z439" i="40"/>
  <c r="Z462" i="40" s="1"/>
  <c r="AA439" i="40"/>
  <c r="AA463" i="40" s="1"/>
  <c r="AB439" i="40"/>
  <c r="AB464" i="40" s="1"/>
  <c r="AC439" i="40"/>
  <c r="AC465" i="40" s="1"/>
  <c r="AD439" i="40"/>
  <c r="AD466" i="40" s="1"/>
  <c r="AE439" i="40"/>
  <c r="AE467" i="40" s="1"/>
  <c r="AF439" i="40"/>
  <c r="AF468" i="40" s="1"/>
  <c r="AG439" i="40"/>
  <c r="AG469" i="40" s="1"/>
  <c r="AH439" i="40"/>
  <c r="AH470" i="40" s="1"/>
  <c r="AI439" i="40"/>
  <c r="AI471" i="40" s="1"/>
  <c r="AJ439" i="40"/>
  <c r="AJ472" i="40" s="1"/>
  <c r="AK439" i="40"/>
  <c r="AK473" i="40" s="1"/>
  <c r="AL439" i="40"/>
  <c r="AL474" i="40" s="1"/>
  <c r="AM439" i="40"/>
  <c r="AM475" i="40" s="1"/>
  <c r="AN439" i="40"/>
  <c r="AN476" i="40" s="1"/>
  <c r="AO439" i="40"/>
  <c r="AO477" i="40" s="1"/>
  <c r="AP439" i="40"/>
  <c r="AP478" i="40" s="1"/>
  <c r="AQ439" i="40"/>
  <c r="AQ479" i="40" s="1"/>
  <c r="AR439" i="40"/>
  <c r="AR480" i="40" s="1"/>
  <c r="AS439" i="40"/>
  <c r="AS481" i="40" s="1"/>
  <c r="AT439" i="40"/>
  <c r="AT482" i="40" s="1"/>
  <c r="AU439" i="40"/>
  <c r="AU483" i="40" s="1"/>
  <c r="AV439" i="40"/>
  <c r="AV484" i="40" s="1"/>
  <c r="AW439" i="40"/>
  <c r="AW485" i="40" s="1"/>
  <c r="AX439" i="40"/>
  <c r="AX486" i="40" s="1"/>
  <c r="AY439" i="40"/>
  <c r="AY487" i="40" s="1"/>
  <c r="AZ439" i="40"/>
  <c r="AZ488" i="40" s="1"/>
  <c r="BA439" i="40"/>
  <c r="BA489" i="40" s="1"/>
  <c r="BB439" i="40"/>
  <c r="BB490" i="40" s="1"/>
  <c r="BC439" i="40"/>
  <c r="BC491" i="40" s="1"/>
  <c r="BE439" i="40"/>
  <c r="BE493" i="40" s="1"/>
  <c r="BF439" i="40"/>
  <c r="BF494" i="40" s="1"/>
  <c r="BG439" i="40"/>
  <c r="BG495" i="40" s="1"/>
  <c r="BH439" i="40"/>
  <c r="BH496" i="40" s="1"/>
  <c r="BI439" i="40"/>
  <c r="BI497" i="40" s="1"/>
  <c r="BJ439" i="40"/>
  <c r="BJ498" i="40" s="1"/>
  <c r="BL439" i="40"/>
  <c r="BL500" i="40" s="1"/>
  <c r="BM439" i="40"/>
  <c r="BM501" i="40" s="1"/>
  <c r="BN439" i="40"/>
  <c r="BN502" i="40" s="1"/>
  <c r="BO439" i="40"/>
  <c r="BO503" i="40" s="1"/>
  <c r="BP439" i="40"/>
  <c r="BP504" i="40" s="1"/>
  <c r="BQ439" i="40"/>
  <c r="BQ505" i="40" s="1"/>
  <c r="BR439" i="40"/>
  <c r="BS439" i="40"/>
  <c r="BT439" i="40"/>
  <c r="BU439" i="40"/>
  <c r="BV439" i="40"/>
  <c r="BW439" i="40"/>
  <c r="BX439" i="40"/>
  <c r="BY439" i="40"/>
  <c r="BZ439" i="40"/>
  <c r="CA439" i="40"/>
  <c r="CB439" i="40"/>
  <c r="F439" i="40"/>
  <c r="F442" i="40" s="1"/>
  <c r="E439" i="40"/>
  <c r="BK439" i="40"/>
  <c r="BK499" i="40" s="1"/>
  <c r="BD439" i="40"/>
  <c r="BD492" i="40" s="1"/>
  <c r="L35" i="65" l="1"/>
  <c r="L19" i="68"/>
  <c r="L34" i="65"/>
  <c r="L18" i="68"/>
  <c r="L102" i="25"/>
  <c r="L88" i="25"/>
  <c r="K43" i="32" s="1"/>
  <c r="K34" i="65"/>
  <c r="K18" i="68"/>
  <c r="M31" i="42"/>
  <c r="M33" i="50"/>
  <c r="O78" i="62"/>
  <c r="K48" i="32" s="1"/>
  <c r="O69" i="62"/>
  <c r="BX61" i="42"/>
  <c r="BX63" i="42"/>
  <c r="BX62" i="42"/>
  <c r="BX64" i="42"/>
  <c r="BX65" i="42"/>
  <c r="L71" i="25"/>
  <c r="L57" i="25"/>
  <c r="K36" i="32" s="1"/>
  <c r="L64" i="25"/>
  <c r="K37" i="32" s="1"/>
  <c r="AZ123" i="50"/>
  <c r="K42" i="32"/>
  <c r="L69" i="25"/>
  <c r="L33" i="37"/>
  <c r="P30" i="62"/>
  <c r="L81" i="25"/>
  <c r="K40" i="32" s="1"/>
  <c r="M33" i="37"/>
  <c r="Q30" i="62"/>
  <c r="M22" i="32"/>
  <c r="K32" i="37"/>
  <c r="O29" i="62"/>
  <c r="K21" i="32"/>
  <c r="J31" i="37"/>
  <c r="N28" i="62"/>
  <c r="K272" i="50"/>
  <c r="K31" i="50"/>
  <c r="K29" i="42"/>
  <c r="K33" i="25"/>
  <c r="N31" i="42"/>
  <c r="N33" i="50"/>
  <c r="N35" i="25"/>
  <c r="AW60" i="42"/>
  <c r="L32" i="50"/>
  <c r="L30" i="42"/>
  <c r="L34" i="25"/>
  <c r="CB516" i="40"/>
  <c r="BX512" i="40"/>
  <c r="BY512" i="40" s="1"/>
  <c r="BT508" i="40"/>
  <c r="BU508" i="40" s="1"/>
  <c r="CA515" i="40"/>
  <c r="CB515" i="40" s="1"/>
  <c r="BW511" i="40"/>
  <c r="BX511" i="40" s="1"/>
  <c r="BS507" i="40"/>
  <c r="BT507" i="40" s="1"/>
  <c r="BV510" i="40"/>
  <c r="BW510" i="40" s="1"/>
  <c r="BZ514" i="40"/>
  <c r="CA514" i="40" s="1"/>
  <c r="BR506" i="40"/>
  <c r="BS506" i="40" s="1"/>
  <c r="BT506" i="40" s="1"/>
  <c r="BU506" i="40" s="1"/>
  <c r="BV506" i="40" s="1"/>
  <c r="BW506" i="40" s="1"/>
  <c r="BX506" i="40" s="1"/>
  <c r="BY506" i="40" s="1"/>
  <c r="BZ506" i="40" s="1"/>
  <c r="CA506" i="40" s="1"/>
  <c r="BY513" i="40"/>
  <c r="BZ513" i="40" s="1"/>
  <c r="BU509" i="40"/>
  <c r="BV509" i="40" s="1"/>
  <c r="I444" i="40"/>
  <c r="J444" i="40" s="1"/>
  <c r="K444" i="40" s="1"/>
  <c r="L444" i="40" s="1"/>
  <c r="M444" i="40" s="1"/>
  <c r="N444" i="40" s="1"/>
  <c r="O444" i="40" s="1"/>
  <c r="P444" i="40" s="1"/>
  <c r="Q444" i="40" s="1"/>
  <c r="R444" i="40" s="1"/>
  <c r="S444" i="40" s="1"/>
  <c r="T444" i="40" s="1"/>
  <c r="U444" i="40" s="1"/>
  <c r="V444" i="40" s="1"/>
  <c r="W444" i="40" s="1"/>
  <c r="X444" i="40" s="1"/>
  <c r="Y444" i="40" s="1"/>
  <c r="Z444" i="40" s="1"/>
  <c r="AA444" i="40" s="1"/>
  <c r="AB444" i="40" s="1"/>
  <c r="AC444" i="40" s="1"/>
  <c r="AD444" i="40" s="1"/>
  <c r="AE444" i="40" s="1"/>
  <c r="AF444" i="40" s="1"/>
  <c r="AG444" i="40" s="1"/>
  <c r="AH444" i="40" s="1"/>
  <c r="AI444" i="40" s="1"/>
  <c r="AJ444" i="40" s="1"/>
  <c r="AK444" i="40" s="1"/>
  <c r="AL444" i="40" s="1"/>
  <c r="AM444" i="40" s="1"/>
  <c r="AN444" i="40" s="1"/>
  <c r="AO444" i="40" s="1"/>
  <c r="AP444" i="40" s="1"/>
  <c r="AQ444" i="40" s="1"/>
  <c r="AR444" i="40" s="1"/>
  <c r="AS444" i="40" s="1"/>
  <c r="AT444" i="40" s="1"/>
  <c r="AU444" i="40" s="1"/>
  <c r="AV444" i="40" s="1"/>
  <c r="AW444" i="40" s="1"/>
  <c r="AX444" i="40" s="1"/>
  <c r="AY444" i="40" s="1"/>
  <c r="AZ444" i="40" s="1"/>
  <c r="BA444" i="40" s="1"/>
  <c r="BB444" i="40" s="1"/>
  <c r="BC444" i="40" s="1"/>
  <c r="BD444" i="40" s="1"/>
  <c r="BE444" i="40" s="1"/>
  <c r="BF444" i="40" s="1"/>
  <c r="BG444" i="40" s="1"/>
  <c r="BH444" i="40" s="1"/>
  <c r="BI444" i="40" s="1"/>
  <c r="BJ444" i="40" s="1"/>
  <c r="BK444" i="40" s="1"/>
  <c r="BL444" i="40" s="1"/>
  <c r="BM444" i="40" s="1"/>
  <c r="BN444" i="40" s="1"/>
  <c r="BO444" i="40" s="1"/>
  <c r="BP444" i="40" s="1"/>
  <c r="BQ444" i="40" s="1"/>
  <c r="BR444" i="40" s="1"/>
  <c r="BS444" i="40" s="1"/>
  <c r="BT444" i="40" s="1"/>
  <c r="BU444" i="40" s="1"/>
  <c r="BV444" i="40" s="1"/>
  <c r="BW444" i="40" s="1"/>
  <c r="BX444" i="40" s="1"/>
  <c r="BY444" i="40" s="1"/>
  <c r="BZ444" i="40" s="1"/>
  <c r="CA444" i="40" s="1"/>
  <c r="CB444" i="40" s="1"/>
  <c r="AO476" i="40"/>
  <c r="AP476" i="40" s="1"/>
  <c r="AQ476" i="40" s="1"/>
  <c r="AR476" i="40" s="1"/>
  <c r="AS476" i="40" s="1"/>
  <c r="AT476" i="40" s="1"/>
  <c r="AU476" i="40" s="1"/>
  <c r="AV476" i="40" s="1"/>
  <c r="AW476" i="40" s="1"/>
  <c r="AX476" i="40" s="1"/>
  <c r="AY476" i="40" s="1"/>
  <c r="AZ476" i="40" s="1"/>
  <c r="BA476" i="40" s="1"/>
  <c r="BB476" i="40" s="1"/>
  <c r="BC476" i="40" s="1"/>
  <c r="BD476" i="40" s="1"/>
  <c r="BE476" i="40" s="1"/>
  <c r="BF476" i="40" s="1"/>
  <c r="BG476" i="40" s="1"/>
  <c r="BH476" i="40" s="1"/>
  <c r="BI476" i="40" s="1"/>
  <c r="BJ476" i="40" s="1"/>
  <c r="BK476" i="40" s="1"/>
  <c r="BL476" i="40" s="1"/>
  <c r="BM476" i="40" s="1"/>
  <c r="BN476" i="40" s="1"/>
  <c r="BO476" i="40" s="1"/>
  <c r="BP476" i="40" s="1"/>
  <c r="BQ476" i="40" s="1"/>
  <c r="BR476" i="40" s="1"/>
  <c r="BS476" i="40" s="1"/>
  <c r="BT476" i="40" s="1"/>
  <c r="BU476" i="40" s="1"/>
  <c r="BV476" i="40" s="1"/>
  <c r="BW476" i="40" s="1"/>
  <c r="BX476" i="40" s="1"/>
  <c r="BY476" i="40" s="1"/>
  <c r="BZ476" i="40" s="1"/>
  <c r="CA476" i="40" s="1"/>
  <c r="U456" i="40"/>
  <c r="V456" i="40" s="1"/>
  <c r="W456" i="40" s="1"/>
  <c r="X456" i="40" s="1"/>
  <c r="Y456" i="40" s="1"/>
  <c r="Z456" i="40" s="1"/>
  <c r="AA456" i="40" s="1"/>
  <c r="AB456" i="40" s="1"/>
  <c r="AC456" i="40" s="1"/>
  <c r="AD456" i="40" s="1"/>
  <c r="AE456" i="40" s="1"/>
  <c r="AF456" i="40" s="1"/>
  <c r="AG456" i="40" s="1"/>
  <c r="AH456" i="40" s="1"/>
  <c r="AI456" i="40" s="1"/>
  <c r="AJ456" i="40" s="1"/>
  <c r="AK456" i="40" s="1"/>
  <c r="AL456" i="40" s="1"/>
  <c r="AM456" i="40" s="1"/>
  <c r="AN456" i="40" s="1"/>
  <c r="AO456" i="40" s="1"/>
  <c r="AP456" i="40" s="1"/>
  <c r="AQ456" i="40" s="1"/>
  <c r="AR456" i="40" s="1"/>
  <c r="AS456" i="40" s="1"/>
  <c r="AT456" i="40" s="1"/>
  <c r="AU456" i="40" s="1"/>
  <c r="AV456" i="40" s="1"/>
  <c r="AW456" i="40" s="1"/>
  <c r="AX456" i="40" s="1"/>
  <c r="AY456" i="40" s="1"/>
  <c r="AZ456" i="40" s="1"/>
  <c r="BA456" i="40" s="1"/>
  <c r="BB456" i="40" s="1"/>
  <c r="BC456" i="40" s="1"/>
  <c r="BD456" i="40" s="1"/>
  <c r="BE456" i="40" s="1"/>
  <c r="BF456" i="40" s="1"/>
  <c r="BG456" i="40" s="1"/>
  <c r="BH456" i="40" s="1"/>
  <c r="BI456" i="40" s="1"/>
  <c r="BJ456" i="40" s="1"/>
  <c r="BK456" i="40" s="1"/>
  <c r="BL456" i="40" s="1"/>
  <c r="BM456" i="40" s="1"/>
  <c r="BN456" i="40" s="1"/>
  <c r="BO456" i="40" s="1"/>
  <c r="BP456" i="40" s="1"/>
  <c r="BQ456" i="40" s="1"/>
  <c r="BR456" i="40" s="1"/>
  <c r="BS456" i="40" s="1"/>
  <c r="BT456" i="40" s="1"/>
  <c r="BU456" i="40" s="1"/>
  <c r="BV456" i="40" s="1"/>
  <c r="BW456" i="40" s="1"/>
  <c r="BX456" i="40" s="1"/>
  <c r="BY456" i="40" s="1"/>
  <c r="BZ456" i="40" s="1"/>
  <c r="CA456" i="40" s="1"/>
  <c r="BE492" i="40"/>
  <c r="BF492" i="40" s="1"/>
  <c r="BG492" i="40" s="1"/>
  <c r="BH492" i="40" s="1"/>
  <c r="BI492" i="40" s="1"/>
  <c r="BJ492" i="40" s="1"/>
  <c r="BK492" i="40" s="1"/>
  <c r="BL492" i="40" s="1"/>
  <c r="BM492" i="40" s="1"/>
  <c r="BN492" i="40" s="1"/>
  <c r="BO492" i="40" s="1"/>
  <c r="BP492" i="40" s="1"/>
  <c r="BQ492" i="40" s="1"/>
  <c r="BR492" i="40" s="1"/>
  <c r="BS492" i="40" s="1"/>
  <c r="BT492" i="40" s="1"/>
  <c r="BU492" i="40" s="1"/>
  <c r="BV492" i="40" s="1"/>
  <c r="BW492" i="40" s="1"/>
  <c r="BX492" i="40" s="1"/>
  <c r="BY492" i="40" s="1"/>
  <c r="BZ492" i="40" s="1"/>
  <c r="CA492" i="40" s="1"/>
  <c r="AK472" i="40"/>
  <c r="AL472" i="40" s="1"/>
  <c r="AM472" i="40" s="1"/>
  <c r="AN472" i="40" s="1"/>
  <c r="AO472" i="40" s="1"/>
  <c r="AP472" i="40" s="1"/>
  <c r="AQ472" i="40" s="1"/>
  <c r="AR472" i="40" s="1"/>
  <c r="AS472" i="40" s="1"/>
  <c r="AT472" i="40" s="1"/>
  <c r="AU472" i="40" s="1"/>
  <c r="AV472" i="40" s="1"/>
  <c r="AW472" i="40" s="1"/>
  <c r="AX472" i="40" s="1"/>
  <c r="AY472" i="40" s="1"/>
  <c r="AZ472" i="40" s="1"/>
  <c r="BA472" i="40" s="1"/>
  <c r="BB472" i="40" s="1"/>
  <c r="BC472" i="40" s="1"/>
  <c r="BD472" i="40" s="1"/>
  <c r="BE472" i="40" s="1"/>
  <c r="BF472" i="40" s="1"/>
  <c r="BG472" i="40" s="1"/>
  <c r="BH472" i="40" s="1"/>
  <c r="BI472" i="40" s="1"/>
  <c r="BJ472" i="40" s="1"/>
  <c r="BK472" i="40" s="1"/>
  <c r="BL472" i="40" s="1"/>
  <c r="BM472" i="40" s="1"/>
  <c r="BN472" i="40" s="1"/>
  <c r="BO472" i="40" s="1"/>
  <c r="BP472" i="40" s="1"/>
  <c r="BQ472" i="40" s="1"/>
  <c r="BR472" i="40" s="1"/>
  <c r="BS472" i="40" s="1"/>
  <c r="BT472" i="40" s="1"/>
  <c r="BU472" i="40" s="1"/>
  <c r="BV472" i="40" s="1"/>
  <c r="BW472" i="40" s="1"/>
  <c r="BX472" i="40" s="1"/>
  <c r="BY472" i="40" s="1"/>
  <c r="BZ472" i="40" s="1"/>
  <c r="CA472" i="40" s="1"/>
  <c r="BQ504" i="40"/>
  <c r="BR504" i="40" s="1"/>
  <c r="BS504" i="40" s="1"/>
  <c r="BT504" i="40" s="1"/>
  <c r="BU504" i="40" s="1"/>
  <c r="BV504" i="40" s="1"/>
  <c r="BW504" i="40" s="1"/>
  <c r="BX504" i="40" s="1"/>
  <c r="BY504" i="40" s="1"/>
  <c r="BZ504" i="40" s="1"/>
  <c r="CA504" i="40" s="1"/>
  <c r="Q452" i="40"/>
  <c r="R452" i="40" s="1"/>
  <c r="S452" i="40" s="1"/>
  <c r="T452" i="40" s="1"/>
  <c r="U452" i="40" s="1"/>
  <c r="V452" i="40" s="1"/>
  <c r="W452" i="40" s="1"/>
  <c r="X452" i="40" s="1"/>
  <c r="Y452" i="40" s="1"/>
  <c r="Z452" i="40" s="1"/>
  <c r="AA452" i="40" s="1"/>
  <c r="AB452" i="40" s="1"/>
  <c r="AC452" i="40" s="1"/>
  <c r="AD452" i="40" s="1"/>
  <c r="AE452" i="40" s="1"/>
  <c r="AF452" i="40" s="1"/>
  <c r="AG452" i="40" s="1"/>
  <c r="AH452" i="40" s="1"/>
  <c r="AI452" i="40" s="1"/>
  <c r="AJ452" i="40" s="1"/>
  <c r="AK452" i="40" s="1"/>
  <c r="AL452" i="40" s="1"/>
  <c r="AM452" i="40" s="1"/>
  <c r="AN452" i="40" s="1"/>
  <c r="AO452" i="40" s="1"/>
  <c r="AP452" i="40" s="1"/>
  <c r="AQ452" i="40" s="1"/>
  <c r="AR452" i="40" s="1"/>
  <c r="AS452" i="40" s="1"/>
  <c r="AT452" i="40" s="1"/>
  <c r="AU452" i="40" s="1"/>
  <c r="AV452" i="40" s="1"/>
  <c r="AW452" i="40" s="1"/>
  <c r="AX452" i="40" s="1"/>
  <c r="AY452" i="40" s="1"/>
  <c r="AZ452" i="40" s="1"/>
  <c r="BA452" i="40" s="1"/>
  <c r="BB452" i="40" s="1"/>
  <c r="BC452" i="40" s="1"/>
  <c r="BD452" i="40" s="1"/>
  <c r="BE452" i="40" s="1"/>
  <c r="BF452" i="40" s="1"/>
  <c r="BG452" i="40" s="1"/>
  <c r="BH452" i="40" s="1"/>
  <c r="BI452" i="40" s="1"/>
  <c r="BJ452" i="40" s="1"/>
  <c r="BK452" i="40" s="1"/>
  <c r="BL452" i="40" s="1"/>
  <c r="BM452" i="40" s="1"/>
  <c r="BN452" i="40" s="1"/>
  <c r="BO452" i="40" s="1"/>
  <c r="BP452" i="40" s="1"/>
  <c r="BQ452" i="40" s="1"/>
  <c r="BR452" i="40" s="1"/>
  <c r="BS452" i="40" s="1"/>
  <c r="BT452" i="40" s="1"/>
  <c r="BU452" i="40" s="1"/>
  <c r="BV452" i="40" s="1"/>
  <c r="BW452" i="40" s="1"/>
  <c r="BX452" i="40" s="1"/>
  <c r="BY452" i="40" s="1"/>
  <c r="BZ452" i="40" s="1"/>
  <c r="CA452" i="40" s="1"/>
  <c r="CB452" i="40" s="1"/>
  <c r="AG468" i="40"/>
  <c r="AH468" i="40" s="1"/>
  <c r="AI468" i="40" s="1"/>
  <c r="AJ468" i="40" s="1"/>
  <c r="AK468" i="40" s="1"/>
  <c r="AL468" i="40" s="1"/>
  <c r="AM468" i="40" s="1"/>
  <c r="AN468" i="40" s="1"/>
  <c r="AO468" i="40" s="1"/>
  <c r="AP468" i="40" s="1"/>
  <c r="AQ468" i="40" s="1"/>
  <c r="AR468" i="40" s="1"/>
  <c r="AS468" i="40" s="1"/>
  <c r="AT468" i="40" s="1"/>
  <c r="AU468" i="40" s="1"/>
  <c r="AV468" i="40" s="1"/>
  <c r="AW468" i="40" s="1"/>
  <c r="AX468" i="40" s="1"/>
  <c r="AY468" i="40" s="1"/>
  <c r="AZ468" i="40" s="1"/>
  <c r="BA468" i="40" s="1"/>
  <c r="BB468" i="40" s="1"/>
  <c r="BC468" i="40" s="1"/>
  <c r="BD468" i="40" s="1"/>
  <c r="BE468" i="40" s="1"/>
  <c r="BF468" i="40" s="1"/>
  <c r="BG468" i="40" s="1"/>
  <c r="BH468" i="40" s="1"/>
  <c r="BI468" i="40" s="1"/>
  <c r="BJ468" i="40" s="1"/>
  <c r="BK468" i="40" s="1"/>
  <c r="BL468" i="40" s="1"/>
  <c r="BM468" i="40" s="1"/>
  <c r="BN468" i="40" s="1"/>
  <c r="BO468" i="40" s="1"/>
  <c r="BP468" i="40" s="1"/>
  <c r="BQ468" i="40" s="1"/>
  <c r="BR468" i="40" s="1"/>
  <c r="BS468" i="40" s="1"/>
  <c r="BT468" i="40" s="1"/>
  <c r="BU468" i="40" s="1"/>
  <c r="BV468" i="40" s="1"/>
  <c r="BW468" i="40" s="1"/>
  <c r="BX468" i="40" s="1"/>
  <c r="BY468" i="40" s="1"/>
  <c r="BZ468" i="40" s="1"/>
  <c r="CA468" i="40" s="1"/>
  <c r="AW484" i="40"/>
  <c r="AX484" i="40" s="1"/>
  <c r="AY484" i="40" s="1"/>
  <c r="AZ484" i="40" s="1"/>
  <c r="BA484" i="40" s="1"/>
  <c r="BB484" i="40" s="1"/>
  <c r="BC484" i="40" s="1"/>
  <c r="BD484" i="40" s="1"/>
  <c r="BE484" i="40" s="1"/>
  <c r="BF484" i="40" s="1"/>
  <c r="BG484" i="40" s="1"/>
  <c r="BH484" i="40" s="1"/>
  <c r="BI484" i="40" s="1"/>
  <c r="BJ484" i="40" s="1"/>
  <c r="BK484" i="40" s="1"/>
  <c r="BL484" i="40" s="1"/>
  <c r="BM484" i="40" s="1"/>
  <c r="BN484" i="40" s="1"/>
  <c r="BO484" i="40" s="1"/>
  <c r="BP484" i="40" s="1"/>
  <c r="BQ484" i="40" s="1"/>
  <c r="BR484" i="40" s="1"/>
  <c r="BS484" i="40" s="1"/>
  <c r="BT484" i="40" s="1"/>
  <c r="BU484" i="40" s="1"/>
  <c r="BV484" i="40" s="1"/>
  <c r="BW484" i="40" s="1"/>
  <c r="BX484" i="40" s="1"/>
  <c r="BY484" i="40" s="1"/>
  <c r="BZ484" i="40" s="1"/>
  <c r="CA484" i="40" s="1"/>
  <c r="BM500" i="40"/>
  <c r="BN500" i="40" s="1"/>
  <c r="BO500" i="40" s="1"/>
  <c r="BP500" i="40" s="1"/>
  <c r="BQ500" i="40" s="1"/>
  <c r="BR500" i="40" s="1"/>
  <c r="BS500" i="40" s="1"/>
  <c r="BT500" i="40" s="1"/>
  <c r="BU500" i="40" s="1"/>
  <c r="BV500" i="40" s="1"/>
  <c r="BW500" i="40" s="1"/>
  <c r="BX500" i="40" s="1"/>
  <c r="BY500" i="40" s="1"/>
  <c r="BZ500" i="40" s="1"/>
  <c r="CA500" i="40" s="1"/>
  <c r="Y460" i="40"/>
  <c r="Z460" i="40" s="1"/>
  <c r="AA460" i="40" s="1"/>
  <c r="AB460" i="40" s="1"/>
  <c r="AC460" i="40" s="1"/>
  <c r="AD460" i="40" s="1"/>
  <c r="AE460" i="40" s="1"/>
  <c r="AF460" i="40" s="1"/>
  <c r="AG460" i="40" s="1"/>
  <c r="AH460" i="40" s="1"/>
  <c r="AI460" i="40" s="1"/>
  <c r="AJ460" i="40" s="1"/>
  <c r="AK460" i="40" s="1"/>
  <c r="AL460" i="40" s="1"/>
  <c r="AM460" i="40" s="1"/>
  <c r="AN460" i="40" s="1"/>
  <c r="AO460" i="40" s="1"/>
  <c r="AP460" i="40" s="1"/>
  <c r="AQ460" i="40" s="1"/>
  <c r="AR460" i="40" s="1"/>
  <c r="AS460" i="40" s="1"/>
  <c r="AT460" i="40" s="1"/>
  <c r="AU460" i="40" s="1"/>
  <c r="AV460" i="40" s="1"/>
  <c r="AW460" i="40" s="1"/>
  <c r="AX460" i="40" s="1"/>
  <c r="AY460" i="40" s="1"/>
  <c r="AZ460" i="40" s="1"/>
  <c r="BA460" i="40" s="1"/>
  <c r="BB460" i="40" s="1"/>
  <c r="BC460" i="40" s="1"/>
  <c r="BD460" i="40" s="1"/>
  <c r="BE460" i="40" s="1"/>
  <c r="BF460" i="40" s="1"/>
  <c r="BG460" i="40" s="1"/>
  <c r="BH460" i="40" s="1"/>
  <c r="BI460" i="40" s="1"/>
  <c r="BJ460" i="40" s="1"/>
  <c r="BK460" i="40" s="1"/>
  <c r="BL460" i="40" s="1"/>
  <c r="BM460" i="40" s="1"/>
  <c r="BN460" i="40" s="1"/>
  <c r="BO460" i="40" s="1"/>
  <c r="BP460" i="40" s="1"/>
  <c r="BQ460" i="40" s="1"/>
  <c r="BR460" i="40" s="1"/>
  <c r="BS460" i="40" s="1"/>
  <c r="BT460" i="40" s="1"/>
  <c r="BU460" i="40" s="1"/>
  <c r="BV460" i="40" s="1"/>
  <c r="BW460" i="40" s="1"/>
  <c r="BX460" i="40" s="1"/>
  <c r="BY460" i="40" s="1"/>
  <c r="BZ460" i="40" s="1"/>
  <c r="CA460" i="40" s="1"/>
  <c r="BJ497" i="40"/>
  <c r="BK497" i="40" s="1"/>
  <c r="BL497" i="40" s="1"/>
  <c r="BM497" i="40" s="1"/>
  <c r="BN497" i="40" s="1"/>
  <c r="BO497" i="40" s="1"/>
  <c r="BP497" i="40" s="1"/>
  <c r="BQ497" i="40" s="1"/>
  <c r="BR497" i="40" s="1"/>
  <c r="BS497" i="40" s="1"/>
  <c r="BT497" i="40" s="1"/>
  <c r="BU497" i="40" s="1"/>
  <c r="BV497" i="40" s="1"/>
  <c r="BW497" i="40" s="1"/>
  <c r="BX497" i="40" s="1"/>
  <c r="BY497" i="40" s="1"/>
  <c r="BZ497" i="40" s="1"/>
  <c r="CA497" i="40" s="1"/>
  <c r="BA488" i="40"/>
  <c r="BB488" i="40" s="1"/>
  <c r="BC488" i="40" s="1"/>
  <c r="BD488" i="40" s="1"/>
  <c r="BE488" i="40" s="1"/>
  <c r="BF488" i="40" s="1"/>
  <c r="BG488" i="40" s="1"/>
  <c r="BH488" i="40" s="1"/>
  <c r="BI488" i="40" s="1"/>
  <c r="BJ488" i="40" s="1"/>
  <c r="BK488" i="40" s="1"/>
  <c r="BL488" i="40" s="1"/>
  <c r="BM488" i="40" s="1"/>
  <c r="BN488" i="40" s="1"/>
  <c r="BO488" i="40" s="1"/>
  <c r="BP488" i="40" s="1"/>
  <c r="BQ488" i="40" s="1"/>
  <c r="BR488" i="40" s="1"/>
  <c r="BS488" i="40" s="1"/>
  <c r="BT488" i="40" s="1"/>
  <c r="BU488" i="40" s="1"/>
  <c r="BV488" i="40" s="1"/>
  <c r="BW488" i="40" s="1"/>
  <c r="BX488" i="40" s="1"/>
  <c r="BY488" i="40" s="1"/>
  <c r="BZ488" i="40" s="1"/>
  <c r="CA488" i="40" s="1"/>
  <c r="M448" i="40"/>
  <c r="N448" i="40" s="1"/>
  <c r="O448" i="40" s="1"/>
  <c r="P448" i="40" s="1"/>
  <c r="Q448" i="40" s="1"/>
  <c r="R448" i="40" s="1"/>
  <c r="S448" i="40" s="1"/>
  <c r="T448" i="40" s="1"/>
  <c r="U448" i="40" s="1"/>
  <c r="V448" i="40" s="1"/>
  <c r="W448" i="40" s="1"/>
  <c r="X448" i="40" s="1"/>
  <c r="Y448" i="40" s="1"/>
  <c r="Z448" i="40" s="1"/>
  <c r="AA448" i="40" s="1"/>
  <c r="AB448" i="40" s="1"/>
  <c r="AC448" i="40" s="1"/>
  <c r="AD448" i="40" s="1"/>
  <c r="AE448" i="40" s="1"/>
  <c r="AF448" i="40" s="1"/>
  <c r="AG448" i="40" s="1"/>
  <c r="AH448" i="40" s="1"/>
  <c r="AI448" i="40" s="1"/>
  <c r="AJ448" i="40" s="1"/>
  <c r="AK448" i="40" s="1"/>
  <c r="AL448" i="40" s="1"/>
  <c r="AM448" i="40" s="1"/>
  <c r="AN448" i="40" s="1"/>
  <c r="AO448" i="40" s="1"/>
  <c r="AP448" i="40" s="1"/>
  <c r="AQ448" i="40" s="1"/>
  <c r="AR448" i="40" s="1"/>
  <c r="AS448" i="40" s="1"/>
  <c r="AT448" i="40" s="1"/>
  <c r="AU448" i="40" s="1"/>
  <c r="AV448" i="40" s="1"/>
  <c r="AW448" i="40" s="1"/>
  <c r="AX448" i="40" s="1"/>
  <c r="AY448" i="40" s="1"/>
  <c r="AZ448" i="40" s="1"/>
  <c r="BA448" i="40" s="1"/>
  <c r="BB448" i="40" s="1"/>
  <c r="BC448" i="40" s="1"/>
  <c r="BD448" i="40" s="1"/>
  <c r="BE448" i="40" s="1"/>
  <c r="BF448" i="40" s="1"/>
  <c r="BG448" i="40" s="1"/>
  <c r="BH448" i="40" s="1"/>
  <c r="BI448" i="40" s="1"/>
  <c r="BJ448" i="40" s="1"/>
  <c r="BK448" i="40" s="1"/>
  <c r="BL448" i="40" s="1"/>
  <c r="BM448" i="40" s="1"/>
  <c r="BN448" i="40" s="1"/>
  <c r="BO448" i="40" s="1"/>
  <c r="BP448" i="40" s="1"/>
  <c r="BQ448" i="40" s="1"/>
  <c r="BR448" i="40" s="1"/>
  <c r="BS448" i="40" s="1"/>
  <c r="BT448" i="40" s="1"/>
  <c r="BU448" i="40" s="1"/>
  <c r="BV448" i="40" s="1"/>
  <c r="BW448" i="40" s="1"/>
  <c r="BX448" i="40" s="1"/>
  <c r="BY448" i="40" s="1"/>
  <c r="BZ448" i="40" s="1"/>
  <c r="CA448" i="40" s="1"/>
  <c r="CB448" i="40" s="1"/>
  <c r="AC464" i="40"/>
  <c r="AD464" i="40" s="1"/>
  <c r="AE464" i="40" s="1"/>
  <c r="AF464" i="40" s="1"/>
  <c r="AG464" i="40" s="1"/>
  <c r="AH464" i="40" s="1"/>
  <c r="AI464" i="40" s="1"/>
  <c r="AJ464" i="40" s="1"/>
  <c r="AK464" i="40" s="1"/>
  <c r="AL464" i="40" s="1"/>
  <c r="AM464" i="40" s="1"/>
  <c r="AN464" i="40" s="1"/>
  <c r="AO464" i="40" s="1"/>
  <c r="AP464" i="40" s="1"/>
  <c r="AQ464" i="40" s="1"/>
  <c r="AR464" i="40" s="1"/>
  <c r="AS464" i="40" s="1"/>
  <c r="AT464" i="40" s="1"/>
  <c r="AU464" i="40" s="1"/>
  <c r="AV464" i="40" s="1"/>
  <c r="AW464" i="40" s="1"/>
  <c r="AX464" i="40" s="1"/>
  <c r="AY464" i="40" s="1"/>
  <c r="AZ464" i="40" s="1"/>
  <c r="BA464" i="40" s="1"/>
  <c r="BB464" i="40" s="1"/>
  <c r="BC464" i="40" s="1"/>
  <c r="BD464" i="40" s="1"/>
  <c r="BE464" i="40" s="1"/>
  <c r="BF464" i="40" s="1"/>
  <c r="BG464" i="40" s="1"/>
  <c r="BH464" i="40" s="1"/>
  <c r="BI464" i="40" s="1"/>
  <c r="BJ464" i="40" s="1"/>
  <c r="BK464" i="40" s="1"/>
  <c r="BL464" i="40" s="1"/>
  <c r="BM464" i="40" s="1"/>
  <c r="BN464" i="40" s="1"/>
  <c r="BO464" i="40" s="1"/>
  <c r="BP464" i="40" s="1"/>
  <c r="BQ464" i="40" s="1"/>
  <c r="BR464" i="40" s="1"/>
  <c r="BS464" i="40" s="1"/>
  <c r="BT464" i="40" s="1"/>
  <c r="BU464" i="40" s="1"/>
  <c r="BV464" i="40" s="1"/>
  <c r="BW464" i="40" s="1"/>
  <c r="BX464" i="40" s="1"/>
  <c r="BY464" i="40" s="1"/>
  <c r="BZ464" i="40" s="1"/>
  <c r="CA464" i="40" s="1"/>
  <c r="AS480" i="40"/>
  <c r="AT480" i="40" s="1"/>
  <c r="AU480" i="40" s="1"/>
  <c r="AV480" i="40" s="1"/>
  <c r="AW480" i="40" s="1"/>
  <c r="AX480" i="40" s="1"/>
  <c r="AY480" i="40" s="1"/>
  <c r="AZ480" i="40" s="1"/>
  <c r="BA480" i="40" s="1"/>
  <c r="BB480" i="40" s="1"/>
  <c r="BC480" i="40" s="1"/>
  <c r="BD480" i="40" s="1"/>
  <c r="BE480" i="40" s="1"/>
  <c r="BF480" i="40" s="1"/>
  <c r="BG480" i="40" s="1"/>
  <c r="BH480" i="40" s="1"/>
  <c r="BI480" i="40" s="1"/>
  <c r="BJ480" i="40" s="1"/>
  <c r="BK480" i="40" s="1"/>
  <c r="BL480" i="40" s="1"/>
  <c r="BM480" i="40" s="1"/>
  <c r="BN480" i="40" s="1"/>
  <c r="BO480" i="40" s="1"/>
  <c r="BP480" i="40" s="1"/>
  <c r="BQ480" i="40" s="1"/>
  <c r="BR480" i="40" s="1"/>
  <c r="BS480" i="40" s="1"/>
  <c r="BT480" i="40" s="1"/>
  <c r="BU480" i="40" s="1"/>
  <c r="BV480" i="40" s="1"/>
  <c r="BW480" i="40" s="1"/>
  <c r="BX480" i="40" s="1"/>
  <c r="BY480" i="40" s="1"/>
  <c r="BZ480" i="40" s="1"/>
  <c r="CA480" i="40" s="1"/>
  <c r="CB480" i="40" s="1"/>
  <c r="BI496" i="40"/>
  <c r="BJ496" i="40" s="1"/>
  <c r="BK496" i="40" s="1"/>
  <c r="BL496" i="40" s="1"/>
  <c r="BM496" i="40" s="1"/>
  <c r="BN496" i="40" s="1"/>
  <c r="BO496" i="40" s="1"/>
  <c r="BP496" i="40" s="1"/>
  <c r="BQ496" i="40" s="1"/>
  <c r="BR496" i="40" s="1"/>
  <c r="BS496" i="40" s="1"/>
  <c r="BT496" i="40" s="1"/>
  <c r="BU496" i="40" s="1"/>
  <c r="BV496" i="40" s="1"/>
  <c r="BW496" i="40" s="1"/>
  <c r="BX496" i="40" s="1"/>
  <c r="BY496" i="40" s="1"/>
  <c r="BZ496" i="40" s="1"/>
  <c r="CA496" i="40" s="1"/>
  <c r="H443" i="40"/>
  <c r="I443" i="40" s="1"/>
  <c r="J443" i="40" s="1"/>
  <c r="K443" i="40" s="1"/>
  <c r="L443" i="40" s="1"/>
  <c r="M443" i="40" s="1"/>
  <c r="N443" i="40" s="1"/>
  <c r="O443" i="40" s="1"/>
  <c r="P443" i="40" s="1"/>
  <c r="Q443" i="40" s="1"/>
  <c r="R443" i="40" s="1"/>
  <c r="S443" i="40" s="1"/>
  <c r="T443" i="40" s="1"/>
  <c r="U443" i="40" s="1"/>
  <c r="V443" i="40" s="1"/>
  <c r="W443" i="40" s="1"/>
  <c r="X443" i="40" s="1"/>
  <c r="Y443" i="40" s="1"/>
  <c r="Z443" i="40" s="1"/>
  <c r="AA443" i="40" s="1"/>
  <c r="AB443" i="40" s="1"/>
  <c r="AC443" i="40" s="1"/>
  <c r="AD443" i="40" s="1"/>
  <c r="AE443" i="40" s="1"/>
  <c r="AF443" i="40" s="1"/>
  <c r="AG443" i="40" s="1"/>
  <c r="AH443" i="40" s="1"/>
  <c r="AI443" i="40" s="1"/>
  <c r="AJ443" i="40" s="1"/>
  <c r="AK443" i="40" s="1"/>
  <c r="AL443" i="40" s="1"/>
  <c r="AM443" i="40" s="1"/>
  <c r="AN443" i="40" s="1"/>
  <c r="AO443" i="40" s="1"/>
  <c r="AP443" i="40" s="1"/>
  <c r="AQ443" i="40" s="1"/>
  <c r="AR443" i="40" s="1"/>
  <c r="AS443" i="40" s="1"/>
  <c r="AT443" i="40" s="1"/>
  <c r="AU443" i="40" s="1"/>
  <c r="AV443" i="40" s="1"/>
  <c r="AW443" i="40" s="1"/>
  <c r="AX443" i="40" s="1"/>
  <c r="AY443" i="40" s="1"/>
  <c r="AZ443" i="40" s="1"/>
  <c r="BA443" i="40" s="1"/>
  <c r="BB443" i="40" s="1"/>
  <c r="BC443" i="40" s="1"/>
  <c r="BD443" i="40" s="1"/>
  <c r="BE443" i="40" s="1"/>
  <c r="BF443" i="40" s="1"/>
  <c r="BG443" i="40" s="1"/>
  <c r="BH443" i="40" s="1"/>
  <c r="BI443" i="40" s="1"/>
  <c r="BJ443" i="40" s="1"/>
  <c r="BK443" i="40" s="1"/>
  <c r="BL443" i="40" s="1"/>
  <c r="BM443" i="40" s="1"/>
  <c r="BN443" i="40" s="1"/>
  <c r="BO443" i="40" s="1"/>
  <c r="BP443" i="40" s="1"/>
  <c r="BQ443" i="40" s="1"/>
  <c r="BR443" i="40" s="1"/>
  <c r="BS443" i="40" s="1"/>
  <c r="BT443" i="40" s="1"/>
  <c r="BU443" i="40" s="1"/>
  <c r="BV443" i="40" s="1"/>
  <c r="BW443" i="40" s="1"/>
  <c r="BX443" i="40" s="1"/>
  <c r="BY443" i="40" s="1"/>
  <c r="BZ443" i="40" s="1"/>
  <c r="CA443" i="40" s="1"/>
  <c r="CB443" i="40" s="1"/>
  <c r="L447" i="40"/>
  <c r="M447" i="40" s="1"/>
  <c r="N447" i="40" s="1"/>
  <c r="O447" i="40" s="1"/>
  <c r="P447" i="40" s="1"/>
  <c r="Q447" i="40" s="1"/>
  <c r="R447" i="40" s="1"/>
  <c r="S447" i="40" s="1"/>
  <c r="T447" i="40" s="1"/>
  <c r="U447" i="40" s="1"/>
  <c r="V447" i="40" s="1"/>
  <c r="W447" i="40" s="1"/>
  <c r="X447" i="40" s="1"/>
  <c r="Y447" i="40" s="1"/>
  <c r="Z447" i="40" s="1"/>
  <c r="AA447" i="40" s="1"/>
  <c r="AB447" i="40" s="1"/>
  <c r="AC447" i="40" s="1"/>
  <c r="AD447" i="40" s="1"/>
  <c r="AE447" i="40" s="1"/>
  <c r="AF447" i="40" s="1"/>
  <c r="AG447" i="40" s="1"/>
  <c r="AH447" i="40" s="1"/>
  <c r="AI447" i="40" s="1"/>
  <c r="AJ447" i="40" s="1"/>
  <c r="AK447" i="40" s="1"/>
  <c r="AL447" i="40" s="1"/>
  <c r="AM447" i="40" s="1"/>
  <c r="AN447" i="40" s="1"/>
  <c r="AO447" i="40" s="1"/>
  <c r="AP447" i="40" s="1"/>
  <c r="AQ447" i="40" s="1"/>
  <c r="AR447" i="40" s="1"/>
  <c r="AS447" i="40" s="1"/>
  <c r="AT447" i="40" s="1"/>
  <c r="AU447" i="40" s="1"/>
  <c r="AV447" i="40" s="1"/>
  <c r="AW447" i="40" s="1"/>
  <c r="AX447" i="40" s="1"/>
  <c r="AY447" i="40" s="1"/>
  <c r="AZ447" i="40" s="1"/>
  <c r="BA447" i="40" s="1"/>
  <c r="BB447" i="40" s="1"/>
  <c r="BC447" i="40" s="1"/>
  <c r="BD447" i="40" s="1"/>
  <c r="BE447" i="40" s="1"/>
  <c r="BF447" i="40" s="1"/>
  <c r="BG447" i="40" s="1"/>
  <c r="BH447" i="40" s="1"/>
  <c r="BI447" i="40" s="1"/>
  <c r="BJ447" i="40" s="1"/>
  <c r="BK447" i="40" s="1"/>
  <c r="BL447" i="40" s="1"/>
  <c r="BM447" i="40" s="1"/>
  <c r="BN447" i="40" s="1"/>
  <c r="BO447" i="40" s="1"/>
  <c r="BP447" i="40" s="1"/>
  <c r="BQ447" i="40" s="1"/>
  <c r="BR447" i="40" s="1"/>
  <c r="BS447" i="40" s="1"/>
  <c r="BT447" i="40" s="1"/>
  <c r="BU447" i="40" s="1"/>
  <c r="BV447" i="40" s="1"/>
  <c r="BW447" i="40" s="1"/>
  <c r="BX447" i="40" s="1"/>
  <c r="BY447" i="40" s="1"/>
  <c r="BZ447" i="40" s="1"/>
  <c r="CA447" i="40" s="1"/>
  <c r="CB447" i="40" s="1"/>
  <c r="P451" i="40"/>
  <c r="Q451" i="40" s="1"/>
  <c r="R451" i="40" s="1"/>
  <c r="S451" i="40" s="1"/>
  <c r="T451" i="40" s="1"/>
  <c r="U451" i="40" s="1"/>
  <c r="V451" i="40" s="1"/>
  <c r="W451" i="40" s="1"/>
  <c r="X451" i="40" s="1"/>
  <c r="Y451" i="40" s="1"/>
  <c r="Z451" i="40" s="1"/>
  <c r="AA451" i="40" s="1"/>
  <c r="AB451" i="40" s="1"/>
  <c r="AC451" i="40" s="1"/>
  <c r="AD451" i="40" s="1"/>
  <c r="AE451" i="40" s="1"/>
  <c r="AF451" i="40" s="1"/>
  <c r="AG451" i="40" s="1"/>
  <c r="AH451" i="40" s="1"/>
  <c r="AI451" i="40" s="1"/>
  <c r="AJ451" i="40" s="1"/>
  <c r="AK451" i="40" s="1"/>
  <c r="AL451" i="40" s="1"/>
  <c r="AM451" i="40" s="1"/>
  <c r="AN451" i="40" s="1"/>
  <c r="AO451" i="40" s="1"/>
  <c r="AP451" i="40" s="1"/>
  <c r="AQ451" i="40" s="1"/>
  <c r="AR451" i="40" s="1"/>
  <c r="AS451" i="40" s="1"/>
  <c r="AT451" i="40" s="1"/>
  <c r="AU451" i="40" s="1"/>
  <c r="AV451" i="40" s="1"/>
  <c r="AW451" i="40" s="1"/>
  <c r="AX451" i="40" s="1"/>
  <c r="AY451" i="40" s="1"/>
  <c r="AZ451" i="40" s="1"/>
  <c r="BA451" i="40" s="1"/>
  <c r="BB451" i="40" s="1"/>
  <c r="BC451" i="40" s="1"/>
  <c r="BD451" i="40" s="1"/>
  <c r="BE451" i="40" s="1"/>
  <c r="BF451" i="40" s="1"/>
  <c r="BG451" i="40" s="1"/>
  <c r="BH451" i="40" s="1"/>
  <c r="BI451" i="40" s="1"/>
  <c r="BJ451" i="40" s="1"/>
  <c r="BK451" i="40" s="1"/>
  <c r="BL451" i="40" s="1"/>
  <c r="BM451" i="40" s="1"/>
  <c r="BN451" i="40" s="1"/>
  <c r="BO451" i="40" s="1"/>
  <c r="BP451" i="40" s="1"/>
  <c r="BQ451" i="40" s="1"/>
  <c r="BR451" i="40" s="1"/>
  <c r="BS451" i="40" s="1"/>
  <c r="BT451" i="40" s="1"/>
  <c r="BU451" i="40" s="1"/>
  <c r="BV451" i="40" s="1"/>
  <c r="BW451" i="40" s="1"/>
  <c r="BX451" i="40" s="1"/>
  <c r="BY451" i="40" s="1"/>
  <c r="BZ451" i="40" s="1"/>
  <c r="CA451" i="40" s="1"/>
  <c r="CB451" i="40" s="1"/>
  <c r="T455" i="40"/>
  <c r="U455" i="40" s="1"/>
  <c r="V455" i="40" s="1"/>
  <c r="W455" i="40" s="1"/>
  <c r="X455" i="40" s="1"/>
  <c r="Y455" i="40" s="1"/>
  <c r="Z455" i="40" s="1"/>
  <c r="AA455" i="40" s="1"/>
  <c r="AB455" i="40" s="1"/>
  <c r="AC455" i="40" s="1"/>
  <c r="AD455" i="40" s="1"/>
  <c r="AE455" i="40" s="1"/>
  <c r="AF455" i="40" s="1"/>
  <c r="AG455" i="40" s="1"/>
  <c r="AH455" i="40" s="1"/>
  <c r="AI455" i="40" s="1"/>
  <c r="AJ455" i="40" s="1"/>
  <c r="AK455" i="40" s="1"/>
  <c r="AL455" i="40" s="1"/>
  <c r="AM455" i="40" s="1"/>
  <c r="AN455" i="40" s="1"/>
  <c r="AO455" i="40" s="1"/>
  <c r="AP455" i="40" s="1"/>
  <c r="AQ455" i="40" s="1"/>
  <c r="AR455" i="40" s="1"/>
  <c r="AS455" i="40" s="1"/>
  <c r="AT455" i="40" s="1"/>
  <c r="AU455" i="40" s="1"/>
  <c r="AV455" i="40" s="1"/>
  <c r="AW455" i="40" s="1"/>
  <c r="AX455" i="40" s="1"/>
  <c r="AY455" i="40" s="1"/>
  <c r="AZ455" i="40" s="1"/>
  <c r="BA455" i="40" s="1"/>
  <c r="BB455" i="40" s="1"/>
  <c r="BC455" i="40" s="1"/>
  <c r="BD455" i="40" s="1"/>
  <c r="BE455" i="40" s="1"/>
  <c r="BF455" i="40" s="1"/>
  <c r="BG455" i="40" s="1"/>
  <c r="BH455" i="40" s="1"/>
  <c r="BI455" i="40" s="1"/>
  <c r="BJ455" i="40" s="1"/>
  <c r="BK455" i="40" s="1"/>
  <c r="BL455" i="40" s="1"/>
  <c r="BM455" i="40" s="1"/>
  <c r="BN455" i="40" s="1"/>
  <c r="BO455" i="40" s="1"/>
  <c r="BP455" i="40" s="1"/>
  <c r="BQ455" i="40" s="1"/>
  <c r="BR455" i="40" s="1"/>
  <c r="BS455" i="40" s="1"/>
  <c r="BT455" i="40" s="1"/>
  <c r="BU455" i="40" s="1"/>
  <c r="BV455" i="40" s="1"/>
  <c r="BW455" i="40" s="1"/>
  <c r="BX455" i="40" s="1"/>
  <c r="BY455" i="40" s="1"/>
  <c r="BZ455" i="40" s="1"/>
  <c r="CA455" i="40" s="1"/>
  <c r="X459" i="40"/>
  <c r="Y459" i="40" s="1"/>
  <c r="Z459" i="40" s="1"/>
  <c r="AA459" i="40" s="1"/>
  <c r="AB459" i="40" s="1"/>
  <c r="AC459" i="40" s="1"/>
  <c r="AD459" i="40" s="1"/>
  <c r="AE459" i="40" s="1"/>
  <c r="AF459" i="40" s="1"/>
  <c r="AG459" i="40" s="1"/>
  <c r="AH459" i="40" s="1"/>
  <c r="AI459" i="40" s="1"/>
  <c r="AJ459" i="40" s="1"/>
  <c r="AK459" i="40" s="1"/>
  <c r="AL459" i="40" s="1"/>
  <c r="AM459" i="40" s="1"/>
  <c r="AN459" i="40" s="1"/>
  <c r="AO459" i="40" s="1"/>
  <c r="AP459" i="40" s="1"/>
  <c r="AQ459" i="40" s="1"/>
  <c r="AR459" i="40" s="1"/>
  <c r="AS459" i="40" s="1"/>
  <c r="AT459" i="40" s="1"/>
  <c r="AU459" i="40" s="1"/>
  <c r="AV459" i="40" s="1"/>
  <c r="AW459" i="40" s="1"/>
  <c r="AX459" i="40" s="1"/>
  <c r="AY459" i="40" s="1"/>
  <c r="AZ459" i="40" s="1"/>
  <c r="BA459" i="40" s="1"/>
  <c r="BB459" i="40" s="1"/>
  <c r="BC459" i="40" s="1"/>
  <c r="BD459" i="40" s="1"/>
  <c r="BE459" i="40" s="1"/>
  <c r="BF459" i="40" s="1"/>
  <c r="BG459" i="40" s="1"/>
  <c r="BH459" i="40" s="1"/>
  <c r="BI459" i="40" s="1"/>
  <c r="BJ459" i="40" s="1"/>
  <c r="BK459" i="40" s="1"/>
  <c r="BL459" i="40" s="1"/>
  <c r="BM459" i="40" s="1"/>
  <c r="BN459" i="40" s="1"/>
  <c r="BO459" i="40" s="1"/>
  <c r="BP459" i="40" s="1"/>
  <c r="BQ459" i="40" s="1"/>
  <c r="BR459" i="40" s="1"/>
  <c r="BS459" i="40" s="1"/>
  <c r="BT459" i="40" s="1"/>
  <c r="BU459" i="40" s="1"/>
  <c r="BV459" i="40" s="1"/>
  <c r="BW459" i="40" s="1"/>
  <c r="BX459" i="40" s="1"/>
  <c r="BY459" i="40" s="1"/>
  <c r="BZ459" i="40" s="1"/>
  <c r="CA459" i="40" s="1"/>
  <c r="AB463" i="40"/>
  <c r="AC463" i="40" s="1"/>
  <c r="AD463" i="40" s="1"/>
  <c r="AE463" i="40" s="1"/>
  <c r="AF463" i="40" s="1"/>
  <c r="AG463" i="40" s="1"/>
  <c r="AH463" i="40" s="1"/>
  <c r="AI463" i="40" s="1"/>
  <c r="AJ463" i="40" s="1"/>
  <c r="AK463" i="40" s="1"/>
  <c r="AL463" i="40" s="1"/>
  <c r="AM463" i="40" s="1"/>
  <c r="AN463" i="40" s="1"/>
  <c r="AO463" i="40" s="1"/>
  <c r="AP463" i="40" s="1"/>
  <c r="AQ463" i="40" s="1"/>
  <c r="AR463" i="40" s="1"/>
  <c r="AS463" i="40" s="1"/>
  <c r="AT463" i="40" s="1"/>
  <c r="AU463" i="40" s="1"/>
  <c r="AV463" i="40" s="1"/>
  <c r="AW463" i="40" s="1"/>
  <c r="AX463" i="40" s="1"/>
  <c r="AY463" i="40" s="1"/>
  <c r="AZ463" i="40" s="1"/>
  <c r="BA463" i="40" s="1"/>
  <c r="BB463" i="40" s="1"/>
  <c r="BC463" i="40" s="1"/>
  <c r="BD463" i="40" s="1"/>
  <c r="BE463" i="40" s="1"/>
  <c r="BF463" i="40" s="1"/>
  <c r="BG463" i="40" s="1"/>
  <c r="BH463" i="40" s="1"/>
  <c r="BI463" i="40" s="1"/>
  <c r="BJ463" i="40" s="1"/>
  <c r="BK463" i="40" s="1"/>
  <c r="BL463" i="40" s="1"/>
  <c r="BM463" i="40" s="1"/>
  <c r="BN463" i="40" s="1"/>
  <c r="BO463" i="40" s="1"/>
  <c r="BP463" i="40" s="1"/>
  <c r="BQ463" i="40" s="1"/>
  <c r="BR463" i="40" s="1"/>
  <c r="BS463" i="40" s="1"/>
  <c r="BT463" i="40" s="1"/>
  <c r="BU463" i="40" s="1"/>
  <c r="BV463" i="40" s="1"/>
  <c r="BW463" i="40" s="1"/>
  <c r="BX463" i="40" s="1"/>
  <c r="BY463" i="40" s="1"/>
  <c r="BZ463" i="40" s="1"/>
  <c r="CA463" i="40" s="1"/>
  <c r="AF467" i="40"/>
  <c r="AG467" i="40" s="1"/>
  <c r="AH467" i="40" s="1"/>
  <c r="AI467" i="40" s="1"/>
  <c r="AJ467" i="40" s="1"/>
  <c r="AK467" i="40" s="1"/>
  <c r="AL467" i="40" s="1"/>
  <c r="AM467" i="40" s="1"/>
  <c r="AN467" i="40" s="1"/>
  <c r="AO467" i="40" s="1"/>
  <c r="AP467" i="40" s="1"/>
  <c r="AQ467" i="40" s="1"/>
  <c r="AR467" i="40" s="1"/>
  <c r="AS467" i="40" s="1"/>
  <c r="AT467" i="40" s="1"/>
  <c r="AU467" i="40" s="1"/>
  <c r="AV467" i="40" s="1"/>
  <c r="AW467" i="40" s="1"/>
  <c r="AX467" i="40" s="1"/>
  <c r="AY467" i="40" s="1"/>
  <c r="AZ467" i="40" s="1"/>
  <c r="BA467" i="40" s="1"/>
  <c r="BB467" i="40" s="1"/>
  <c r="BC467" i="40" s="1"/>
  <c r="BD467" i="40" s="1"/>
  <c r="BE467" i="40" s="1"/>
  <c r="BF467" i="40" s="1"/>
  <c r="BG467" i="40" s="1"/>
  <c r="BH467" i="40" s="1"/>
  <c r="BI467" i="40" s="1"/>
  <c r="BJ467" i="40" s="1"/>
  <c r="BK467" i="40" s="1"/>
  <c r="BL467" i="40" s="1"/>
  <c r="BM467" i="40" s="1"/>
  <c r="BN467" i="40" s="1"/>
  <c r="BO467" i="40" s="1"/>
  <c r="BP467" i="40" s="1"/>
  <c r="BQ467" i="40" s="1"/>
  <c r="BR467" i="40" s="1"/>
  <c r="BS467" i="40" s="1"/>
  <c r="BT467" i="40" s="1"/>
  <c r="BU467" i="40" s="1"/>
  <c r="BV467" i="40" s="1"/>
  <c r="BW467" i="40" s="1"/>
  <c r="BX467" i="40" s="1"/>
  <c r="BY467" i="40" s="1"/>
  <c r="BZ467" i="40" s="1"/>
  <c r="CA467" i="40" s="1"/>
  <c r="AJ471" i="40"/>
  <c r="AK471" i="40" s="1"/>
  <c r="AL471" i="40" s="1"/>
  <c r="AM471" i="40" s="1"/>
  <c r="AN471" i="40" s="1"/>
  <c r="AO471" i="40" s="1"/>
  <c r="AP471" i="40" s="1"/>
  <c r="AQ471" i="40" s="1"/>
  <c r="AR471" i="40" s="1"/>
  <c r="AS471" i="40" s="1"/>
  <c r="AT471" i="40" s="1"/>
  <c r="AU471" i="40" s="1"/>
  <c r="AV471" i="40" s="1"/>
  <c r="AW471" i="40" s="1"/>
  <c r="AX471" i="40" s="1"/>
  <c r="AY471" i="40" s="1"/>
  <c r="AZ471" i="40" s="1"/>
  <c r="BA471" i="40" s="1"/>
  <c r="BB471" i="40" s="1"/>
  <c r="BC471" i="40" s="1"/>
  <c r="BD471" i="40" s="1"/>
  <c r="BE471" i="40" s="1"/>
  <c r="BF471" i="40" s="1"/>
  <c r="BG471" i="40" s="1"/>
  <c r="BH471" i="40" s="1"/>
  <c r="BI471" i="40" s="1"/>
  <c r="BJ471" i="40" s="1"/>
  <c r="BK471" i="40" s="1"/>
  <c r="BL471" i="40" s="1"/>
  <c r="BM471" i="40" s="1"/>
  <c r="BN471" i="40" s="1"/>
  <c r="BO471" i="40" s="1"/>
  <c r="BP471" i="40" s="1"/>
  <c r="BQ471" i="40" s="1"/>
  <c r="BR471" i="40" s="1"/>
  <c r="BS471" i="40" s="1"/>
  <c r="BT471" i="40" s="1"/>
  <c r="BU471" i="40" s="1"/>
  <c r="BV471" i="40" s="1"/>
  <c r="BW471" i="40" s="1"/>
  <c r="BX471" i="40" s="1"/>
  <c r="BY471" i="40" s="1"/>
  <c r="BZ471" i="40" s="1"/>
  <c r="CA471" i="40" s="1"/>
  <c r="AN475" i="40"/>
  <c r="AO475" i="40" s="1"/>
  <c r="AP475" i="40" s="1"/>
  <c r="AQ475" i="40" s="1"/>
  <c r="AR475" i="40" s="1"/>
  <c r="AS475" i="40" s="1"/>
  <c r="AT475" i="40" s="1"/>
  <c r="AU475" i="40" s="1"/>
  <c r="AV475" i="40" s="1"/>
  <c r="AW475" i="40" s="1"/>
  <c r="AX475" i="40" s="1"/>
  <c r="AY475" i="40" s="1"/>
  <c r="AZ475" i="40" s="1"/>
  <c r="BA475" i="40" s="1"/>
  <c r="BB475" i="40" s="1"/>
  <c r="BC475" i="40" s="1"/>
  <c r="BD475" i="40" s="1"/>
  <c r="BE475" i="40" s="1"/>
  <c r="BF475" i="40" s="1"/>
  <c r="BG475" i="40" s="1"/>
  <c r="BH475" i="40" s="1"/>
  <c r="BI475" i="40" s="1"/>
  <c r="BJ475" i="40" s="1"/>
  <c r="BK475" i="40" s="1"/>
  <c r="BL475" i="40" s="1"/>
  <c r="BM475" i="40" s="1"/>
  <c r="BN475" i="40" s="1"/>
  <c r="BO475" i="40" s="1"/>
  <c r="BP475" i="40" s="1"/>
  <c r="BQ475" i="40" s="1"/>
  <c r="BR475" i="40" s="1"/>
  <c r="BS475" i="40" s="1"/>
  <c r="BT475" i="40" s="1"/>
  <c r="BU475" i="40" s="1"/>
  <c r="BV475" i="40" s="1"/>
  <c r="BW475" i="40" s="1"/>
  <c r="BX475" i="40" s="1"/>
  <c r="BY475" i="40" s="1"/>
  <c r="BZ475" i="40" s="1"/>
  <c r="CA475" i="40" s="1"/>
  <c r="AR479" i="40"/>
  <c r="AS479" i="40" s="1"/>
  <c r="AT479" i="40" s="1"/>
  <c r="AU479" i="40" s="1"/>
  <c r="AV479" i="40" s="1"/>
  <c r="AW479" i="40" s="1"/>
  <c r="AX479" i="40" s="1"/>
  <c r="AY479" i="40" s="1"/>
  <c r="AZ479" i="40" s="1"/>
  <c r="BA479" i="40" s="1"/>
  <c r="BB479" i="40" s="1"/>
  <c r="BC479" i="40" s="1"/>
  <c r="BD479" i="40" s="1"/>
  <c r="BE479" i="40" s="1"/>
  <c r="BF479" i="40" s="1"/>
  <c r="BG479" i="40" s="1"/>
  <c r="BH479" i="40" s="1"/>
  <c r="BI479" i="40" s="1"/>
  <c r="BJ479" i="40" s="1"/>
  <c r="BK479" i="40" s="1"/>
  <c r="BL479" i="40" s="1"/>
  <c r="BM479" i="40" s="1"/>
  <c r="BN479" i="40" s="1"/>
  <c r="BO479" i="40" s="1"/>
  <c r="BP479" i="40" s="1"/>
  <c r="BQ479" i="40" s="1"/>
  <c r="BR479" i="40" s="1"/>
  <c r="BS479" i="40" s="1"/>
  <c r="BT479" i="40" s="1"/>
  <c r="BU479" i="40" s="1"/>
  <c r="BV479" i="40" s="1"/>
  <c r="BW479" i="40" s="1"/>
  <c r="BX479" i="40" s="1"/>
  <c r="BY479" i="40" s="1"/>
  <c r="BZ479" i="40" s="1"/>
  <c r="CA479" i="40" s="1"/>
  <c r="AV483" i="40"/>
  <c r="AW483" i="40" s="1"/>
  <c r="AX483" i="40" s="1"/>
  <c r="AY483" i="40" s="1"/>
  <c r="AZ483" i="40" s="1"/>
  <c r="BA483" i="40" s="1"/>
  <c r="BB483" i="40" s="1"/>
  <c r="BC483" i="40" s="1"/>
  <c r="BD483" i="40" s="1"/>
  <c r="BE483" i="40" s="1"/>
  <c r="BF483" i="40" s="1"/>
  <c r="BG483" i="40" s="1"/>
  <c r="BH483" i="40" s="1"/>
  <c r="BI483" i="40" s="1"/>
  <c r="BJ483" i="40" s="1"/>
  <c r="BK483" i="40" s="1"/>
  <c r="BL483" i="40" s="1"/>
  <c r="BM483" i="40" s="1"/>
  <c r="BN483" i="40" s="1"/>
  <c r="BO483" i="40" s="1"/>
  <c r="BP483" i="40" s="1"/>
  <c r="BQ483" i="40" s="1"/>
  <c r="BR483" i="40" s="1"/>
  <c r="BS483" i="40" s="1"/>
  <c r="BT483" i="40" s="1"/>
  <c r="BU483" i="40" s="1"/>
  <c r="BV483" i="40" s="1"/>
  <c r="BW483" i="40" s="1"/>
  <c r="BX483" i="40" s="1"/>
  <c r="BY483" i="40" s="1"/>
  <c r="BZ483" i="40" s="1"/>
  <c r="CA483" i="40" s="1"/>
  <c r="AZ487" i="40"/>
  <c r="BA487" i="40" s="1"/>
  <c r="BB487" i="40" s="1"/>
  <c r="BC487" i="40" s="1"/>
  <c r="BD487" i="40" s="1"/>
  <c r="BE487" i="40" s="1"/>
  <c r="BF487" i="40" s="1"/>
  <c r="BG487" i="40" s="1"/>
  <c r="BH487" i="40" s="1"/>
  <c r="BI487" i="40" s="1"/>
  <c r="BJ487" i="40" s="1"/>
  <c r="BK487" i="40" s="1"/>
  <c r="BL487" i="40" s="1"/>
  <c r="BM487" i="40" s="1"/>
  <c r="BN487" i="40" s="1"/>
  <c r="BO487" i="40" s="1"/>
  <c r="BP487" i="40" s="1"/>
  <c r="BQ487" i="40" s="1"/>
  <c r="BR487" i="40" s="1"/>
  <c r="BS487" i="40" s="1"/>
  <c r="BT487" i="40" s="1"/>
  <c r="BU487" i="40" s="1"/>
  <c r="BV487" i="40" s="1"/>
  <c r="BW487" i="40" s="1"/>
  <c r="BX487" i="40" s="1"/>
  <c r="BY487" i="40" s="1"/>
  <c r="BZ487" i="40" s="1"/>
  <c r="CA487" i="40" s="1"/>
  <c r="CB487" i="40" s="1"/>
  <c r="BD491" i="40"/>
  <c r="BE491" i="40" s="1"/>
  <c r="BF491" i="40" s="1"/>
  <c r="BG491" i="40" s="1"/>
  <c r="BH491" i="40" s="1"/>
  <c r="BI491" i="40" s="1"/>
  <c r="BJ491" i="40" s="1"/>
  <c r="BK491" i="40" s="1"/>
  <c r="BL491" i="40" s="1"/>
  <c r="BM491" i="40" s="1"/>
  <c r="BN491" i="40" s="1"/>
  <c r="BO491" i="40" s="1"/>
  <c r="BP491" i="40" s="1"/>
  <c r="BQ491" i="40" s="1"/>
  <c r="BR491" i="40" s="1"/>
  <c r="BS491" i="40" s="1"/>
  <c r="BT491" i="40" s="1"/>
  <c r="BU491" i="40" s="1"/>
  <c r="BV491" i="40" s="1"/>
  <c r="BW491" i="40" s="1"/>
  <c r="BX491" i="40" s="1"/>
  <c r="BY491" i="40" s="1"/>
  <c r="BZ491" i="40" s="1"/>
  <c r="CA491" i="40" s="1"/>
  <c r="BH495" i="40"/>
  <c r="BI495" i="40" s="1"/>
  <c r="BJ495" i="40" s="1"/>
  <c r="BK495" i="40" s="1"/>
  <c r="BL495" i="40" s="1"/>
  <c r="BM495" i="40" s="1"/>
  <c r="BN495" i="40" s="1"/>
  <c r="BO495" i="40" s="1"/>
  <c r="BP495" i="40" s="1"/>
  <c r="BQ495" i="40" s="1"/>
  <c r="BR495" i="40" s="1"/>
  <c r="BS495" i="40" s="1"/>
  <c r="BT495" i="40" s="1"/>
  <c r="BU495" i="40" s="1"/>
  <c r="BV495" i="40" s="1"/>
  <c r="BW495" i="40" s="1"/>
  <c r="BX495" i="40" s="1"/>
  <c r="BY495" i="40" s="1"/>
  <c r="BZ495" i="40" s="1"/>
  <c r="CA495" i="40" s="1"/>
  <c r="BL499" i="40"/>
  <c r="BM499" i="40" s="1"/>
  <c r="BN499" i="40" s="1"/>
  <c r="BO499" i="40" s="1"/>
  <c r="BP499" i="40" s="1"/>
  <c r="BQ499" i="40" s="1"/>
  <c r="BR499" i="40" s="1"/>
  <c r="BS499" i="40" s="1"/>
  <c r="BT499" i="40" s="1"/>
  <c r="BU499" i="40" s="1"/>
  <c r="BV499" i="40" s="1"/>
  <c r="BW499" i="40" s="1"/>
  <c r="BX499" i="40" s="1"/>
  <c r="BY499" i="40" s="1"/>
  <c r="BZ499" i="40" s="1"/>
  <c r="CA499" i="40" s="1"/>
  <c r="BP503" i="40"/>
  <c r="BQ503" i="40" s="1"/>
  <c r="BR503" i="40" s="1"/>
  <c r="BS503" i="40" s="1"/>
  <c r="BT503" i="40" s="1"/>
  <c r="BU503" i="40" s="1"/>
  <c r="BV503" i="40" s="1"/>
  <c r="BW503" i="40" s="1"/>
  <c r="BX503" i="40" s="1"/>
  <c r="BY503" i="40" s="1"/>
  <c r="BZ503" i="40" s="1"/>
  <c r="CA503" i="40" s="1"/>
  <c r="CB503" i="40" s="1"/>
  <c r="J445" i="40"/>
  <c r="K445" i="40" s="1"/>
  <c r="L445" i="40" s="1"/>
  <c r="M445" i="40" s="1"/>
  <c r="N445" i="40" s="1"/>
  <c r="O445" i="40" s="1"/>
  <c r="P445" i="40" s="1"/>
  <c r="Q445" i="40" s="1"/>
  <c r="R445" i="40" s="1"/>
  <c r="S445" i="40" s="1"/>
  <c r="T445" i="40" s="1"/>
  <c r="U445" i="40" s="1"/>
  <c r="V445" i="40" s="1"/>
  <c r="W445" i="40" s="1"/>
  <c r="X445" i="40" s="1"/>
  <c r="Y445" i="40" s="1"/>
  <c r="Z445" i="40" s="1"/>
  <c r="AA445" i="40" s="1"/>
  <c r="AB445" i="40" s="1"/>
  <c r="AC445" i="40" s="1"/>
  <c r="AD445" i="40" s="1"/>
  <c r="AE445" i="40" s="1"/>
  <c r="AF445" i="40" s="1"/>
  <c r="AG445" i="40" s="1"/>
  <c r="AH445" i="40" s="1"/>
  <c r="AI445" i="40" s="1"/>
  <c r="AJ445" i="40" s="1"/>
  <c r="AK445" i="40" s="1"/>
  <c r="AL445" i="40" s="1"/>
  <c r="AM445" i="40" s="1"/>
  <c r="AN445" i="40" s="1"/>
  <c r="AO445" i="40" s="1"/>
  <c r="AP445" i="40" s="1"/>
  <c r="AQ445" i="40" s="1"/>
  <c r="AR445" i="40" s="1"/>
  <c r="AS445" i="40" s="1"/>
  <c r="AT445" i="40" s="1"/>
  <c r="AU445" i="40" s="1"/>
  <c r="AV445" i="40" s="1"/>
  <c r="AW445" i="40" s="1"/>
  <c r="AX445" i="40" s="1"/>
  <c r="AY445" i="40" s="1"/>
  <c r="AZ445" i="40" s="1"/>
  <c r="BA445" i="40" s="1"/>
  <c r="BB445" i="40" s="1"/>
  <c r="BC445" i="40" s="1"/>
  <c r="BD445" i="40" s="1"/>
  <c r="BE445" i="40" s="1"/>
  <c r="BF445" i="40" s="1"/>
  <c r="BG445" i="40" s="1"/>
  <c r="BH445" i="40" s="1"/>
  <c r="BI445" i="40" s="1"/>
  <c r="BJ445" i="40" s="1"/>
  <c r="BK445" i="40" s="1"/>
  <c r="BL445" i="40" s="1"/>
  <c r="BM445" i="40" s="1"/>
  <c r="BN445" i="40" s="1"/>
  <c r="BO445" i="40" s="1"/>
  <c r="BP445" i="40" s="1"/>
  <c r="BQ445" i="40" s="1"/>
  <c r="BR445" i="40" s="1"/>
  <c r="BS445" i="40" s="1"/>
  <c r="BT445" i="40" s="1"/>
  <c r="BU445" i="40" s="1"/>
  <c r="BV445" i="40" s="1"/>
  <c r="BW445" i="40" s="1"/>
  <c r="BX445" i="40" s="1"/>
  <c r="BY445" i="40" s="1"/>
  <c r="BZ445" i="40" s="1"/>
  <c r="CA445" i="40" s="1"/>
  <c r="CB445" i="40" s="1"/>
  <c r="Z461" i="40"/>
  <c r="AA461" i="40" s="1"/>
  <c r="AB461" i="40" s="1"/>
  <c r="AC461" i="40" s="1"/>
  <c r="AD461" i="40" s="1"/>
  <c r="AE461" i="40" s="1"/>
  <c r="AF461" i="40" s="1"/>
  <c r="AG461" i="40" s="1"/>
  <c r="AH461" i="40" s="1"/>
  <c r="AI461" i="40" s="1"/>
  <c r="AJ461" i="40" s="1"/>
  <c r="AK461" i="40" s="1"/>
  <c r="AL461" i="40" s="1"/>
  <c r="AM461" i="40" s="1"/>
  <c r="AN461" i="40" s="1"/>
  <c r="AO461" i="40" s="1"/>
  <c r="AP461" i="40" s="1"/>
  <c r="AQ461" i="40" s="1"/>
  <c r="AR461" i="40" s="1"/>
  <c r="AS461" i="40" s="1"/>
  <c r="AT461" i="40" s="1"/>
  <c r="AU461" i="40" s="1"/>
  <c r="AV461" i="40" s="1"/>
  <c r="AW461" i="40" s="1"/>
  <c r="AX461" i="40" s="1"/>
  <c r="AY461" i="40" s="1"/>
  <c r="AZ461" i="40" s="1"/>
  <c r="BA461" i="40" s="1"/>
  <c r="BB461" i="40" s="1"/>
  <c r="BC461" i="40" s="1"/>
  <c r="BD461" i="40" s="1"/>
  <c r="BE461" i="40" s="1"/>
  <c r="BF461" i="40" s="1"/>
  <c r="BG461" i="40" s="1"/>
  <c r="BH461" i="40" s="1"/>
  <c r="BI461" i="40" s="1"/>
  <c r="BJ461" i="40" s="1"/>
  <c r="BK461" i="40" s="1"/>
  <c r="BL461" i="40" s="1"/>
  <c r="BM461" i="40" s="1"/>
  <c r="BN461" i="40" s="1"/>
  <c r="BO461" i="40" s="1"/>
  <c r="BP461" i="40" s="1"/>
  <c r="BQ461" i="40" s="1"/>
  <c r="BR461" i="40" s="1"/>
  <c r="BS461" i="40" s="1"/>
  <c r="BT461" i="40" s="1"/>
  <c r="BU461" i="40" s="1"/>
  <c r="BV461" i="40" s="1"/>
  <c r="BW461" i="40" s="1"/>
  <c r="BX461" i="40" s="1"/>
  <c r="BY461" i="40" s="1"/>
  <c r="BZ461" i="40" s="1"/>
  <c r="CA461" i="40" s="1"/>
  <c r="AP477" i="40"/>
  <c r="AQ477" i="40" s="1"/>
  <c r="AR477" i="40" s="1"/>
  <c r="AS477" i="40" s="1"/>
  <c r="AT477" i="40" s="1"/>
  <c r="AU477" i="40" s="1"/>
  <c r="AV477" i="40" s="1"/>
  <c r="AW477" i="40" s="1"/>
  <c r="AX477" i="40" s="1"/>
  <c r="AY477" i="40" s="1"/>
  <c r="AZ477" i="40" s="1"/>
  <c r="BA477" i="40" s="1"/>
  <c r="BB477" i="40" s="1"/>
  <c r="BC477" i="40" s="1"/>
  <c r="BD477" i="40" s="1"/>
  <c r="BE477" i="40" s="1"/>
  <c r="BF477" i="40" s="1"/>
  <c r="BG477" i="40" s="1"/>
  <c r="BH477" i="40" s="1"/>
  <c r="BI477" i="40" s="1"/>
  <c r="BJ477" i="40" s="1"/>
  <c r="BK477" i="40" s="1"/>
  <c r="BL477" i="40" s="1"/>
  <c r="BM477" i="40" s="1"/>
  <c r="BN477" i="40" s="1"/>
  <c r="BO477" i="40" s="1"/>
  <c r="BP477" i="40" s="1"/>
  <c r="BQ477" i="40" s="1"/>
  <c r="BR477" i="40" s="1"/>
  <c r="BS477" i="40" s="1"/>
  <c r="BT477" i="40" s="1"/>
  <c r="BU477" i="40" s="1"/>
  <c r="BV477" i="40" s="1"/>
  <c r="BW477" i="40" s="1"/>
  <c r="BX477" i="40" s="1"/>
  <c r="BY477" i="40" s="1"/>
  <c r="BZ477" i="40" s="1"/>
  <c r="CA477" i="40" s="1"/>
  <c r="CB477" i="40" s="1"/>
  <c r="D777" i="40" s="1"/>
  <c r="BF493" i="40"/>
  <c r="BG493" i="40" s="1"/>
  <c r="BH493" i="40" s="1"/>
  <c r="BI493" i="40" s="1"/>
  <c r="BJ493" i="40" s="1"/>
  <c r="BK493" i="40" s="1"/>
  <c r="BL493" i="40" s="1"/>
  <c r="BM493" i="40" s="1"/>
  <c r="BN493" i="40" s="1"/>
  <c r="BO493" i="40" s="1"/>
  <c r="BP493" i="40" s="1"/>
  <c r="BQ493" i="40" s="1"/>
  <c r="BR493" i="40" s="1"/>
  <c r="BS493" i="40" s="1"/>
  <c r="BT493" i="40" s="1"/>
  <c r="BU493" i="40" s="1"/>
  <c r="BV493" i="40" s="1"/>
  <c r="BW493" i="40" s="1"/>
  <c r="BX493" i="40" s="1"/>
  <c r="BY493" i="40" s="1"/>
  <c r="BZ493" i="40" s="1"/>
  <c r="CA493" i="40" s="1"/>
  <c r="N449" i="40"/>
  <c r="O449" i="40" s="1"/>
  <c r="P449" i="40" s="1"/>
  <c r="Q449" i="40" s="1"/>
  <c r="R449" i="40" s="1"/>
  <c r="S449" i="40" s="1"/>
  <c r="T449" i="40" s="1"/>
  <c r="U449" i="40" s="1"/>
  <c r="V449" i="40" s="1"/>
  <c r="W449" i="40" s="1"/>
  <c r="X449" i="40" s="1"/>
  <c r="Y449" i="40" s="1"/>
  <c r="Z449" i="40" s="1"/>
  <c r="AA449" i="40" s="1"/>
  <c r="AB449" i="40" s="1"/>
  <c r="AC449" i="40" s="1"/>
  <c r="AD449" i="40" s="1"/>
  <c r="AE449" i="40" s="1"/>
  <c r="AF449" i="40" s="1"/>
  <c r="AG449" i="40" s="1"/>
  <c r="AH449" i="40" s="1"/>
  <c r="AI449" i="40" s="1"/>
  <c r="AJ449" i="40" s="1"/>
  <c r="AK449" i="40" s="1"/>
  <c r="AL449" i="40" s="1"/>
  <c r="AM449" i="40" s="1"/>
  <c r="AN449" i="40" s="1"/>
  <c r="AO449" i="40" s="1"/>
  <c r="AP449" i="40" s="1"/>
  <c r="AQ449" i="40" s="1"/>
  <c r="AR449" i="40" s="1"/>
  <c r="AS449" i="40" s="1"/>
  <c r="AT449" i="40" s="1"/>
  <c r="AU449" i="40" s="1"/>
  <c r="AV449" i="40" s="1"/>
  <c r="AW449" i="40" s="1"/>
  <c r="AX449" i="40" s="1"/>
  <c r="AY449" i="40" s="1"/>
  <c r="AZ449" i="40" s="1"/>
  <c r="BA449" i="40" s="1"/>
  <c r="BB449" i="40" s="1"/>
  <c r="BC449" i="40" s="1"/>
  <c r="BD449" i="40" s="1"/>
  <c r="BE449" i="40" s="1"/>
  <c r="BF449" i="40" s="1"/>
  <c r="BG449" i="40" s="1"/>
  <c r="BH449" i="40" s="1"/>
  <c r="BI449" i="40" s="1"/>
  <c r="BJ449" i="40" s="1"/>
  <c r="BK449" i="40" s="1"/>
  <c r="BL449" i="40" s="1"/>
  <c r="BM449" i="40" s="1"/>
  <c r="BN449" i="40" s="1"/>
  <c r="BO449" i="40" s="1"/>
  <c r="BP449" i="40" s="1"/>
  <c r="BQ449" i="40" s="1"/>
  <c r="BR449" i="40" s="1"/>
  <c r="BS449" i="40" s="1"/>
  <c r="BT449" i="40" s="1"/>
  <c r="BU449" i="40" s="1"/>
  <c r="BV449" i="40" s="1"/>
  <c r="BW449" i="40" s="1"/>
  <c r="BX449" i="40" s="1"/>
  <c r="BY449" i="40" s="1"/>
  <c r="BZ449" i="40" s="1"/>
  <c r="CA449" i="40" s="1"/>
  <c r="CB449" i="40" s="1"/>
  <c r="D647" i="40" s="1"/>
  <c r="AD465" i="40"/>
  <c r="AE465" i="40" s="1"/>
  <c r="AF465" i="40" s="1"/>
  <c r="AG465" i="40" s="1"/>
  <c r="AH465" i="40" s="1"/>
  <c r="AI465" i="40" s="1"/>
  <c r="AJ465" i="40" s="1"/>
  <c r="AK465" i="40" s="1"/>
  <c r="AL465" i="40" s="1"/>
  <c r="AM465" i="40" s="1"/>
  <c r="AN465" i="40" s="1"/>
  <c r="AO465" i="40" s="1"/>
  <c r="AP465" i="40" s="1"/>
  <c r="AQ465" i="40" s="1"/>
  <c r="AR465" i="40" s="1"/>
  <c r="AS465" i="40" s="1"/>
  <c r="AT465" i="40" s="1"/>
  <c r="AU465" i="40" s="1"/>
  <c r="AV465" i="40" s="1"/>
  <c r="AW465" i="40" s="1"/>
  <c r="AX465" i="40" s="1"/>
  <c r="AY465" i="40" s="1"/>
  <c r="AZ465" i="40" s="1"/>
  <c r="BA465" i="40" s="1"/>
  <c r="BB465" i="40" s="1"/>
  <c r="BC465" i="40" s="1"/>
  <c r="BD465" i="40" s="1"/>
  <c r="BE465" i="40" s="1"/>
  <c r="BF465" i="40" s="1"/>
  <c r="BG465" i="40" s="1"/>
  <c r="BH465" i="40" s="1"/>
  <c r="BI465" i="40" s="1"/>
  <c r="BJ465" i="40" s="1"/>
  <c r="BK465" i="40" s="1"/>
  <c r="BL465" i="40" s="1"/>
  <c r="BM465" i="40" s="1"/>
  <c r="BN465" i="40" s="1"/>
  <c r="BO465" i="40" s="1"/>
  <c r="BP465" i="40" s="1"/>
  <c r="BQ465" i="40" s="1"/>
  <c r="BR465" i="40" s="1"/>
  <c r="BS465" i="40" s="1"/>
  <c r="BT465" i="40" s="1"/>
  <c r="BU465" i="40" s="1"/>
  <c r="BV465" i="40" s="1"/>
  <c r="BW465" i="40" s="1"/>
  <c r="BX465" i="40" s="1"/>
  <c r="BY465" i="40" s="1"/>
  <c r="BZ465" i="40" s="1"/>
  <c r="CA465" i="40" s="1"/>
  <c r="AT481" i="40"/>
  <c r="AU481" i="40" s="1"/>
  <c r="AV481" i="40" s="1"/>
  <c r="AW481" i="40" s="1"/>
  <c r="AX481" i="40" s="1"/>
  <c r="AY481" i="40" s="1"/>
  <c r="AZ481" i="40" s="1"/>
  <c r="BA481" i="40" s="1"/>
  <c r="BB481" i="40" s="1"/>
  <c r="BC481" i="40" s="1"/>
  <c r="BD481" i="40" s="1"/>
  <c r="BE481" i="40" s="1"/>
  <c r="BF481" i="40" s="1"/>
  <c r="BG481" i="40" s="1"/>
  <c r="BH481" i="40" s="1"/>
  <c r="BI481" i="40" s="1"/>
  <c r="BJ481" i="40" s="1"/>
  <c r="BK481" i="40" s="1"/>
  <c r="BL481" i="40" s="1"/>
  <c r="BM481" i="40" s="1"/>
  <c r="BN481" i="40" s="1"/>
  <c r="BO481" i="40" s="1"/>
  <c r="BP481" i="40" s="1"/>
  <c r="BQ481" i="40" s="1"/>
  <c r="BR481" i="40" s="1"/>
  <c r="BS481" i="40" s="1"/>
  <c r="BT481" i="40" s="1"/>
  <c r="BU481" i="40" s="1"/>
  <c r="BV481" i="40" s="1"/>
  <c r="BW481" i="40" s="1"/>
  <c r="BX481" i="40" s="1"/>
  <c r="BY481" i="40" s="1"/>
  <c r="BZ481" i="40" s="1"/>
  <c r="CA481" i="40" s="1"/>
  <c r="R453" i="40"/>
  <c r="S453" i="40" s="1"/>
  <c r="T453" i="40" s="1"/>
  <c r="U453" i="40" s="1"/>
  <c r="V453" i="40" s="1"/>
  <c r="W453" i="40" s="1"/>
  <c r="X453" i="40" s="1"/>
  <c r="Y453" i="40" s="1"/>
  <c r="Z453" i="40" s="1"/>
  <c r="AA453" i="40" s="1"/>
  <c r="AB453" i="40" s="1"/>
  <c r="AC453" i="40" s="1"/>
  <c r="AD453" i="40" s="1"/>
  <c r="AE453" i="40" s="1"/>
  <c r="AF453" i="40" s="1"/>
  <c r="AG453" i="40" s="1"/>
  <c r="AH453" i="40" s="1"/>
  <c r="AI453" i="40" s="1"/>
  <c r="AJ453" i="40" s="1"/>
  <c r="AK453" i="40" s="1"/>
  <c r="AL453" i="40" s="1"/>
  <c r="AM453" i="40" s="1"/>
  <c r="AN453" i="40" s="1"/>
  <c r="AO453" i="40" s="1"/>
  <c r="AP453" i="40" s="1"/>
  <c r="AQ453" i="40" s="1"/>
  <c r="AR453" i="40" s="1"/>
  <c r="AS453" i="40" s="1"/>
  <c r="AT453" i="40" s="1"/>
  <c r="AU453" i="40" s="1"/>
  <c r="AV453" i="40" s="1"/>
  <c r="AW453" i="40" s="1"/>
  <c r="AX453" i="40" s="1"/>
  <c r="AY453" i="40" s="1"/>
  <c r="AZ453" i="40" s="1"/>
  <c r="BA453" i="40" s="1"/>
  <c r="BB453" i="40" s="1"/>
  <c r="BC453" i="40" s="1"/>
  <c r="BD453" i="40" s="1"/>
  <c r="BE453" i="40" s="1"/>
  <c r="BF453" i="40" s="1"/>
  <c r="BG453" i="40" s="1"/>
  <c r="BH453" i="40" s="1"/>
  <c r="BI453" i="40" s="1"/>
  <c r="BJ453" i="40" s="1"/>
  <c r="BK453" i="40" s="1"/>
  <c r="BL453" i="40" s="1"/>
  <c r="BM453" i="40" s="1"/>
  <c r="BN453" i="40" s="1"/>
  <c r="BO453" i="40" s="1"/>
  <c r="BP453" i="40" s="1"/>
  <c r="BQ453" i="40" s="1"/>
  <c r="BR453" i="40" s="1"/>
  <c r="BS453" i="40" s="1"/>
  <c r="BT453" i="40" s="1"/>
  <c r="BU453" i="40" s="1"/>
  <c r="BV453" i="40" s="1"/>
  <c r="BW453" i="40" s="1"/>
  <c r="BX453" i="40" s="1"/>
  <c r="BY453" i="40" s="1"/>
  <c r="BZ453" i="40" s="1"/>
  <c r="CA453" i="40" s="1"/>
  <c r="AH469" i="40"/>
  <c r="AI469" i="40" s="1"/>
  <c r="AJ469" i="40" s="1"/>
  <c r="AK469" i="40" s="1"/>
  <c r="AL469" i="40" s="1"/>
  <c r="AM469" i="40" s="1"/>
  <c r="AN469" i="40" s="1"/>
  <c r="AO469" i="40" s="1"/>
  <c r="AP469" i="40" s="1"/>
  <c r="AQ469" i="40" s="1"/>
  <c r="AR469" i="40" s="1"/>
  <c r="AS469" i="40" s="1"/>
  <c r="AT469" i="40" s="1"/>
  <c r="AU469" i="40" s="1"/>
  <c r="AV469" i="40" s="1"/>
  <c r="AW469" i="40" s="1"/>
  <c r="AX469" i="40" s="1"/>
  <c r="AY469" i="40" s="1"/>
  <c r="AZ469" i="40" s="1"/>
  <c r="BA469" i="40" s="1"/>
  <c r="BB469" i="40" s="1"/>
  <c r="BC469" i="40" s="1"/>
  <c r="BD469" i="40" s="1"/>
  <c r="BE469" i="40" s="1"/>
  <c r="BF469" i="40" s="1"/>
  <c r="BG469" i="40" s="1"/>
  <c r="BH469" i="40" s="1"/>
  <c r="BI469" i="40" s="1"/>
  <c r="BJ469" i="40" s="1"/>
  <c r="BK469" i="40" s="1"/>
  <c r="BL469" i="40" s="1"/>
  <c r="BM469" i="40" s="1"/>
  <c r="BN469" i="40" s="1"/>
  <c r="BO469" i="40" s="1"/>
  <c r="BP469" i="40" s="1"/>
  <c r="BQ469" i="40" s="1"/>
  <c r="BR469" i="40" s="1"/>
  <c r="BS469" i="40" s="1"/>
  <c r="BT469" i="40" s="1"/>
  <c r="BU469" i="40" s="1"/>
  <c r="BV469" i="40" s="1"/>
  <c r="BW469" i="40" s="1"/>
  <c r="BX469" i="40" s="1"/>
  <c r="BY469" i="40" s="1"/>
  <c r="BZ469" i="40" s="1"/>
  <c r="CA469" i="40" s="1"/>
  <c r="AX485" i="40"/>
  <c r="AY485" i="40" s="1"/>
  <c r="AZ485" i="40" s="1"/>
  <c r="BA485" i="40" s="1"/>
  <c r="BB485" i="40" s="1"/>
  <c r="BC485" i="40" s="1"/>
  <c r="BD485" i="40" s="1"/>
  <c r="BE485" i="40" s="1"/>
  <c r="BF485" i="40" s="1"/>
  <c r="BG485" i="40" s="1"/>
  <c r="BH485" i="40" s="1"/>
  <c r="BI485" i="40" s="1"/>
  <c r="BJ485" i="40" s="1"/>
  <c r="BK485" i="40" s="1"/>
  <c r="BL485" i="40" s="1"/>
  <c r="BM485" i="40" s="1"/>
  <c r="BN485" i="40" s="1"/>
  <c r="BO485" i="40" s="1"/>
  <c r="BP485" i="40" s="1"/>
  <c r="BQ485" i="40" s="1"/>
  <c r="BR485" i="40" s="1"/>
  <c r="BS485" i="40" s="1"/>
  <c r="BT485" i="40" s="1"/>
  <c r="BU485" i="40" s="1"/>
  <c r="BV485" i="40" s="1"/>
  <c r="BW485" i="40" s="1"/>
  <c r="BX485" i="40" s="1"/>
  <c r="BY485" i="40" s="1"/>
  <c r="BZ485" i="40" s="1"/>
  <c r="CA485" i="40" s="1"/>
  <c r="G442" i="40"/>
  <c r="H442" i="40" s="1"/>
  <c r="I442" i="40" s="1"/>
  <c r="J442" i="40" s="1"/>
  <c r="K442" i="40" s="1"/>
  <c r="L442" i="40" s="1"/>
  <c r="M442" i="40" s="1"/>
  <c r="N442" i="40" s="1"/>
  <c r="O442" i="40" s="1"/>
  <c r="P442" i="40" s="1"/>
  <c r="Q442" i="40" s="1"/>
  <c r="R442" i="40" s="1"/>
  <c r="S442" i="40" s="1"/>
  <c r="T442" i="40" s="1"/>
  <c r="U442" i="40" s="1"/>
  <c r="V442" i="40" s="1"/>
  <c r="W442" i="40" s="1"/>
  <c r="X442" i="40" s="1"/>
  <c r="Y442" i="40" s="1"/>
  <c r="Z442" i="40" s="1"/>
  <c r="AA442" i="40" s="1"/>
  <c r="AB442" i="40" s="1"/>
  <c r="AC442" i="40" s="1"/>
  <c r="AD442" i="40" s="1"/>
  <c r="AE442" i="40" s="1"/>
  <c r="AF442" i="40" s="1"/>
  <c r="AG442" i="40" s="1"/>
  <c r="AH442" i="40" s="1"/>
  <c r="AI442" i="40" s="1"/>
  <c r="AJ442" i="40" s="1"/>
  <c r="AK442" i="40" s="1"/>
  <c r="AL442" i="40" s="1"/>
  <c r="AM442" i="40" s="1"/>
  <c r="AN442" i="40" s="1"/>
  <c r="AO442" i="40" s="1"/>
  <c r="AP442" i="40" s="1"/>
  <c r="AQ442" i="40" s="1"/>
  <c r="AR442" i="40" s="1"/>
  <c r="AS442" i="40" s="1"/>
  <c r="AT442" i="40" s="1"/>
  <c r="AU442" i="40" s="1"/>
  <c r="AV442" i="40" s="1"/>
  <c r="AW442" i="40" s="1"/>
  <c r="AX442" i="40" s="1"/>
  <c r="AY442" i="40" s="1"/>
  <c r="AZ442" i="40" s="1"/>
  <c r="BA442" i="40" s="1"/>
  <c r="BB442" i="40" s="1"/>
  <c r="BC442" i="40" s="1"/>
  <c r="BD442" i="40" s="1"/>
  <c r="BE442" i="40" s="1"/>
  <c r="BF442" i="40" s="1"/>
  <c r="BG442" i="40" s="1"/>
  <c r="BH442" i="40" s="1"/>
  <c r="BI442" i="40" s="1"/>
  <c r="BJ442" i="40" s="1"/>
  <c r="BK442" i="40" s="1"/>
  <c r="BL442" i="40" s="1"/>
  <c r="BM442" i="40" s="1"/>
  <c r="BN442" i="40" s="1"/>
  <c r="BO442" i="40" s="1"/>
  <c r="BP442" i="40" s="1"/>
  <c r="BQ442" i="40" s="1"/>
  <c r="BR442" i="40" s="1"/>
  <c r="BS442" i="40" s="1"/>
  <c r="BT442" i="40" s="1"/>
  <c r="BU442" i="40" s="1"/>
  <c r="BV442" i="40" s="1"/>
  <c r="BW442" i="40" s="1"/>
  <c r="BX442" i="40" s="1"/>
  <c r="BY442" i="40" s="1"/>
  <c r="BZ442" i="40" s="1"/>
  <c r="CA442" i="40" s="1"/>
  <c r="CB442" i="40" s="1"/>
  <c r="K446" i="40"/>
  <c r="L446" i="40" s="1"/>
  <c r="M446" i="40" s="1"/>
  <c r="N446" i="40" s="1"/>
  <c r="O446" i="40" s="1"/>
  <c r="P446" i="40" s="1"/>
  <c r="Q446" i="40" s="1"/>
  <c r="R446" i="40" s="1"/>
  <c r="S446" i="40" s="1"/>
  <c r="T446" i="40" s="1"/>
  <c r="U446" i="40" s="1"/>
  <c r="V446" i="40" s="1"/>
  <c r="W446" i="40" s="1"/>
  <c r="X446" i="40" s="1"/>
  <c r="Y446" i="40" s="1"/>
  <c r="Z446" i="40" s="1"/>
  <c r="AA446" i="40" s="1"/>
  <c r="AB446" i="40" s="1"/>
  <c r="AC446" i="40" s="1"/>
  <c r="AD446" i="40" s="1"/>
  <c r="AE446" i="40" s="1"/>
  <c r="AF446" i="40" s="1"/>
  <c r="AG446" i="40" s="1"/>
  <c r="AH446" i="40" s="1"/>
  <c r="AI446" i="40" s="1"/>
  <c r="AJ446" i="40" s="1"/>
  <c r="AK446" i="40" s="1"/>
  <c r="AL446" i="40" s="1"/>
  <c r="AM446" i="40" s="1"/>
  <c r="AN446" i="40" s="1"/>
  <c r="AO446" i="40" s="1"/>
  <c r="AP446" i="40" s="1"/>
  <c r="AQ446" i="40" s="1"/>
  <c r="AR446" i="40" s="1"/>
  <c r="AS446" i="40" s="1"/>
  <c r="AT446" i="40" s="1"/>
  <c r="AU446" i="40" s="1"/>
  <c r="AV446" i="40" s="1"/>
  <c r="AW446" i="40" s="1"/>
  <c r="AX446" i="40" s="1"/>
  <c r="AY446" i="40" s="1"/>
  <c r="AZ446" i="40" s="1"/>
  <c r="BA446" i="40" s="1"/>
  <c r="BB446" i="40" s="1"/>
  <c r="BC446" i="40" s="1"/>
  <c r="BD446" i="40" s="1"/>
  <c r="BE446" i="40" s="1"/>
  <c r="BF446" i="40" s="1"/>
  <c r="BG446" i="40" s="1"/>
  <c r="BH446" i="40" s="1"/>
  <c r="BI446" i="40" s="1"/>
  <c r="BJ446" i="40" s="1"/>
  <c r="BK446" i="40" s="1"/>
  <c r="BL446" i="40" s="1"/>
  <c r="BM446" i="40" s="1"/>
  <c r="BN446" i="40" s="1"/>
  <c r="BO446" i="40" s="1"/>
  <c r="BP446" i="40" s="1"/>
  <c r="BQ446" i="40" s="1"/>
  <c r="BR446" i="40" s="1"/>
  <c r="BS446" i="40" s="1"/>
  <c r="BT446" i="40" s="1"/>
  <c r="BU446" i="40" s="1"/>
  <c r="BV446" i="40" s="1"/>
  <c r="BW446" i="40" s="1"/>
  <c r="BX446" i="40" s="1"/>
  <c r="BY446" i="40" s="1"/>
  <c r="BZ446" i="40" s="1"/>
  <c r="CA446" i="40" s="1"/>
  <c r="CB446" i="40" s="1"/>
  <c r="D646" i="40" s="1"/>
  <c r="O450" i="40"/>
  <c r="P450" i="40" s="1"/>
  <c r="Q450" i="40" s="1"/>
  <c r="R450" i="40" s="1"/>
  <c r="S450" i="40" s="1"/>
  <c r="T450" i="40" s="1"/>
  <c r="U450" i="40" s="1"/>
  <c r="V450" i="40" s="1"/>
  <c r="W450" i="40" s="1"/>
  <c r="X450" i="40" s="1"/>
  <c r="Y450" i="40" s="1"/>
  <c r="Z450" i="40" s="1"/>
  <c r="AA450" i="40" s="1"/>
  <c r="AB450" i="40" s="1"/>
  <c r="AC450" i="40" s="1"/>
  <c r="AD450" i="40" s="1"/>
  <c r="AE450" i="40" s="1"/>
  <c r="AF450" i="40" s="1"/>
  <c r="AG450" i="40" s="1"/>
  <c r="AH450" i="40" s="1"/>
  <c r="AI450" i="40" s="1"/>
  <c r="AJ450" i="40" s="1"/>
  <c r="AK450" i="40" s="1"/>
  <c r="AL450" i="40" s="1"/>
  <c r="AM450" i="40" s="1"/>
  <c r="AN450" i="40" s="1"/>
  <c r="AO450" i="40" s="1"/>
  <c r="AP450" i="40" s="1"/>
  <c r="AQ450" i="40" s="1"/>
  <c r="AR450" i="40" s="1"/>
  <c r="AS450" i="40" s="1"/>
  <c r="AT450" i="40" s="1"/>
  <c r="AU450" i="40" s="1"/>
  <c r="AV450" i="40" s="1"/>
  <c r="AW450" i="40" s="1"/>
  <c r="AX450" i="40" s="1"/>
  <c r="AY450" i="40" s="1"/>
  <c r="AZ450" i="40" s="1"/>
  <c r="BA450" i="40" s="1"/>
  <c r="BB450" i="40" s="1"/>
  <c r="BC450" i="40" s="1"/>
  <c r="BD450" i="40" s="1"/>
  <c r="BE450" i="40" s="1"/>
  <c r="BF450" i="40" s="1"/>
  <c r="BG450" i="40" s="1"/>
  <c r="BH450" i="40" s="1"/>
  <c r="BI450" i="40" s="1"/>
  <c r="BJ450" i="40" s="1"/>
  <c r="BK450" i="40" s="1"/>
  <c r="BL450" i="40" s="1"/>
  <c r="BM450" i="40" s="1"/>
  <c r="BN450" i="40" s="1"/>
  <c r="BO450" i="40" s="1"/>
  <c r="BP450" i="40" s="1"/>
  <c r="BQ450" i="40" s="1"/>
  <c r="BR450" i="40" s="1"/>
  <c r="BS450" i="40" s="1"/>
  <c r="BT450" i="40" s="1"/>
  <c r="BU450" i="40" s="1"/>
  <c r="BV450" i="40" s="1"/>
  <c r="BW450" i="40" s="1"/>
  <c r="BX450" i="40" s="1"/>
  <c r="BY450" i="40" s="1"/>
  <c r="BZ450" i="40" s="1"/>
  <c r="CA450" i="40" s="1"/>
  <c r="CB450" i="40" s="1"/>
  <c r="S454" i="40"/>
  <c r="T454" i="40" s="1"/>
  <c r="U454" i="40" s="1"/>
  <c r="V454" i="40" s="1"/>
  <c r="W454" i="40" s="1"/>
  <c r="X454" i="40" s="1"/>
  <c r="Y454" i="40" s="1"/>
  <c r="Z454" i="40" s="1"/>
  <c r="AA454" i="40" s="1"/>
  <c r="AB454" i="40" s="1"/>
  <c r="AC454" i="40" s="1"/>
  <c r="AD454" i="40" s="1"/>
  <c r="AE454" i="40" s="1"/>
  <c r="AF454" i="40" s="1"/>
  <c r="AG454" i="40" s="1"/>
  <c r="AH454" i="40" s="1"/>
  <c r="AI454" i="40" s="1"/>
  <c r="AJ454" i="40" s="1"/>
  <c r="AK454" i="40" s="1"/>
  <c r="AL454" i="40" s="1"/>
  <c r="AM454" i="40" s="1"/>
  <c r="AN454" i="40" s="1"/>
  <c r="AO454" i="40" s="1"/>
  <c r="AP454" i="40" s="1"/>
  <c r="AQ454" i="40" s="1"/>
  <c r="AR454" i="40" s="1"/>
  <c r="AS454" i="40" s="1"/>
  <c r="AT454" i="40" s="1"/>
  <c r="AU454" i="40" s="1"/>
  <c r="AV454" i="40" s="1"/>
  <c r="AW454" i="40" s="1"/>
  <c r="AX454" i="40" s="1"/>
  <c r="AY454" i="40" s="1"/>
  <c r="AZ454" i="40" s="1"/>
  <c r="BA454" i="40" s="1"/>
  <c r="BB454" i="40" s="1"/>
  <c r="BC454" i="40" s="1"/>
  <c r="BD454" i="40" s="1"/>
  <c r="BE454" i="40" s="1"/>
  <c r="BF454" i="40" s="1"/>
  <c r="BG454" i="40" s="1"/>
  <c r="BH454" i="40" s="1"/>
  <c r="BI454" i="40" s="1"/>
  <c r="BJ454" i="40" s="1"/>
  <c r="BK454" i="40" s="1"/>
  <c r="BL454" i="40" s="1"/>
  <c r="BM454" i="40" s="1"/>
  <c r="BN454" i="40" s="1"/>
  <c r="BO454" i="40" s="1"/>
  <c r="BP454" i="40" s="1"/>
  <c r="BQ454" i="40" s="1"/>
  <c r="BR454" i="40" s="1"/>
  <c r="BS454" i="40" s="1"/>
  <c r="BT454" i="40" s="1"/>
  <c r="BU454" i="40" s="1"/>
  <c r="BV454" i="40" s="1"/>
  <c r="BW454" i="40" s="1"/>
  <c r="BX454" i="40" s="1"/>
  <c r="BY454" i="40" s="1"/>
  <c r="BZ454" i="40" s="1"/>
  <c r="CA454" i="40" s="1"/>
  <c r="W458" i="40"/>
  <c r="X458" i="40" s="1"/>
  <c r="Y458" i="40" s="1"/>
  <c r="Z458" i="40" s="1"/>
  <c r="AA458" i="40" s="1"/>
  <c r="AB458" i="40" s="1"/>
  <c r="AC458" i="40" s="1"/>
  <c r="AD458" i="40" s="1"/>
  <c r="AE458" i="40" s="1"/>
  <c r="AF458" i="40" s="1"/>
  <c r="AG458" i="40" s="1"/>
  <c r="AH458" i="40" s="1"/>
  <c r="AI458" i="40" s="1"/>
  <c r="AJ458" i="40" s="1"/>
  <c r="AK458" i="40" s="1"/>
  <c r="AL458" i="40" s="1"/>
  <c r="AM458" i="40" s="1"/>
  <c r="AN458" i="40" s="1"/>
  <c r="AO458" i="40" s="1"/>
  <c r="AP458" i="40" s="1"/>
  <c r="AQ458" i="40" s="1"/>
  <c r="AR458" i="40" s="1"/>
  <c r="AS458" i="40" s="1"/>
  <c r="AT458" i="40" s="1"/>
  <c r="AU458" i="40" s="1"/>
  <c r="AV458" i="40" s="1"/>
  <c r="AW458" i="40" s="1"/>
  <c r="AX458" i="40" s="1"/>
  <c r="AY458" i="40" s="1"/>
  <c r="AZ458" i="40" s="1"/>
  <c r="BA458" i="40" s="1"/>
  <c r="BB458" i="40" s="1"/>
  <c r="BC458" i="40" s="1"/>
  <c r="BD458" i="40" s="1"/>
  <c r="BE458" i="40" s="1"/>
  <c r="BF458" i="40" s="1"/>
  <c r="BG458" i="40" s="1"/>
  <c r="BH458" i="40" s="1"/>
  <c r="BI458" i="40" s="1"/>
  <c r="BJ458" i="40" s="1"/>
  <c r="BK458" i="40" s="1"/>
  <c r="BL458" i="40" s="1"/>
  <c r="BM458" i="40" s="1"/>
  <c r="BN458" i="40" s="1"/>
  <c r="BO458" i="40" s="1"/>
  <c r="BP458" i="40" s="1"/>
  <c r="BQ458" i="40" s="1"/>
  <c r="BR458" i="40" s="1"/>
  <c r="BS458" i="40" s="1"/>
  <c r="BT458" i="40" s="1"/>
  <c r="BU458" i="40" s="1"/>
  <c r="BV458" i="40" s="1"/>
  <c r="BW458" i="40" s="1"/>
  <c r="BX458" i="40" s="1"/>
  <c r="BY458" i="40" s="1"/>
  <c r="BZ458" i="40" s="1"/>
  <c r="CA458" i="40" s="1"/>
  <c r="CB458" i="40" s="1"/>
  <c r="D648" i="40" s="1"/>
  <c r="AA462" i="40"/>
  <c r="AB462" i="40" s="1"/>
  <c r="AC462" i="40" s="1"/>
  <c r="AD462" i="40" s="1"/>
  <c r="AE462" i="40" s="1"/>
  <c r="AF462" i="40" s="1"/>
  <c r="AG462" i="40" s="1"/>
  <c r="AH462" i="40" s="1"/>
  <c r="AI462" i="40" s="1"/>
  <c r="AJ462" i="40" s="1"/>
  <c r="AK462" i="40" s="1"/>
  <c r="AL462" i="40" s="1"/>
  <c r="AM462" i="40" s="1"/>
  <c r="AN462" i="40" s="1"/>
  <c r="AO462" i="40" s="1"/>
  <c r="AP462" i="40" s="1"/>
  <c r="AQ462" i="40" s="1"/>
  <c r="AR462" i="40" s="1"/>
  <c r="AS462" i="40" s="1"/>
  <c r="AT462" i="40" s="1"/>
  <c r="AU462" i="40" s="1"/>
  <c r="AV462" i="40" s="1"/>
  <c r="AW462" i="40" s="1"/>
  <c r="AX462" i="40" s="1"/>
  <c r="AY462" i="40" s="1"/>
  <c r="AZ462" i="40" s="1"/>
  <c r="BA462" i="40" s="1"/>
  <c r="BB462" i="40" s="1"/>
  <c r="BC462" i="40" s="1"/>
  <c r="BD462" i="40" s="1"/>
  <c r="BE462" i="40" s="1"/>
  <c r="BF462" i="40" s="1"/>
  <c r="BG462" i="40" s="1"/>
  <c r="BH462" i="40" s="1"/>
  <c r="BI462" i="40" s="1"/>
  <c r="BJ462" i="40" s="1"/>
  <c r="BK462" i="40" s="1"/>
  <c r="BL462" i="40" s="1"/>
  <c r="BM462" i="40" s="1"/>
  <c r="BN462" i="40" s="1"/>
  <c r="BO462" i="40" s="1"/>
  <c r="BP462" i="40" s="1"/>
  <c r="BQ462" i="40" s="1"/>
  <c r="BR462" i="40" s="1"/>
  <c r="BS462" i="40" s="1"/>
  <c r="BT462" i="40" s="1"/>
  <c r="BU462" i="40" s="1"/>
  <c r="BV462" i="40" s="1"/>
  <c r="BW462" i="40" s="1"/>
  <c r="BX462" i="40" s="1"/>
  <c r="BY462" i="40" s="1"/>
  <c r="BZ462" i="40" s="1"/>
  <c r="CA462" i="40" s="1"/>
  <c r="AE466" i="40"/>
  <c r="AF466" i="40" s="1"/>
  <c r="AG466" i="40" s="1"/>
  <c r="AH466" i="40" s="1"/>
  <c r="AI466" i="40" s="1"/>
  <c r="AJ466" i="40" s="1"/>
  <c r="AK466" i="40" s="1"/>
  <c r="AL466" i="40" s="1"/>
  <c r="AM466" i="40" s="1"/>
  <c r="AN466" i="40" s="1"/>
  <c r="AO466" i="40" s="1"/>
  <c r="AP466" i="40" s="1"/>
  <c r="AQ466" i="40" s="1"/>
  <c r="AR466" i="40" s="1"/>
  <c r="AS466" i="40" s="1"/>
  <c r="AT466" i="40" s="1"/>
  <c r="AU466" i="40" s="1"/>
  <c r="AV466" i="40" s="1"/>
  <c r="AW466" i="40" s="1"/>
  <c r="AX466" i="40" s="1"/>
  <c r="AY466" i="40" s="1"/>
  <c r="AZ466" i="40" s="1"/>
  <c r="BA466" i="40" s="1"/>
  <c r="BB466" i="40" s="1"/>
  <c r="BC466" i="40" s="1"/>
  <c r="BD466" i="40" s="1"/>
  <c r="BE466" i="40" s="1"/>
  <c r="BF466" i="40" s="1"/>
  <c r="BG466" i="40" s="1"/>
  <c r="BH466" i="40" s="1"/>
  <c r="BI466" i="40" s="1"/>
  <c r="BJ466" i="40" s="1"/>
  <c r="BK466" i="40" s="1"/>
  <c r="BL466" i="40" s="1"/>
  <c r="BM466" i="40" s="1"/>
  <c r="BN466" i="40" s="1"/>
  <c r="BO466" i="40" s="1"/>
  <c r="BP466" i="40" s="1"/>
  <c r="BQ466" i="40" s="1"/>
  <c r="BR466" i="40" s="1"/>
  <c r="BS466" i="40" s="1"/>
  <c r="BT466" i="40" s="1"/>
  <c r="BU466" i="40" s="1"/>
  <c r="BV466" i="40" s="1"/>
  <c r="BW466" i="40" s="1"/>
  <c r="BX466" i="40" s="1"/>
  <c r="BY466" i="40" s="1"/>
  <c r="BZ466" i="40" s="1"/>
  <c r="CA466" i="40" s="1"/>
  <c r="D634" i="40" s="1"/>
  <c r="AI470" i="40"/>
  <c r="AJ470" i="40" s="1"/>
  <c r="AK470" i="40" s="1"/>
  <c r="AL470" i="40" s="1"/>
  <c r="AM470" i="40" s="1"/>
  <c r="AN470" i="40" s="1"/>
  <c r="AO470" i="40" s="1"/>
  <c r="AP470" i="40" s="1"/>
  <c r="AQ470" i="40" s="1"/>
  <c r="AR470" i="40" s="1"/>
  <c r="AS470" i="40" s="1"/>
  <c r="AT470" i="40" s="1"/>
  <c r="AU470" i="40" s="1"/>
  <c r="AV470" i="40" s="1"/>
  <c r="AW470" i="40" s="1"/>
  <c r="AX470" i="40" s="1"/>
  <c r="AY470" i="40" s="1"/>
  <c r="AZ470" i="40" s="1"/>
  <c r="BA470" i="40" s="1"/>
  <c r="BB470" i="40" s="1"/>
  <c r="BC470" i="40" s="1"/>
  <c r="BD470" i="40" s="1"/>
  <c r="BE470" i="40" s="1"/>
  <c r="BF470" i="40" s="1"/>
  <c r="BG470" i="40" s="1"/>
  <c r="BH470" i="40" s="1"/>
  <c r="BI470" i="40" s="1"/>
  <c r="BJ470" i="40" s="1"/>
  <c r="BK470" i="40" s="1"/>
  <c r="BL470" i="40" s="1"/>
  <c r="BM470" i="40" s="1"/>
  <c r="BN470" i="40" s="1"/>
  <c r="BO470" i="40" s="1"/>
  <c r="BP470" i="40" s="1"/>
  <c r="BQ470" i="40" s="1"/>
  <c r="BR470" i="40" s="1"/>
  <c r="BS470" i="40" s="1"/>
  <c r="BT470" i="40" s="1"/>
  <c r="BU470" i="40" s="1"/>
  <c r="BV470" i="40" s="1"/>
  <c r="BW470" i="40" s="1"/>
  <c r="BX470" i="40" s="1"/>
  <c r="BY470" i="40" s="1"/>
  <c r="BZ470" i="40" s="1"/>
  <c r="CA470" i="40" s="1"/>
  <c r="AM474" i="40"/>
  <c r="AN474" i="40" s="1"/>
  <c r="AO474" i="40" s="1"/>
  <c r="AP474" i="40" s="1"/>
  <c r="AQ474" i="40" s="1"/>
  <c r="AR474" i="40" s="1"/>
  <c r="AS474" i="40" s="1"/>
  <c r="AT474" i="40" s="1"/>
  <c r="AU474" i="40" s="1"/>
  <c r="AV474" i="40" s="1"/>
  <c r="AW474" i="40" s="1"/>
  <c r="AX474" i="40" s="1"/>
  <c r="AY474" i="40" s="1"/>
  <c r="AZ474" i="40" s="1"/>
  <c r="BA474" i="40" s="1"/>
  <c r="BB474" i="40" s="1"/>
  <c r="BC474" i="40" s="1"/>
  <c r="BD474" i="40" s="1"/>
  <c r="BE474" i="40" s="1"/>
  <c r="BF474" i="40" s="1"/>
  <c r="BG474" i="40" s="1"/>
  <c r="BH474" i="40" s="1"/>
  <c r="BI474" i="40" s="1"/>
  <c r="BJ474" i="40" s="1"/>
  <c r="BK474" i="40" s="1"/>
  <c r="BL474" i="40" s="1"/>
  <c r="BM474" i="40" s="1"/>
  <c r="BN474" i="40" s="1"/>
  <c r="BO474" i="40" s="1"/>
  <c r="BP474" i="40" s="1"/>
  <c r="BQ474" i="40" s="1"/>
  <c r="BR474" i="40" s="1"/>
  <c r="BS474" i="40" s="1"/>
  <c r="BT474" i="40" s="1"/>
  <c r="BU474" i="40" s="1"/>
  <c r="BV474" i="40" s="1"/>
  <c r="BW474" i="40" s="1"/>
  <c r="BX474" i="40" s="1"/>
  <c r="BY474" i="40" s="1"/>
  <c r="BZ474" i="40" s="1"/>
  <c r="CA474" i="40" s="1"/>
  <c r="AQ478" i="40"/>
  <c r="AR478" i="40" s="1"/>
  <c r="AS478" i="40" s="1"/>
  <c r="AT478" i="40" s="1"/>
  <c r="AU478" i="40" s="1"/>
  <c r="AV478" i="40" s="1"/>
  <c r="AW478" i="40" s="1"/>
  <c r="AX478" i="40" s="1"/>
  <c r="AY478" i="40" s="1"/>
  <c r="AZ478" i="40" s="1"/>
  <c r="BA478" i="40" s="1"/>
  <c r="BB478" i="40" s="1"/>
  <c r="BC478" i="40" s="1"/>
  <c r="BD478" i="40" s="1"/>
  <c r="BE478" i="40" s="1"/>
  <c r="BF478" i="40" s="1"/>
  <c r="BG478" i="40" s="1"/>
  <c r="BH478" i="40" s="1"/>
  <c r="BI478" i="40" s="1"/>
  <c r="BJ478" i="40" s="1"/>
  <c r="BK478" i="40" s="1"/>
  <c r="BL478" i="40" s="1"/>
  <c r="BM478" i="40" s="1"/>
  <c r="BN478" i="40" s="1"/>
  <c r="BO478" i="40" s="1"/>
  <c r="BP478" i="40" s="1"/>
  <c r="BQ478" i="40" s="1"/>
  <c r="BR478" i="40" s="1"/>
  <c r="BS478" i="40" s="1"/>
  <c r="BT478" i="40" s="1"/>
  <c r="BU478" i="40" s="1"/>
  <c r="BV478" i="40" s="1"/>
  <c r="BW478" i="40" s="1"/>
  <c r="BX478" i="40" s="1"/>
  <c r="BY478" i="40" s="1"/>
  <c r="BZ478" i="40" s="1"/>
  <c r="CA478" i="40" s="1"/>
  <c r="AU482" i="40"/>
  <c r="AV482" i="40" s="1"/>
  <c r="AW482" i="40" s="1"/>
  <c r="AX482" i="40" s="1"/>
  <c r="AY482" i="40" s="1"/>
  <c r="AZ482" i="40" s="1"/>
  <c r="BA482" i="40" s="1"/>
  <c r="BB482" i="40" s="1"/>
  <c r="BC482" i="40" s="1"/>
  <c r="BD482" i="40" s="1"/>
  <c r="BE482" i="40" s="1"/>
  <c r="BF482" i="40" s="1"/>
  <c r="BG482" i="40" s="1"/>
  <c r="BH482" i="40" s="1"/>
  <c r="BI482" i="40" s="1"/>
  <c r="BJ482" i="40" s="1"/>
  <c r="BK482" i="40" s="1"/>
  <c r="BL482" i="40" s="1"/>
  <c r="BM482" i="40" s="1"/>
  <c r="BN482" i="40" s="1"/>
  <c r="BO482" i="40" s="1"/>
  <c r="BP482" i="40" s="1"/>
  <c r="BQ482" i="40" s="1"/>
  <c r="BR482" i="40" s="1"/>
  <c r="BS482" i="40" s="1"/>
  <c r="BT482" i="40" s="1"/>
  <c r="BU482" i="40" s="1"/>
  <c r="BV482" i="40" s="1"/>
  <c r="BW482" i="40" s="1"/>
  <c r="BX482" i="40" s="1"/>
  <c r="BY482" i="40" s="1"/>
  <c r="BZ482" i="40" s="1"/>
  <c r="CA482" i="40" s="1"/>
  <c r="AY486" i="40"/>
  <c r="AZ486" i="40" s="1"/>
  <c r="BA486" i="40" s="1"/>
  <c r="BB486" i="40" s="1"/>
  <c r="BC486" i="40" s="1"/>
  <c r="BD486" i="40" s="1"/>
  <c r="BE486" i="40" s="1"/>
  <c r="BF486" i="40" s="1"/>
  <c r="BG486" i="40" s="1"/>
  <c r="BH486" i="40" s="1"/>
  <c r="BI486" i="40" s="1"/>
  <c r="BJ486" i="40" s="1"/>
  <c r="BK486" i="40" s="1"/>
  <c r="BL486" i="40" s="1"/>
  <c r="BM486" i="40" s="1"/>
  <c r="BN486" i="40" s="1"/>
  <c r="BO486" i="40" s="1"/>
  <c r="BP486" i="40" s="1"/>
  <c r="BQ486" i="40" s="1"/>
  <c r="BR486" i="40" s="1"/>
  <c r="BS486" i="40" s="1"/>
  <c r="BT486" i="40" s="1"/>
  <c r="BU486" i="40" s="1"/>
  <c r="BV486" i="40" s="1"/>
  <c r="BW486" i="40" s="1"/>
  <c r="BX486" i="40" s="1"/>
  <c r="BY486" i="40" s="1"/>
  <c r="BZ486" i="40" s="1"/>
  <c r="CA486" i="40" s="1"/>
  <c r="CB486" i="40" s="1"/>
  <c r="BC490" i="40"/>
  <c r="BD490" i="40" s="1"/>
  <c r="BE490" i="40" s="1"/>
  <c r="BF490" i="40" s="1"/>
  <c r="BG490" i="40" s="1"/>
  <c r="BH490" i="40" s="1"/>
  <c r="BI490" i="40" s="1"/>
  <c r="BJ490" i="40" s="1"/>
  <c r="BK490" i="40" s="1"/>
  <c r="BL490" i="40" s="1"/>
  <c r="BM490" i="40" s="1"/>
  <c r="BN490" i="40" s="1"/>
  <c r="BO490" i="40" s="1"/>
  <c r="BP490" i="40" s="1"/>
  <c r="BQ490" i="40" s="1"/>
  <c r="BR490" i="40" s="1"/>
  <c r="BS490" i="40" s="1"/>
  <c r="BT490" i="40" s="1"/>
  <c r="BU490" i="40" s="1"/>
  <c r="BV490" i="40" s="1"/>
  <c r="BW490" i="40" s="1"/>
  <c r="BX490" i="40" s="1"/>
  <c r="BY490" i="40" s="1"/>
  <c r="BZ490" i="40" s="1"/>
  <c r="CA490" i="40" s="1"/>
  <c r="BG494" i="40"/>
  <c r="BH494" i="40" s="1"/>
  <c r="BI494" i="40" s="1"/>
  <c r="BJ494" i="40" s="1"/>
  <c r="BK494" i="40" s="1"/>
  <c r="BL494" i="40" s="1"/>
  <c r="BM494" i="40" s="1"/>
  <c r="BN494" i="40" s="1"/>
  <c r="BO494" i="40" s="1"/>
  <c r="BP494" i="40" s="1"/>
  <c r="BQ494" i="40" s="1"/>
  <c r="BR494" i="40" s="1"/>
  <c r="BS494" i="40" s="1"/>
  <c r="BT494" i="40" s="1"/>
  <c r="BU494" i="40" s="1"/>
  <c r="BV494" i="40" s="1"/>
  <c r="BW494" i="40" s="1"/>
  <c r="BX494" i="40" s="1"/>
  <c r="BY494" i="40" s="1"/>
  <c r="BZ494" i="40" s="1"/>
  <c r="CA494" i="40" s="1"/>
  <c r="BK498" i="40"/>
  <c r="BL498" i="40" s="1"/>
  <c r="BM498" i="40" s="1"/>
  <c r="BN498" i="40" s="1"/>
  <c r="BO498" i="40" s="1"/>
  <c r="BP498" i="40" s="1"/>
  <c r="BQ498" i="40" s="1"/>
  <c r="BR498" i="40" s="1"/>
  <c r="BS498" i="40" s="1"/>
  <c r="BT498" i="40" s="1"/>
  <c r="BU498" i="40" s="1"/>
  <c r="BV498" i="40" s="1"/>
  <c r="BW498" i="40" s="1"/>
  <c r="BX498" i="40" s="1"/>
  <c r="BY498" i="40" s="1"/>
  <c r="BZ498" i="40" s="1"/>
  <c r="CA498" i="40" s="1"/>
  <c r="BO502" i="40"/>
  <c r="BP502" i="40" s="1"/>
  <c r="BQ502" i="40" s="1"/>
  <c r="BR502" i="40" s="1"/>
  <c r="BS502" i="40" s="1"/>
  <c r="BT502" i="40" s="1"/>
  <c r="BU502" i="40" s="1"/>
  <c r="BV502" i="40" s="1"/>
  <c r="BW502" i="40" s="1"/>
  <c r="BX502" i="40" s="1"/>
  <c r="BY502" i="40" s="1"/>
  <c r="BZ502" i="40" s="1"/>
  <c r="CA502" i="40" s="1"/>
  <c r="V457" i="40"/>
  <c r="W457" i="40" s="1"/>
  <c r="X457" i="40" s="1"/>
  <c r="Y457" i="40" s="1"/>
  <c r="Z457" i="40" s="1"/>
  <c r="AA457" i="40" s="1"/>
  <c r="AB457" i="40" s="1"/>
  <c r="AC457" i="40" s="1"/>
  <c r="AD457" i="40" s="1"/>
  <c r="AE457" i="40" s="1"/>
  <c r="AF457" i="40" s="1"/>
  <c r="AG457" i="40" s="1"/>
  <c r="AH457" i="40" s="1"/>
  <c r="AI457" i="40" s="1"/>
  <c r="AJ457" i="40" s="1"/>
  <c r="AK457" i="40" s="1"/>
  <c r="AL457" i="40" s="1"/>
  <c r="AM457" i="40" s="1"/>
  <c r="AN457" i="40" s="1"/>
  <c r="AO457" i="40" s="1"/>
  <c r="AP457" i="40" s="1"/>
  <c r="AQ457" i="40" s="1"/>
  <c r="AR457" i="40" s="1"/>
  <c r="AS457" i="40" s="1"/>
  <c r="AT457" i="40" s="1"/>
  <c r="AU457" i="40" s="1"/>
  <c r="AV457" i="40" s="1"/>
  <c r="AW457" i="40" s="1"/>
  <c r="AX457" i="40" s="1"/>
  <c r="AY457" i="40" s="1"/>
  <c r="AZ457" i="40" s="1"/>
  <c r="BA457" i="40" s="1"/>
  <c r="BB457" i="40" s="1"/>
  <c r="BC457" i="40" s="1"/>
  <c r="BD457" i="40" s="1"/>
  <c r="BE457" i="40" s="1"/>
  <c r="BF457" i="40" s="1"/>
  <c r="BG457" i="40" s="1"/>
  <c r="BH457" i="40" s="1"/>
  <c r="BI457" i="40" s="1"/>
  <c r="BJ457" i="40" s="1"/>
  <c r="BK457" i="40" s="1"/>
  <c r="BL457" i="40" s="1"/>
  <c r="BM457" i="40" s="1"/>
  <c r="BN457" i="40" s="1"/>
  <c r="BO457" i="40" s="1"/>
  <c r="BP457" i="40" s="1"/>
  <c r="BQ457" i="40" s="1"/>
  <c r="BR457" i="40" s="1"/>
  <c r="BS457" i="40" s="1"/>
  <c r="BT457" i="40" s="1"/>
  <c r="BU457" i="40" s="1"/>
  <c r="BV457" i="40" s="1"/>
  <c r="BW457" i="40" s="1"/>
  <c r="BX457" i="40" s="1"/>
  <c r="BY457" i="40" s="1"/>
  <c r="BZ457" i="40" s="1"/>
  <c r="CA457" i="40" s="1"/>
  <c r="AL473" i="40"/>
  <c r="AM473" i="40" s="1"/>
  <c r="AN473" i="40" s="1"/>
  <c r="AO473" i="40" s="1"/>
  <c r="AP473" i="40" s="1"/>
  <c r="AQ473" i="40" s="1"/>
  <c r="AR473" i="40" s="1"/>
  <c r="AS473" i="40" s="1"/>
  <c r="AT473" i="40" s="1"/>
  <c r="AU473" i="40" s="1"/>
  <c r="AV473" i="40" s="1"/>
  <c r="AW473" i="40" s="1"/>
  <c r="AX473" i="40" s="1"/>
  <c r="AY473" i="40" s="1"/>
  <c r="AZ473" i="40" s="1"/>
  <c r="BA473" i="40" s="1"/>
  <c r="BB473" i="40" s="1"/>
  <c r="BC473" i="40" s="1"/>
  <c r="BD473" i="40" s="1"/>
  <c r="BE473" i="40" s="1"/>
  <c r="BF473" i="40" s="1"/>
  <c r="BG473" i="40" s="1"/>
  <c r="BH473" i="40" s="1"/>
  <c r="BI473" i="40" s="1"/>
  <c r="BJ473" i="40" s="1"/>
  <c r="BK473" i="40" s="1"/>
  <c r="BL473" i="40" s="1"/>
  <c r="BM473" i="40" s="1"/>
  <c r="BN473" i="40" s="1"/>
  <c r="BO473" i="40" s="1"/>
  <c r="BP473" i="40" s="1"/>
  <c r="BQ473" i="40" s="1"/>
  <c r="BR473" i="40" s="1"/>
  <c r="BS473" i="40" s="1"/>
  <c r="BT473" i="40" s="1"/>
  <c r="BU473" i="40" s="1"/>
  <c r="BV473" i="40" s="1"/>
  <c r="BW473" i="40" s="1"/>
  <c r="BX473" i="40" s="1"/>
  <c r="BY473" i="40" s="1"/>
  <c r="BZ473" i="40" s="1"/>
  <c r="CA473" i="40" s="1"/>
  <c r="BB489" i="40"/>
  <c r="BC489" i="40" s="1"/>
  <c r="BD489" i="40" s="1"/>
  <c r="BE489" i="40" s="1"/>
  <c r="BF489" i="40" s="1"/>
  <c r="BG489" i="40" s="1"/>
  <c r="BH489" i="40" s="1"/>
  <c r="BI489" i="40" s="1"/>
  <c r="BJ489" i="40" s="1"/>
  <c r="BK489" i="40" s="1"/>
  <c r="BL489" i="40" s="1"/>
  <c r="BM489" i="40" s="1"/>
  <c r="BN489" i="40" s="1"/>
  <c r="BO489" i="40" s="1"/>
  <c r="BP489" i="40" s="1"/>
  <c r="BQ489" i="40" s="1"/>
  <c r="BR489" i="40" s="1"/>
  <c r="BS489" i="40" s="1"/>
  <c r="BT489" i="40" s="1"/>
  <c r="BU489" i="40" s="1"/>
  <c r="BV489" i="40" s="1"/>
  <c r="BW489" i="40" s="1"/>
  <c r="BX489" i="40" s="1"/>
  <c r="BY489" i="40" s="1"/>
  <c r="BZ489" i="40" s="1"/>
  <c r="CA489" i="40" s="1"/>
  <c r="BN501" i="40"/>
  <c r="BO501" i="40" s="1"/>
  <c r="BP501" i="40" s="1"/>
  <c r="BQ501" i="40" s="1"/>
  <c r="BR501" i="40" s="1"/>
  <c r="BS501" i="40" s="1"/>
  <c r="BT501" i="40" s="1"/>
  <c r="BU501" i="40" s="1"/>
  <c r="BV501" i="40" s="1"/>
  <c r="BW501" i="40" s="1"/>
  <c r="BX501" i="40" s="1"/>
  <c r="BY501" i="40" s="1"/>
  <c r="BZ501" i="40" s="1"/>
  <c r="CA501" i="40" s="1"/>
  <c r="BR505" i="40"/>
  <c r="BS505" i="40" s="1"/>
  <c r="BT505" i="40" s="1"/>
  <c r="BU505" i="40" s="1"/>
  <c r="BV505" i="40" s="1"/>
  <c r="BW505" i="40" s="1"/>
  <c r="BX505" i="40" s="1"/>
  <c r="BY505" i="40" s="1"/>
  <c r="BZ505" i="40" s="1"/>
  <c r="CA505" i="40" s="1"/>
  <c r="CB505" i="40" s="1"/>
  <c r="L75" i="25" l="1"/>
  <c r="L72" i="25"/>
  <c r="P16" i="59" s="1"/>
  <c r="P17" i="59" s="1"/>
  <c r="L73" i="25" s="1"/>
  <c r="AJ61" i="50"/>
  <c r="AH183" i="50"/>
  <c r="AN183" i="50" s="1"/>
  <c r="J110" i="25" s="1"/>
  <c r="K38" i="32"/>
  <c r="J271" i="50"/>
  <c r="L32" i="37"/>
  <c r="P29" i="62"/>
  <c r="L21" i="32"/>
  <c r="K31" i="37"/>
  <c r="O28" i="62"/>
  <c r="L272" i="50"/>
  <c r="AL60" i="42"/>
  <c r="D840" i="40"/>
  <c r="D640" i="40"/>
  <c r="D711" i="40"/>
  <c r="D665" i="40"/>
  <c r="D700" i="40"/>
  <c r="D690" i="40"/>
  <c r="D660" i="40"/>
  <c r="D666" i="40"/>
  <c r="D740" i="40"/>
  <c r="D672" i="40"/>
  <c r="D639" i="40"/>
  <c r="AI61" i="50"/>
  <c r="AK61" i="50"/>
  <c r="AL61" i="50"/>
  <c r="BM60" i="42"/>
  <c r="AL183" i="50"/>
  <c r="AK183" i="50"/>
  <c r="AM60" i="42"/>
  <c r="AN60" i="42"/>
  <c r="AJ60" i="42"/>
  <c r="AP60" i="42" s="1"/>
  <c r="J112" i="25" s="1"/>
  <c r="AK60" i="42"/>
  <c r="BG60" i="42" s="1"/>
  <c r="M30" i="42"/>
  <c r="M32" i="50"/>
  <c r="M34" i="25"/>
  <c r="AI183" i="50"/>
  <c r="AJ183" i="50"/>
  <c r="L29" i="42"/>
  <c r="L31" i="50"/>
  <c r="L33" i="25"/>
  <c r="D635" i="40"/>
  <c r="CB460" i="40"/>
  <c r="D631" i="40"/>
  <c r="CB494" i="40"/>
  <c r="D587" i="40"/>
  <c r="D620" i="40"/>
  <c r="D619" i="40"/>
  <c r="K128" i="66" s="1"/>
  <c r="M130" i="66" s="1"/>
  <c r="D606" i="40"/>
  <c r="D621" i="40"/>
  <c r="CB478" i="40"/>
  <c r="D581" i="40"/>
  <c r="CB493" i="40"/>
  <c r="D834" i="40" s="1"/>
  <c r="D630" i="40"/>
  <c r="CB491" i="40"/>
  <c r="D615" i="40"/>
  <c r="D586" i="40"/>
  <c r="D616" i="40"/>
  <c r="CB459" i="40"/>
  <c r="D532" i="40"/>
  <c r="CB456" i="40"/>
  <c r="D531" i="40"/>
  <c r="CB490" i="40"/>
  <c r="D613" i="40"/>
  <c r="D614" i="40"/>
  <c r="CB455" i="40"/>
  <c r="D530" i="40"/>
  <c r="CB496" i="40"/>
  <c r="D560" i="40"/>
  <c r="D608" i="40"/>
  <c r="CB500" i="40"/>
  <c r="D564" i="40"/>
  <c r="D590" i="40"/>
  <c r="CB476" i="40"/>
  <c r="D552" i="40"/>
  <c r="CB506" i="40"/>
  <c r="D624" i="40"/>
  <c r="D602" i="40"/>
  <c r="D625" i="40"/>
  <c r="CB489" i="40"/>
  <c r="D629" i="40"/>
  <c r="CB502" i="40"/>
  <c r="D591" i="40"/>
  <c r="CB470" i="40"/>
  <c r="D547" i="40"/>
  <c r="D576" i="40"/>
  <c r="CB454" i="40"/>
  <c r="D529" i="40"/>
  <c r="CB485" i="40"/>
  <c r="D689" i="40" s="1"/>
  <c r="D557" i="40"/>
  <c r="CB465" i="40"/>
  <c r="D633" i="40"/>
  <c r="D572" i="40"/>
  <c r="D539" i="40"/>
  <c r="D538" i="40"/>
  <c r="CB461" i="40"/>
  <c r="D632" i="40"/>
  <c r="D568" i="40"/>
  <c r="D533" i="40"/>
  <c r="CB499" i="40"/>
  <c r="D605" i="40"/>
  <c r="D563" i="40"/>
  <c r="D589" i="40"/>
  <c r="D600" i="40"/>
  <c r="CB483" i="40"/>
  <c r="D555" i="40"/>
  <c r="D584" i="40"/>
  <c r="CB467" i="40"/>
  <c r="D574" i="40"/>
  <c r="D609" i="40"/>
  <c r="D610" i="40"/>
  <c r="D542" i="40"/>
  <c r="D541" i="40"/>
  <c r="CB497" i="40"/>
  <c r="D561" i="40"/>
  <c r="CB484" i="40"/>
  <c r="D556" i="40"/>
  <c r="CB472" i="40"/>
  <c r="D684" i="40" s="1"/>
  <c r="D550" i="40"/>
  <c r="D578" i="40"/>
  <c r="CB457" i="40"/>
  <c r="D597" i="40"/>
  <c r="CB462" i="40"/>
  <c r="D534" i="40"/>
  <c r="D569" i="40"/>
  <c r="D535" i="40"/>
  <c r="CB453" i="40"/>
  <c r="D528" i="40"/>
  <c r="CB475" i="40"/>
  <c r="D580" i="40"/>
  <c r="CB501" i="40"/>
  <c r="D565" i="40"/>
  <c r="D601" i="40"/>
  <c r="CB474" i="40"/>
  <c r="CB481" i="40"/>
  <c r="D583" i="40"/>
  <c r="CB471" i="40"/>
  <c r="D829" i="40" s="1"/>
  <c r="D549" i="40"/>
  <c r="D548" i="40"/>
  <c r="D577" i="40"/>
  <c r="CB488" i="40"/>
  <c r="D585" i="40"/>
  <c r="D558" i="40"/>
  <c r="D599" i="40"/>
  <c r="CB504" i="40"/>
  <c r="D623" i="40"/>
  <c r="D622" i="40"/>
  <c r="D592" i="40"/>
  <c r="CB473" i="40"/>
  <c r="D612" i="40"/>
  <c r="D628" i="40"/>
  <c r="D551" i="40"/>
  <c r="D579" i="40"/>
  <c r="D611" i="40"/>
  <c r="CB498" i="40"/>
  <c r="D588" i="40"/>
  <c r="D562" i="40"/>
  <c r="CB482" i="40"/>
  <c r="CB466" i="40"/>
  <c r="D540" i="40"/>
  <c r="D573" i="40"/>
  <c r="CB469" i="40"/>
  <c r="D546" i="40"/>
  <c r="D545" i="40"/>
  <c r="CB495" i="40"/>
  <c r="D607" i="40"/>
  <c r="D559" i="40"/>
  <c r="CB479" i="40"/>
  <c r="D582" i="40"/>
  <c r="CB463" i="40"/>
  <c r="D827" i="40" s="1"/>
  <c r="D596" i="40"/>
  <c r="D570" i="40"/>
  <c r="D536" i="40"/>
  <c r="CB464" i="40"/>
  <c r="D571" i="40"/>
  <c r="D537" i="40"/>
  <c r="D598" i="40"/>
  <c r="CB468" i="40"/>
  <c r="D575" i="40"/>
  <c r="D544" i="40"/>
  <c r="D543" i="40"/>
  <c r="CB492" i="40"/>
  <c r="D527" i="40"/>
  <c r="BX510" i="40"/>
  <c r="BW509" i="40"/>
  <c r="CB514" i="40"/>
  <c r="D839" i="40" s="1"/>
  <c r="CA513" i="40"/>
  <c r="D604" i="40" s="1"/>
  <c r="BY511" i="40"/>
  <c r="BU507" i="40"/>
  <c r="BV508" i="40"/>
  <c r="BZ512" i="40"/>
  <c r="CD439" i="40"/>
  <c r="CD518" i="40" s="1"/>
  <c r="CE439" i="40"/>
  <c r="CE519" i="40" s="1"/>
  <c r="CF439" i="40"/>
  <c r="CF520" i="40" s="1"/>
  <c r="CG439" i="40"/>
  <c r="CG521" i="40" s="1"/>
  <c r="CC439" i="40"/>
  <c r="D778" i="40" l="1"/>
  <c r="AO183" i="50"/>
  <c r="AH61" i="50"/>
  <c r="AN61" i="50" s="1"/>
  <c r="AO61" i="50" s="1"/>
  <c r="AT183" i="50"/>
  <c r="AQ60" i="42"/>
  <c r="K112" i="25" s="1"/>
  <c r="D785" i="40"/>
  <c r="M272" i="50"/>
  <c r="L31" i="37"/>
  <c r="P28" i="62"/>
  <c r="M32" i="37"/>
  <c r="Q29" i="62"/>
  <c r="M21" i="32"/>
  <c r="BH60" i="42"/>
  <c r="D798" i="40"/>
  <c r="D796" i="40"/>
  <c r="D832" i="40"/>
  <c r="D739" i="40"/>
  <c r="D831" i="40"/>
  <c r="D826" i="40"/>
  <c r="D835" i="40"/>
  <c r="D830" i="40"/>
  <c r="D722" i="40"/>
  <c r="D705" i="40"/>
  <c r="D825" i="40"/>
  <c r="D833" i="40"/>
  <c r="D779" i="40"/>
  <c r="D828" i="40"/>
  <c r="D792" i="40"/>
  <c r="D721" i="40"/>
  <c r="D746" i="40"/>
  <c r="D780" i="40"/>
  <c r="D793" i="40"/>
  <c r="D795" i="40"/>
  <c r="K271" i="50"/>
  <c r="D656" i="40"/>
  <c r="D807" i="40"/>
  <c r="D680" i="40"/>
  <c r="D697" i="40"/>
  <c r="D699" i="40"/>
  <c r="D812" i="40"/>
  <c r="D715" i="40"/>
  <c r="D805" i="40"/>
  <c r="D764" i="40"/>
  <c r="D813" i="40"/>
  <c r="D674" i="40"/>
  <c r="D650" i="40"/>
  <c r="D685" i="40"/>
  <c r="D736" i="40"/>
  <c r="D659" i="40"/>
  <c r="D707" i="40"/>
  <c r="D687" i="40"/>
  <c r="D802" i="40"/>
  <c r="D776" i="40"/>
  <c r="D714" i="40"/>
  <c r="D694" i="40"/>
  <c r="D810" i="40"/>
  <c r="D818" i="40"/>
  <c r="D790" i="40"/>
  <c r="D806" i="40"/>
  <c r="D675" i="40"/>
  <c r="D651" i="40"/>
  <c r="D765" i="40"/>
  <c r="D797" i="40"/>
  <c r="D661" i="40"/>
  <c r="D786" i="40"/>
  <c r="D691" i="40"/>
  <c r="D683" i="40"/>
  <c r="D658" i="40"/>
  <c r="D737" i="40"/>
  <c r="D824" i="40"/>
  <c r="D713" i="40"/>
  <c r="D671" i="40"/>
  <c r="D761" i="40"/>
  <c r="D704" i="40"/>
  <c r="D723" i="40"/>
  <c r="D678" i="40"/>
  <c r="D768" i="40"/>
  <c r="D654" i="40"/>
  <c r="D734" i="40"/>
  <c r="D679" i="40"/>
  <c r="D769" i="40"/>
  <c r="D655" i="40"/>
  <c r="D725" i="40"/>
  <c r="D698" i="40"/>
  <c r="D649" i="40"/>
  <c r="D673" i="40"/>
  <c r="D809" i="40"/>
  <c r="D682" i="40"/>
  <c r="D735" i="40"/>
  <c r="D787" i="40"/>
  <c r="D692" i="40"/>
  <c r="D667" i="40"/>
  <c r="D717" i="40"/>
  <c r="D741" i="40"/>
  <c r="D819" i="40"/>
  <c r="D663" i="40"/>
  <c r="D748" i="40"/>
  <c r="D710" i="40"/>
  <c r="D695" i="40"/>
  <c r="D820" i="40"/>
  <c r="D791" i="40"/>
  <c r="AU61" i="50"/>
  <c r="D766" i="40"/>
  <c r="D676" i="40"/>
  <c r="D652" i="40"/>
  <c r="D657" i="40"/>
  <c r="D681" i="40"/>
  <c r="D808" i="40"/>
  <c r="D653" i="40"/>
  <c r="D767" i="40"/>
  <c r="D677" i="40"/>
  <c r="D719" i="40"/>
  <c r="D724" i="40"/>
  <c r="D696" i="40"/>
  <c r="D817" i="40"/>
  <c r="D708" i="40"/>
  <c r="D688" i="40"/>
  <c r="D781" i="40"/>
  <c r="D686" i="40"/>
  <c r="D738" i="40"/>
  <c r="D716" i="40"/>
  <c r="D811" i="40"/>
  <c r="D720" i="40"/>
  <c r="D794" i="40"/>
  <c r="D726" i="40"/>
  <c r="D664" i="40"/>
  <c r="D662" i="40"/>
  <c r="D788" i="40"/>
  <c r="D789" i="40"/>
  <c r="D803" i="40"/>
  <c r="D718" i="40"/>
  <c r="D693" i="40"/>
  <c r="D763" i="40"/>
  <c r="D804" i="40"/>
  <c r="AU183" i="50"/>
  <c r="BF60" i="42"/>
  <c r="M29" i="42"/>
  <c r="M31" i="50"/>
  <c r="M33" i="25"/>
  <c r="N32" i="50"/>
  <c r="N30" i="42"/>
  <c r="N34" i="25"/>
  <c r="AV61" i="50"/>
  <c r="AV183" i="50"/>
  <c r="CA512" i="40"/>
  <c r="BV507" i="40"/>
  <c r="CB513" i="40"/>
  <c r="BX509" i="40"/>
  <c r="BW508" i="40"/>
  <c r="BZ511" i="40"/>
  <c r="BY510" i="40"/>
  <c r="CF519" i="40"/>
  <c r="CG519" i="40" s="1"/>
  <c r="CE518" i="40"/>
  <c r="CF518" i="40" s="1"/>
  <c r="CG518" i="40" s="1"/>
  <c r="CG520" i="40"/>
  <c r="CC517" i="40"/>
  <c r="CD517" i="40" s="1"/>
  <c r="CE517" i="40" s="1"/>
  <c r="CF517" i="40" s="1"/>
  <c r="CG517" i="40" s="1"/>
  <c r="CC516" i="40"/>
  <c r="CD516" i="40" s="1"/>
  <c r="CE516" i="40" s="1"/>
  <c r="CF516" i="40" s="1"/>
  <c r="CG516" i="40" s="1"/>
  <c r="CC462" i="40"/>
  <c r="D877" i="40" s="1"/>
  <c r="CC474" i="40"/>
  <c r="D921" i="40" s="1"/>
  <c r="CC477" i="40"/>
  <c r="D891" i="40" s="1"/>
  <c r="CC467" i="40"/>
  <c r="CC452" i="40"/>
  <c r="CD452" i="40" s="1"/>
  <c r="CE452" i="40" s="1"/>
  <c r="CF452" i="40" s="1"/>
  <c r="CG452" i="40" s="1"/>
  <c r="CC505" i="40"/>
  <c r="D871" i="40" s="1"/>
  <c r="CC470" i="40"/>
  <c r="CC461" i="40"/>
  <c r="D876" i="40" s="1"/>
  <c r="CC463" i="40"/>
  <c r="CC500" i="40"/>
  <c r="D869" i="40" s="1"/>
  <c r="CC478" i="40"/>
  <c r="D892" i="40" s="1"/>
  <c r="CC498" i="40"/>
  <c r="CC469" i="40"/>
  <c r="D884" i="40" s="1"/>
  <c r="CC491" i="40"/>
  <c r="CC464" i="40"/>
  <c r="CC476" i="40"/>
  <c r="CC503" i="40"/>
  <c r="D907" i="40" s="1"/>
  <c r="CC472" i="40"/>
  <c r="CC456" i="40"/>
  <c r="CC449" i="40"/>
  <c r="CD449" i="40" s="1"/>
  <c r="CE449" i="40" s="1"/>
  <c r="CF449" i="40" s="1"/>
  <c r="CG449" i="40" s="1"/>
  <c r="CC475" i="40"/>
  <c r="D889" i="40" s="1"/>
  <c r="CC487" i="40"/>
  <c r="CC448" i="40"/>
  <c r="CD448" i="40" s="1"/>
  <c r="CE448" i="40" s="1"/>
  <c r="CF448" i="40" s="1"/>
  <c r="CG448" i="40" s="1"/>
  <c r="CC444" i="40"/>
  <c r="CD444" i="40" s="1"/>
  <c r="CE444" i="40" s="1"/>
  <c r="CF444" i="40" s="1"/>
  <c r="CG444" i="40" s="1"/>
  <c r="CC506" i="40"/>
  <c r="CC499" i="40"/>
  <c r="D905" i="40" s="1"/>
  <c r="CC502" i="40"/>
  <c r="CD502" i="40" s="1"/>
  <c r="CE502" i="40" s="1"/>
  <c r="CF502" i="40" s="1"/>
  <c r="CG502" i="40" s="1"/>
  <c r="CC480" i="40"/>
  <c r="D893" i="40" s="1"/>
  <c r="CC466" i="40"/>
  <c r="CC453" i="40"/>
  <c r="CD453" i="40" s="1"/>
  <c r="CE453" i="40" s="1"/>
  <c r="CF453" i="40" s="1"/>
  <c r="CG453" i="40" s="1"/>
  <c r="CC457" i="40"/>
  <c r="CD457" i="40" s="1"/>
  <c r="CE457" i="40" s="1"/>
  <c r="CF457" i="40" s="1"/>
  <c r="CG457" i="40" s="1"/>
  <c r="CC458" i="40"/>
  <c r="CD458" i="40" s="1"/>
  <c r="CE458" i="40" s="1"/>
  <c r="CF458" i="40" s="1"/>
  <c r="CG458" i="40" s="1"/>
  <c r="CC515" i="40"/>
  <c r="D918" i="40" s="1"/>
  <c r="CC451" i="40"/>
  <c r="CC492" i="40"/>
  <c r="D901" i="40" s="1"/>
  <c r="CC501" i="40"/>
  <c r="CC454" i="40"/>
  <c r="CD454" i="40" s="1"/>
  <c r="CE454" i="40" s="1"/>
  <c r="CF454" i="40" s="1"/>
  <c r="CG454" i="40" s="1"/>
  <c r="CC447" i="40"/>
  <c r="CC482" i="40"/>
  <c r="D861" i="40" s="1"/>
  <c r="CC446" i="40"/>
  <c r="CD446" i="40" s="1"/>
  <c r="CE446" i="40" s="1"/>
  <c r="CF446" i="40" s="1"/>
  <c r="CG446" i="40" s="1"/>
  <c r="CC496" i="40"/>
  <c r="D903" i="40" s="1"/>
  <c r="CC495" i="40"/>
  <c r="CD495" i="40" s="1"/>
  <c r="CE495" i="40" s="1"/>
  <c r="CF495" i="40" s="1"/>
  <c r="CG495" i="40" s="1"/>
  <c r="CC489" i="40"/>
  <c r="D898" i="40" s="1"/>
  <c r="CC459" i="40"/>
  <c r="CD459" i="40" s="1"/>
  <c r="CE459" i="40" s="1"/>
  <c r="CF459" i="40" s="1"/>
  <c r="CG459" i="40" s="1"/>
  <c r="CC471" i="40"/>
  <c r="CC490" i="40"/>
  <c r="CC481" i="40"/>
  <c r="CD481" i="40" s="1"/>
  <c r="CE481" i="40" s="1"/>
  <c r="CF481" i="40" s="1"/>
  <c r="CG481" i="40" s="1"/>
  <c r="CC483" i="40"/>
  <c r="CC488" i="40"/>
  <c r="D897" i="40" s="1"/>
  <c r="CC494" i="40"/>
  <c r="CC486" i="40"/>
  <c r="D895" i="40" s="1"/>
  <c r="CC465" i="40"/>
  <c r="CC479" i="40"/>
  <c r="D922" i="40" s="1"/>
  <c r="CC497" i="40"/>
  <c r="D867" i="40" s="1"/>
  <c r="CC514" i="40"/>
  <c r="CD514" i="40" s="1"/>
  <c r="CE514" i="40" s="1"/>
  <c r="CF514" i="40" s="1"/>
  <c r="CG514" i="40" s="1"/>
  <c r="CC450" i="40"/>
  <c r="CD450" i="40" s="1"/>
  <c r="CE450" i="40" s="1"/>
  <c r="CF450" i="40" s="1"/>
  <c r="CG450" i="40" s="1"/>
  <c r="CC443" i="40"/>
  <c r="CD443" i="40" s="1"/>
  <c r="CE443" i="40" s="1"/>
  <c r="CF443" i="40" s="1"/>
  <c r="CG443" i="40" s="1"/>
  <c r="CC504" i="40"/>
  <c r="CD504" i="40" s="1"/>
  <c r="CE504" i="40" s="1"/>
  <c r="CF504" i="40" s="1"/>
  <c r="CG504" i="40" s="1"/>
  <c r="CC493" i="40"/>
  <c r="CC455" i="40"/>
  <c r="CD455" i="40" s="1"/>
  <c r="CE455" i="40" s="1"/>
  <c r="CF455" i="40" s="1"/>
  <c r="CG455" i="40" s="1"/>
  <c r="CC468" i="40"/>
  <c r="CC442" i="40"/>
  <c r="CD442" i="40" s="1"/>
  <c r="CE442" i="40" s="1"/>
  <c r="CF442" i="40" s="1"/>
  <c r="CG442" i="40" s="1"/>
  <c r="CC485" i="40"/>
  <c r="D894" i="40" s="1"/>
  <c r="CC473" i="40"/>
  <c r="CC445" i="40"/>
  <c r="CD445" i="40" s="1"/>
  <c r="CE445" i="40" s="1"/>
  <c r="CF445" i="40" s="1"/>
  <c r="CG445" i="40" s="1"/>
  <c r="CC484" i="40"/>
  <c r="CD484" i="40" s="1"/>
  <c r="CE484" i="40" s="1"/>
  <c r="CF484" i="40" s="1"/>
  <c r="CG484" i="40" s="1"/>
  <c r="CC460" i="40"/>
  <c r="AP183" i="50" l="1"/>
  <c r="K110" i="25"/>
  <c r="D863" i="40"/>
  <c r="D896" i="40"/>
  <c r="D858" i="40"/>
  <c r="D887" i="40"/>
  <c r="D865" i="40"/>
  <c r="D900" i="40"/>
  <c r="D926" i="40"/>
  <c r="D879" i="40"/>
  <c r="D885" i="40"/>
  <c r="D913" i="40"/>
  <c r="D856" i="40"/>
  <c r="D929" i="40"/>
  <c r="D911" i="40"/>
  <c r="D881" i="40"/>
  <c r="D872" i="40"/>
  <c r="D908" i="40"/>
  <c r="D924" i="40"/>
  <c r="D919" i="40"/>
  <c r="D902" i="40"/>
  <c r="D866" i="40"/>
  <c r="D914" i="40"/>
  <c r="D864" i="40"/>
  <c r="D899" i="40"/>
  <c r="D928" i="40"/>
  <c r="D883" i="40"/>
  <c r="D857" i="40"/>
  <c r="D886" i="40"/>
  <c r="D925" i="40"/>
  <c r="D878" i="40"/>
  <c r="D859" i="40"/>
  <c r="D920" i="40"/>
  <c r="D888" i="40"/>
  <c r="D916" i="40"/>
  <c r="M128" i="66" s="1"/>
  <c r="M132" i="66" s="1"/>
  <c r="D880" i="40"/>
  <c r="D927" i="40"/>
  <c r="D923" i="40"/>
  <c r="D862" i="40"/>
  <c r="D870" i="40"/>
  <c r="D906" i="40"/>
  <c r="D890" i="40"/>
  <c r="D860" i="40"/>
  <c r="D910" i="40"/>
  <c r="D868" i="40"/>
  <c r="D904" i="40"/>
  <c r="D912" i="40"/>
  <c r="D882" i="40"/>
  <c r="CD486" i="40"/>
  <c r="CE486" i="40" s="1"/>
  <c r="CF486" i="40" s="1"/>
  <c r="CG486" i="40" s="1"/>
  <c r="CD489" i="40"/>
  <c r="CE489" i="40" s="1"/>
  <c r="CF489" i="40" s="1"/>
  <c r="CG489" i="40" s="1"/>
  <c r="CD482" i="40"/>
  <c r="CE482" i="40" s="1"/>
  <c r="CF482" i="40" s="1"/>
  <c r="CG482" i="40" s="1"/>
  <c r="CD492" i="40"/>
  <c r="CE492" i="40" s="1"/>
  <c r="CF492" i="40" s="1"/>
  <c r="CG492" i="40" s="1"/>
  <c r="CD478" i="40"/>
  <c r="CE478" i="40" s="1"/>
  <c r="CF478" i="40" s="1"/>
  <c r="CG478" i="40" s="1"/>
  <c r="CD477" i="40"/>
  <c r="CE477" i="40" s="1"/>
  <c r="CF477" i="40" s="1"/>
  <c r="CG477" i="40" s="1"/>
  <c r="CD483" i="40"/>
  <c r="CE483" i="40" s="1"/>
  <c r="CF483" i="40" s="1"/>
  <c r="CG483" i="40" s="1"/>
  <c r="CD501" i="40"/>
  <c r="CE501" i="40" s="1"/>
  <c r="CF501" i="40" s="1"/>
  <c r="CG501" i="40" s="1"/>
  <c r="CD480" i="40"/>
  <c r="CE480" i="40" s="1"/>
  <c r="CF480" i="40" s="1"/>
  <c r="CG480" i="40" s="1"/>
  <c r="CD498" i="40"/>
  <c r="CE498" i="40" s="1"/>
  <c r="CF498" i="40" s="1"/>
  <c r="CG498" i="40" s="1"/>
  <c r="CD485" i="40"/>
  <c r="CE485" i="40" s="1"/>
  <c r="CF485" i="40" s="1"/>
  <c r="CG485" i="40" s="1"/>
  <c r="CD493" i="40"/>
  <c r="CE493" i="40" s="1"/>
  <c r="CF493" i="40" s="1"/>
  <c r="CG493" i="40" s="1"/>
  <c r="CD497" i="40"/>
  <c r="CE497" i="40" s="1"/>
  <c r="CF497" i="40" s="1"/>
  <c r="CG497" i="40" s="1"/>
  <c r="CD494" i="40"/>
  <c r="CE494" i="40" s="1"/>
  <c r="CF494" i="40" s="1"/>
  <c r="CG494" i="40" s="1"/>
  <c r="CD490" i="40"/>
  <c r="CE490" i="40" s="1"/>
  <c r="CF490" i="40" s="1"/>
  <c r="CG490" i="40" s="1"/>
  <c r="CD499" i="40"/>
  <c r="CE499" i="40" s="1"/>
  <c r="CF499" i="40" s="1"/>
  <c r="CG499" i="40" s="1"/>
  <c r="CD487" i="40"/>
  <c r="CE487" i="40" s="1"/>
  <c r="CF487" i="40" s="1"/>
  <c r="CG487" i="40" s="1"/>
  <c r="CD491" i="40"/>
  <c r="CE491" i="40" s="1"/>
  <c r="CF491" i="40" s="1"/>
  <c r="CG491" i="40" s="1"/>
  <c r="CD500" i="40"/>
  <c r="CE500" i="40" s="1"/>
  <c r="CF500" i="40" s="1"/>
  <c r="CG500" i="40" s="1"/>
  <c r="CD505" i="40"/>
  <c r="CE505" i="40" s="1"/>
  <c r="CF505" i="40" s="1"/>
  <c r="CG505" i="40" s="1"/>
  <c r="CD474" i="40"/>
  <c r="CE474" i="40" s="1"/>
  <c r="CF474" i="40" s="1"/>
  <c r="CG474" i="40" s="1"/>
  <c r="CD473" i="40"/>
  <c r="CE473" i="40" s="1"/>
  <c r="CF473" i="40" s="1"/>
  <c r="CG473" i="40" s="1"/>
  <c r="CD479" i="40"/>
  <c r="CE479" i="40" s="1"/>
  <c r="CF479" i="40" s="1"/>
  <c r="CG479" i="40" s="1"/>
  <c r="CD488" i="40"/>
  <c r="CE488" i="40" s="1"/>
  <c r="CF488" i="40" s="1"/>
  <c r="CG488" i="40" s="1"/>
  <c r="CD496" i="40"/>
  <c r="CE496" i="40" s="1"/>
  <c r="CF496" i="40" s="1"/>
  <c r="CG496" i="40" s="1"/>
  <c r="CD506" i="40"/>
  <c r="CE506" i="40" s="1"/>
  <c r="CF506" i="40" s="1"/>
  <c r="CG506" i="40" s="1"/>
  <c r="CD475" i="40"/>
  <c r="CE475" i="40" s="1"/>
  <c r="CF475" i="40" s="1"/>
  <c r="CG475" i="40" s="1"/>
  <c r="CD503" i="40"/>
  <c r="CE503" i="40" s="1"/>
  <c r="CF503" i="40" s="1"/>
  <c r="CG503" i="40" s="1"/>
  <c r="CD456" i="40"/>
  <c r="CE456" i="40" s="1"/>
  <c r="CF456" i="40" s="1"/>
  <c r="CG456" i="40" s="1"/>
  <c r="D845" i="40"/>
  <c r="CD447" i="40"/>
  <c r="CE447" i="40" s="1"/>
  <c r="CF447" i="40" s="1"/>
  <c r="CG447" i="40" s="1"/>
  <c r="D843" i="40"/>
  <c r="CD451" i="40"/>
  <c r="CE451" i="40" s="1"/>
  <c r="CF451" i="40" s="1"/>
  <c r="CG451" i="40" s="1"/>
  <c r="D844" i="40"/>
  <c r="CD472" i="40"/>
  <c r="CE472" i="40" s="1"/>
  <c r="CF472" i="40" s="1"/>
  <c r="CG472" i="40" s="1"/>
  <c r="CD464" i="40"/>
  <c r="CE464" i="40" s="1"/>
  <c r="CF464" i="40" s="1"/>
  <c r="CG464" i="40" s="1"/>
  <c r="D850" i="40"/>
  <c r="CD468" i="40"/>
  <c r="CE468" i="40" s="1"/>
  <c r="CF468" i="40" s="1"/>
  <c r="CG468" i="40" s="1"/>
  <c r="D854" i="40"/>
  <c r="CD471" i="40"/>
  <c r="CE471" i="40" s="1"/>
  <c r="CF471" i="40" s="1"/>
  <c r="CG471" i="40" s="1"/>
  <c r="CD466" i="40"/>
  <c r="CE466" i="40" s="1"/>
  <c r="CF466" i="40" s="1"/>
  <c r="CG466" i="40" s="1"/>
  <c r="D852" i="40"/>
  <c r="CD469" i="40"/>
  <c r="CE469" i="40" s="1"/>
  <c r="CF469" i="40" s="1"/>
  <c r="CG469" i="40" s="1"/>
  <c r="D855" i="40"/>
  <c r="CD463" i="40"/>
  <c r="CE463" i="40" s="1"/>
  <c r="CF463" i="40" s="1"/>
  <c r="CG463" i="40" s="1"/>
  <c r="D849" i="40"/>
  <c r="CD462" i="40"/>
  <c r="CE462" i="40" s="1"/>
  <c r="CF462" i="40" s="1"/>
  <c r="CG462" i="40" s="1"/>
  <c r="D848" i="40"/>
  <c r="CD460" i="40"/>
  <c r="CE460" i="40" s="1"/>
  <c r="CF460" i="40" s="1"/>
  <c r="CG460" i="40" s="1"/>
  <c r="D846" i="40"/>
  <c r="CD470" i="40"/>
  <c r="CE470" i="40" s="1"/>
  <c r="CF470" i="40" s="1"/>
  <c r="CG470" i="40" s="1"/>
  <c r="CD465" i="40"/>
  <c r="CE465" i="40" s="1"/>
  <c r="CF465" i="40" s="1"/>
  <c r="CG465" i="40" s="1"/>
  <c r="D851" i="40"/>
  <c r="CD461" i="40"/>
  <c r="CE461" i="40" s="1"/>
  <c r="CF461" i="40" s="1"/>
  <c r="CG461" i="40" s="1"/>
  <c r="D847" i="40"/>
  <c r="CD467" i="40"/>
  <c r="CE467" i="40" s="1"/>
  <c r="CF467" i="40" s="1"/>
  <c r="CG467" i="40" s="1"/>
  <c r="D853" i="40"/>
  <c r="AZ61" i="50"/>
  <c r="J171" i="50" s="1"/>
  <c r="AZ183" i="50"/>
  <c r="J252" i="50" s="1"/>
  <c r="CD476" i="40"/>
  <c r="CE476" i="40" s="1"/>
  <c r="CF476" i="40" s="1"/>
  <c r="CG476" i="40" s="1"/>
  <c r="D842" i="40"/>
  <c r="AR60" i="42"/>
  <c r="L112" i="25" s="1"/>
  <c r="BB183" i="50"/>
  <c r="L252" i="50" s="1"/>
  <c r="M31" i="37"/>
  <c r="Q28" i="62"/>
  <c r="N272" i="50"/>
  <c r="CD515" i="40"/>
  <c r="CE515" i="40" s="1"/>
  <c r="CF515" i="40" s="1"/>
  <c r="CG515" i="40" s="1"/>
  <c r="D841" i="40"/>
  <c r="D730" i="40"/>
  <c r="D838" i="40"/>
  <c r="D644" i="40"/>
  <c r="D641" i="40"/>
  <c r="L271" i="50"/>
  <c r="CC513" i="40"/>
  <c r="CD513" i="40" s="1"/>
  <c r="CE513" i="40" s="1"/>
  <c r="CF513" i="40" s="1"/>
  <c r="CG513" i="40" s="1"/>
  <c r="D823" i="40"/>
  <c r="BA183" i="50"/>
  <c r="K252" i="50" s="1"/>
  <c r="D643" i="40"/>
  <c r="D642" i="40"/>
  <c r="AX60" i="42"/>
  <c r="BN60" i="42" s="1"/>
  <c r="BV60" i="42" s="1"/>
  <c r="J71" i="42" s="1"/>
  <c r="AW183" i="50"/>
  <c r="AW61" i="50"/>
  <c r="N29" i="42"/>
  <c r="N31" i="50"/>
  <c r="N33" i="25"/>
  <c r="AY60" i="42"/>
  <c r="BO60" i="42" s="1"/>
  <c r="BI60" i="42"/>
  <c r="BZ510" i="40"/>
  <c r="BX508" i="40"/>
  <c r="BY509" i="40"/>
  <c r="BW507" i="40"/>
  <c r="CA511" i="40"/>
  <c r="CB512" i="40"/>
  <c r="AQ183" i="50" l="1"/>
  <c r="L110" i="25"/>
  <c r="J270" i="50"/>
  <c r="J278" i="50" s="1"/>
  <c r="AP61" i="50"/>
  <c r="AQ61" i="50" s="1"/>
  <c r="AR61" i="50" s="1"/>
  <c r="BA61" i="50"/>
  <c r="K171" i="50" s="1"/>
  <c r="L113" i="25"/>
  <c r="K45" i="32" s="1"/>
  <c r="AZ122" i="50"/>
  <c r="AS60" i="42"/>
  <c r="M112" i="25" s="1"/>
  <c r="BC183" i="50"/>
  <c r="M252" i="50" s="1"/>
  <c r="AZ60" i="42"/>
  <c r="BP60" i="42" s="1"/>
  <c r="BX60" i="42" s="1"/>
  <c r="L71" i="42" s="1"/>
  <c r="BJ60" i="42"/>
  <c r="D618" i="40"/>
  <c r="D617" i="40"/>
  <c r="D837" i="40"/>
  <c r="D784" i="40"/>
  <c r="D744" i="40"/>
  <c r="D745" i="40"/>
  <c r="D775" i="40"/>
  <c r="D816" i="40"/>
  <c r="M787" i="37"/>
  <c r="BW60" i="42"/>
  <c r="K71" i="42" s="1"/>
  <c r="M271" i="50"/>
  <c r="D712" i="40"/>
  <c r="D822" i="40"/>
  <c r="D801" i="40"/>
  <c r="D760" i="40"/>
  <c r="AX183" i="50"/>
  <c r="AX61" i="50"/>
  <c r="D626" i="40"/>
  <c r="D595" i="40"/>
  <c r="D627" i="40"/>
  <c r="BX507" i="40"/>
  <c r="CC512" i="40"/>
  <c r="CD512" i="40" s="1"/>
  <c r="CE512" i="40" s="1"/>
  <c r="CF512" i="40" s="1"/>
  <c r="CG512" i="40" s="1"/>
  <c r="BY508" i="40"/>
  <c r="CB511" i="40"/>
  <c r="BZ509" i="40"/>
  <c r="CA510" i="40"/>
  <c r="BA60" i="42" l="1"/>
  <c r="BQ60" i="42" s="1"/>
  <c r="BY60" i="42" s="1"/>
  <c r="AR183" i="50"/>
  <c r="N110" i="25" s="1"/>
  <c r="M110" i="25"/>
  <c r="AT60" i="42"/>
  <c r="N112" i="25" s="1"/>
  <c r="K35" i="32"/>
  <c r="BB61" i="50"/>
  <c r="L171" i="50" s="1"/>
  <c r="D783" i="40"/>
  <c r="D751" i="40"/>
  <c r="N271" i="50"/>
  <c r="D815" i="40"/>
  <c r="D774" i="40"/>
  <c r="D800" i="40"/>
  <c r="D759" i="40"/>
  <c r="K270" i="50"/>
  <c r="K278" i="50" s="1"/>
  <c r="CA509" i="40"/>
  <c r="CB510" i="40"/>
  <c r="CC511" i="40"/>
  <c r="CD511" i="40" s="1"/>
  <c r="CE511" i="40" s="1"/>
  <c r="CF511" i="40" s="1"/>
  <c r="CG511" i="40" s="1"/>
  <c r="BZ508" i="40"/>
  <c r="BY507" i="40"/>
  <c r="BD183" i="50" l="1"/>
  <c r="N252" i="50" s="1"/>
  <c r="L270" i="50"/>
  <c r="BB60" i="42"/>
  <c r="BR60" i="42" s="1"/>
  <c r="BZ60" i="42" s="1"/>
  <c r="BC61" i="50"/>
  <c r="M171" i="50" s="1"/>
  <c r="D567" i="40"/>
  <c r="D554" i="40"/>
  <c r="D773" i="40"/>
  <c r="D836" i="40"/>
  <c r="D750" i="40"/>
  <c r="D821" i="40"/>
  <c r="D670" i="40"/>
  <c r="CA508" i="40"/>
  <c r="D645" i="40" s="1"/>
  <c r="CC510" i="40"/>
  <c r="CD510" i="40" s="1"/>
  <c r="CE510" i="40" s="1"/>
  <c r="CF510" i="40" s="1"/>
  <c r="CG510" i="40" s="1"/>
  <c r="BZ507" i="40"/>
  <c r="CB509" i="40"/>
  <c r="L278" i="50" l="1"/>
  <c r="K41" i="32" s="1"/>
  <c r="M270" i="50"/>
  <c r="BD61" i="50"/>
  <c r="N171" i="50" s="1"/>
  <c r="D749" i="40"/>
  <c r="D782" i="40"/>
  <c r="D754" i="40"/>
  <c r="D814" i="40"/>
  <c r="D669" i="40"/>
  <c r="D799" i="40"/>
  <c r="D636" i="40"/>
  <c r="D603" i="40"/>
  <c r="D594" i="40"/>
  <c r="CC509" i="40"/>
  <c r="D875" i="40" s="1"/>
  <c r="CA507" i="40"/>
  <c r="CB508" i="40"/>
  <c r="CD509" i="40" l="1"/>
  <c r="CE509" i="40" s="1"/>
  <c r="CF509" i="40" s="1"/>
  <c r="CG509" i="40" s="1"/>
  <c r="N270" i="50"/>
  <c r="D706" i="40"/>
  <c r="D758" i="40"/>
  <c r="D637" i="40"/>
  <c r="D553" i="40"/>
  <c r="D753" i="40"/>
  <c r="D772" i="40"/>
  <c r="D771" i="40"/>
  <c r="D729" i="40"/>
  <c r="D756" i="40"/>
  <c r="D709" i="40"/>
  <c r="D702" i="40"/>
  <c r="D638" i="40"/>
  <c r="D566" i="40"/>
  <c r="D593" i="40"/>
  <c r="CC508" i="40"/>
  <c r="CB507" i="40"/>
  <c r="D757" i="40" s="1"/>
  <c r="D948" i="40" l="1"/>
  <c r="H93" i="25" s="1"/>
  <c r="L96" i="25" s="1"/>
  <c r="D874" i="40"/>
  <c r="D909" i="40"/>
  <c r="F948" i="40" s="1"/>
  <c r="J93" i="25" s="1"/>
  <c r="CD508" i="40"/>
  <c r="CE508" i="40" s="1"/>
  <c r="CF508" i="40" s="1"/>
  <c r="CG508" i="40" s="1"/>
  <c r="D947" i="40"/>
  <c r="H92" i="25" s="1"/>
  <c r="L95" i="25" s="1"/>
  <c r="D762" i="40"/>
  <c r="D733" i="40"/>
  <c r="D743" i="40"/>
  <c r="D752" i="40"/>
  <c r="D770" i="40"/>
  <c r="D728" i="40"/>
  <c r="D668" i="40"/>
  <c r="D742" i="40"/>
  <c r="D727" i="40"/>
  <c r="D755" i="40"/>
  <c r="D747" i="40"/>
  <c r="D731" i="40"/>
  <c r="D732" i="40"/>
  <c r="D701" i="40"/>
  <c r="CC507" i="40"/>
  <c r="M131" i="66" l="1"/>
  <c r="E947" i="40"/>
  <c r="I92" i="25" s="1"/>
  <c r="D873" i="40"/>
  <c r="D915" i="40"/>
  <c r="K100" i="25"/>
  <c r="L100" i="25"/>
  <c r="J100" i="25"/>
  <c r="CD507" i="40"/>
  <c r="CE507" i="40" s="1"/>
  <c r="CF507" i="40" s="1"/>
  <c r="CG507" i="40" s="1"/>
  <c r="E948" i="40"/>
  <c r="I93" i="25" s="1"/>
  <c r="J95" i="25"/>
  <c r="K95" i="25"/>
  <c r="K96" i="25"/>
  <c r="J96" i="25"/>
  <c r="H15" i="32"/>
  <c r="F12" i="32"/>
  <c r="F947" i="40" l="1"/>
  <c r="J92" i="25" s="1"/>
  <c r="J99" i="25" s="1"/>
  <c r="O134" i="66"/>
  <c r="O145" i="66" s="1"/>
  <c r="I30" i="32"/>
  <c r="J30" i="32" s="1"/>
  <c r="K30" i="32" s="1"/>
  <c r="L97" i="25"/>
  <c r="K97" i="25"/>
  <c r="J97" i="25"/>
  <c r="L98" i="25"/>
  <c r="J98" i="25"/>
  <c r="K98" i="25"/>
  <c r="K50" i="32" l="1"/>
  <c r="L99" i="25"/>
  <c r="K99" i="25"/>
  <c r="K44" i="32"/>
  <c r="I54" i="32"/>
  <c r="K54" i="32" l="1"/>
  <c r="K28" i="34" s="1"/>
  <c r="K31" i="34" l="1"/>
  <c r="K30" i="34"/>
  <c r="K35" i="34" l="1"/>
  <c r="K36" i="34" s="1"/>
  <c r="K43" i="34" s="1"/>
  <c r="F85" i="36" s="1"/>
  <c r="K47" i="34"/>
  <c r="O144" i="36" l="1"/>
  <c r="O153" i="36"/>
  <c r="O74" i="21" s="1"/>
  <c r="O150" i="36"/>
  <c r="O71" i="21" s="1"/>
  <c r="O147" i="36"/>
  <c r="O68" i="21" s="1"/>
  <c r="K41" i="34"/>
  <c r="F83" i="36" s="1"/>
  <c r="K40" i="34"/>
  <c r="K42" i="34"/>
  <c r="F84" i="36" s="1"/>
  <c r="R147" i="36"/>
  <c r="R68" i="21" s="1"/>
  <c r="Q151" i="36"/>
  <c r="Q72" i="21" s="1"/>
  <c r="P154" i="36"/>
  <c r="P75" i="21" s="1"/>
  <c r="Q148" i="36"/>
  <c r="Q69" i="21" s="1"/>
  <c r="O65" i="21"/>
  <c r="P155" i="36"/>
  <c r="P76" i="21" s="1"/>
  <c r="Q144" i="36"/>
  <c r="Q65" i="21" s="1"/>
  <c r="Q153" i="36"/>
  <c r="Q74" i="21" s="1"/>
  <c r="Q154" i="36"/>
  <c r="Q75" i="21" s="1"/>
  <c r="Q146" i="36"/>
  <c r="Q67" i="21" s="1"/>
  <c r="P153" i="36"/>
  <c r="P74" i="21" s="1"/>
  <c r="R110" i="36"/>
  <c r="R32" i="21" s="1"/>
  <c r="P112" i="36"/>
  <c r="P34" i="21" s="1"/>
  <c r="R117" i="36"/>
  <c r="R39" i="21" s="1"/>
  <c r="Q113" i="36"/>
  <c r="Q35" i="21" s="1"/>
  <c r="Q110" i="36"/>
  <c r="Q32" i="21" s="1"/>
  <c r="R112" i="36"/>
  <c r="R34" i="21" s="1"/>
  <c r="P120" i="36"/>
  <c r="P42" i="21" s="1"/>
  <c r="R119" i="36"/>
  <c r="R41" i="21" s="1"/>
  <c r="Q120" i="36"/>
  <c r="Q42" i="21" s="1"/>
  <c r="O112" i="36"/>
  <c r="O34" i="21" s="1"/>
  <c r="P144" i="36"/>
  <c r="P65" i="21" s="1"/>
  <c r="P115" i="36"/>
  <c r="P37" i="21" s="1"/>
  <c r="Q111" i="36"/>
  <c r="Q33" i="21" s="1"/>
  <c r="P116" i="36"/>
  <c r="P38" i="21" s="1"/>
  <c r="P117" i="36"/>
  <c r="P39" i="21" s="1"/>
  <c r="R120" i="36"/>
  <c r="R42" i="21" s="1"/>
  <c r="Q115" i="36"/>
  <c r="Q37" i="21" s="1"/>
  <c r="R118" i="36"/>
  <c r="R40" i="21" s="1"/>
  <c r="P110" i="36"/>
  <c r="P32" i="21" s="1"/>
  <c r="R116" i="36"/>
  <c r="R38" i="21" s="1"/>
  <c r="R155" i="36"/>
  <c r="R76" i="21" s="1"/>
  <c r="P146" i="36"/>
  <c r="P67" i="21" s="1"/>
  <c r="R148" i="36"/>
  <c r="R69" i="21" s="1"/>
  <c r="P147" i="36"/>
  <c r="P68" i="21" s="1"/>
  <c r="Q145" i="36"/>
  <c r="Q66" i="21" s="1"/>
  <c r="N144" i="36"/>
  <c r="N65" i="21" s="1"/>
  <c r="R145" i="36"/>
  <c r="R66" i="21" s="1"/>
  <c r="R154" i="36"/>
  <c r="R75" i="21" s="1"/>
  <c r="R146" i="36"/>
  <c r="R67" i="21" s="1"/>
  <c r="O115" i="36"/>
  <c r="O37" i="21" s="1"/>
  <c r="P114" i="36"/>
  <c r="P36" i="21" s="1"/>
  <c r="Q109" i="36"/>
  <c r="Q31" i="21" s="1"/>
  <c r="Q118" i="36"/>
  <c r="Q40" i="21" s="1"/>
  <c r="Q112" i="36"/>
  <c r="Q34" i="21" s="1"/>
  <c r="N109" i="36"/>
  <c r="N31" i="21" s="1"/>
  <c r="Q114" i="36"/>
  <c r="Q36" i="21" s="1"/>
  <c r="O118" i="36"/>
  <c r="O40" i="21" s="1"/>
  <c r="O109" i="36"/>
  <c r="O31" i="21" s="1"/>
  <c r="R113" i="36"/>
  <c r="R35" i="21" s="1"/>
  <c r="P119" i="36"/>
  <c r="P41" i="21" s="1"/>
  <c r="Q147" i="36"/>
  <c r="Q68" i="21" s="1"/>
  <c r="P150" i="36"/>
  <c r="P71" i="21" s="1"/>
  <c r="R152" i="36"/>
  <c r="R73" i="21" s="1"/>
  <c r="P151" i="36"/>
  <c r="P72" i="21" s="1"/>
  <c r="Q149" i="36"/>
  <c r="Q70" i="21" s="1"/>
  <c r="R144" i="36"/>
  <c r="R65" i="21" s="1"/>
  <c r="R153" i="36"/>
  <c r="R74" i="21" s="1"/>
  <c r="R150" i="36"/>
  <c r="R71" i="21" s="1"/>
  <c r="P145" i="36"/>
  <c r="P66" i="21" s="1"/>
  <c r="Q150" i="36"/>
  <c r="Q71" i="21" s="1"/>
  <c r="P111" i="36"/>
  <c r="P33" i="21" s="1"/>
  <c r="P113" i="36"/>
  <c r="P35" i="21" s="1"/>
  <c r="R109" i="36"/>
  <c r="R31" i="21" s="1"/>
  <c r="R111" i="36"/>
  <c r="R33" i="21" s="1"/>
  <c r="P109" i="36"/>
  <c r="P31" i="21" s="1"/>
  <c r="Q117" i="36"/>
  <c r="Q39" i="21" s="1"/>
  <c r="Q116" i="36"/>
  <c r="Q38" i="21" s="1"/>
  <c r="R114" i="36"/>
  <c r="R36" i="21" s="1"/>
  <c r="R115" i="36"/>
  <c r="R37" i="21" s="1"/>
  <c r="P118" i="36"/>
  <c r="P40" i="21" s="1"/>
  <c r="R151" i="36"/>
  <c r="R72" i="21" s="1"/>
  <c r="Q155" i="36"/>
  <c r="Q76" i="21" s="1"/>
  <c r="Q152" i="36"/>
  <c r="Q73" i="21" s="1"/>
  <c r="R149" i="36"/>
  <c r="R70" i="21" s="1"/>
  <c r="P152" i="36"/>
  <c r="P73" i="21" s="1"/>
  <c r="P148" i="36"/>
  <c r="P69" i="21" s="1"/>
  <c r="P149" i="36"/>
  <c r="P70" i="21" s="1"/>
  <c r="Q119" i="36"/>
  <c r="Q41" i="21" s="1"/>
  <c r="O127" i="36" l="1"/>
  <c r="O136" i="36"/>
  <c r="O133" i="36"/>
  <c r="O130" i="36"/>
  <c r="O51" i="21" s="1"/>
  <c r="L150" i="36"/>
  <c r="L71" i="21" s="1"/>
  <c r="I144" i="36"/>
  <c r="I153" i="36"/>
  <c r="I74" i="21" s="1"/>
  <c r="I150" i="36"/>
  <c r="I71" i="21" s="1"/>
  <c r="I147" i="36"/>
  <c r="F82" i="36"/>
  <c r="K48" i="34"/>
  <c r="K50" i="34" s="1"/>
  <c r="L111" i="36"/>
  <c r="L33" i="21" s="1"/>
  <c r="R128" i="36"/>
  <c r="R49" i="21" s="1"/>
  <c r="P99" i="36"/>
  <c r="P22" i="21" s="1"/>
  <c r="P129" i="36"/>
  <c r="P50" i="21" s="1"/>
  <c r="J114" i="36"/>
  <c r="J36" i="21" s="1"/>
  <c r="K113" i="36"/>
  <c r="K35" i="21" s="1"/>
  <c r="P132" i="36"/>
  <c r="P53" i="21" s="1"/>
  <c r="P94" i="36"/>
  <c r="P17" i="21" s="1"/>
  <c r="P179" i="36"/>
  <c r="P100" i="21" s="1"/>
  <c r="R131" i="36"/>
  <c r="R52" i="21" s="1"/>
  <c r="P91" i="36"/>
  <c r="P14" i="21" s="1"/>
  <c r="L118" i="36"/>
  <c r="L40" i="21" s="1"/>
  <c r="P92" i="36"/>
  <c r="P15" i="21" s="1"/>
  <c r="Q127" i="36"/>
  <c r="Q48" i="21" s="1"/>
  <c r="I181" i="36"/>
  <c r="I102" i="21" s="1"/>
  <c r="Q93" i="36"/>
  <c r="Q16" i="21" s="1"/>
  <c r="N91" i="36"/>
  <c r="N14" i="21" s="1"/>
  <c r="Q102" i="36"/>
  <c r="Q25" i="21" s="1"/>
  <c r="P178" i="36"/>
  <c r="P99" i="21" s="1"/>
  <c r="P101" i="36"/>
  <c r="P24" i="21" s="1"/>
  <c r="Q131" i="36"/>
  <c r="Q52" i="21" s="1"/>
  <c r="R137" i="36"/>
  <c r="R58" i="21" s="1"/>
  <c r="Q138" i="36"/>
  <c r="Q59" i="21" s="1"/>
  <c r="P128" i="36"/>
  <c r="P49" i="21" s="1"/>
  <c r="R97" i="36"/>
  <c r="R20" i="21" s="1"/>
  <c r="Q100" i="36"/>
  <c r="Q23" i="21" s="1"/>
  <c r="P98" i="36"/>
  <c r="P21" i="21" s="1"/>
  <c r="P184" i="36"/>
  <c r="P105" i="21" s="1"/>
  <c r="O187" i="36"/>
  <c r="O108" i="21" s="1"/>
  <c r="Q91" i="36"/>
  <c r="Q14" i="21" s="1"/>
  <c r="R134" i="36"/>
  <c r="R55" i="21" s="1"/>
  <c r="O48" i="21"/>
  <c r="Q134" i="36"/>
  <c r="Q55" i="21" s="1"/>
  <c r="R136" i="36"/>
  <c r="R57" i="21" s="1"/>
  <c r="R102" i="36"/>
  <c r="R25" i="21" s="1"/>
  <c r="P100" i="36"/>
  <c r="P23" i="21" s="1"/>
  <c r="R95" i="36"/>
  <c r="R18" i="21" s="1"/>
  <c r="P187" i="36"/>
  <c r="P108" i="21" s="1"/>
  <c r="R96" i="36"/>
  <c r="R19" i="21" s="1"/>
  <c r="P133" i="36"/>
  <c r="P54" i="21" s="1"/>
  <c r="P135" i="36"/>
  <c r="P56" i="21" s="1"/>
  <c r="N127" i="36"/>
  <c r="N48" i="21" s="1"/>
  <c r="L114" i="36"/>
  <c r="L36" i="21" s="1"/>
  <c r="J184" i="36"/>
  <c r="J105" i="21" s="1"/>
  <c r="P96" i="36"/>
  <c r="P19" i="21" s="1"/>
  <c r="R94" i="36"/>
  <c r="R17" i="21" s="1"/>
  <c r="R93" i="36"/>
  <c r="R16" i="21" s="1"/>
  <c r="R99" i="36"/>
  <c r="R22" i="21" s="1"/>
  <c r="P180" i="36"/>
  <c r="P101" i="21" s="1"/>
  <c r="R100" i="36"/>
  <c r="R23" i="21" s="1"/>
  <c r="Q94" i="36"/>
  <c r="Q17" i="21" s="1"/>
  <c r="J144" i="36"/>
  <c r="J65" i="21" s="1"/>
  <c r="P130" i="36"/>
  <c r="P51" i="21" s="1"/>
  <c r="Q129" i="36"/>
  <c r="Q50" i="21" s="1"/>
  <c r="R127" i="36"/>
  <c r="R48" i="21" s="1"/>
  <c r="R130" i="36"/>
  <c r="R51" i="21" s="1"/>
  <c r="Q128" i="36"/>
  <c r="Q49" i="21" s="1"/>
  <c r="H178" i="36"/>
  <c r="H99" i="21" s="1"/>
  <c r="K115" i="36"/>
  <c r="K37" i="21" s="1"/>
  <c r="J119" i="36"/>
  <c r="J41" i="21" s="1"/>
  <c r="L153" i="36"/>
  <c r="L74" i="21" s="1"/>
  <c r="L117" i="36"/>
  <c r="L39" i="21" s="1"/>
  <c r="H109" i="36"/>
  <c r="H31" i="21" s="1"/>
  <c r="K118" i="36"/>
  <c r="K40" i="21" s="1"/>
  <c r="J110" i="36"/>
  <c r="J32" i="21" s="1"/>
  <c r="K149" i="36"/>
  <c r="K70" i="21" s="1"/>
  <c r="L155" i="36"/>
  <c r="L76" i="21" s="1"/>
  <c r="K144" i="36"/>
  <c r="K65" i="21" s="1"/>
  <c r="K154" i="36"/>
  <c r="K75" i="21" s="1"/>
  <c r="L119" i="36"/>
  <c r="L41" i="21" s="1"/>
  <c r="L112" i="36"/>
  <c r="L34" i="21" s="1"/>
  <c r="I112" i="36"/>
  <c r="I34" i="21" s="1"/>
  <c r="K120" i="36"/>
  <c r="K42" i="21" s="1"/>
  <c r="J178" i="36"/>
  <c r="J99" i="21" s="1"/>
  <c r="J187" i="36"/>
  <c r="J108" i="21" s="1"/>
  <c r="J120" i="36"/>
  <c r="J42" i="21" s="1"/>
  <c r="J116" i="36"/>
  <c r="J38" i="21" s="1"/>
  <c r="L116" i="36"/>
  <c r="L38" i="21" s="1"/>
  <c r="J181" i="36"/>
  <c r="J102" i="21" s="1"/>
  <c r="I68" i="21"/>
  <c r="L145" i="36"/>
  <c r="L66" i="21" s="1"/>
  <c r="L148" i="36"/>
  <c r="L69" i="21" s="1"/>
  <c r="J148" i="36"/>
  <c r="J69" i="21" s="1"/>
  <c r="J151" i="36"/>
  <c r="J72" i="21" s="1"/>
  <c r="K150" i="36"/>
  <c r="K71" i="21" s="1"/>
  <c r="I115" i="36"/>
  <c r="I37" i="21" s="1"/>
  <c r="I184" i="36"/>
  <c r="I105" i="21" s="1"/>
  <c r="J113" i="36"/>
  <c r="J35" i="21" s="1"/>
  <c r="L109" i="36"/>
  <c r="L31" i="21" s="1"/>
  <c r="L110" i="36"/>
  <c r="L32" i="21" s="1"/>
  <c r="K145" i="36"/>
  <c r="K66" i="21" s="1"/>
  <c r="K153" i="36"/>
  <c r="K74" i="21" s="1"/>
  <c r="I65" i="21"/>
  <c r="J155" i="36"/>
  <c r="J76" i="21" s="1"/>
  <c r="K152" i="36"/>
  <c r="K73" i="21" s="1"/>
  <c r="K151" i="36"/>
  <c r="K72" i="21" s="1"/>
  <c r="J154" i="36"/>
  <c r="J75" i="21" s="1"/>
  <c r="K146" i="36"/>
  <c r="K67" i="21" s="1"/>
  <c r="J109" i="36"/>
  <c r="J31" i="21" s="1"/>
  <c r="K112" i="36"/>
  <c r="K34" i="21" s="1"/>
  <c r="J118" i="36"/>
  <c r="J40" i="21" s="1"/>
  <c r="K111" i="36"/>
  <c r="K33" i="21" s="1"/>
  <c r="J111" i="36"/>
  <c r="J33" i="21" s="1"/>
  <c r="J117" i="36"/>
  <c r="J39" i="21" s="1"/>
  <c r="J183" i="36"/>
  <c r="J104" i="21" s="1"/>
  <c r="L113" i="36"/>
  <c r="L35" i="21" s="1"/>
  <c r="K114" i="36"/>
  <c r="K36" i="21" s="1"/>
  <c r="J112" i="36"/>
  <c r="J34" i="21" s="1"/>
  <c r="K119" i="36"/>
  <c r="K41" i="21" s="1"/>
  <c r="J180" i="36"/>
  <c r="J101" i="21" s="1"/>
  <c r="K110" i="36"/>
  <c r="K32" i="21" s="1"/>
  <c r="I118" i="36"/>
  <c r="I40" i="21" s="1"/>
  <c r="L115" i="36"/>
  <c r="L37" i="21" s="1"/>
  <c r="L120" i="36"/>
  <c r="L42" i="21" s="1"/>
  <c r="K109" i="36"/>
  <c r="K31" i="21" s="1"/>
  <c r="K117" i="36"/>
  <c r="K39" i="21" s="1"/>
  <c r="K116" i="36"/>
  <c r="K38" i="21" s="1"/>
  <c r="I109" i="36"/>
  <c r="I31" i="21" s="1"/>
  <c r="J186" i="36"/>
  <c r="J107" i="21" s="1"/>
  <c r="J115" i="36"/>
  <c r="J37" i="21" s="1"/>
  <c r="H144" i="36"/>
  <c r="H65" i="21" s="1"/>
  <c r="J153" i="36"/>
  <c r="J74" i="21" s="1"/>
  <c r="J152" i="36"/>
  <c r="J73" i="21" s="1"/>
  <c r="K155" i="36"/>
  <c r="K76" i="21" s="1"/>
  <c r="L152" i="36"/>
  <c r="L73" i="21" s="1"/>
  <c r="K147" i="36"/>
  <c r="K68" i="21" s="1"/>
  <c r="J150" i="36"/>
  <c r="J71" i="21" s="1"/>
  <c r="L146" i="36"/>
  <c r="L67" i="21" s="1"/>
  <c r="J145" i="36"/>
  <c r="J66" i="21" s="1"/>
  <c r="L149" i="36"/>
  <c r="L70" i="21" s="1"/>
  <c r="J149" i="36"/>
  <c r="J70" i="21" s="1"/>
  <c r="L144" i="36"/>
  <c r="L65" i="21" s="1"/>
  <c r="L151" i="36"/>
  <c r="L72" i="21" s="1"/>
  <c r="K148" i="36"/>
  <c r="K69" i="21" s="1"/>
  <c r="J147" i="36"/>
  <c r="J68" i="21" s="1"/>
  <c r="L147" i="36"/>
  <c r="L68" i="21" s="1"/>
  <c r="J146" i="36"/>
  <c r="J67" i="21" s="1"/>
  <c r="L154" i="36"/>
  <c r="L75" i="21" s="1"/>
  <c r="I187" i="36"/>
  <c r="I108" i="21" s="1"/>
  <c r="J188" i="36"/>
  <c r="J109" i="21" s="1"/>
  <c r="J189" i="36"/>
  <c r="J110" i="21" s="1"/>
  <c r="O100" i="36"/>
  <c r="O23" i="21" s="1"/>
  <c r="O91" i="36"/>
  <c r="O14" i="21" s="1"/>
  <c r="R101" i="36"/>
  <c r="R24" i="21" s="1"/>
  <c r="O181" i="36"/>
  <c r="O102" i="21" s="1"/>
  <c r="P186" i="36"/>
  <c r="P107" i="21" s="1"/>
  <c r="R91" i="36"/>
  <c r="R14" i="21" s="1"/>
  <c r="O184" i="36"/>
  <c r="O105" i="21" s="1"/>
  <c r="P181" i="36"/>
  <c r="P102" i="21" s="1"/>
  <c r="R135" i="36"/>
  <c r="R56" i="21" s="1"/>
  <c r="O54" i="21"/>
  <c r="Q137" i="36"/>
  <c r="Q58" i="21" s="1"/>
  <c r="R133" i="36"/>
  <c r="R54" i="21" s="1"/>
  <c r="P131" i="36"/>
  <c r="P52" i="21" s="1"/>
  <c r="O57" i="21"/>
  <c r="Q130" i="36"/>
  <c r="Q51" i="21" s="1"/>
  <c r="Q136" i="36"/>
  <c r="Q57" i="21" s="1"/>
  <c r="R132" i="36"/>
  <c r="R53" i="21" s="1"/>
  <c r="J182" i="36"/>
  <c r="J103" i="21" s="1"/>
  <c r="J185" i="36"/>
  <c r="J106" i="21" s="1"/>
  <c r="P93" i="36"/>
  <c r="P16" i="21" s="1"/>
  <c r="P188" i="36"/>
  <c r="P109" i="21" s="1"/>
  <c r="P189" i="36"/>
  <c r="P110" i="21" s="1"/>
  <c r="P95" i="36"/>
  <c r="P18" i="21" s="1"/>
  <c r="P183" i="36"/>
  <c r="P104" i="21" s="1"/>
  <c r="R92" i="36"/>
  <c r="R15" i="21" s="1"/>
  <c r="Q95" i="36"/>
  <c r="Q18" i="21" s="1"/>
  <c r="J179" i="36"/>
  <c r="J100" i="21" s="1"/>
  <c r="I178" i="36"/>
  <c r="I99" i="21" s="1"/>
  <c r="P182" i="36"/>
  <c r="P103" i="21" s="1"/>
  <c r="R98" i="36"/>
  <c r="R21" i="21" s="1"/>
  <c r="Q97" i="36"/>
  <c r="Q20" i="21" s="1"/>
  <c r="Q96" i="36"/>
  <c r="Q19" i="21" s="1"/>
  <c r="Q92" i="36"/>
  <c r="Q15" i="21" s="1"/>
  <c r="O97" i="36"/>
  <c r="O20" i="21" s="1"/>
  <c r="Q101" i="36"/>
  <c r="Q24" i="21" s="1"/>
  <c r="N178" i="36"/>
  <c r="N99" i="21" s="1"/>
  <c r="P102" i="36"/>
  <c r="P25" i="21" s="1"/>
  <c r="O94" i="36"/>
  <c r="O17" i="21" s="1"/>
  <c r="O178" i="36"/>
  <c r="O99" i="21" s="1"/>
  <c r="P97" i="36"/>
  <c r="P20" i="21" s="1"/>
  <c r="Q99" i="36"/>
  <c r="Q22" i="21" s="1"/>
  <c r="P185" i="36"/>
  <c r="P106" i="21" s="1"/>
  <c r="Q98" i="36"/>
  <c r="Q21" i="21" s="1"/>
  <c r="P127" i="36"/>
  <c r="P48" i="21" s="1"/>
  <c r="P138" i="36"/>
  <c r="P59" i="21" s="1"/>
  <c r="P137" i="36"/>
  <c r="P58" i="21" s="1"/>
  <c r="Q133" i="36"/>
  <c r="Q54" i="21" s="1"/>
  <c r="R129" i="36"/>
  <c r="R50" i="21" s="1"/>
  <c r="Q135" i="36"/>
  <c r="Q56" i="21" s="1"/>
  <c r="P134" i="36"/>
  <c r="P55" i="21" s="1"/>
  <c r="R138" i="36"/>
  <c r="R59" i="21" s="1"/>
  <c r="P136" i="36"/>
  <c r="P57" i="21" s="1"/>
  <c r="Q132" i="36"/>
  <c r="Q53" i="21" s="1"/>
  <c r="K131" i="36" l="1"/>
  <c r="K52" i="21" s="1"/>
  <c r="H127" i="36"/>
  <c r="I127" i="36"/>
  <c r="I136" i="36"/>
  <c r="I57" i="21" s="1"/>
  <c r="I133" i="36"/>
  <c r="I130" i="36"/>
  <c r="H161" i="36"/>
  <c r="L98" i="36"/>
  <c r="L21" i="21" s="1"/>
  <c r="L131" i="36"/>
  <c r="L52" i="21" s="1"/>
  <c r="K94" i="36"/>
  <c r="K17" i="21" s="1"/>
  <c r="J172" i="36"/>
  <c r="J93" i="21" s="1"/>
  <c r="K96" i="36"/>
  <c r="K19" i="21" s="1"/>
  <c r="L130" i="36"/>
  <c r="L51" i="21" s="1"/>
  <c r="L91" i="36"/>
  <c r="L14" i="21" s="1"/>
  <c r="L128" i="36"/>
  <c r="L49" i="21" s="1"/>
  <c r="K91" i="36"/>
  <c r="K14" i="21" s="1"/>
  <c r="P162" i="36"/>
  <c r="P83" i="21" s="1"/>
  <c r="P164" i="36"/>
  <c r="P85" i="21" s="1"/>
  <c r="L137" i="36"/>
  <c r="L58" i="21" s="1"/>
  <c r="K137" i="36"/>
  <c r="K58" i="21" s="1"/>
  <c r="J166" i="36"/>
  <c r="J87" i="21" s="1"/>
  <c r="I170" i="36"/>
  <c r="I91" i="21" s="1"/>
  <c r="L93" i="36"/>
  <c r="L16" i="21" s="1"/>
  <c r="J162" i="36"/>
  <c r="J83" i="21" s="1"/>
  <c r="L95" i="36"/>
  <c r="L18" i="21" s="1"/>
  <c r="J171" i="36"/>
  <c r="J92" i="21" s="1"/>
  <c r="J130" i="36"/>
  <c r="J51" i="21" s="1"/>
  <c r="J136" i="36"/>
  <c r="J57" i="21" s="1"/>
  <c r="J127" i="36"/>
  <c r="J48" i="21" s="1"/>
  <c r="O170" i="36"/>
  <c r="O91" i="21" s="1"/>
  <c r="K99" i="36"/>
  <c r="K22" i="21" s="1"/>
  <c r="J169" i="36"/>
  <c r="J90" i="21" s="1"/>
  <c r="P166" i="36"/>
  <c r="P87" i="21" s="1"/>
  <c r="K134" i="36"/>
  <c r="K55" i="21" s="1"/>
  <c r="K132" i="36"/>
  <c r="K53" i="21" s="1"/>
  <c r="K135" i="36"/>
  <c r="K56" i="21" s="1"/>
  <c r="J93" i="36"/>
  <c r="J16" i="21" s="1"/>
  <c r="L100" i="36"/>
  <c r="L23" i="21" s="1"/>
  <c r="H82" i="21"/>
  <c r="J92" i="36"/>
  <c r="J15" i="21" s="1"/>
  <c r="K102" i="36"/>
  <c r="K25" i="21" s="1"/>
  <c r="J99" i="36"/>
  <c r="J22" i="21" s="1"/>
  <c r="P171" i="36"/>
  <c r="P92" i="21" s="1"/>
  <c r="P163" i="36"/>
  <c r="P84" i="21" s="1"/>
  <c r="P168" i="36"/>
  <c r="P89" i="21" s="1"/>
  <c r="P169" i="36"/>
  <c r="P90" i="21" s="1"/>
  <c r="I161" i="36"/>
  <c r="I82" i="21" s="1"/>
  <c r="L101" i="36"/>
  <c r="L24" i="21" s="1"/>
  <c r="L97" i="36"/>
  <c r="L20" i="21" s="1"/>
  <c r="J170" i="36"/>
  <c r="J91" i="21" s="1"/>
  <c r="I91" i="36"/>
  <c r="I14" i="21" s="1"/>
  <c r="O161" i="36"/>
  <c r="O82" i="21" s="1"/>
  <c r="J134" i="36"/>
  <c r="J55" i="21" s="1"/>
  <c r="J137" i="36"/>
  <c r="J58" i="21" s="1"/>
  <c r="L133" i="36"/>
  <c r="L54" i="21" s="1"/>
  <c r="J132" i="36"/>
  <c r="J53" i="21" s="1"/>
  <c r="L134" i="36"/>
  <c r="L55" i="21" s="1"/>
  <c r="K129" i="36"/>
  <c r="K50" i="21" s="1"/>
  <c r="J135" i="36"/>
  <c r="J56" i="21" s="1"/>
  <c r="J167" i="36"/>
  <c r="J88" i="21" s="1"/>
  <c r="J91" i="36"/>
  <c r="J14" i="21" s="1"/>
  <c r="J97" i="36"/>
  <c r="J20" i="21" s="1"/>
  <c r="J96" i="36"/>
  <c r="J19" i="21" s="1"/>
  <c r="I167" i="36"/>
  <c r="I88" i="21" s="1"/>
  <c r="P172" i="36"/>
  <c r="P93" i="21" s="1"/>
  <c r="K98" i="36"/>
  <c r="K21" i="21" s="1"/>
  <c r="N161" i="36"/>
  <c r="N82" i="21" s="1"/>
  <c r="L102" i="36"/>
  <c r="L25" i="21" s="1"/>
  <c r="J95" i="36"/>
  <c r="J18" i="21" s="1"/>
  <c r="P161" i="36"/>
  <c r="P82" i="21" s="1"/>
  <c r="O164" i="36"/>
  <c r="O85" i="21" s="1"/>
  <c r="K97" i="36"/>
  <c r="K20" i="21" s="1"/>
  <c r="L99" i="36"/>
  <c r="L22" i="21" s="1"/>
  <c r="J168" i="36"/>
  <c r="J89" i="21" s="1"/>
  <c r="J98" i="36"/>
  <c r="J21" i="21" s="1"/>
  <c r="L96" i="36"/>
  <c r="L19" i="21" s="1"/>
  <c r="I100" i="36"/>
  <c r="I23" i="21" s="1"/>
  <c r="J102" i="36"/>
  <c r="J25" i="21" s="1"/>
  <c r="K138" i="36"/>
  <c r="K59" i="21" s="1"/>
  <c r="K130" i="36"/>
  <c r="K51" i="21" s="1"/>
  <c r="J129" i="36"/>
  <c r="J50" i="21" s="1"/>
  <c r="L129" i="36"/>
  <c r="L50" i="21" s="1"/>
  <c r="J128" i="36"/>
  <c r="J49" i="21" s="1"/>
  <c r="L136" i="36"/>
  <c r="L57" i="21" s="1"/>
  <c r="I54" i="21"/>
  <c r="I51" i="21"/>
  <c r="J131" i="36"/>
  <c r="J52" i="21" s="1"/>
  <c r="L127" i="36"/>
  <c r="L48" i="21" s="1"/>
  <c r="J164" i="36"/>
  <c r="J85" i="21" s="1"/>
  <c r="J100" i="36"/>
  <c r="J23" i="21" s="1"/>
  <c r="J94" i="36"/>
  <c r="J17" i="21" s="1"/>
  <c r="K101" i="36"/>
  <c r="K24" i="21" s="1"/>
  <c r="P167" i="36"/>
  <c r="P88" i="21" s="1"/>
  <c r="I94" i="36"/>
  <c r="I17" i="21" s="1"/>
  <c r="J101" i="36"/>
  <c r="J24" i="21" s="1"/>
  <c r="K100" i="36"/>
  <c r="K23" i="21" s="1"/>
  <c r="P165" i="36"/>
  <c r="P86" i="21" s="1"/>
  <c r="J161" i="36"/>
  <c r="J82" i="21" s="1"/>
  <c r="J163" i="36"/>
  <c r="J84" i="21" s="1"/>
  <c r="L92" i="36"/>
  <c r="L15" i="21" s="1"/>
  <c r="I164" i="36"/>
  <c r="I85" i="21" s="1"/>
  <c r="K95" i="36"/>
  <c r="K18" i="21" s="1"/>
  <c r="K93" i="36"/>
  <c r="K16" i="21" s="1"/>
  <c r="K92" i="36"/>
  <c r="K15" i="21" s="1"/>
  <c r="L94" i="36"/>
  <c r="L17" i="21" s="1"/>
  <c r="O167" i="36"/>
  <c r="O88" i="21" s="1"/>
  <c r="H91" i="36"/>
  <c r="H14" i="21" s="1"/>
  <c r="J138" i="36"/>
  <c r="J59" i="21" s="1"/>
  <c r="L138" i="36"/>
  <c r="L59" i="21" s="1"/>
  <c r="K133" i="36"/>
  <c r="K54" i="21" s="1"/>
  <c r="H48" i="21"/>
  <c r="K136" i="36"/>
  <c r="K57" i="21" s="1"/>
  <c r="L132" i="36"/>
  <c r="L53" i="21" s="1"/>
  <c r="J133" i="36"/>
  <c r="J54" i="21" s="1"/>
  <c r="I48" i="21"/>
  <c r="K127" i="36"/>
  <c r="K48" i="21" s="1"/>
  <c r="L135" i="36"/>
  <c r="L56" i="21" s="1"/>
  <c r="J165" i="36"/>
  <c r="J86" i="21" s="1"/>
  <c r="P170" i="36"/>
  <c r="P91" i="21" s="1"/>
  <c r="I97" i="36"/>
  <c r="I20" i="21" s="1"/>
  <c r="K128" i="36"/>
  <c r="K49"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88"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2"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<sst xmlns="http://schemas.openxmlformats.org/spreadsheetml/2006/main" count="4267" uniqueCount="1092">
  <si>
    <t>Titelblad</t>
  </si>
  <si>
    <t>Over dit bestand</t>
  </si>
  <si>
    <t>Zaaknummer</t>
  </si>
  <si>
    <t>ACM/22/180041</t>
  </si>
  <si>
    <t>Titel</t>
  </si>
  <si>
    <t>Rekenmodule Tarieven GTS 2024</t>
  </si>
  <si>
    <t>Ondertitel</t>
  </si>
  <si>
    <t>-</t>
  </si>
  <si>
    <t>Hoort bij besluit(en):</t>
  </si>
  <si>
    <t>Tarievenbesluit GTS 2024</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</si>
  <si>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</si>
  <si>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</si>
  <si>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</si>
  <si>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</si>
  <si>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</si>
  <si>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</si>
  <si>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</si>
  <si>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</si>
  <si>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</si>
  <si>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</si>
  <si>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Ja</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</si>
  <si>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</si>
  <si>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</si>
  <si>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</si>
  <si>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</si>
  <si>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</si>
  <si>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</si>
  <si>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Toelichting bij dit bestand</t>
  </si>
  <si>
    <t>Toelichting bij de werking van dit model</t>
  </si>
  <si>
    <t>Deze rekenmodule wordt gebruikt bij het vaststellen van het Tarievenbesluit GTS 2024.</t>
  </si>
  <si>
    <t>Deze rekenmodule bevat alle gegevens die nodig zijn om de tarieven voor het landelijk gastransportnet te berekenen voor het jaar 2024.</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</si>
  <si>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</si>
  <si>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</si>
  <si>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</si>
  <si>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</si>
  <si>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</si>
  <si>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</si>
  <si>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</si>
  <si>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</si>
  <si>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</si>
  <si>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15. WUI &amp; Ombouwtaak</t>
  </si>
  <si>
    <t>5. Input GAW-waarde desinvesteringen</t>
  </si>
  <si>
    <t>16. Nacalculatie bijschatten</t>
  </si>
  <si>
    <t>6. Input incidentele correctie WQA</t>
  </si>
  <si>
    <t>17. Nacalculatie desinv.</t>
  </si>
  <si>
    <t>24. Toegestane inkomsten</t>
  </si>
  <si>
    <t>25. RPM</t>
  </si>
  <si>
    <t>26. Entry- en exittarieven</t>
  </si>
  <si>
    <t>1. Entry- en exittarieven</t>
  </si>
  <si>
    <t>7. Input incidentele correcties</t>
  </si>
  <si>
    <t>18. Indexatie desinvesteringen</t>
  </si>
  <si>
    <t>8. Input capaciteit</t>
  </si>
  <si>
    <t>19. Nacalculaties</t>
  </si>
  <si>
    <t>9. Investeringen (WUI &amp; Ombouw)</t>
  </si>
  <si>
    <t>20. Correctie WQA</t>
  </si>
  <si>
    <t>10. Investeringen (bijschatten)</t>
  </si>
  <si>
    <t>21. Correctie inkoop energie</t>
  </si>
  <si>
    <t>11. Desinvesteringen</t>
  </si>
  <si>
    <t>22. Correctie assetoverdracht</t>
  </si>
  <si>
    <t>12. Omzet</t>
  </si>
  <si>
    <t>23. Correctie peakshaver</t>
  </si>
  <si>
    <t>13. Operationele kosten</t>
  </si>
  <si>
    <t>14. Volumes stikstof</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</si>
  <si>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</si>
  <si>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</si>
  <si>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</si>
  <si>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</si>
  <si>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</si>
  <si>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</si>
  <si>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</si>
  <si>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</si>
  <si>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</si>
  <si>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</si>
  <si>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</si>
  <si>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</si>
  <si>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</si>
  <si>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</si>
  <si>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</si>
  <si>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</si>
  <si>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</si>
  <si>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</si>
  <si>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</si>
  <si>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</si>
  <si>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</si>
  <si>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</si>
  <si>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</si>
  <si>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</si>
  <si>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</si>
  <si>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</si>
  <si>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</si>
  <si>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</si>
  <si>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</si>
  <si>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</si>
  <si>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</si>
  <si>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</si>
  <si>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</si>
  <si>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</si>
  <si>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</si>
  <si>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</si>
  <si>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</si>
  <si>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</si>
  <si>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</si>
  <si>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</si>
  <si>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</si>
  <si>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</si>
  <si>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</si>
  <si>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</si>
  <si>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</si>
  <si>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</si>
  <si>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</si>
  <si>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</si>
  <si>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</si>
  <si>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</si>
  <si>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</si>
  <si>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</si>
  <si>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</si>
  <si>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</si>
  <si>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</si>
  <si>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</si>
  <si>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</si>
  <si>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</si>
  <si>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</si>
  <si>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</si>
  <si>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</si>
  <si>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</si>
  <si>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2022</t>
  </si>
  <si>
    <t>Rekenmodule Tarieven GTS 2022</t>
  </si>
  <si>
    <t>ACM/20/043661</t>
  </si>
  <si>
    <t>Tarievencode gas</t>
  </si>
  <si>
    <t>Tarievenbesluit 2024</t>
  </si>
  <si>
    <t>Duiding van specifieke Excel-toepassingen en overige bijzonderheden</t>
  </si>
  <si>
    <t>N.v.t.</t>
  </si>
  <si>
    <t>Tabblad 1 - Entry- en exittarieven</t>
  </si>
  <si>
    <t>Beschrijving resultaat</t>
  </si>
  <si>
    <t>Omschrijving</t>
  </si>
  <si>
    <t>Reserveringsprijzen entry (voor interconnectionpunten)</t>
  </si>
  <si>
    <t>Niet-storage</t>
  </si>
  <si>
    <t>Storage</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</si>
  <si>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</si>
  <si>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</si>
  <si>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</si>
  <si>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</si>
  <si>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</si>
  <si>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</si>
  <si>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</si>
  <si>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</si>
  <si>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</si>
  <si>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</si>
  <si>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</si>
  <si>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</si>
  <si>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</si>
  <si>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</si>
  <si>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</si>
  <si>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</si>
  <si>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</si>
  <si>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</si>
  <si>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</si>
  <si>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</si>
  <si>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</si>
  <si>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</si>
  <si>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</si>
  <si>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</si>
  <si>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</si>
  <si>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</si>
  <si>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</si>
  <si>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</si>
  <si>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</si>
  <si>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</si>
  <si>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</si>
  <si>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</si>
  <si>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</si>
  <si>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</si>
  <si>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</si>
  <si>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</si>
  <si>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T worden de bronnen weergegeven. </t>
  </si>
  <si>
    <t>Eenheid</t>
  </si>
  <si>
    <t>Constante</t>
  </si>
  <si>
    <t>Bronverwijzing</t>
  </si>
  <si>
    <t>Opmerking</t>
  </si>
  <si>
    <t>X-factor</t>
  </si>
  <si>
    <t>%</t>
  </si>
  <si>
    <t>Begininkomsten</t>
  </si>
  <si>
    <t xml:space="preserve">Begininkomsten </t>
  </si>
  <si>
    <t>EUR, pp jaar</t>
  </si>
  <si>
    <t>WACC</t>
  </si>
  <si>
    <t>WACC-percentages voor berekening kapitaalkosten</t>
  </si>
  <si>
    <t>Reële WACC bestaand vermogen</t>
  </si>
  <si>
    <t>Gewijzigd methodebesluit 2017-2021</t>
  </si>
  <si>
    <t>Reële WACC nieuw vermogen</t>
  </si>
  <si>
    <t xml:space="preserve">Nominale WACC bestaand vermogen </t>
  </si>
  <si>
    <t xml:space="preserve">Nominale WACC nieuw vermogen </t>
  </si>
  <si>
    <t>WACC-percentages voor nacalculatie WACC</t>
  </si>
  <si>
    <t>Toevoeging operationele kosten a.g.v. wettelijk uitgezonderde investeringen</t>
  </si>
  <si>
    <t>Verwachte verandering OPEX a.g.v. uitbreiding/krimp</t>
  </si>
  <si>
    <t>CPI</t>
  </si>
  <si>
    <t>CBS, Methodebesluit 2022-2026</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</si>
  <si>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</si>
  <si>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</si>
  <si>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</si>
  <si>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</si>
  <si>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</si>
  <si>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</si>
  <si>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</si>
  <si>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</si>
  <si>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</si>
  <si>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</si>
  <si>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</si>
  <si>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</si>
  <si>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</si>
  <si>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</si>
  <si>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</si>
  <si>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Methodebesluit 2022-2026</t>
  </si>
  <si>
    <t>1 - Frontier shift tabel</t>
  </si>
  <si>
    <t>1-FS</t>
  </si>
  <si>
    <t>Heffingsrente</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</si>
  <si>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</si>
  <si>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</si>
  <si>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</si>
  <si>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</si>
  <si>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</si>
  <si>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</si>
  <si>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</si>
  <si>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</si>
  <si>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</si>
  <si>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</si>
  <si>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</si>
  <si>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</si>
  <si>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</si>
  <si>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</si>
  <si>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</si>
  <si>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</si>
  <si>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</si>
  <si>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</si>
  <si>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</si>
  <si>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</si>
  <si>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</si>
  <si>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</si>
  <si>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</si>
  <si>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</si>
  <si>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</si>
  <si>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</si>
  <si>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</si>
  <si>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</si>
  <si>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</si>
  <si>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2024</t>
  </si>
  <si>
    <t>Aantal dagen per kwartaal in het jaar 2024</t>
  </si>
  <si>
    <t>Aantal dagen en uren per jaar in het jaar 2024</t>
  </si>
  <si>
    <t>Aantal uren per dag</t>
  </si>
  <si>
    <t>Aantal dagen per jaar</t>
  </si>
  <si>
    <t>Aantal uren per jaar</t>
  </si>
  <si>
    <t>Korting afschakelbare capaciteit</t>
  </si>
  <si>
    <t>Korting voor afschakelbare capaciteit</t>
  </si>
  <si>
    <t>Tabblad 3 - Input (des)investeringen</t>
  </si>
  <si>
    <t xml:space="preserve">Beschrijving gegevens </t>
  </si>
  <si>
    <t xml:space="preserve">Op dit tabblad worden de wettelijk uitgezonderde investeringen (voorheen niet-reguliere uitbreidingsinvesteringen) weergegeven. Ook bevat dit tabblad de bijgeschatte investeringen uit het x-factorbesluit. Tot slot bevat dit tabblad ook de CPI-gegevens van 1946-2015.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</si>
  <si>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</si>
  <si>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</si>
  <si>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</si>
  <si>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</si>
  <si>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</si>
  <si>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</si>
  <si>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</si>
  <si>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</si>
  <si>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</si>
  <si>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</si>
  <si>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</si>
  <si>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</si>
  <si>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</si>
  <si>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</si>
  <si>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</si>
  <si>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</si>
  <si>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</si>
  <si>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</si>
  <si>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</si>
  <si>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</si>
  <si>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</si>
  <si>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</si>
  <si>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</si>
  <si>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</si>
  <si>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</si>
  <si>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</si>
  <si>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</si>
  <si>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</si>
  <si>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</si>
  <si>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</si>
  <si>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</si>
  <si>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</si>
  <si>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</si>
  <si>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</si>
  <si>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</si>
  <si>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</si>
  <si>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</si>
  <si>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</si>
  <si>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</si>
  <si>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</si>
  <si>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</si>
  <si>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</si>
  <si>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</si>
  <si>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</si>
  <si>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</si>
  <si>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</si>
  <si>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</si>
  <si>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</si>
  <si>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</si>
  <si>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</si>
  <si>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</si>
  <si>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</si>
  <si>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</si>
  <si>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</si>
  <si>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</si>
  <si>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</si>
  <si>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</si>
  <si>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</si>
  <si>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</si>
  <si>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</si>
  <si>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</si>
  <si>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</si>
  <si>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</si>
  <si>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</si>
  <si>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</si>
  <si>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</si>
  <si>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</si>
  <si>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</si>
  <si>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</si>
  <si>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</si>
  <si>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</si>
  <si>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</si>
  <si>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</si>
  <si>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</si>
  <si>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</si>
  <si>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</si>
  <si>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</si>
  <si>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</si>
  <si>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</si>
  <si>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</si>
  <si>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</si>
  <si>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</si>
  <si>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</si>
  <si>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</si>
  <si>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</si>
  <si>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</si>
  <si>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</si>
  <si>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</si>
  <si>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</si>
  <si>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</si>
  <si>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</si>
  <si>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</si>
  <si>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</si>
  <si>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</si>
  <si>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</si>
  <si>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</si>
  <si>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</si>
  <si>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</si>
  <si>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</si>
  <si>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</si>
  <si>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</si>
  <si>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</si>
  <si>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</si>
  <si>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</si>
  <si>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</si>
  <si>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</si>
  <si>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</si>
  <si>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</si>
  <si>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</si>
  <si>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</si>
  <si>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</si>
  <si>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</si>
  <si>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</si>
  <si>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</si>
  <si>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</si>
  <si>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</si>
  <si>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</si>
  <si>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</si>
  <si>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</si>
  <si>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</si>
  <si>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</si>
  <si>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</si>
  <si>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</si>
  <si>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</si>
  <si>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</si>
  <si>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</si>
  <si>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</si>
  <si>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</si>
  <si>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</si>
  <si>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</si>
  <si>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</si>
  <si>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</si>
  <si>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</si>
  <si>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</si>
  <si>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</si>
  <si>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</si>
  <si>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</si>
  <si>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</si>
  <si>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</si>
  <si>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</si>
  <si>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</si>
  <si>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</si>
  <si>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</si>
  <si>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</si>
  <si>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</si>
  <si>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</si>
  <si>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</si>
  <si>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</si>
  <si>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</si>
  <si>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</si>
  <si>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</si>
  <si>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</si>
  <si>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</si>
  <si>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</si>
  <si>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</si>
  <si>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</si>
  <si>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</si>
  <si>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</si>
  <si>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</si>
  <si>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</si>
  <si>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</si>
  <si>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</si>
  <si>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</si>
  <si>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</si>
  <si>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</si>
  <si>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</si>
  <si>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</si>
  <si>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Tarievenmodule 2022, tabblad 18. Toegestane inkomsten</t>
  </si>
  <si>
    <t>Veilinggelden (conform paragraaf 8.4.2 van het methodebesluit 2022-2026)</t>
  </si>
  <si>
    <t>Saldo veilinggelden oud (excl. belastingrente)</t>
  </si>
  <si>
    <t>Tarievenmodule 2022, tabblad 14. Nacalculaties 2019-2021</t>
  </si>
  <si>
    <t>Na te calculeren of te investeren veilinggelden (incl. belastingrente)</t>
  </si>
  <si>
    <t xml:space="preserve">Vooruitverwijzing naar tabblad 19, in principe maakt de ACM geen gebruik van vooruitverwijzingen, maar hier moet een uitzondering gemaakt worden. </t>
  </si>
  <si>
    <t>Voorgesteld bedrag GTS veilinggelden na te calculeren</t>
  </si>
  <si>
    <t>GAW t.b.v. nacalculatie WACC (conform paragraaf 8.3.3 van het methodebesluit 2022-2026)</t>
  </si>
  <si>
    <t>Geschatte GAW binnen scope t/m 2019 en 2020-2026</t>
  </si>
  <si>
    <t>x-factormodule GTS 2022</t>
  </si>
  <si>
    <t>Geschatte GAW buiten scope t/m 2019 en 2020-2026</t>
  </si>
  <si>
    <t>Inkoopkosten energie KC en TT/BT/AT (KC conform paragraaf 8.3.8 van het methodebesluit 2022-2026)</t>
  </si>
  <si>
    <t>Inkoopkosten energie KC</t>
  </si>
  <si>
    <t>Inkoopkosten energie TT/AT/BT</t>
  </si>
  <si>
    <t>Nacalculaties eerdere jaren</t>
  </si>
  <si>
    <t>WUI</t>
  </si>
  <si>
    <t>Tarievenbesluit 2023</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</si>
  <si>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</si>
  <si>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</si>
  <si>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</si>
  <si>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</si>
  <si>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</si>
  <si>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</si>
  <si>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</si>
  <si>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Daling operationele kosten a.g.v. desinvesteringen</t>
  </si>
  <si>
    <t>Vergoeding kapitaalkosten Pernis</t>
  </si>
  <si>
    <t>Totale overige incidentele correcties</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</si>
  <si>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</si>
  <si>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11 'Desinvesteringen'.</t>
  </si>
  <si>
    <t>Volgnummer tab 11 Desinvesteringen</t>
  </si>
  <si>
    <t>GAW ultimo 2021</t>
  </si>
  <si>
    <t>GAW-model t.b.v. tarievenbesluit 2024 GTS</t>
  </si>
  <si>
    <t>Tabel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</si>
  <si>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</si>
  <si>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</si>
  <si>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</si>
  <si>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</si>
  <si>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</si>
  <si>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</si>
  <si>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</si>
  <si>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</si>
  <si>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</si>
  <si>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</si>
  <si>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</si>
  <si>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</si>
  <si>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</si>
  <si>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</si>
  <si>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correcties</t>
  </si>
  <si>
    <t xml:space="preserve">Op dit tabblad kan GTS input voor eventuele incidentele correcties opgeven. </t>
  </si>
  <si>
    <t>Toelichting bij bijzonderheden</t>
  </si>
  <si>
    <t>Incidentele correctie peakshaver</t>
  </si>
  <si>
    <t>Constant</t>
  </si>
  <si>
    <t>Verdeelsleutel kosten Peakshaverlocatie ten behoeve van Piektaak</t>
  </si>
  <si>
    <t>Verdeelsleutel kosten Peakshaver ten behoeve van Piektaak</t>
  </si>
  <si>
    <t>Afschrijvingen en GAW KC (doorrollen)</t>
  </si>
  <si>
    <t>Afschrijvingen activa geactiveerd t/m 2019  KC buiten scope</t>
  </si>
  <si>
    <t>GAW activa geactiveerd t/m 2019 KC buiten scope</t>
  </si>
  <si>
    <t>Afschrijvingen en GAW KC (bijschatten)</t>
  </si>
  <si>
    <t xml:space="preserve">Afschrijvingen activa bijschatten vanaf 2020 KC buiten scope &lt;= 10 jaar </t>
  </si>
  <si>
    <t xml:space="preserve">GAW activa bijschatten vanaf 2020 KC buiten scope &lt;= 10 jaar </t>
  </si>
  <si>
    <t>Aanschafwaardes bijgeschatte investeringen</t>
  </si>
  <si>
    <t xml:space="preserve">Bijgeschatte investeringen vanaf 2020 KC buiten scope &lt;= 10 jaar </t>
  </si>
  <si>
    <t>Algemene operationele kosten KC</t>
  </si>
  <si>
    <t>Direct manpower cost (buiten scope)</t>
  </si>
  <si>
    <t>Other expenses (buiten scope)</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</si>
  <si>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</si>
  <si>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</si>
  <si>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</si>
  <si>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</si>
  <si>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</si>
  <si>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</si>
  <si>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</si>
  <si>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</si>
  <si>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</si>
  <si>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</si>
  <si>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</si>
  <si>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</si>
  <si>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</si>
  <si>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</si>
  <si>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</si>
  <si>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</si>
  <si>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</si>
  <si>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</si>
  <si>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</si>
  <si>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</si>
  <si>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</si>
  <si>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</si>
  <si>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</si>
  <si>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</si>
  <si>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</si>
  <si>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</si>
  <si>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</si>
  <si>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</si>
  <si>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</si>
  <si>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</si>
  <si>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</si>
  <si>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</si>
  <si>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</si>
  <si>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</si>
  <si>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</si>
  <si>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</si>
  <si>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</si>
  <si>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</si>
  <si>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</si>
  <si>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</si>
  <si>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</si>
  <si>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</si>
  <si>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</si>
  <si>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</si>
  <si>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</si>
  <si>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</si>
  <si>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</si>
  <si>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</si>
  <si>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</si>
  <si>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</si>
  <si>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</si>
  <si>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</si>
  <si>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</si>
  <si>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</si>
  <si>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</si>
  <si>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</si>
  <si>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</si>
  <si>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</si>
  <si>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</si>
  <si>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</si>
  <si>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</si>
  <si>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</si>
  <si>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</si>
  <si>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</si>
  <si>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</si>
  <si>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</si>
  <si>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</si>
  <si>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</si>
  <si>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</si>
  <si>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</si>
  <si>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</si>
  <si>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</si>
  <si>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</si>
  <si>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</si>
  <si>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</si>
  <si>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</si>
  <si>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</si>
  <si>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</si>
  <si>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</si>
  <si>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</si>
  <si>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</si>
  <si>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</si>
  <si>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</si>
  <si>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</si>
  <si>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</si>
  <si>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</si>
  <si>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</si>
  <si>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</si>
  <si>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</si>
  <si>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</si>
  <si>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</si>
  <si>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</si>
  <si>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</si>
  <si>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</si>
  <si>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</si>
  <si>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</si>
  <si>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</si>
  <si>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</si>
  <si>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</si>
  <si>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</si>
  <si>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</si>
  <si>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</si>
  <si>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</si>
  <si>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</si>
  <si>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</si>
  <si>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</si>
  <si>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</si>
  <si>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</si>
  <si>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</si>
  <si>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</si>
  <si>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</si>
  <si>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</si>
  <si>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</si>
  <si>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</si>
  <si>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</si>
  <si>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</si>
  <si>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</si>
  <si>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</si>
  <si>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</si>
  <si>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</si>
  <si>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</si>
  <si>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</si>
  <si>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</si>
  <si>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</si>
  <si>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</si>
  <si>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</si>
  <si>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</si>
  <si>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</si>
  <si>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</si>
  <si>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</si>
  <si>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</si>
  <si>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</si>
  <si>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</si>
  <si>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</si>
  <si>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</si>
  <si>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</si>
  <si>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</si>
  <si>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</si>
  <si>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</si>
  <si>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</si>
  <si>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</si>
  <si>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</si>
  <si>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</si>
  <si>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</si>
  <si>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</si>
  <si>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</si>
  <si>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</si>
  <si>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</si>
  <si>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</si>
  <si>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</si>
  <si>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</si>
  <si>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</si>
  <si>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</si>
  <si>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</si>
  <si>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</si>
  <si>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</si>
  <si>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</si>
  <si>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</si>
  <si>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</si>
  <si>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</si>
  <si>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</si>
  <si>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</si>
  <si>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</si>
  <si>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</si>
  <si>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</si>
  <si>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</si>
  <si>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</si>
  <si>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</si>
  <si>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</si>
  <si>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</si>
  <si>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</si>
  <si>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</si>
  <si>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</si>
  <si>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</si>
  <si>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</si>
  <si>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</si>
  <si>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</si>
  <si>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</si>
  <si>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</si>
  <si>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</si>
  <si>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</si>
  <si>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</si>
  <si>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</si>
  <si>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</si>
  <si>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</si>
  <si>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</si>
  <si>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</si>
  <si>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</si>
  <si>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</si>
  <si>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</si>
  <si>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</si>
  <si>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</si>
  <si>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</si>
  <si>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</si>
  <si>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</si>
  <si>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</si>
  <si>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</si>
  <si>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</si>
  <si>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</si>
  <si>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</si>
  <si>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</si>
  <si>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</si>
  <si>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</si>
  <si>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</si>
  <si>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</si>
  <si>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</si>
  <si>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</si>
  <si>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</si>
  <si>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</si>
  <si>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</si>
  <si>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</si>
  <si>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</si>
  <si>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</si>
  <si>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</si>
  <si>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</si>
  <si>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</si>
  <si>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</si>
  <si>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</si>
  <si>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</si>
  <si>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</si>
  <si>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</si>
  <si>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</si>
  <si>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</si>
  <si>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</si>
  <si>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</si>
  <si>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</si>
  <si>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</si>
  <si>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</si>
  <si>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</si>
  <si>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</si>
  <si>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</si>
  <si>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</si>
  <si>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</si>
  <si>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</si>
  <si>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</si>
  <si>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</si>
  <si>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</si>
  <si>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</si>
  <si>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</si>
  <si>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</si>
  <si>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</si>
  <si>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</si>
  <si>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</si>
  <si>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</si>
  <si>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</si>
  <si>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</si>
  <si>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</si>
  <si>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</si>
  <si>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</si>
  <si>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Tabblad 8 - Input voorspelde gecontracteerde capaciteit</t>
  </si>
  <si>
    <t>Op dit tabblad kan GTS de schatting van de gecontracteerde capaciteit 
opgeven.</t>
  </si>
  <si>
    <t>Voorspelde gecontracteerde capaciteit</t>
  </si>
  <si>
    <t>Voorspelde gecontracteerde capaciteit entry</t>
  </si>
  <si>
    <t>kWh/uur/jaar</t>
  </si>
  <si>
    <t>GTS</t>
  </si>
  <si>
    <t>Voorspelde gecontracteerde capaciteit exit</t>
  </si>
  <si>
    <t>Voorspelde gecontracteerde capaciteit entry gasopslag</t>
  </si>
  <si>
    <t>Voorspelde gecontracteerde capaciteit exit gasopslag</t>
  </si>
  <si>
    <t>Tabblad 9 - Investeringen (WUI &amp; Ombouw)</t>
  </si>
  <si>
    <t xml:space="preserve">Op dit tabblad worden de wettelijk uitgezonderde investeringen (voorheen niet-reguliere uitbreidingsinvesteringen)  en activeringen ten behoeve van de ombouwtaak weergegeven. </t>
  </si>
  <si>
    <t>Bron</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</si>
  <si>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</si>
  <si>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</si>
  <si>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</si>
  <si>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</si>
  <si>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</si>
  <si>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</si>
  <si>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</si>
  <si>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</si>
  <si>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</si>
  <si>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</si>
  <si>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Versie</t>
  </si>
  <si>
    <t>Invulmodule reguleringsdata GTS 2020 gecorrigeerd.xlsx</t>
  </si>
  <si>
    <t>"Jaar begin afschrijven" enkel vanaf 2020 geselecteerd. "WUI" en "Ombouwtaak" uitgesloten. Enkel activacategorieën met afschrijvingstermijn van 0 en van langer dan 10 jaar geselecteerd. Geagreggeerd op basis van jaartal en activacategorie. Index toegevoegd.</t>
  </si>
  <si>
    <t>1b. Invulmodule reguleringsdata GTS 2021 (labels activacategorie gecorrigeerd).xlsx</t>
  </si>
  <si>
    <t>Tabblad 11 - Desinvesteringen</t>
  </si>
  <si>
    <t>In dit tabblad worden de desinvesteringen van GTS over de jaren 2020 tot en met 2022 weergegeven.</t>
  </si>
  <si>
    <t xml:space="preserve">"Jaar" enkel vanaf 2020 geselecteerd. Index toegevoegd. </t>
  </si>
  <si>
    <t>Desinvestering (oorspronkelijke investeringsbedrag)</t>
  </si>
  <si>
    <t>Opbrengsten die samenhangen met desinvestering</t>
  </si>
  <si>
    <t>Tabblad 12 - Omzet</t>
  </si>
  <si>
    <t>Op dit tabblad wordt benodigde informatie voor de nacalculaties weergegeven. Het gaat hier om gegevens t.b.v. nacalculatie omzet (MB22-26 8.2), overboek- en terugkoopregeling (MB22-26 8.4.3), veilinggelden (MB22-26 8.4.2) en administratieve onbalans (MB 22-26 8.3.4).</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</si>
  <si>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</si>
  <si>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</si>
  <si>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</si>
  <si>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</si>
  <si>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</si>
  <si>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</si>
  <si>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</si>
  <si>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</si>
  <si>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</si>
  <si>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13 - Operationele kosten</t>
  </si>
  <si>
    <t>TT/BT/AT</t>
  </si>
  <si>
    <t>KC</t>
  </si>
  <si>
    <t>Inkoopkosten energie</t>
  </si>
  <si>
    <t>Tabblad 14 - Volumes stikstof</t>
  </si>
  <si>
    <t>Op dit tabblad wordt de informatie voor de nacalculatie inkoopkosten energie (MB22-26 8.3.3) weergegeven.</t>
  </si>
  <si>
    <t xml:space="preserve">Datum/tijd </t>
  </si>
  <si>
    <t>Tabblad 15 -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</si>
  <si>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</si>
  <si>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</si>
  <si>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</si>
  <si>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</si>
  <si>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</si>
  <si>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</si>
  <si>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</si>
  <si>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</si>
  <si>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</si>
  <si>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</si>
  <si>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</si>
  <si>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</si>
  <si>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</si>
  <si>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</si>
  <si>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</si>
  <si>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</si>
  <si>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</si>
  <si>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</si>
  <si>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</si>
  <si>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</si>
  <si>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</si>
  <si>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</si>
  <si>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</si>
  <si>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</si>
  <si>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</si>
  <si>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</si>
  <si>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</si>
  <si>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</si>
  <si>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</si>
  <si>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</si>
  <si>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</si>
  <si>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</si>
  <si>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</si>
  <si>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</si>
  <si>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16 - Nacalculatie bijschatten </t>
  </si>
  <si>
    <t xml:space="preserve">Op dit tabblad worden eerst de relevante parameters opgehaald. Daarna berekenen we de geschatte efficiënte kosten (kapitaalkosten en operationele kosten) als gevolg van de bijgeschatte investeringen met een afschrijvingstermijn langer dan 10 jaar. Hieropvolgend berekenen we de geschatte efficiënte kosten op basis van de gerealiseerde investeringen met een afschrijvingstermijn langer dan 10 jaar. Het verschil hiertussen calculeren we na. </t>
  </si>
  <si>
    <t>Schatting kosten van bijgeschatte investeringen</t>
  </si>
  <si>
    <t>Stijging operationele kosten</t>
  </si>
  <si>
    <t>Geschatte efficiënte kosten</t>
  </si>
  <si>
    <t>Geschatte efficiënte kosten bijschatten afschrijvingstermijn &gt; 10 jaar en zonder afschrijvingstermijn</t>
  </si>
  <si>
    <t>Jaar waarin kosten gemaakt worden</t>
  </si>
  <si>
    <t>Jaar van investering</t>
  </si>
  <si>
    <t>Totale schatting efficiënte kosten bijschatten zonder afschrijvingstermijn</t>
  </si>
  <si>
    <t>Totale schatting efficiënte kosten bijschatten bij afschrijvingstermijn &gt; 10 jaar</t>
  </si>
  <si>
    <t>Kosten van gerealiseerde investeringen</t>
  </si>
  <si>
    <t>Totale kosten bij gerealiseerde investeringen afschrijvingstermijn &gt; 10 jaar en zonder afschrijvingstermijn</t>
  </si>
  <si>
    <t>Totale gerealiseerde kosten bijschatten zonder afschrijvingstermijn</t>
  </si>
  <si>
    <t>Totale gerealiseerde kosten bijschatten bij afschrijvingstermijn &gt; 10 jaar</t>
  </si>
  <si>
    <t>Na te calculeren bedrag</t>
  </si>
  <si>
    <t>Na te calculeren bedrag investeringen 2020 zonder afschrijvingstermijn</t>
  </si>
  <si>
    <t>Na te calculeren bedrag investeringen 2021 zonder afschrijvingstermijn</t>
  </si>
  <si>
    <t>Na te calculeren bedrag investeringen 2022 zonder afschrijvingstermijn</t>
  </si>
  <si>
    <t>Na te calculeren bedrag investeringen 2023 zonder afschrijvingstermijn</t>
  </si>
  <si>
    <t>Na te calculeren bedrag investeringen 2024 zonder afschrijvingstermijn</t>
  </si>
  <si>
    <t>Na te calculeren bedrag investeringen 2025 zonder afschrijvingstermijn</t>
  </si>
  <si>
    <t>Na te calculeren bedrag investeringen 2026 zonder afschrijvingstermijn</t>
  </si>
  <si>
    <t>Na te calculeren bedrag investeringen 2020 afschrijvingstermijn &gt; 10 jaar</t>
  </si>
  <si>
    <t>Na te calculeren bedrag investeringen 2021 afschrijvingstermijn &gt; 10 jaar</t>
  </si>
  <si>
    <t>Na te calculeren bedrag investeringen 2022 afschrijvingstermijn &gt; 10 jaar</t>
  </si>
  <si>
    <t>Na te calculeren bedrag investeringen 2023 afschrijvingstermijn &gt; 10 jaar</t>
  </si>
  <si>
    <t>Na te calculeren bedrag investeringen 2024 afschrijvingstermijn &gt; 10 jaar</t>
  </si>
  <si>
    <t>Na te calculeren bedrag investeringen 2025 afschrijvingstermijn &gt; 10 jaar</t>
  </si>
  <si>
    <t>Na te calculeren bedrag investeringen 2026 afschrijvingstermijn &gt; 10 jaar</t>
  </si>
  <si>
    <t>Totale nacalculatie</t>
  </si>
  <si>
    <t>Tabblad 17 -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</si>
  <si>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</si>
  <si>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</si>
  <si>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</si>
  <si>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</si>
  <si>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</si>
  <si>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</si>
  <si>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</si>
  <si>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</si>
  <si>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</si>
  <si>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Verrekening desinvestering</t>
  </si>
  <si>
    <t>Nacalculatie tarievenbesluit 2024</t>
  </si>
  <si>
    <t>Tabblad 18 -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</si>
  <si>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</si>
  <si>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</si>
  <si>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</si>
  <si>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</si>
  <si>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</si>
  <si>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</si>
  <si>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</si>
  <si>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</si>
  <si>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</si>
  <si>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</si>
  <si>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</si>
  <si>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</si>
  <si>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19 -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</si>
  <si>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</si>
  <si>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de het jaar waarin dit vergoed wordt. </t>
  </si>
  <si>
    <t>1+CPI van 2020 naar jaar</t>
  </si>
  <si>
    <t>1+CPI van 2021 naar jaar</t>
  </si>
  <si>
    <t>1+CPI van 2022 naar jaar</t>
  </si>
  <si>
    <t>1+CPI van 2023 naar jaar</t>
  </si>
  <si>
    <t>1+CPI van 2024 naar jaar</t>
  </si>
  <si>
    <t>1+CPI van 2025 naar jaar</t>
  </si>
  <si>
    <t>1+CPI van 2026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</si>
  <si>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</si>
  <si>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</si>
  <si>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</si>
  <si>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</si>
  <si>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</si>
  <si>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</si>
  <si>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</si>
  <si>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</si>
  <si>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</si>
  <si>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</si>
  <si>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</si>
  <si>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</si>
  <si>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</si>
  <si>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</si>
  <si>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</si>
  <si>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</si>
  <si>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</si>
  <si>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</si>
  <si>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</si>
  <si>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</si>
  <si>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</si>
  <si>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</si>
  <si>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</si>
  <si>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</si>
  <si>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</si>
  <si>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</si>
  <si>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</si>
  <si>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</si>
  <si>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 xml:space="preserve">Nacalculeren </t>
  </si>
  <si>
    <t>Nacalculatie WACC</t>
  </si>
  <si>
    <t>GAW bijgeschatte investeringen afschrijvingstermijn meer dan 10 jaar binnen scope</t>
  </si>
  <si>
    <t>GAW bijgeschatte investeringen afschrijvingstermijn meer dan 10 jaar buiten scope</t>
  </si>
  <si>
    <t>GAW gerealiseerde investeringen afschrijvingstermijn meer dan 10 jaar</t>
  </si>
  <si>
    <t>GAW WUI</t>
  </si>
  <si>
    <t>GAW Ombouwtaak</t>
  </si>
  <si>
    <t>Tabel 20 - Berekening incidentele correctie WQA</t>
  </si>
  <si>
    <t>Op dit tabblad wordt de incidentele correctie WQA berekend. Dit als het gevolg van de wijziging van de ministriële regeling waardoor deze kosten vanaf 2022 onder de KC-taak vallen. De kosten horend bij de voormalige WQA-investeringen (kapitaalkosten, algemene operationele kosten en inkoopkosten energie en vermogen) worden vanaf 2024 t+2 volledig worden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</si>
  <si>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</si>
  <si>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</si>
  <si>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</si>
  <si>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</si>
  <si>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</si>
  <si>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</si>
  <si>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</si>
  <si>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</si>
  <si>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</si>
  <si>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</si>
  <si>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</si>
  <si>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</si>
  <si>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</si>
  <si>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Tabblad 21 - Correctie inkoopkosten energie </t>
  </si>
  <si>
    <t>Op dit tabblad worden eerst de relevante parameters opgehaald. Daarna berekenen we een gemiddelde prijs per eenheid stikstof in de x-factor schatting. We gebruiken deze prijs per eenheid om een volumenacalculatie op basis van de gerealiseerde gegevens te berekenen. Daaronder staat een incidentele correctie voor de inkoopkosten energie. Deze wordt in het tarievenbesluit verder toegelicht</t>
  </si>
  <si>
    <t xml:space="preserve">De reguliere nacalculatie van de volumes stikstof is de nacalculatie zoals beschreven in het methodebesluit GTS 2022-2026. Gezien de unieke situatie als gevolg van de energiecrisis en de daarbij horende sterk gestegen energieprijzen heeft de ACM besloten tot een incidentele correctie van de inkoopkosten energie die GTS heeft gemaakt. Hiermee zou de volumenacalculatie tot een dubbele vergoeding leiden. De ACM toont de berekening van de volumenacalculatie wel, maar deze nacalculatie komt niet terug in de toegestane inkomsten. </t>
  </si>
  <si>
    <t>Opmerkingen</t>
  </si>
  <si>
    <t>Volumes stikstof</t>
  </si>
  <si>
    <t>Gebruik stikstof</t>
  </si>
  <si>
    <t>m3/jaar</t>
  </si>
  <si>
    <t>Inkoopkosten energie TT/BT/AT</t>
  </si>
  <si>
    <t>Parameters incidentele correctie energie</t>
  </si>
  <si>
    <t>Bonus/malus</t>
  </si>
  <si>
    <t>Maximum afwijking bonus/malus</t>
  </si>
  <si>
    <t>CPI van 2017 naar jaar</t>
  </si>
  <si>
    <t>CPI van 2018 naar jaar</t>
  </si>
  <si>
    <t>CPI van 2019 naar jaar</t>
  </si>
  <si>
    <t>Reguliere nacalculatie volumes stikstof</t>
  </si>
  <si>
    <t>Prijs per m3 per jaar</t>
  </si>
  <si>
    <t>Gemiddelde prijs per m3</t>
  </si>
  <si>
    <t>Geschatte vergoeding inkoopkosten energie KC</t>
  </si>
  <si>
    <t>Vergoeding inkoopkosten energie op basis van gerealiseerde volumes</t>
  </si>
  <si>
    <t>Nacalculatie volumes incl heffingsrente</t>
  </si>
  <si>
    <t xml:space="preserve">Dit bedrag zou normaliter bij de toegestane inkomsten worden opgeteld, maar wordt door de incidentele correctie van de totale inkoopkosten energie nu niet meegenomen. </t>
  </si>
  <si>
    <t>Incidentele correctie inkoopkosten energie</t>
  </si>
  <si>
    <t>Prognose inkoopkosten energie totaal</t>
  </si>
  <si>
    <t>Verschil tussen realisatie en prognose</t>
  </si>
  <si>
    <t>Risico GTS</t>
  </si>
  <si>
    <t>Maximum risico GTS</t>
  </si>
  <si>
    <t>Netto risico GTS</t>
  </si>
  <si>
    <t>Incidentele correctie energie inclusief heffingsrente en bonus malus</t>
  </si>
  <si>
    <t>Tabblad 22 - Incidentele correctie overgedragen assets</t>
  </si>
  <si>
    <t xml:space="preserve">Op dit tabblad worden de incidentele correcties inclusief de heffingsrente verrekend. </t>
  </si>
  <si>
    <t xml:space="preserve">GTS heeft in 2021 enkele assets overgedragen aan GasUnie en huurt deze nu. Om dit inkomstenneutraal te doen voegt de ACM een inkomstencorrectie toe. Hierbij wordt eerst de daling van de kapitaalkosten als gevolg van het verwijderen van deze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</si>
  <si>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</si>
  <si>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</si>
  <si>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</si>
  <si>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(daling kapitaalkosten)</t>
  </si>
  <si>
    <t>Naam</t>
  </si>
  <si>
    <t>Oorspronkelijke investeringsbedrag</t>
  </si>
  <si>
    <t>Jaar overdracht</t>
  </si>
  <si>
    <t>Af te schrijven</t>
  </si>
  <si>
    <t>Berekening incidentele correctie (stijging operationele kosten)</t>
  </si>
  <si>
    <t>Afschrijvingen vanaf 2022 (Gasunie)</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</si>
  <si>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</si>
  <si>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</si>
  <si>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</si>
  <si>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</si>
  <si>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</si>
  <si>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</si>
  <si>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Totaal overige incidentele correcties</t>
  </si>
  <si>
    <t xml:space="preserve">In 2023 wordt de vergoeding van de overdracht, de kosten van 2022 en 2023 in 1 keer verrekend. De activa werden op 31-12-2021 overgedragen dus past de ACM slechts 1 jaar aan heffingsrente toe. </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</si>
  <si>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</si>
  <si>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</si>
  <si>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</si>
  <si>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Ophalen gegevens incidentele correctie</t>
  </si>
  <si>
    <t>Afschrijvingen en GAW KC (bijschatten &lt;= 10 jaar)</t>
  </si>
  <si>
    <t>Afschrijvingen activa geactiveerd vanaf 2020  KC buiten scope &lt;= 10 jaar</t>
  </si>
  <si>
    <t>GAW activa geactiveerd vanaf 2020 KC buiten scope &lt;= 10 jaar</t>
  </si>
  <si>
    <t>Aanschafwaardes bijgeschatte investeringen &lt;= 10 jaar</t>
  </si>
  <si>
    <t>Berekening kapitaalkosten doorrollen</t>
  </si>
  <si>
    <t>Vermogenskosten doorrollen KC buiten scope</t>
  </si>
  <si>
    <t>Kapitaalkosten doorrollen KC buiten scope</t>
  </si>
  <si>
    <t xml:space="preserve">Incidentele correctie inclusief heffingsrente </t>
  </si>
  <si>
    <t>Berekening kapitaalkosten bijschatten met afschrijvingstermijn &lt;= 10 jaar</t>
  </si>
  <si>
    <t>Kapitaalkosten bijschatten met afschrijvingstermijn &lt;= 10 jaar</t>
  </si>
  <si>
    <t>Vermogenskosten bijschatten KC buiten scope met afschrijvingstermijn &lt;= 10 jaar</t>
  </si>
  <si>
    <t>Kapitaalkosten doorrollen KC buiten scope met afschrijvingstermijn &lt;= 10 jaar</t>
  </si>
  <si>
    <t>Berekening algemene operationele kosten kwaliteitsconversietaak</t>
  </si>
  <si>
    <t xml:space="preserve">Algemene operationele kosten </t>
  </si>
  <si>
    <t>Algemene operationele kosten buiten scope KC</t>
  </si>
  <si>
    <t>Berekening stijging operationele kosten a.g.v. bijgeschatte investeringen &lt;= 10 jaar</t>
  </si>
  <si>
    <t>Stijging operationele a.g.v. bijgeschatte investeringen 2020 KC buiten scope &lt;= 10 jaar</t>
  </si>
  <si>
    <t>Stijging operationele a.g.v. bijgeschatte investeringen 2021 KC buiten scope &lt;= 10 jaar</t>
  </si>
  <si>
    <t>Stijging operationele a.g.v. bijgeschatte investeringen 2022 KC buiten scope &lt;= 10 jaar</t>
  </si>
  <si>
    <t>Stijging operationele a.g.v. bijgeschatte investeringen KC buiten scope &lt;= 10 jaar</t>
  </si>
  <si>
    <t>Nacalculatie gerealiseerde kosten bijschatten met afschrijvingstermijn &gt; 10 jaar</t>
  </si>
  <si>
    <t>Na te calculeren kosten voor investeringen 2020 met een afschrijvingstermijn &gt; 10 jaar</t>
  </si>
  <si>
    <t>Na te calculeren kosten voor investeringen 2021 met een afschrijvingstermijn &gt; 10 jaar</t>
  </si>
  <si>
    <t>Na te calculeren kosten voor investeringen 2022 met een afschrijvingstermijn &gt; 10 jaar</t>
  </si>
  <si>
    <t>Nacalculatie daling operationele kosten a.g.v. desinvesteringen</t>
  </si>
  <si>
    <t>Nacalculatie desinvesteringen</t>
  </si>
  <si>
    <t>Niet van toepassing doordat de doorrol kapitaalkosten reeds gecorrigeerd worden onder "Berekening kapitaalkosten doorrollen".</t>
  </si>
  <si>
    <t>Totaal incidentele correctie Peakshaver</t>
  </si>
  <si>
    <t>Totaal incidentele correctie Peakshaver inclusief heffingsrente</t>
  </si>
  <si>
    <t>Tabblad 24 -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</si>
  <si>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</si>
  <si>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</si>
  <si>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 xml:space="preserve">Berekening totale inkomsten excl. tariefcorrecties </t>
  </si>
  <si>
    <t>Totale inkomsten excl. tariefcorrecties</t>
  </si>
  <si>
    <t>Tariefcorrecties</t>
  </si>
  <si>
    <t>Nacalculatie WQA</t>
  </si>
  <si>
    <t>Incidentele correctie assetoverdracht</t>
  </si>
  <si>
    <t>Toegestane inkomsten</t>
  </si>
  <si>
    <t xml:space="preserve">Toegestane inkomsten </t>
  </si>
  <si>
    <t>Tabblad 25 -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</si>
  <si>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60%. Het inkomstenverlies als gevolg van deze korting,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</si>
  <si>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</si>
  <si>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</si>
  <si>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</si>
  <si>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</si>
  <si>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</si>
  <si>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</si>
  <si>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</si>
  <si>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</si>
  <si>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</si>
  <si>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</si>
  <si>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</si>
  <si>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</si>
  <si>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</si>
  <si>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Controle op tariefaanpassingen</t>
  </si>
  <si>
    <t>Omzet voor aanpassingen</t>
  </si>
  <si>
    <t>Omzet na aanpassingen</t>
  </si>
  <si>
    <t>Omzet voor aanpassingen = omzet na aanpassingen?</t>
  </si>
  <si>
    <t>Tabblad 26 - Entry- en exittarieven</t>
  </si>
  <si>
    <t>Referentieprijzen na aanpassingen (onafgerond)</t>
  </si>
  <si>
    <t>EUR/kWh/uur/jaar, pp 2024</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</si>
  <si>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</si>
  <si>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</si>
  <si>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</si>
  <si>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</si>
  <si>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Invulmodule reguleringsdata GTS REG2022 PS</t>
  </si>
  <si>
    <t>Zienswijze Gasunie Transport Services op ontwerp Methodebesluit GTS 2022-2026</t>
  </si>
  <si>
    <t>DE-Tarievenbesluiten@acm.nl</t>
  </si>
  <si>
    <t>WACC-model t.b.v. nacalculatie</t>
  </si>
  <si>
    <t>Reactie van GTS op vraag Tarievenvoorstel 2017</t>
  </si>
  <si>
    <t>ACM/UIT/591247</t>
  </si>
  <si>
    <t>Afschrijvingen activa geactiveerd t/m 2019 KC buiten scope</t>
  </si>
  <si>
    <t>1. Invulmodule reguleringsdata GTS 2022.xlsx</t>
  </si>
  <si>
    <t>Tabblad 10 -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</si>
  <si>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 met een afschrijvingstermijn langer dan 10 jaar.</t>
  </si>
  <si>
    <t>Stikstof gebruik (m3)</t>
  </si>
  <si>
    <t>Nacalculatie verwijderingskosten desinvesteringen</t>
  </si>
  <si>
    <t>Nacalculatie ontmantelingskosten (conform paragraaf 8.3.7 van het methodebesluit 2022-2026)</t>
  </si>
  <si>
    <t>Ontmantelingskosten desinvesteringen 2019, prijspeil 2020</t>
  </si>
  <si>
    <t>Data van GTS is de kosten uit 2019, hier al met CPI en FS naar 2020 gebracht om de berekening later eenvoudiger te maken</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</si>
  <si>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</si>
  <si>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VVI</t>
  </si>
  <si>
    <t>Inkoopkosten energie m.u.v. peakshaver</t>
  </si>
  <si>
    <t>Incidentele posten zoals opgenomen in operationele kosten en buitengewone lasten</t>
  </si>
  <si>
    <t>Ontmantelingskosten desinvesteringen</t>
  </si>
  <si>
    <t>Op dit tabblad wordt de benodigde informatie voor de incidentele correctie inkoopkosten energie en ontmantelingskostenweergegeven</t>
  </si>
  <si>
    <t>Nacalculatie ontmantelingskosten</t>
  </si>
  <si>
    <t>Voorgesteld bedrag GTS veilinggelden gereserveerd</t>
  </si>
  <si>
    <t>Enkel subcategorie "Inkoopkosten energie" en "Ontmantelingskosten desinvesteringen" geselecteerd.</t>
  </si>
  <si>
    <t>GTS: https://dataport.gasunie.nl/N2-QC-RQC-report, N2, Calendar Year</t>
  </si>
  <si>
    <t>Geagreggeerd per jaar. Alle kolommen behalve "Jaar" en "Stikstof gebruik (m3)" verwijderd.</t>
  </si>
  <si>
    <t>Gerealiseerde ontmantelingskosten, prijspeil 2020</t>
  </si>
  <si>
    <t>Geschatte ontmantelingskosten</t>
  </si>
  <si>
    <t>De nacalculatie in cel L102 bevat ook de kosten in cellen J97-J100 en K99-K100, omdat deze in de rekenmodule van tarievenbesluit 2023 nog niet verwerkt waren.</t>
  </si>
  <si>
    <t>Kapitaalkosten doorrollen</t>
  </si>
  <si>
    <t xml:space="preserve">Inkoopkosten energie peakshaver </t>
  </si>
  <si>
    <t>Inkoop energie piektaak</t>
  </si>
  <si>
    <t>Gerealiseerde inkoopkosten worden vanaf 2022 opgehaald uit tabblad 13. Operationele kosten</t>
  </si>
  <si>
    <t>Berekening inkoopkosten energie kwaliteitsconversie</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</si>
  <si>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</si>
  <si>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</si>
  <si>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Stijging operationele kosten a.g.v. bijgeschatte investeringen KC buiten scope &lt;= 10 jaar</t>
  </si>
  <si>
    <t>Reguleringsdata GTS</t>
  </si>
  <si>
    <t>Zie besluit bij dit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</si>
</sst>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1">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s>
  <fonts count="260">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
      <patternFill patternType="solid">
        <fgColor rgb="FF99FF99"/>
        <bgColor rgb="FF000000"/>
      </patternFill>
    </fill>
    <fill>
      <patternFill patternType="solid">
        <fgColor rgb="FFFFFFFF"/>
        <bgColor indexed="64"/>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7">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5" applyNumberFormat="0" applyAlignment="0" applyProtection="0"/>
    <xf numFmtId="0" fontId="17" fillId="18" borderId="6" applyNumberFormat="0" applyAlignment="0" applyProtection="0"/>
    <xf numFmtId="0" fontId="18" fillId="18" borderId="5" applyNumberFormat="0" applyAlignment="0" applyProtection="0"/>
    <xf numFmtId="0" fontId="19" fillId="0" borderId="7" applyNumberFormat="0" applyFill="0" applyAlignment="0" applyProtection="0"/>
    <xf numFmtId="0" fontId="13" fillId="19" borderId="8" applyNumberFormat="0" applyAlignment="0" applyProtection="0"/>
    <xf numFmtId="0" fontId="15" fillId="20" borderId="9"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97" borderId="29" applyNumberFormat="0">
      <protection locked="0"/>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4" fontId="62" fillId="97" borderId="18"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6" applyNumberFormat="0" applyAlignment="0" applyProtection="0"/>
    <xf numFmtId="0" fontId="56" fillId="86" borderId="0" applyNumberFormat="0" applyBorder="0" applyAlignment="0" applyProtection="0"/>
    <xf numFmtId="0" fontId="73" fillId="52" borderId="17" applyNumberFormat="0" applyAlignment="0" applyProtection="0"/>
    <xf numFmtId="0" fontId="43" fillId="52" borderId="17"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51" fillId="51" borderId="17" applyNumberFormat="0" applyAlignment="0" applyProtection="0"/>
    <xf numFmtId="168" fontId="6" fillId="0" borderId="0" applyFont="0" applyFill="0" applyBorder="0" applyAlignment="0" applyProtection="0"/>
    <xf numFmtId="0" fontId="48" fillId="0" borderId="20"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70" fillId="85" borderId="25" applyNumberFormat="0" applyFont="0" applyAlignment="0" applyProtection="0"/>
    <xf numFmtId="0" fontId="57" fillId="52" borderId="26"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31" applyNumberFormat="0" applyFill="0" applyAlignment="0" applyProtection="0"/>
    <xf numFmtId="0" fontId="64" fillId="0" borderId="0" applyNumberFormat="0" applyFill="0" applyBorder="0" applyAlignment="0" applyProtection="0"/>
    <xf numFmtId="0" fontId="79" fillId="0" borderId="21" applyNumberFormat="0" applyFill="0" applyAlignment="0" applyProtection="0"/>
    <xf numFmtId="0" fontId="80" fillId="0" borderId="22" applyNumberFormat="0" applyFill="0" applyAlignment="0" applyProtection="0"/>
    <xf numFmtId="0" fontId="81" fillId="0" borderId="23" applyNumberFormat="0" applyFill="0" applyAlignment="0" applyProtection="0"/>
    <xf numFmtId="0" fontId="81" fillId="0" borderId="0" applyNumberFormat="0" applyFill="0" applyBorder="0" applyAlignment="0" applyProtection="0"/>
    <xf numFmtId="0" fontId="82" fillId="0" borderId="20"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9" applyNumberFormat="0" applyAlignment="0" applyProtection="0"/>
    <xf numFmtId="0" fontId="6" fillId="0" borderId="0"/>
    <xf numFmtId="0" fontId="1" fillId="0" borderId="0"/>
    <xf numFmtId="4" fontId="40" fillId="88" borderId="18"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7" applyNumberFormat="0" applyAlignment="0" applyProtection="0"/>
    <xf numFmtId="0" fontId="45" fillId="79" borderId="19" applyNumberFormat="0" applyAlignment="0" applyProtection="0"/>
    <xf numFmtId="0" fontId="48" fillId="0" borderId="20" applyNumberFormat="0" applyFill="0" applyAlignment="0" applyProtection="0"/>
    <xf numFmtId="0" fontId="49" fillId="83" borderId="0" applyNumberFormat="0" applyBorder="0" applyAlignment="0" applyProtection="0"/>
    <xf numFmtId="0" fontId="51" fillId="51" borderId="17" applyNumberFormat="0" applyAlignment="0" applyProtection="0"/>
    <xf numFmtId="168"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112" borderId="18"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31" applyNumberFormat="0" applyFill="0" applyAlignment="0" applyProtection="0"/>
    <xf numFmtId="0" fontId="57" fillId="52" borderId="2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7" applyNumberFormat="0" applyAlignment="0" applyProtection="0"/>
    <xf numFmtId="0" fontId="44" fillId="78" borderId="18" applyNumberFormat="0" applyAlignment="0" applyProtection="0"/>
    <xf numFmtId="0" fontId="86" fillId="0" borderId="0" applyNumberFormat="0" applyFill="0" applyBorder="0" applyAlignment="0" applyProtection="0">
      <alignment vertical="top"/>
      <protection locked="0"/>
    </xf>
    <xf numFmtId="0" fontId="50" fillId="76" borderId="18"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165" fontId="6" fillId="10" borderId="38" applyBorder="0" applyProtection="0">
      <alignment horizontal="center" vertical="center"/>
    </xf>
    <xf numFmtId="9" fontId="37"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0" fontId="40" fillId="99" borderId="2"/>
    <xf numFmtId="4" fontId="62" fillId="97" borderId="18"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31"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73" fontId="6"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89" fillId="125" borderId="0"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90" fillId="0" borderId="0"/>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5" applyNumberFormat="0" applyAlignment="0" applyProtection="0"/>
    <xf numFmtId="169" fontId="47" fillId="0" borderId="0" applyFont="0" applyFill="0" applyBorder="0" applyAlignment="0" applyProtection="0"/>
    <xf numFmtId="0" fontId="101" fillId="0" borderId="7"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9"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3"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6"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7" applyNumberFormat="0" applyAlignment="0" applyProtection="0"/>
    <xf numFmtId="0" fontId="100" fillId="18" borderId="5"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5" fillId="70" borderId="19" applyNumberFormat="0" applyAlignment="0" applyProtection="0"/>
    <xf numFmtId="0" fontId="45" fillId="70" borderId="19"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4"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40" applyNumberFormat="0" applyFill="0" applyAlignment="0" applyProtection="0"/>
    <xf numFmtId="0" fontId="106" fillId="0" borderId="40" applyNumberFormat="0" applyFill="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56" fillId="86" borderId="0" applyNumberFormat="0" applyBorder="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111"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113"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112" borderId="0"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9" fillId="0" borderId="24"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5"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4" fillId="3" borderId="0" applyNumberFormat="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97" fillId="19" borderId="8" applyNumberFormat="0" applyAlignment="0" applyProtection="0"/>
    <xf numFmtId="168" fontId="6" fillId="0" borderId="0" applyFont="0" applyFill="0" applyBorder="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10" applyNumberFormat="0" applyFill="0" applyAlignment="0" applyProtection="0"/>
    <xf numFmtId="0" fontId="93" fillId="0" borderId="11" applyNumberFormat="0" applyFill="0" applyAlignment="0" applyProtection="0"/>
    <xf numFmtId="0" fontId="94" fillId="0" borderId="12"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95" fillId="17" borderId="5"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112" borderId="0"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4">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5"/>
    <xf numFmtId="187" fontId="6" fillId="111" borderId="45"/>
    <xf numFmtId="187" fontId="6" fillId="111" borderId="45"/>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6"/>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5" applyBorder="0"/>
    <xf numFmtId="0" fontId="131" fillId="0" borderId="35" applyBorder="0"/>
    <xf numFmtId="0" fontId="131" fillId="0" borderId="35" applyBorder="0"/>
    <xf numFmtId="0" fontId="131" fillId="0" borderId="35"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8">
      <alignment horizontal="center" vertical="center"/>
    </xf>
    <xf numFmtId="0" fontId="110" fillId="0" borderId="34"/>
    <xf numFmtId="0" fontId="6" fillId="0" borderId="0"/>
    <xf numFmtId="0" fontId="110" fillId="0" borderId="16" applyBorder="0"/>
    <xf numFmtId="0" fontId="110" fillId="0" borderId="16"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59" fillId="0" borderId="49" applyNumberFormat="0" applyFill="0" applyBorder="0" applyAlignment="0" applyProtection="0"/>
    <xf numFmtId="0" fontId="59" fillId="0" borderId="49" applyNumberFormat="0" applyFill="0" applyBorder="0" applyAlignment="0" applyProtection="0"/>
    <xf numFmtId="0" fontId="132" fillId="0" borderId="49" applyNumberFormat="0" applyFill="0" applyBorder="0" applyAlignment="0" applyProtection="0"/>
    <xf numFmtId="0" fontId="132" fillId="0" borderId="49" applyNumberFormat="0" applyFill="0" applyBorder="0" applyAlignment="0" applyProtection="0"/>
    <xf numFmtId="0" fontId="40" fillId="0" borderId="49" applyNumberFormat="0" applyFill="0" applyAlignment="0" applyProtection="0"/>
    <xf numFmtId="0" fontId="133" fillId="0" borderId="50">
      <protection hidden="1"/>
    </xf>
    <xf numFmtId="0" fontId="134" fillId="52" borderId="50" applyNumberFormat="0" applyFont="0" applyBorder="0" applyAlignment="0" applyProtection="0">
      <protection hidden="1"/>
    </xf>
    <xf numFmtId="0" fontId="133" fillId="0" borderId="50">
      <protection hidden="1"/>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9" fillId="0" borderId="37" applyNumberFormat="0" applyFont="0" applyFill="0" applyAlignment="0" applyProtection="0"/>
    <xf numFmtId="0" fontId="139" fillId="0" borderId="43" applyNumberFormat="0" applyFont="0" applyFill="0" applyAlignment="0" applyProtection="0"/>
    <xf numFmtId="0" fontId="144" fillId="0" borderId="51" applyNumberFormat="0" applyFont="0" applyFill="0" applyAlignment="0" applyProtection="0">
      <alignment horizontal="centerContinuous"/>
    </xf>
    <xf numFmtId="0" fontId="139" fillId="0" borderId="37"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3" applyNumberFormat="0"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50" fillId="97"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203" fontId="151" fillId="0" borderId="33"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8" applyNumberFormat="0" applyAlignment="0" applyProtection="0"/>
    <xf numFmtId="0" fontId="45" fillId="79" borderId="19" applyNumberFormat="0" applyAlignment="0" applyProtection="0"/>
    <xf numFmtId="0" fontId="97" fillId="19" borderId="8"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5">
      <alignment horizontal="center"/>
    </xf>
    <xf numFmtId="0" fontId="155" fillId="0" borderId="35">
      <alignment horizontal="center"/>
    </xf>
    <xf numFmtId="0" fontId="155" fillId="0" borderId="35">
      <alignment horizontal="center"/>
    </xf>
    <xf numFmtId="0" fontId="155" fillId="0" borderId="35">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4">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6">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5"/>
    <xf numFmtId="221" fontId="59" fillId="0" borderId="35"/>
    <xf numFmtId="221" fontId="59" fillId="0" borderId="35"/>
    <xf numFmtId="221" fontId="59" fillId="0" borderId="35"/>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2" applyNumberFormat="0" applyFont="0" applyFill="0" applyAlignment="0" applyProtection="0"/>
    <xf numFmtId="212" fontId="166" fillId="0" borderId="0" applyFill="0" applyBorder="0" applyAlignment="0" applyProtection="0"/>
    <xf numFmtId="38" fontId="145" fillId="0" borderId="53">
      <alignment horizontal="right"/>
    </xf>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9" fillId="0" borderId="24"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4">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3">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5"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6" applyProtection="0">
      <alignment horizontal="right" wrapText="1"/>
    </xf>
    <xf numFmtId="0" fontId="52" fillId="0" borderId="21" applyNumberFormat="0" applyFill="0" applyAlignment="0" applyProtection="0"/>
    <xf numFmtId="0" fontId="106" fillId="0" borderId="4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49" fontId="188" fillId="0" borderId="0" applyProtection="0">
      <alignment wrapText="1"/>
    </xf>
    <xf numFmtId="0" fontId="53" fillId="0" borderId="22" applyNumberFormat="0" applyFill="0" applyAlignment="0" applyProtection="0"/>
    <xf numFmtId="0" fontId="107" fillId="0" borderId="41" applyNumberFormat="0" applyFill="0" applyAlignment="0" applyProtection="0"/>
    <xf numFmtId="0" fontId="93" fillId="0" borderId="11" applyNumberFormat="0" applyFill="0" applyAlignment="0" applyProtection="0"/>
    <xf numFmtId="0" fontId="93" fillId="0" borderId="11" applyNumberFormat="0" applyFill="0" applyAlignment="0" applyProtection="0"/>
    <xf numFmtId="49" fontId="189" fillId="0" borderId="57" applyProtection="0">
      <alignment horizontal="right" wrapText="1"/>
    </xf>
    <xf numFmtId="0" fontId="54" fillId="0" borderId="23" applyNumberFormat="0" applyFill="0" applyAlignment="0" applyProtection="0"/>
    <xf numFmtId="0" fontId="108" fillId="0" borderId="4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7"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195" fillId="10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95" fillId="1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95" fillId="17" borderId="5" applyNumberFormat="0" applyAlignment="0" applyProtection="0"/>
    <xf numFmtId="0" fontId="6" fillId="98" borderId="0"/>
    <xf numFmtId="0" fontId="51" fillId="107" borderId="17"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110" fillId="0" borderId="0"/>
    <xf numFmtId="0" fontId="167" fillId="113" borderId="58"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2" applyFill="0" applyProtection="0">
      <alignment horizontal="centerContinuous"/>
    </xf>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xf numFmtId="0" fontId="59" fillId="0" borderId="35"/>
    <xf numFmtId="0" fontId="59" fillId="0" borderId="35"/>
    <xf numFmtId="0" fontId="59" fillId="0" borderId="35"/>
    <xf numFmtId="0" fontId="59" fillId="0" borderId="35"/>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3" fontId="196" fillId="0" borderId="35"/>
    <xf numFmtId="243" fontId="196" fillId="0" borderId="35"/>
    <xf numFmtId="243" fontId="196" fillId="0" borderId="35"/>
    <xf numFmtId="243" fontId="196" fillId="0" borderId="35"/>
    <xf numFmtId="243" fontId="196" fillId="0" borderId="35"/>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4" fontId="40" fillId="0" borderId="0" applyFill="0" applyBorder="0" applyProtection="0">
      <alignment horizontal="right"/>
    </xf>
    <xf numFmtId="242" fontId="40" fillId="0" borderId="35"/>
    <xf numFmtId="242" fontId="40" fillId="0" borderId="35"/>
    <xf numFmtId="242" fontId="40" fillId="0" borderId="35"/>
    <xf numFmtId="242" fontId="40" fillId="0" borderId="35"/>
    <xf numFmtId="242" fontId="40" fillId="0" borderId="35"/>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4">
      <protection locked="0"/>
    </xf>
    <xf numFmtId="0" fontId="36" fillId="0" borderId="0" applyFill="0" applyProtection="0">
      <alignment horizontal="centerContinuous"/>
    </xf>
    <xf numFmtId="0" fontId="8" fillId="0" borderId="0" applyFill="0" applyProtection="0">
      <alignment horizontal="centerContinuous"/>
    </xf>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0" applyFill="0" applyBorder="0" applyProtection="0"/>
    <xf numFmtId="242" fontId="40" fillId="0" borderId="59" applyFill="0" applyProtection="0"/>
    <xf numFmtId="242" fontId="40" fillId="0" borderId="60"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61"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6" fillId="89" borderId="0"/>
    <xf numFmtId="0" fontId="110" fillId="0" borderId="0"/>
    <xf numFmtId="0" fontId="202" fillId="0" borderId="50">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36" fillId="0" borderId="0"/>
    <xf numFmtId="0" fontId="111" fillId="0" borderId="0"/>
    <xf numFmtId="0" fontId="213" fillId="0" borderId="0"/>
    <xf numFmtId="0" fontId="214" fillId="0" borderId="62"/>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216" fillId="0" borderId="5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97"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40" fontId="217" fillId="101" borderId="0">
      <alignment horizontal="right"/>
    </xf>
    <xf numFmtId="0" fontId="218" fillId="101" borderId="0">
      <alignment horizontal="right"/>
    </xf>
    <xf numFmtId="0" fontId="219" fillId="101" borderId="34"/>
    <xf numFmtId="0" fontId="219" fillId="0" borderId="0" applyBorder="0">
      <alignment horizontal="centerContinuous"/>
    </xf>
    <xf numFmtId="0" fontId="220" fillId="0" borderId="0" applyBorder="0">
      <alignment horizontal="centerContinuous"/>
    </xf>
    <xf numFmtId="0" fontId="57" fillId="97" borderId="26"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5"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3">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4">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3">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50"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110" fillId="0" borderId="0">
      <alignment horizontal="center"/>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0" fillId="0" borderId="0">
      <alignment horizontal="center"/>
    </xf>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6"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111"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113" borderId="29" applyNumberFormat="0">
      <protection locked="0"/>
    </xf>
    <xf numFmtId="0" fontId="40" fillId="97"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112" borderId="0"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227" fillId="0" borderId="66"/>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6" applyProtection="0">
      <alignment horizontal="right" wrapText="1"/>
    </xf>
    <xf numFmtId="0" fontId="188" fillId="0" borderId="56"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7" applyNumberFormat="0" applyFill="0" applyAlignment="0" applyProtection="0"/>
    <xf numFmtId="250" fontId="238" fillId="0" borderId="68" applyNumberFormat="0" applyFill="0" applyAlignment="0" applyProtection="0"/>
    <xf numFmtId="250" fontId="238" fillId="0" borderId="68"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9" applyNumberFormat="0" applyFill="0" applyAlignment="0" applyProtection="0"/>
    <xf numFmtId="250" fontId="239" fillId="0" borderId="70"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4">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9" applyNumberFormat="0" applyFill="0" applyBorder="0" applyAlignment="0" applyProtection="0"/>
    <xf numFmtId="0" fontId="6" fillId="0" borderId="49" applyNumberFormat="0" applyFill="0" applyBorder="0" applyAlignment="0" applyProtection="0"/>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0" fontId="245" fillId="151" borderId="0"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71"/>
    <xf numFmtId="0" fontId="115" fillId="0" borderId="0">
      <alignment horizontal="centerContinuous"/>
      <protection locked="0"/>
    </xf>
    <xf numFmtId="0" fontId="115" fillId="0" borderId="0">
      <alignment horizontal="left"/>
    </xf>
    <xf numFmtId="0" fontId="250" fillId="150" borderId="44">
      <alignment vertical="center"/>
    </xf>
    <xf numFmtId="0" fontId="251" fillId="0" borderId="0">
      <alignment horizontal="center"/>
    </xf>
    <xf numFmtId="195" fontId="226" fillId="0" borderId="0" applyNumberFormat="0" applyFill="0" applyBorder="0" applyAlignment="0" applyProtection="0"/>
    <xf numFmtId="0" fontId="128" fillId="52" borderId="50"/>
    <xf numFmtId="0" fontId="252" fillId="0" borderId="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37" fontId="40" fillId="87" borderId="0" applyNumberFormat="0" applyBorder="0" applyAlignment="0" applyProtection="0"/>
    <xf numFmtId="37" fontId="40" fillId="0" borderId="0"/>
    <xf numFmtId="3" fontId="197" fillId="0" borderId="72"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7" applyNumberFormat="0" applyAlignment="0" applyProtection="0"/>
    <xf numFmtId="0" fontId="51" fillId="51" borderId="17"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4" fontId="40" fillId="88" borderId="18" applyNumberFormat="0" applyProtection="0">
      <alignment horizontal="left" vertical="center" indent="1"/>
    </xf>
    <xf numFmtId="4" fontId="40" fillId="88" borderId="18"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2" fillId="68" borderId="0" applyNumberFormat="0" applyBorder="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1" fillId="0" borderId="0"/>
    <xf numFmtId="4" fontId="40" fillId="88" borderId="18" applyNumberFormat="0" applyProtection="0">
      <alignment horizontal="left" vertical="center" indent="1"/>
    </xf>
    <xf numFmtId="0" fontId="1" fillId="0" borderId="0"/>
    <xf numFmtId="0" fontId="1" fillId="0" borderId="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113" borderId="28" applyNumberFormat="0" applyProtection="0">
      <alignment horizontal="left" vertical="center" indent="1"/>
    </xf>
    <xf numFmtId="4" fontId="40" fillId="113"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cellStyleXfs>
  <cellXfs count="336">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4" xfId="4" applyBorder="1" applyAlignment="1">
      <alignment horizontal="left" vertical="top" wrapText="1"/>
    </xf>
    <xf numFmtId="14" fontId="6" fillId="0" borderId="2" xfId="4" applyNumberFormat="1" applyBorder="1" applyAlignment="1">
      <alignment horizontal="left" vertical="top"/>
    </xf>
    <xf numFmtId="0" fontId="6" fillId="0" borderId="14" xfId="4" applyBorder="1" applyAlignment="1">
      <alignment vertical="top" wrapText="1"/>
    </xf>
    <xf numFmtId="0" fontId="6" fillId="0" borderId="16" xfId="4" applyBorder="1">
      <alignment vertical="top"/>
    </xf>
    <xf numFmtId="0" fontId="6" fillId="0" borderId="15" xfId="4" applyBorder="1">
      <alignment vertical="top"/>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4" fontId="6" fillId="0" borderId="14" xfId="4" applyNumberFormat="1" applyBorder="1" applyAlignment="1">
      <alignment horizontal="left" vertical="top" wrapText="1"/>
    </xf>
    <xf numFmtId="0" fontId="0" fillId="0" borderId="2" xfId="0" applyBorder="1">
      <alignment vertical="top"/>
    </xf>
    <xf numFmtId="166" fontId="6" fillId="15" borderId="0" xfId="63" applyNumberFormat="1" applyFill="1">
      <alignment vertical="top"/>
    </xf>
    <xf numFmtId="49" fontId="7" fillId="21" borderId="4" xfId="6" applyBorder="1">
      <alignment vertical="top"/>
    </xf>
    <xf numFmtId="49" fontId="7" fillId="21" borderId="35" xfId="6" applyBorder="1">
      <alignment vertical="top"/>
    </xf>
    <xf numFmtId="49" fontId="7" fillId="21" borderId="35"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5" xfId="6" applyBorder="1" applyAlignment="1"/>
    <xf numFmtId="49" fontId="7" fillId="21" borderId="35" xfId="6" applyBorder="1" applyAlignment="1">
      <alignment horizontal="center"/>
    </xf>
    <xf numFmtId="49" fontId="7" fillId="21" borderId="35"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5"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43" fontId="6" fillId="0" borderId="3" xfId="12" applyFill="1" applyBorder="1" applyAlignment="1">
      <alignment vertical="top" wrapText="1"/>
    </xf>
    <xf numFmtId="14" fontId="6" fillId="0" borderId="14" xfId="4" applyNumberFormat="1" applyBorder="1" applyAlignment="1">
      <alignment horizontal="lef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3" xfId="0" applyFont="1" applyFill="1" applyBorder="1">
      <alignment vertical="top"/>
    </xf>
    <xf numFmtId="0" fontId="32" fillId="154" borderId="74" xfId="0" applyFont="1" applyFill="1" applyBorder="1">
      <alignment vertical="top"/>
    </xf>
    <xf numFmtId="0" fontId="32" fillId="154" borderId="75" xfId="0" applyFont="1" applyFill="1" applyBorder="1">
      <alignment vertical="top"/>
    </xf>
    <xf numFmtId="0" fontId="32" fillId="154" borderId="0" xfId="0" applyFont="1" applyFill="1">
      <alignment vertical="top"/>
    </xf>
    <xf numFmtId="0" fontId="32" fillId="154" borderId="76" xfId="0" applyFont="1" applyFill="1" applyBorder="1">
      <alignment vertical="top"/>
    </xf>
    <xf numFmtId="0" fontId="32" fillId="7" borderId="0" xfId="0" applyFont="1" applyFill="1" applyAlignment="1">
      <alignment horizontal="center" vertical="top"/>
    </xf>
    <xf numFmtId="0" fontId="32" fillId="154" borderId="77" xfId="0" applyFont="1" applyFill="1" applyBorder="1">
      <alignment vertical="top"/>
    </xf>
    <xf numFmtId="0" fontId="32" fillId="154" borderId="78" xfId="0" applyFont="1" applyFill="1" applyBorder="1">
      <alignment vertical="top"/>
    </xf>
    <xf numFmtId="0" fontId="32" fillId="154" borderId="79" xfId="0" applyFont="1" applyFill="1" applyBorder="1">
      <alignment vertical="top"/>
    </xf>
    <xf numFmtId="0" fontId="32" fillId="154" borderId="80"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4" xfId="6" applyBorder="1" applyAlignment="1">
      <alignment vertical="center"/>
    </xf>
    <xf numFmtId="49" fontId="7" fillId="21" borderId="0" xfId="6" applyBorder="1" applyAlignment="1">
      <alignment vertical="center"/>
    </xf>
    <xf numFmtId="49" fontId="7" fillId="21" borderId="35"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4"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81" xfId="6" applyBorder="1">
      <alignment vertical="top"/>
    </xf>
    <xf numFmtId="49" fontId="7" fillId="21" borderId="16" xfId="6" applyBorder="1">
      <alignment vertical="top"/>
    </xf>
    <xf numFmtId="0" fontId="7" fillId="21" borderId="35" xfId="6" applyNumberFormat="1" applyBorder="1" applyAlignment="1">
      <alignment horizontal="right" vertical="top"/>
    </xf>
    <xf numFmtId="0" fontId="7" fillId="21" borderId="35"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4" xfId="6" applyNumberFormat="1" applyBorder="1" applyAlignment="1">
      <alignment horizontal="center" vertical="top"/>
    </xf>
    <xf numFmtId="0" fontId="0" fillId="0" borderId="4" xfId="0" applyBorder="1">
      <alignment vertical="top"/>
    </xf>
    <xf numFmtId="0" fontId="7" fillId="21" borderId="35" xfId="6" applyNumberFormat="1" applyBorder="1" applyAlignment="1">
      <alignment horizontal="center" vertical="top"/>
    </xf>
    <xf numFmtId="0" fontId="0" fillId="0" borderId="35"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14" fillId="0" borderId="2" xfId="0" applyFont="1" applyBorder="1">
      <alignment vertical="top"/>
    </xf>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6" fillId="0" borderId="2" xfId="0" applyFont="1" applyBorder="1">
      <alignment vertical="top"/>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 fontId="6" fillId="15" borderId="0" xfId="4" applyNumberFormat="1" applyFill="1">
      <alignment vertical="top"/>
    </xf>
    <xf numFmtId="49" fontId="7" fillId="21" borderId="82"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43" fontId="6" fillId="13" borderId="0" xfId="63" applyFill="1">
      <alignment vertical="top"/>
    </xf>
    <xf numFmtId="0" fontId="258" fillId="0" borderId="0" xfId="4" applyFont="1">
      <alignment vertical="top"/>
    </xf>
    <xf numFmtId="0" fontId="7" fillId="21" borderId="4"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164" fontId="6" fillId="11" borderId="0" xfId="4"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164" fontId="6" fillId="7" borderId="0" xfId="4" applyNumberFormat="1" applyFill="1" applyAlignment="1">
      <alignment horizontal="right" vertical="top"/>
    </xf>
    <xf numFmtId="49" fontId="259" fillId="0" borderId="2" xfId="61" applyFont="1" applyBorder="1" applyAlignment="1">
      <alignment vertical="top" wrapText="1"/>
    </xf>
    <xf numFmtId="49" fontId="10" fillId="0" borderId="2" xfId="61" applyFont="1" applyBorder="1" applyAlignment="1">
      <alignment vertical="top" wrapText="1"/>
    </xf>
    <xf numFmtId="49" fontId="7" fillId="21" borderId="4"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37" fontId="6" fillId="158" borderId="0" xfId="159" applyNumberFormat="1" applyFill="1" applyAlignment="1">
      <alignment vertical="top" wrapText="1"/>
    </xf>
    <xf numFmtId="9" fontId="6" fillId="15" borderId="0" xfId="210" applyFon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6" fillId="15" borderId="0" xfId="4" applyNumberFormat="1" applyFill="1">
      <alignment vertical="top"/>
    </xf>
    <xf numFmtId="239" fontId="7" fillId="0" borderId="0" xfId="6" applyNumberFormat="1" applyFill="1" applyBorder="1" applyAlignment="1"/>
    <xf numFmtId="239" fontId="6" fillId="15" borderId="0" xfId="63" applyNumberFormat="1" applyFill="1">
      <alignment vertical="top"/>
    </xf>
    <xf numFmtId="239" fontId="6" fillId="15" borderId="0" xfId="63" applyNumberFormat="1" applyFont="1" applyFill="1">
      <alignment vertical="top"/>
    </xf>
    <xf numFmtId="239" fontId="6" fillId="13" borderId="0" xfId="4" applyNumberFormat="1" applyFill="1">
      <alignment vertical="top"/>
    </xf>
    <xf numFmtId="239" fontId="6" fillId="0" borderId="0" xfId="4" applyNumberFormat="1">
      <alignment vertical="top"/>
    </xf>
    <xf numFmtId="239" fontId="6" fillId="13" borderId="0" xfId="63" applyNumberFormat="1" applyFill="1">
      <alignment vertical="top"/>
    </xf>
    <xf numFmtId="239" fontId="6" fillId="8" borderId="0" xfId="63" applyNumberFormat="1" applyFill="1">
      <alignment vertical="top"/>
    </xf>
    <xf numFmtId="239" fontId="0" fillId="0" borderId="0" xfId="0" applyNumberFormat="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239" fontId="6" fillId="21" borderId="0" xfId="4" applyNumberFormat="1" applyFill="1">
      <alignment vertical="top"/>
    </xf>
    <xf numFmtId="49" fontId="7" fillId="21" borderId="82" xfId="6" applyBorder="1" applyAlignment="1"/>
    <xf numFmtId="164" fontId="0" fillId="15" borderId="0" xfId="0" applyNumberFormat="1" applyFill="1">
      <alignment vertical="top"/>
    </xf>
    <xf numFmtId="164" fontId="0" fillId="13" borderId="0" xfId="0" applyNumberFormat="1" applyFill="1">
      <alignment vertical="top"/>
    </xf>
    <xf numFmtId="1" fontId="6" fillId="13" borderId="0" xfId="4" applyNumberFormat="1" applyFill="1">
      <alignment vertical="top"/>
    </xf>
    <xf numFmtId="164" fontId="14" fillId="156" borderId="0" xfId="4" applyNumberFormat="1" applyFont="1" applyFill="1">
      <alignment vertical="top"/>
    </xf>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3" fontId="6" fillId="156" borderId="0" xfId="4" applyNumberFormat="1" applyFill="1">
      <alignment vertical="top"/>
    </xf>
    <xf numFmtId="0" fontId="6" fillId="159" borderId="2" xfId="0" applyFont="1" applyFill="1" applyBorder="1" applyAlignment="1">
      <alignment horizontal="left" vertical="top" wrapText="1"/>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5" xfId="0" applyFont="1" applyFill="1" applyBorder="1">
      <alignment vertical="top"/>
    </xf>
    <xf numFmtId="10" fontId="0" fillId="0" borderId="0" xfId="64" applyFont="1">
      <alignment vertical="top"/>
    </xf>
    <xf numFmtId="0" fontId="0" fillId="7" borderId="0" xfId="0" applyFill="1">
      <alignment vertical="top"/>
    </xf>
    <xf numFmtId="164" fontId="0" fillId="7" borderId="0" xfId="63" applyNumberFormat="1" applyFont="1" applyFill="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4" xfId="6" applyNumberFormat="1" applyBorder="1">
      <alignment vertical="top"/>
    </xf>
    <xf numFmtId="269" fontId="7" fillId="21" borderId="0" xfId="6" applyNumberFormat="1" applyBorder="1">
      <alignment vertical="top"/>
    </xf>
    <xf numFmtId="269" fontId="7" fillId="21" borderId="35" xfId="6" applyNumberFormat="1" applyBorder="1">
      <alignment vertical="top"/>
    </xf>
    <xf numFmtId="213" fontId="6" fillId="11" borderId="0" xfId="10" applyNumberFormat="1">
      <alignment vertical="top"/>
    </xf>
    <xf numFmtId="213" fontId="7" fillId="21" borderId="4" xfId="6" applyNumberFormat="1" applyBorder="1">
      <alignment vertical="top"/>
    </xf>
    <xf numFmtId="213" fontId="7" fillId="21" borderId="0" xfId="6" applyNumberFormat="1" applyBorder="1">
      <alignment vertical="top"/>
    </xf>
    <xf numFmtId="213" fontId="7" fillId="21" borderId="35"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4" xfId="6" applyNumberFormat="1" applyBorder="1" applyAlignment="1">
      <alignment vertical="center"/>
    </xf>
    <xf numFmtId="269" fontId="7" fillId="21" borderId="0" xfId="6" applyNumberFormat="1" applyBorder="1" applyAlignment="1">
      <alignment vertical="center"/>
    </xf>
    <xf numFmtId="269" fontId="7" fillId="21" borderId="35"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14" borderId="0" xfId="63" applyNumberFormat="1" applyFill="1" applyAlignment="1">
      <alignment horizontal="right" vertical="center"/>
    </xf>
    <xf numFmtId="270" fontId="6" fillId="0" borderId="0" xfId="4" applyNumberFormat="1" applyAlignment="1">
      <alignment vertical="center"/>
    </xf>
    <xf numFmtId="270" fontId="7" fillId="21" borderId="4" xfId="6" applyNumberFormat="1" applyBorder="1" applyAlignment="1">
      <alignment vertical="center"/>
    </xf>
    <xf numFmtId="270" fontId="7" fillId="21" borderId="0" xfId="6" applyNumberFormat="1" applyBorder="1" applyAlignment="1">
      <alignment vertical="center"/>
    </xf>
    <xf numFmtId="270" fontId="7" fillId="21" borderId="35" xfId="6" applyNumberFormat="1" applyBorder="1" applyAlignment="1">
      <alignment vertical="center"/>
    </xf>
    <xf numFmtId="270" fontId="6" fillId="0" borderId="0" xfId="63" applyNumberFormat="1" applyFill="1" applyAlignment="1">
      <alignment vertical="center"/>
    </xf>
    <xf numFmtId="270" fontId="7" fillId="21" borderId="4" xfId="6" applyNumberFormat="1" applyBorder="1">
      <alignment vertical="top"/>
    </xf>
    <xf numFmtId="270" fontId="7" fillId="21" borderId="0" xfId="6" applyNumberFormat="1" applyBorder="1">
      <alignment vertical="top"/>
    </xf>
    <xf numFmtId="270" fontId="7" fillId="21" borderId="35" xfId="6" applyNumberFormat="1" applyBorder="1">
      <alignment vertical="top"/>
    </xf>
    <xf numFmtId="270" fontId="6" fillId="0" borderId="0" xfId="4" applyNumberFormat="1">
      <alignment vertical="top"/>
    </xf>
    <xf numFmtId="270" fontId="6" fillId="14" borderId="0" xfId="63" applyNumberFormat="1" applyFill="1" applyAlignment="1">
      <alignment vertical="top"/>
    </xf>
    <xf numFmtId="270" fontId="6" fillId="14" borderId="0" xfId="63" applyNumberFormat="1" applyFill="1">
      <alignment vertical="top"/>
    </xf>
    <xf numFmtId="270" fontId="31" fillId="8" borderId="0" xfId="63" applyNumberFormat="1" applyFont="1" applyFill="1" applyAlignment="1">
      <alignment horizontal="right" vertical="top"/>
    </xf>
    <xf numFmtId="0" fontId="6" fillId="0" borderId="0" xfId="4" applyAlignment="1">
      <alignment horizontal="left" vertical="top" wrapText="1"/>
    </xf>
    <xf numFmtId="0" fontId="6" fillId="0" borderId="0" xfId="4" applyAlignment="1">
      <alignment horizontal="left" vertical="top"/>
    </xf>
    <xf numFmtId="0" fontId="6" fillId="0" borderId="0" xfId="4" applyAlignment="1">
      <alignment horizontal="left" vertical="top" wrapText="1"/>
    </xf>
    <xf numFmtId="262" fontId="6" fillId="14" borderId="0" xfId="4" applyNumberFormat="1" applyFill="1" applyAlignment="1">
      <alignment horizontal="right" vertical="center"/>
    </xf>
    <xf numFmtId="262" fontId="6" fillId="14" borderId="0" xfId="63" applyNumberFormat="1" applyFill="1" applyAlignment="1">
      <alignment horizontal="righ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6" fillId="0" borderId="0" xfId="4" applyAlignment="1">
      <alignment horizontal="left" vertical="top"/>
    </xf>
    <xf numFmtId="166" fontId="6" fillId="14" borderId="0" xfId="63" applyNumberFormat="1" applyFill="1" applyAlignment="1">
      <alignment horizontal="right" vertical="center"/>
    </xf>
    <xf numFmtId="14" fontId="6" fillId="0" borderId="0" xfId="4" applyNumberFormat="1" applyAlignment="1">
      <alignment horizontal="left" vertical="top" wrapText="1"/>
    </xf>
    <xf numFmtId="0" fontId="10" fillId="0" borderId="0" xfId="4" applyFont="1" applyAlignment="1">
      <alignment horizontal="left" vertical="top" wrapText="1"/>
    </xf>
    <xf numFmtId="0" fontId="10" fillId="0" borderId="0" xfId="4" applyFont="1" applyAlignment="1">
      <alignment horizontal="left" vertical="top"/>
    </xf>
    <xf numFmtId="263" fontId="6" fillId="0" borderId="0" xfId="4" applyNumberFormat="1" applyAlignment="1">
      <alignment horizontal="left" vertical="top" wrapText="1"/>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0" fontId="0" fillId="0" borderId="2" xfId="0" applyFont="1" applyBorder="1">
      <alignment vertical="top"/>
    </xf>
  </cellXfs>
  <cellStyles count="50037">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31">
    <dxf>
      <numFmt numFmtId="164" formatCode="_ * #,##0_ ;_ * \-#,##0_ ;_ * &quot;-&quot;??_ ;_ @_ "/>
      <fill>
        <patternFill patternType="solid">
          <fgColor indexed="64"/>
          <bgColor rgb="FFCCFFCC"/>
        </patternFill>
      </fill>
    </dxf>
    <dxf>
      <fill>
        <patternFill patternType="solid">
          <fgColor indexed="64"/>
          <bgColor rgb="FFCCFFCC"/>
        </patternFill>
      </fill>
    </dxf>
    <dxf>
      <fill>
        <patternFill patternType="solid">
          <fgColor indexed="64"/>
          <bgColor rgb="FFCCFFCC"/>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numFmt numFmtId="0" formatCode="General"/>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0" formatCode="General"/>
    </dxf>
    <dxf>
      <numFmt numFmtId="0" formatCode="General"/>
    </dxf>
    <dxf>
      <border outline="0">
        <bottom style="thin">
          <color indexed="64"/>
        </bottom>
      </border>
    </dxf>
    <dxf>
      <numFmt numFmtId="0" formatCode="General"/>
    </dxf>
    <dxf>
      <numFmt numFmtId="0" formatCode="Genera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0"/>
    </tableStyle>
  </tableStyles>
  <colors>
    <mruColors>
      <color rgb="FFCCC8D9"/>
      <color rgb="FFCCFFCC"/>
      <color rgb="FFCCCCFF"/>
      <color rgb="FF99FF99"/>
      <color rgb="FFFFFFCC"/>
      <color rgb="FFFFCCFF"/>
      <color rgb="FFFF00FF"/>
      <color rgb="FFCCFFFF"/>
      <color rgb="FFFFCC99"/>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connections" Target="connections.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5</xdr:col>
      <xdr:colOff>693964</xdr:colOff>
      <xdr:row>44</xdr:row>
      <xdr:rowOff>13607</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652567"/>
          <a:ext cx="682758" cy="2035469"/>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421821</xdr:colOff>
      <xdr:row>40</xdr:row>
      <xdr:rowOff>95250</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72000" y="3804767"/>
          <a:ext cx="40821" cy="3257340"/>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40</xdr:row>
      <xdr:rowOff>96297</xdr:rowOff>
    </xdr:from>
    <xdr:to>
      <xdr:col>5</xdr:col>
      <xdr:colOff>461596</xdr:colOff>
      <xdr:row>40</xdr:row>
      <xdr:rowOff>96297</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198327" y="7063154"/>
          <a:ext cx="454269" cy="0"/>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63234</xdr:colOff>
      <xdr:row>25</xdr:row>
      <xdr:rowOff>13607</xdr:rowOff>
    </xdr:from>
    <xdr:to>
      <xdr:col>6</xdr:col>
      <xdr:colOff>0</xdr:colOff>
      <xdr:row>44</xdr:row>
      <xdr:rowOff>46424</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54234" y="4327071"/>
          <a:ext cx="657945" cy="3393782"/>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22412</xdr:colOff>
      <xdr:row>29</xdr:row>
      <xdr:rowOff>95250</xdr:rowOff>
    </xdr:from>
    <xdr:to>
      <xdr:col>6</xdr:col>
      <xdr:colOff>0</xdr:colOff>
      <xdr:row>48</xdr:row>
      <xdr:rowOff>78441</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13412" y="5116286"/>
          <a:ext cx="698767" cy="3344155"/>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14654</xdr:colOff>
      <xdr:row>36</xdr:row>
      <xdr:rowOff>136071</xdr:rowOff>
    </xdr:from>
    <xdr:to>
      <xdr:col>5</xdr:col>
      <xdr:colOff>680357</xdr:colOff>
      <xdr:row>52</xdr:row>
      <xdr:rowOff>124558</xdr:rowOff>
    </xdr:to>
    <xdr:cxnSp macro="">
      <xdr:nvCxnSpPr>
        <xdr:cNvPr id="56" name="Rechte verbindingslijn met pijl 55">
          <a:extLst>
            <a:ext uri="{FF2B5EF4-FFF2-40B4-BE49-F238E27FC236}">
              <a16:creationId xmlns:a16="http://schemas.microsoft.com/office/drawing/2014/main" id="{3E2F29D3-D488-49BC-A388-F893D17A8B75}"/>
            </a:ext>
          </a:extLst>
        </xdr:cNvPr>
        <xdr:cNvCxnSpPr/>
      </xdr:nvCxnSpPr>
      <xdr:spPr>
        <a:xfrm flipV="1">
          <a:off x="4205654" y="6395357"/>
          <a:ext cx="665703" cy="28187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41</xdr:row>
      <xdr:rowOff>108857</xdr:rowOff>
    </xdr:from>
    <xdr:to>
      <xdr:col>5</xdr:col>
      <xdr:colOff>680357</xdr:colOff>
      <xdr:row>56</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7252607"/>
          <a:ext cx="673030" cy="2654440"/>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48</xdr:row>
      <xdr:rowOff>80596</xdr:rowOff>
    </xdr:from>
    <xdr:to>
      <xdr:col>6</xdr:col>
      <xdr:colOff>7327</xdr:colOff>
      <xdr:row>60</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205654" y="8103577"/>
          <a:ext cx="725365" cy="222738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170489</xdr:colOff>
      <xdr:row>36</xdr:row>
      <xdr:rowOff>27214</xdr:rowOff>
    </xdr:from>
    <xdr:to>
      <xdr:col>9</xdr:col>
      <xdr:colOff>707571</xdr:colOff>
      <xdr:row>44</xdr:row>
      <xdr:rowOff>125665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90489" y="6286500"/>
          <a:ext cx="713975" cy="151359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36</xdr:row>
      <xdr:rowOff>44824</xdr:rowOff>
    </xdr:from>
    <xdr:to>
      <xdr:col>10</xdr:col>
      <xdr:colOff>112058</xdr:colOff>
      <xdr:row>48</xdr:row>
      <xdr:rowOff>78441</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10500" y="5737412"/>
          <a:ext cx="818029" cy="218514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36</xdr:row>
      <xdr:rowOff>44824</xdr:rowOff>
    </xdr:from>
    <xdr:to>
      <xdr:col>11</xdr:col>
      <xdr:colOff>224117</xdr:colOff>
      <xdr:row>52</xdr:row>
      <xdr:rowOff>123265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810500" y="5737412"/>
          <a:ext cx="1109382" cy="294714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36</xdr:row>
      <xdr:rowOff>56030</xdr:rowOff>
    </xdr:from>
    <xdr:to>
      <xdr:col>11</xdr:col>
      <xdr:colOff>403411</xdr:colOff>
      <xdr:row>56</xdr:row>
      <xdr:rowOff>123264</xdr:rowOff>
    </xdr:to>
    <xdr:cxnSp macro="">
      <xdr:nvCxnSpPr>
        <xdr:cNvPr id="85" name="Rechte verbindingslijn met pijl 84">
          <a:extLst>
            <a:ext uri="{FF2B5EF4-FFF2-40B4-BE49-F238E27FC236}">
              <a16:creationId xmlns:a16="http://schemas.microsoft.com/office/drawing/2014/main" id="{801F614B-DDEB-4213-B08B-FF7590F21A2E}"/>
            </a:ext>
          </a:extLst>
        </xdr:cNvPr>
        <xdr:cNvCxnSpPr/>
      </xdr:nvCxnSpPr>
      <xdr:spPr>
        <a:xfrm flipV="1">
          <a:off x="7810500" y="5748618"/>
          <a:ext cx="1288676" cy="365311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49</xdr:row>
      <xdr:rowOff>81643</xdr:rowOff>
    </xdr:from>
    <xdr:to>
      <xdr:col>6</xdr:col>
      <xdr:colOff>13607</xdr:colOff>
      <xdr:row>64</xdr:row>
      <xdr:rowOff>138165</xdr:rowOff>
    </xdr:to>
    <xdr:cxnSp macro="">
      <xdr:nvCxnSpPr>
        <xdr:cNvPr id="40" name="Rechte verbindingslijn met pijl 39">
          <a:extLst>
            <a:ext uri="{FF2B5EF4-FFF2-40B4-BE49-F238E27FC236}">
              <a16:creationId xmlns:a16="http://schemas.microsoft.com/office/drawing/2014/main" id="{8DF7C7A4-15EF-4EB8-8A38-C37764227B4E}"/>
            </a:ext>
          </a:extLst>
        </xdr:cNvPr>
        <xdr:cNvCxnSpPr/>
      </xdr:nvCxnSpPr>
      <xdr:spPr>
        <a:xfrm flipV="1">
          <a:off x="4204607" y="8640536"/>
          <a:ext cx="721179" cy="270991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3768</xdr:colOff>
      <xdr:row>32</xdr:row>
      <xdr:rowOff>81643</xdr:rowOff>
    </xdr:from>
    <xdr:to>
      <xdr:col>6</xdr:col>
      <xdr:colOff>0</xdr:colOff>
      <xdr:row>51</xdr:row>
      <xdr:rowOff>168100</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94768" y="5633357"/>
          <a:ext cx="717411" cy="344742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5444</xdr:colOff>
      <xdr:row>36</xdr:row>
      <xdr:rowOff>114300</xdr:rowOff>
    </xdr:from>
    <xdr:to>
      <xdr:col>5</xdr:col>
      <xdr:colOff>680357</xdr:colOff>
      <xdr:row>56</xdr:row>
      <xdr:rowOff>81643</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196444" y="6373586"/>
          <a:ext cx="674913" cy="3505200"/>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680357</xdr:colOff>
      <xdr:row>52</xdr:row>
      <xdr:rowOff>108858</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13714"/>
          <a:ext cx="666750" cy="2884715"/>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25" totalsRowShown="0" headerRowCellStyle="_kop2 Bloktitel">
  <autoFilter ref="B19:H25" xr:uid="{E7DA7C93-B450-460F-971C-4E09B7976CA4}"/>
  <tableColumns count="7">
    <tableColumn id="1" xr3:uid="{7EEB421B-CC9A-4CE7-BCAE-B63F69C68E8E}" name="Index"/>
    <tableColumn id="2" xr3:uid="{FD41C2D7-6835-40E6-A9A5-3814881A6D19}" name="Investeringsbedrag" dataDxfId="29" dataCellStyle="Komma"/>
    <tableColumn id="3" xr3:uid="{AA1173C8-5786-4999-B694-3FFC0560A270}" name="Jaar begin afschrijven"/>
    <tableColumn id="4" xr3:uid="{3A7FCBED-2EAC-4409-AB04-C96A08F772E6}" name="Activacategorie" dataDxfId="28"/>
    <tableColumn id="5" xr3:uid="{0821367A-ACED-4AA8-89AB-D5A1DAC1ABE7}" name="Vervanging / uitbreiding" dataDxfId="27"/>
    <tableColumn id="6" xr3:uid="{13AC745B-711A-4B7A-838C-0B8B8DA04C3F}" name="Ombouwtaak" dataDxfId="26"/>
    <tableColumn id="7" xr3:uid="{D6351E6A-652D-4FFE-A686-1564C909C4FE}" name="Bestandsnaam" dataDxfId="25"/>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75" totalsRowShown="0" headerRowBorderDxfId="24" headerRowCellStyle="_kop2 Bloktitel">
  <autoFilter ref="B19:G75" xr:uid="{E6DC1CB6-3DB3-4CDA-8E67-B24E47D5606F}"/>
  <tableColumns count="6">
    <tableColumn id="1" xr3:uid="{14DB8885-7602-4D19-99E4-091E101C795F}" name="Index"/>
    <tableColumn id="2" xr3:uid="{E7BDA9CB-D694-4ED4-94CF-33E2A25CEFDD}" name="Investeringsbedrag" dataDxfId="23" dataCellStyle="Komma"/>
    <tableColumn id="3" xr3:uid="{74C5678D-BED5-4D51-82F8-CB57C4CDE794}" name="Jaar begin afschrijven"/>
    <tableColumn id="4" xr3:uid="{6C014AE5-1C7F-4839-AC66-C9602F636B39}" name="Activacategorie" dataDxfId="22"/>
    <tableColumn id="5" xr3:uid="{263AD9B9-093A-4277-9A29-0FD417142C06}" name="Bestandsnaam" dataDxfId="21"/>
    <tableColumn id="6" xr3:uid="{2FD7DD34-1CA4-40C4-A31A-506B085DCCE8}" name="Versie"/>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426" totalsRowShown="0" headerRowBorderDxfId="20" headerRowCellStyle="_kop2 Bloktitel">
  <autoFilter ref="B19:I426" xr:uid="{0EF217E6-A6B5-4FD0-95DC-AE5B51CED7F3}"/>
  <tableColumns count="8">
    <tableColumn id="1" xr3:uid="{E1DE3244-D29E-470D-B196-2F3B80A7782A}" name="Index"/>
    <tableColumn id="2" xr3:uid="{C491040B-0017-4105-BD8E-4A0184B95C43}" name="Activaklasse" dataDxfId="19"/>
    <tableColumn id="3" xr3:uid="{E5FB1711-CAA7-4F08-A54D-FB02740B2213}" name="Oorspronkelijk investeringsjaar"/>
    <tableColumn id="4" xr3:uid="{C83E17F0-737D-4858-A089-C2D3FD51DA70}" name="Desinvestering (oorspronkelijke investeringsbedrag)"/>
    <tableColumn id="5" xr3:uid="{E10B213C-9216-4C1F-815E-6F3528767FBD}" name="Opbrengsten die samenhangen met desinvestering"/>
    <tableColumn id="6" xr3:uid="{496A5B91-F853-43DF-A0F7-32A3BD59BF5E}" name="Jaar"/>
    <tableColumn id="7" xr3:uid="{1C144628-344F-4581-B0BC-90494468E6DC}" name="Bestandsnaam" dataDxfId="18"/>
    <tableColumn id="8" xr3:uid="{74399678-1CC5-4D6D-B1BD-54C01BA39AB8}" name="Versie"/>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2" totalsRowShown="0" headerRowBorderDxfId="17" headerRowCellStyle="_kop2 Bloktitel">
  <autoFilter ref="B19:J22" xr:uid="{1A05D590-B7A6-463F-859A-99073FEE8503}"/>
  <tableColumns count="9">
    <tableColumn id="1" xr3:uid="{E3EB2548-1AE0-48E2-A931-8562D1C155C5}" name="Categorie" dataDxfId="16"/>
    <tableColumn id="2" xr3:uid="{C70C5C65-91AE-4BD7-BDE3-24004C555153}" name="Subcategorie" dataDxfId="15"/>
    <tableColumn id="3" xr3:uid="{73C31474-373A-486F-82ED-7E2C9F53946B}" name="Jaar"/>
    <tableColumn id="4" xr3:uid="{11C972A8-A6A8-4827-8D82-2BE50BCF0A32}" name="Omzetregulering tariefgereguleerd" dataDxfId="14" dataCellStyle="Komma"/>
    <tableColumn id="5" xr3:uid="{F248660C-C640-4340-9C5E-2F0DB9155CAF}" name="Overboek- en terugkoopregeling" dataDxfId="13" dataCellStyle="Komma"/>
    <tableColumn id="6" xr3:uid="{0FCE2788-BA83-4D96-9957-0A0444F814A4}" name="Veilinggelden" dataDxfId="12" dataCellStyle="Komma"/>
    <tableColumn id="7" xr3:uid="{507B605C-6B25-4FC5-BE1B-8CEDEE8043C1}" name="Saldo administratieve onbalans" dataDxfId="11" dataCellStyle="Komma"/>
    <tableColumn id="8" xr3:uid="{A4EFEEDE-EB15-4D8F-86E1-C599FFD4E316}" name="Bestandsnaam" dataDxfId="10"/>
    <tableColumn id="9" xr3:uid="{99F847F5-D701-4BCE-843E-8830BB7BE08D}" name="Versie"/>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2" totalsRowShown="0" headerRowBorderDxfId="9" headerRowCellStyle="_kop2 Bloktitel">
  <autoFilter ref="B19:H22" xr:uid="{3613D16F-B985-474A-823F-F4766EE1E60A}"/>
  <tableColumns count="7">
    <tableColumn id="1" xr3:uid="{5A73A4A7-6BAE-4E1C-9E2E-5607263EEDC8}" name="Categorie" dataDxfId="8"/>
    <tableColumn id="2" xr3:uid="{8E9C1922-BFEA-4BEB-9F79-78096EF5847E}" name="Subcategorie" dataDxfId="7"/>
    <tableColumn id="3" xr3:uid="{103CDD32-8A57-45D2-A879-95C8D731BF01}" name="Jaar"/>
    <tableColumn id="5" xr3:uid="{600EE3AE-9F13-4712-A1B1-647E5E779BCF}" name="TT/BT/AT" dataDxfId="6" dataCellStyle="Komma"/>
    <tableColumn id="6" xr3:uid="{B32F2C95-4022-4832-B838-0A040BA98D13}" name="KC" dataDxfId="5" dataCellStyle="Komma"/>
    <tableColumn id="17" xr3:uid="{42C7F4BB-2190-4484-998E-A86B1CBACB65}" name="Bestandsnaam" dataDxfId="4"/>
    <tableColumn id="18" xr3:uid="{F28F57AC-61F7-4BA7-9E3A-45CAE3AFE017}" name="Versie"/>
  </tableColumns>
  <tableStyleInfo name="Tabelstijl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FD92554-5129-48FD-B12B-A7FA90B44964}" name="GTS_Stikstof" displayName="GTS_Stikstof" ref="B19:C25" totalsRowShown="0" dataDxfId="2" headerRowBorderDxfId="3" headerRowCellStyle="_kop2 Bloktitel">
  <autoFilter ref="B19:C25" xr:uid="{BFD92554-5129-48FD-B12B-A7FA90B44964}"/>
  <tableColumns count="2">
    <tableColumn id="1" xr3:uid="{48E0A70C-78C7-405F-B537-ED1EA32664B1}" name="Datum/tijd " dataDxfId="1"/>
    <tableColumn id="2" xr3:uid="{F42ED329-AFFC-4428-9ED0-C8F2689FDD7E}" name="Stikstof gebruik (m3)" dataDxfId="0" dataCellStyle="Komma"/>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5" Type="http://schemas.openxmlformats.org/officeDocument/2006/relationships/hyperlink" Target="https://www.acm.nl/nl/publicaties/x-factorbesluit-gts-2022-2026" TargetMode="External"/><Relationship Id="rId10" Type="http://schemas.openxmlformats.org/officeDocument/2006/relationships/printerSettings" Target="../printerSettings/printerSettings3.bin"/><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90" zoomScaleNormal="90" workbookViewId="0">
      <pane ySplit="3" topLeftCell="A4" activePane="bottomLeft" state="frozen"/>
      <selection activeCell="A4" sqref="A4"/>
      <selection pane="bottomLeft"/>
    </sheetView>
  </sheetViews>
  <sheetFormatPr defaultColWidth="9.140625" defaultRowHeight="12.75"/>
  <cols>
    <col min="1" max="1" width="2.710937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100" t="s">
        <v>3</v>
      </c>
    </row>
    <row r="16" spans="2:3">
      <c r="B16" s="9" t="s">
        <v>4</v>
      </c>
      <c r="C16" s="9" t="s">
        <v>5</v>
      </c>
    </row>
    <row r="17" spans="2:3">
      <c r="B17" s="9" t="s">
        <v>6</v>
      </c>
      <c r="C17" s="9" t="s">
        <v>7</v>
      </c>
    </row>
    <row r="18" spans="2:3">
      <c r="B18" s="9" t="s">
        <v>8</v>
      </c>
      <c r="C18" s="9" t="s">
        <v>9</v>
      </c>
    </row>
    <row r="19" spans="2:3">
      <c r="B19" s="9" t="s">
        <v>10</v>
      </c>
      <c r="C19" s="24" t="s">
        <v>11</v>
      </c>
    </row>
    <row r="20" spans="2:3">
      <c r="B20" s="9" t="s">
        <v>12</v>
      </c>
      <c r="C20" s="278" t="s">
        <v>1058</v>
      </c>
    </row>
    <row r="21" spans="2:3">
      <c r="B21" s="9" t="s">
        <v>13</v>
      </c>
      <c r="C21" s="9" t="s">
        <v>11</v>
      </c>
    </row>
    <row r="22" spans="2:3">
      <c r="B22" s="9" t="s">
        <v>14</v>
      </c>
      <c r="C22" s="9" t="s">
        <v>7</v>
      </c>
    </row>
    <row r="25" spans="2:3" s="8" customFormat="1">
      <c r="B25" s="8" t="s">
        <v>15</v>
      </c>
    </row>
    <row r="27" spans="2:3">
      <c r="B27" s="9" t="s">
        <v>16</v>
      </c>
      <c r="C27" s="9" t="s">
        <v>20</v>
      </c>
    </row>
    <row r="28" spans="2:3">
      <c r="B28" s="9" t="s">
        <v>18</v>
      </c>
      <c r="C28" s="9" t="s">
        <v>20</v>
      </c>
    </row>
    <row r="29" spans="2:3" ht="25.5">
      <c r="B29" s="9" t="s">
        <v>19</v>
      </c>
      <c r="C29" s="163" t="s">
        <v>20</v>
      </c>
    </row>
    <row r="30" spans="2:3">
      <c r="B30" s="9" t="s">
        <v>21</v>
      </c>
      <c r="C30" s="65" t="s">
        <v>17</v>
      </c>
    </row>
    <row r="31" spans="2:3">
      <c r="B31" s="9" t="s">
        <v>22</v>
      </c>
      <c r="C31" s="65" t="s">
        <v>11</v>
      </c>
    </row>
    <row r="32" spans="2:3">
      <c r="B32" s="9" t="s">
        <v>14</v>
      </c>
      <c r="C32" s="9" t="s">
        <v>7</v>
      </c>
    </row>
    <row r="34" spans="2:4">
      <c r="B34" s="322" t="s">
        <v>23</v>
      </c>
      <c r="C34" s="322"/>
      <c r="D34" s="5"/>
    </row>
    <row r="36" spans="2:4" s="8" customFormat="1">
      <c r="B36" s="8" t="s">
        <v>24</v>
      </c>
      <c r="C36" s="8" t="s">
        <v>25</v>
      </c>
      <c r="D36" s="8" t="s">
        <v>26</v>
      </c>
    </row>
    <row r="38" spans="2:4">
      <c r="C38" s="146" t="s">
        <v>1055</v>
      </c>
    </row>
    <row r="39" spans="2:4" ht="13.5" customHeight="1">
      <c r="C39" s="14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90" zoomScaleNormal="90" workbookViewId="0">
      <pane xSplit="4" ySplit="6" topLeftCell="E10" activePane="bottomRight" state="frozen"/>
      <selection pane="topRight"/>
      <selection pane="bottomLeft"/>
      <selection pane="bottomRight"/>
    </sheetView>
  </sheetViews>
  <sheetFormatPr defaultColWidth="9.140625" defaultRowHeight="12.75"/>
  <cols>
    <col min="1" max="1" width="2.7109375" style="217" customWidth="1"/>
    <col min="2" max="2" width="62.140625" style="3" customWidth="1"/>
    <col min="3" max="3" width="2.7109375" style="3" customWidth="1"/>
    <col min="4" max="4" width="13.7109375" style="3" customWidth="1"/>
    <col min="5" max="5" width="2.7109375" style="3" customWidth="1"/>
    <col min="6" max="6" width="19.5703125" style="3" bestFit="1" customWidth="1"/>
    <col min="7" max="7" width="2.7109375" style="3" customWidth="1"/>
    <col min="8" max="9" width="21.7109375" style="3" bestFit="1" customWidth="1"/>
    <col min="10" max="10" width="16.5703125" style="3" bestFit="1" customWidth="1"/>
    <col min="11" max="16" width="14.7109375" style="3" customWidth="1"/>
    <col min="17" max="17" width="2.7109375" style="3" customWidth="1"/>
    <col min="18" max="18" width="73.7109375" style="3" bestFit="1" customWidth="1"/>
    <col min="19" max="19" width="2.7109375" style="3" customWidth="1"/>
    <col min="20" max="20" width="13.7109375" style="3" customWidth="1"/>
    <col min="21" max="33" width="13.7109375" style="217" customWidth="1"/>
    <col min="34" max="16384" width="9.140625" style="3"/>
  </cols>
  <sheetData>
    <row r="2" spans="2:20" s="12" customFormat="1" ht="18">
      <c r="B2" s="12" t="s">
        <v>454</v>
      </c>
    </row>
    <row r="4" spans="2:20">
      <c r="B4" s="16" t="s">
        <v>173</v>
      </c>
      <c r="C4" s="2"/>
    </row>
    <row r="5" spans="2:20" ht="71.25" customHeight="1">
      <c r="B5" s="322" t="s">
        <v>455</v>
      </c>
      <c r="C5" s="322"/>
      <c r="D5" s="322"/>
      <c r="F5" s="13"/>
    </row>
    <row r="8" spans="2:20" s="8" customFormat="1" ht="12.75" customHeight="1">
      <c r="B8" s="8" t="s">
        <v>134</v>
      </c>
    </row>
    <row r="9" spans="2:20" s="218" customFormat="1" ht="12.75" customHeight="1"/>
    <row r="10" spans="2:20" s="8" customFormat="1" ht="12.75" customHeight="1">
      <c r="B10" s="8" t="s">
        <v>456</v>
      </c>
      <c r="F10" s="8" t="s">
        <v>332</v>
      </c>
      <c r="H10" s="8" t="s">
        <v>256</v>
      </c>
      <c r="I10" s="8" t="s">
        <v>457</v>
      </c>
      <c r="J10" s="8" t="s">
        <v>452</v>
      </c>
      <c r="R10" s="8" t="s">
        <v>177</v>
      </c>
      <c r="T10" s="8" t="s">
        <v>178</v>
      </c>
    </row>
    <row r="11" spans="2:20">
      <c r="B11" s="217"/>
    </row>
    <row r="12" spans="2:20">
      <c r="B12" s="3" t="s">
        <v>458</v>
      </c>
      <c r="F12" s="219">
        <v>2011</v>
      </c>
      <c r="H12" s="220">
        <v>30</v>
      </c>
      <c r="I12" s="220">
        <v>22704728.687201399</v>
      </c>
      <c r="J12" s="221">
        <v>17376205.576952007</v>
      </c>
      <c r="R12" s="3" t="s">
        <v>1057</v>
      </c>
      <c r="T12" s="3" t="s">
        <v>459</v>
      </c>
    </row>
    <row r="13" spans="2:20">
      <c r="B13" s="3" t="s">
        <v>460</v>
      </c>
      <c r="F13" s="219">
        <v>2012</v>
      </c>
      <c r="H13" s="220">
        <v>30</v>
      </c>
      <c r="I13" s="220">
        <v>1408497.2920886443</v>
      </c>
      <c r="J13" s="221">
        <v>1104502.0714844635</v>
      </c>
      <c r="L13" s="226"/>
      <c r="M13" s="226"/>
      <c r="N13" s="226"/>
      <c r="O13" s="226"/>
      <c r="P13" s="226"/>
      <c r="R13" s="13"/>
    </row>
    <row r="14" spans="2:20">
      <c r="B14" s="3" t="s">
        <v>461</v>
      </c>
      <c r="F14" s="219">
        <v>2013</v>
      </c>
      <c r="H14" s="220">
        <v>30</v>
      </c>
      <c r="I14" s="220">
        <v>337946.31023100798</v>
      </c>
      <c r="J14" s="221">
        <v>271685.95797538623</v>
      </c>
      <c r="L14" s="226"/>
      <c r="M14" s="226"/>
      <c r="N14" s="226"/>
      <c r="O14" s="226"/>
      <c r="P14" s="226"/>
      <c r="R14" s="13"/>
    </row>
    <row r="15" spans="2:20">
      <c r="B15" s="3" t="s">
        <v>462</v>
      </c>
      <c r="F15" s="219">
        <v>2014</v>
      </c>
      <c r="H15" s="220">
        <v>30</v>
      </c>
      <c r="I15" s="220">
        <v>167929.59201100032</v>
      </c>
      <c r="J15" s="221">
        <v>137435.09908722798</v>
      </c>
      <c r="L15" s="226"/>
      <c r="M15" s="226"/>
      <c r="N15" s="226"/>
      <c r="O15" s="226"/>
      <c r="P15" s="226"/>
      <c r="R15" s="13"/>
    </row>
    <row r="16" spans="2:20">
      <c r="B16" s="3" t="s">
        <v>463</v>
      </c>
      <c r="F16" s="219">
        <v>2015</v>
      </c>
      <c r="H16" s="220">
        <v>30</v>
      </c>
      <c r="I16" s="220">
        <v>2621.3116059707399</v>
      </c>
      <c r="J16" s="221">
        <v>2218.4673824688466</v>
      </c>
    </row>
    <row r="18" spans="2:20" s="8" customFormat="1" ht="12" customHeight="1">
      <c r="B18" s="8" t="s">
        <v>464</v>
      </c>
      <c r="D18" s="8" t="s">
        <v>175</v>
      </c>
      <c r="F18" s="8" t="s">
        <v>176</v>
      </c>
      <c r="H18" s="52">
        <v>2018</v>
      </c>
      <c r="I18" s="52">
        <v>2019</v>
      </c>
      <c r="J18" s="52">
        <v>2020</v>
      </c>
      <c r="K18" s="52">
        <v>2021</v>
      </c>
      <c r="L18" s="52">
        <v>2022</v>
      </c>
      <c r="M18" s="52">
        <v>2023</v>
      </c>
      <c r="N18" s="52">
        <v>2024</v>
      </c>
      <c r="O18" s="52">
        <v>2025</v>
      </c>
      <c r="P18" s="52">
        <v>2026</v>
      </c>
      <c r="R18" s="8" t="s">
        <v>177</v>
      </c>
      <c r="T18" s="8" t="s">
        <v>178</v>
      </c>
    </row>
    <row r="20" spans="2:20">
      <c r="B20" s="2" t="s">
        <v>465</v>
      </c>
    </row>
    <row r="21" spans="2:20">
      <c r="B21" s="3" t="s">
        <v>466</v>
      </c>
      <c r="D21" s="3" t="s">
        <v>183</v>
      </c>
      <c r="H21" s="222"/>
      <c r="I21" s="222"/>
      <c r="K21" s="224"/>
      <c r="L21" s="227">
        <v>323752.474602776</v>
      </c>
    </row>
    <row r="23" spans="2:20">
      <c r="B23" s="2" t="s">
        <v>467</v>
      </c>
    </row>
    <row r="24" spans="2:20">
      <c r="B24" s="3" t="s">
        <v>468</v>
      </c>
      <c r="D24" s="3" t="s">
        <v>183</v>
      </c>
      <c r="H24" s="223"/>
      <c r="I24" s="223"/>
      <c r="J24" s="225"/>
      <c r="K24" s="224"/>
      <c r="L24" s="227">
        <v>3395116.47</v>
      </c>
    </row>
  </sheetData>
  <mergeCells count="1">
    <mergeCell ref="B5:D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88"/>
  <sheetViews>
    <sheetView showGridLines="0" zoomScale="90" zoomScaleNormal="90" workbookViewId="0">
      <pane xSplit="4" ySplit="10" topLeftCell="E11" activePane="bottomRight" state="frozen"/>
      <selection pane="topRight"/>
      <selection pane="bottomLeft"/>
      <selection pane="bottomRight"/>
    </sheetView>
  </sheetViews>
  <sheetFormatPr defaultColWidth="9.140625" defaultRowHeight="12.75"/>
  <cols>
    <col min="1" max="1" width="2.7109375" style="3" customWidth="1"/>
    <col min="2" max="2" width="70" style="3" bestFit="1" customWidth="1"/>
    <col min="3" max="3" width="2.7109375" style="3" customWidth="1"/>
    <col min="4" max="4" width="11.7109375" style="3" bestFit="1" customWidth="1"/>
    <col min="5" max="5" width="2.7109375" style="3" customWidth="1"/>
    <col min="6" max="6" width="59.28515625" style="3" customWidth="1"/>
    <col min="7" max="7" width="33.5703125" style="3" customWidth="1"/>
    <col min="8" max="8" width="37.140625" style="3" bestFit="1" customWidth="1"/>
    <col min="9" max="9" width="20.85546875" style="3" bestFit="1" customWidth="1"/>
    <col min="10" max="10" width="26" style="3" bestFit="1" customWidth="1"/>
    <col min="11" max="11" width="44.5703125" style="3" bestFit="1" customWidth="1"/>
    <col min="12" max="17" width="12.28515625" style="3" bestFit="1" customWidth="1"/>
    <col min="18" max="19" width="16.28515625" style="3" bestFit="1" customWidth="1"/>
    <col min="20" max="21" width="12.28515625" style="3" bestFit="1" customWidth="1"/>
    <col min="22" max="33" width="13.7109375" style="3" customWidth="1"/>
    <col min="34" max="16384" width="9.140625" style="3"/>
  </cols>
  <sheetData>
    <row r="2" spans="1:22" s="12" customFormat="1" ht="18">
      <c r="B2" s="12" t="s">
        <v>469</v>
      </c>
    </row>
    <row r="4" spans="1:22">
      <c r="B4" s="16" t="s">
        <v>173</v>
      </c>
      <c r="C4" s="2"/>
    </row>
    <row r="5" spans="1:22" ht="15.75" customHeight="1">
      <c r="B5" s="327" t="s">
        <v>470</v>
      </c>
      <c r="C5" s="327"/>
      <c r="D5" s="327"/>
      <c r="F5" s="13"/>
    </row>
    <row r="7" spans="1:22">
      <c r="B7" s="17" t="s">
        <v>471</v>
      </c>
    </row>
    <row r="8" spans="1:22" ht="69.75" customHeight="1">
      <c r="B8" s="322" t="s">
        <v>1068</v>
      </c>
      <c r="C8" s="322"/>
      <c r="D8" s="322"/>
    </row>
    <row r="10" spans="1:22" s="8" customFormat="1" ht="12.75" customHeight="1">
      <c r="I10" s="52"/>
      <c r="J10" s="52"/>
      <c r="K10" s="52"/>
      <c r="L10" s="52"/>
      <c r="M10" s="52"/>
      <c r="N10" s="52"/>
      <c r="O10" s="52"/>
      <c r="P10" s="52"/>
      <c r="Q10" s="52"/>
    </row>
    <row r="11" spans="1:22">
      <c r="B11" s="2"/>
    </row>
    <row r="12" spans="1:22" s="39" customFormat="1" ht="12.75" customHeight="1">
      <c r="A12" s="106"/>
      <c r="B12" s="39" t="s">
        <v>472</v>
      </c>
      <c r="J12" s="198"/>
      <c r="K12" s="198"/>
      <c r="L12" s="198"/>
      <c r="M12" s="198"/>
      <c r="N12" s="198"/>
      <c r="O12" s="198"/>
      <c r="P12" s="198"/>
      <c r="Q12" s="198"/>
      <c r="R12" s="198"/>
      <c r="T12" s="39" t="s">
        <v>177</v>
      </c>
      <c r="V12" s="39" t="s">
        <v>178</v>
      </c>
    </row>
    <row r="13" spans="1:22" s="40" customFormat="1" ht="12.75" customHeight="1">
      <c r="A13" s="107"/>
      <c r="B13" s="40" t="s">
        <v>134</v>
      </c>
      <c r="D13" s="40" t="s">
        <v>175</v>
      </c>
      <c r="F13" s="40" t="s">
        <v>473</v>
      </c>
      <c r="H13" s="109">
        <v>2017</v>
      </c>
      <c r="I13" s="109">
        <v>2018</v>
      </c>
      <c r="J13" s="109">
        <v>2019</v>
      </c>
      <c r="K13" s="109">
        <v>2020</v>
      </c>
      <c r="L13" s="109">
        <v>2021</v>
      </c>
      <c r="M13" s="109">
        <v>2022</v>
      </c>
      <c r="N13" s="109">
        <v>2023</v>
      </c>
      <c r="O13" s="109">
        <v>2024</v>
      </c>
      <c r="P13" s="109">
        <v>2025</v>
      </c>
      <c r="Q13" s="109">
        <v>2026</v>
      </c>
    </row>
    <row r="15" spans="1:22" s="271" customFormat="1">
      <c r="B15" s="8" t="s">
        <v>474</v>
      </c>
      <c r="C15" s="8"/>
      <c r="D15" s="8"/>
    </row>
    <row r="17" spans="2:20">
      <c r="B17" s="3" t="s">
        <v>475</v>
      </c>
      <c r="D17" s="3" t="s">
        <v>180</v>
      </c>
      <c r="F17" s="276">
        <v>0.77</v>
      </c>
      <c r="T17" s="3" t="s">
        <v>1054</v>
      </c>
    </row>
    <row r="19" spans="2:20" s="271" customFormat="1">
      <c r="B19" s="8" t="s">
        <v>476</v>
      </c>
      <c r="C19" s="8"/>
      <c r="D19" s="8"/>
    </row>
    <row r="21" spans="2:20">
      <c r="B21" s="3" t="s">
        <v>1059</v>
      </c>
      <c r="D21" s="3" t="s">
        <v>183</v>
      </c>
      <c r="H21" s="10"/>
      <c r="I21" s="10"/>
      <c r="J21" s="10"/>
      <c r="K21" s="10"/>
      <c r="L21" s="10"/>
      <c r="M21" s="275">
        <v>7339829.2418518746</v>
      </c>
      <c r="N21" s="275">
        <v>6662159.7393988082</v>
      </c>
      <c r="O21" s="275">
        <v>6117183.5197096057</v>
      </c>
      <c r="P21" s="275">
        <v>5719048.4597574808</v>
      </c>
      <c r="Q21" s="275">
        <v>5428026.4892949341</v>
      </c>
      <c r="T21" s="3" t="s">
        <v>259</v>
      </c>
    </row>
    <row r="22" spans="2:20">
      <c r="B22" s="3" t="s">
        <v>478</v>
      </c>
      <c r="D22" s="3" t="s">
        <v>183</v>
      </c>
      <c r="H22" s="10"/>
      <c r="I22" s="10"/>
      <c r="J22" s="10"/>
      <c r="K22" s="10"/>
      <c r="L22" s="10"/>
      <c r="M22" s="275">
        <v>92112966.285529599</v>
      </c>
      <c r="N22" s="275">
        <v>85450806.546130821</v>
      </c>
      <c r="O22" s="275">
        <v>79333623.026421189</v>
      </c>
      <c r="P22" s="275">
        <v>73614574.566663712</v>
      </c>
      <c r="Q22" s="275">
        <v>68186548.077368766</v>
      </c>
      <c r="T22" s="3" t="s">
        <v>259</v>
      </c>
    </row>
    <row r="24" spans="2:20" s="271" customFormat="1">
      <c r="B24" s="8" t="s">
        <v>479</v>
      </c>
      <c r="C24" s="8"/>
      <c r="D24" s="8"/>
    </row>
    <row r="25" spans="2:20">
      <c r="B25" s="2"/>
    </row>
    <row r="26" spans="2:20">
      <c r="B26" s="3" t="s">
        <v>480</v>
      </c>
      <c r="D26" s="3" t="s">
        <v>183</v>
      </c>
      <c r="H26" s="10"/>
      <c r="I26" s="10"/>
      <c r="J26" s="10"/>
      <c r="K26" s="10"/>
      <c r="L26" s="10"/>
      <c r="M26" s="275">
        <v>6052.9332771623449</v>
      </c>
      <c r="N26" s="275">
        <v>7722.7165706565847</v>
      </c>
      <c r="O26" s="275">
        <v>9251.7888937002535</v>
      </c>
      <c r="P26" s="275">
        <v>11102.901610680246</v>
      </c>
      <c r="Q26" s="275">
        <v>13027.607219895386</v>
      </c>
      <c r="T26" s="3" t="s">
        <v>259</v>
      </c>
    </row>
    <row r="27" spans="2:20">
      <c r="B27" s="3" t="s">
        <v>481</v>
      </c>
      <c r="D27" s="3" t="s">
        <v>183</v>
      </c>
      <c r="H27" s="10"/>
      <c r="I27" s="10"/>
      <c r="J27" s="10"/>
      <c r="K27" s="10"/>
      <c r="L27" s="10"/>
      <c r="M27" s="275">
        <v>47430.283196204691</v>
      </c>
      <c r="N27" s="275">
        <v>59209.942482378799</v>
      </c>
      <c r="O27" s="275">
        <v>69712.734170089767</v>
      </c>
      <c r="P27" s="275">
        <v>78619.879376899567</v>
      </c>
      <c r="Q27" s="275">
        <v>85861.088899937982</v>
      </c>
      <c r="T27" s="3" t="s">
        <v>259</v>
      </c>
    </row>
    <row r="29" spans="2:20" s="271" customFormat="1">
      <c r="B29" s="8" t="s">
        <v>482</v>
      </c>
      <c r="C29" s="8"/>
      <c r="D29" s="8"/>
      <c r="E29" s="8"/>
      <c r="F29" s="8"/>
      <c r="G29" s="8"/>
      <c r="H29" s="8"/>
      <c r="I29" s="8"/>
      <c r="J29" s="8"/>
      <c r="K29" s="8"/>
      <c r="L29" s="8"/>
      <c r="M29" s="8"/>
      <c r="N29" s="8"/>
      <c r="O29" s="8"/>
      <c r="P29" s="8"/>
      <c r="Q29" s="8"/>
      <c r="R29" s="8"/>
      <c r="S29" s="8"/>
    </row>
    <row r="31" spans="2:20">
      <c r="B31" s="3" t="s">
        <v>483</v>
      </c>
      <c r="C31" s="98"/>
      <c r="D31" s="3" t="s">
        <v>183</v>
      </c>
      <c r="E31" s="98"/>
      <c r="F31" s="98"/>
      <c r="G31" s="98"/>
      <c r="H31" s="10"/>
      <c r="I31" s="10"/>
      <c r="J31" s="10"/>
      <c r="K31" s="275">
        <v>18726.979850150987</v>
      </c>
      <c r="L31" s="275">
        <v>19007.584916225653</v>
      </c>
      <c r="M31" s="275">
        <v>19253.391004362278</v>
      </c>
      <c r="N31" s="275">
        <v>19502.375856830691</v>
      </c>
      <c r="O31" s="275">
        <v>19754.580581411225</v>
      </c>
      <c r="P31" s="275">
        <v>20010.046817490034</v>
      </c>
      <c r="Q31" s="275">
        <v>20268.816742933814</v>
      </c>
      <c r="T31" s="3" t="s">
        <v>259</v>
      </c>
    </row>
    <row r="33" spans="1:20" s="8" customFormat="1">
      <c r="B33" s="8" t="s">
        <v>464</v>
      </c>
    </row>
    <row r="35" spans="1:20">
      <c r="B35" s="2" t="s">
        <v>484</v>
      </c>
    </row>
    <row r="36" spans="1:20">
      <c r="B36" t="s">
        <v>485</v>
      </c>
      <c r="D36" s="3" t="s">
        <v>183</v>
      </c>
      <c r="H36" s="10"/>
      <c r="I36" s="10"/>
      <c r="J36" s="275">
        <v>4311221.7573385285</v>
      </c>
      <c r="K36" s="10"/>
      <c r="L36" s="10"/>
      <c r="M36" s="10"/>
      <c r="N36" s="10"/>
      <c r="O36" s="10"/>
      <c r="P36" s="10"/>
      <c r="Q36" s="10"/>
      <c r="T36" s="3" t="s">
        <v>1053</v>
      </c>
    </row>
    <row r="37" spans="1:20">
      <c r="B37" s="127" t="s">
        <v>486</v>
      </c>
      <c r="D37" s="3" t="s">
        <v>183</v>
      </c>
      <c r="H37" s="10"/>
      <c r="I37" s="10"/>
      <c r="J37" s="275">
        <v>5089135.5900731999</v>
      </c>
      <c r="K37" s="10"/>
      <c r="L37" s="10"/>
      <c r="M37" s="10"/>
      <c r="N37" s="10"/>
      <c r="O37" s="10"/>
      <c r="P37" s="10"/>
      <c r="Q37" s="10"/>
      <c r="T37" s="3" t="s">
        <v>1053</v>
      </c>
    </row>
    <row r="39" spans="1:20">
      <c r="B39" s="2" t="s">
        <v>434</v>
      </c>
    </row>
    <row r="40" spans="1:20">
      <c r="B40" s="3" t="s">
        <v>434</v>
      </c>
      <c r="D40" s="3" t="s">
        <v>183</v>
      </c>
      <c r="H40" s="275">
        <v>1320509.5900000001</v>
      </c>
      <c r="I40" s="275">
        <v>1966066.3200000003</v>
      </c>
      <c r="J40" s="275">
        <v>1575548.13</v>
      </c>
      <c r="K40" s="10"/>
      <c r="L40" s="10"/>
      <c r="M40" s="10"/>
      <c r="N40" s="10"/>
      <c r="O40" s="10"/>
      <c r="P40" s="10"/>
      <c r="Q40" s="10"/>
      <c r="T40" s="3" t="s">
        <v>1053</v>
      </c>
    </row>
    <row r="42" spans="1:20">
      <c r="B42" s="2"/>
    </row>
    <row r="43" spans="1:20" s="39" customFormat="1" ht="12.75" customHeight="1">
      <c r="A43" s="106"/>
      <c r="B43" s="39" t="s">
        <v>487</v>
      </c>
      <c r="H43" s="198"/>
      <c r="I43" s="198"/>
      <c r="J43" s="198"/>
      <c r="K43" s="198"/>
      <c r="L43" s="198"/>
      <c r="M43" s="198"/>
      <c r="N43" s="198"/>
      <c r="O43" s="198"/>
      <c r="P43" s="198"/>
      <c r="R43" s="39" t="s">
        <v>177</v>
      </c>
      <c r="T43" s="39" t="s">
        <v>178</v>
      </c>
    </row>
    <row r="44" spans="1:20" s="40" customFormat="1" ht="12.75" customHeight="1">
      <c r="A44" s="107"/>
      <c r="B44" s="40" t="s">
        <v>134</v>
      </c>
      <c r="D44" s="40" t="s">
        <v>175</v>
      </c>
      <c r="F44" s="40" t="s">
        <v>255</v>
      </c>
      <c r="G44" s="40" t="s">
        <v>488</v>
      </c>
      <c r="H44" s="109" t="s">
        <v>489</v>
      </c>
      <c r="I44" s="109" t="s">
        <v>490</v>
      </c>
      <c r="J44" s="109" t="s">
        <v>491</v>
      </c>
      <c r="K44" s="109" t="s">
        <v>492</v>
      </c>
      <c r="L44" s="109"/>
      <c r="M44" s="109"/>
      <c r="N44" s="109"/>
      <c r="O44" s="109"/>
      <c r="P44" s="109"/>
    </row>
    <row r="46" spans="1:20">
      <c r="B46" s="98" t="s">
        <v>493</v>
      </c>
      <c r="C46" s="98"/>
      <c r="D46" s="98"/>
      <c r="E46" s="98"/>
      <c r="F46" s="98" t="s">
        <v>267</v>
      </c>
      <c r="G46" s="98">
        <v>1971</v>
      </c>
      <c r="H46" s="199">
        <v>47083.78</v>
      </c>
      <c r="I46" s="98">
        <v>2021</v>
      </c>
      <c r="J46" s="199">
        <v>0</v>
      </c>
      <c r="K46" s="200">
        <v>38383584.379999995</v>
      </c>
      <c r="O46" s="97"/>
      <c r="P46" s="97"/>
    </row>
    <row r="47" spans="1:20">
      <c r="B47" s="98" t="s">
        <v>494</v>
      </c>
      <c r="C47" s="98"/>
      <c r="D47" s="98"/>
      <c r="E47" s="98"/>
      <c r="F47" s="98" t="s">
        <v>269</v>
      </c>
      <c r="G47" s="98">
        <v>1961</v>
      </c>
      <c r="H47" s="199">
        <v>50334.43</v>
      </c>
      <c r="I47" s="98">
        <v>2021</v>
      </c>
      <c r="J47" s="199">
        <v>0</v>
      </c>
      <c r="K47" s="200"/>
      <c r="O47" s="97"/>
      <c r="P47" s="97"/>
    </row>
    <row r="48" spans="1:20">
      <c r="B48" s="98" t="s">
        <v>495</v>
      </c>
      <c r="C48" s="98"/>
      <c r="D48" s="98"/>
      <c r="E48" s="98"/>
      <c r="F48" s="98" t="s">
        <v>269</v>
      </c>
      <c r="G48" s="98">
        <v>1972</v>
      </c>
      <c r="H48" s="199">
        <v>2621.49</v>
      </c>
      <c r="I48" s="98">
        <v>2021</v>
      </c>
      <c r="J48" s="199">
        <v>0</v>
      </c>
      <c r="K48" s="200"/>
      <c r="O48" s="97"/>
      <c r="P48" s="97"/>
    </row>
    <row r="49" spans="2:11">
      <c r="B49" s="98" t="s">
        <v>496</v>
      </c>
      <c r="C49" s="98"/>
      <c r="D49" s="98"/>
      <c r="E49" s="98"/>
      <c r="F49" s="98" t="s">
        <v>273</v>
      </c>
      <c r="G49" s="98">
        <v>1997</v>
      </c>
      <c r="H49" s="199">
        <v>151227.48000000004</v>
      </c>
      <c r="I49" s="98">
        <v>2021</v>
      </c>
      <c r="J49" s="199">
        <v>0</v>
      </c>
      <c r="K49" s="200"/>
    </row>
    <row r="50" spans="2:11">
      <c r="B50" s="98" t="s">
        <v>497</v>
      </c>
      <c r="C50" s="98"/>
      <c r="D50" s="98"/>
      <c r="E50" s="98"/>
      <c r="F50" s="98" t="s">
        <v>279</v>
      </c>
      <c r="G50" s="98">
        <v>2009</v>
      </c>
      <c r="H50" s="199">
        <v>1313895.18</v>
      </c>
      <c r="I50" s="98">
        <v>2021</v>
      </c>
      <c r="J50" s="199">
        <v>0</v>
      </c>
      <c r="K50" s="200"/>
    </row>
    <row r="51" spans="2:11">
      <c r="B51" s="98" t="s">
        <v>498</v>
      </c>
      <c r="C51" s="98"/>
      <c r="D51" s="98"/>
      <c r="E51" s="98"/>
      <c r="F51" s="98" t="s">
        <v>313</v>
      </c>
      <c r="G51" s="98">
        <v>2009</v>
      </c>
      <c r="H51" s="199">
        <v>3658553.4539964925</v>
      </c>
      <c r="I51" s="98">
        <v>2021</v>
      </c>
      <c r="J51" s="199">
        <v>0</v>
      </c>
      <c r="K51" s="200">
        <v>114985168</v>
      </c>
    </row>
    <row r="52" spans="2:11">
      <c r="B52" s="98" t="s">
        <v>499</v>
      </c>
      <c r="C52" s="98"/>
      <c r="D52" s="98"/>
      <c r="E52" s="98"/>
      <c r="F52" s="98" t="s">
        <v>313</v>
      </c>
      <c r="G52" s="98">
        <v>2010</v>
      </c>
      <c r="H52" s="199">
        <v>17379179.522018339</v>
      </c>
      <c r="I52" s="98">
        <v>2021</v>
      </c>
      <c r="J52" s="199">
        <v>0</v>
      </c>
      <c r="K52" s="200"/>
    </row>
    <row r="53" spans="2:11">
      <c r="B53" s="98" t="s">
        <v>500</v>
      </c>
      <c r="C53" s="98"/>
      <c r="D53" s="98"/>
      <c r="E53" s="98"/>
      <c r="F53" s="98" t="s">
        <v>275</v>
      </c>
      <c r="G53" s="98">
        <v>2010</v>
      </c>
      <c r="H53" s="199">
        <v>2369604.1752097155</v>
      </c>
      <c r="I53" s="98">
        <v>2021</v>
      </c>
      <c r="J53" s="199">
        <v>0</v>
      </c>
      <c r="K53" s="200"/>
    </row>
    <row r="54" spans="2:11">
      <c r="B54" s="98" t="s">
        <v>501</v>
      </c>
      <c r="C54" s="98"/>
      <c r="D54" s="98"/>
      <c r="E54" s="98"/>
      <c r="F54" s="98" t="s">
        <v>314</v>
      </c>
      <c r="G54" s="98">
        <v>2010</v>
      </c>
      <c r="H54" s="199">
        <v>137063.35897796138</v>
      </c>
      <c r="I54" s="98">
        <v>2021</v>
      </c>
      <c r="J54" s="199">
        <v>0</v>
      </c>
      <c r="K54" s="200"/>
    </row>
    <row r="55" spans="2:11">
      <c r="B55" s="98" t="s">
        <v>502</v>
      </c>
      <c r="C55" s="98"/>
      <c r="D55" s="98"/>
      <c r="E55" s="98"/>
      <c r="F55" s="98" t="s">
        <v>280</v>
      </c>
      <c r="G55" s="98">
        <v>2011</v>
      </c>
      <c r="H55" s="199">
        <v>852201.48356837523</v>
      </c>
      <c r="I55" s="98">
        <v>2021</v>
      </c>
      <c r="J55" s="199">
        <v>0</v>
      </c>
      <c r="K55" s="200"/>
    </row>
    <row r="56" spans="2:11">
      <c r="B56" s="98" t="s">
        <v>503</v>
      </c>
      <c r="C56" s="98"/>
      <c r="D56" s="98"/>
      <c r="E56" s="98"/>
      <c r="F56" s="98" t="s">
        <v>296</v>
      </c>
      <c r="G56" s="98">
        <v>2011</v>
      </c>
      <c r="H56" s="199">
        <v>3100554.2541983742</v>
      </c>
      <c r="I56" s="98">
        <v>2021</v>
      </c>
      <c r="J56" s="199">
        <v>2372891.9585730941</v>
      </c>
      <c r="K56" s="200">
        <v>56326732</v>
      </c>
    </row>
    <row r="57" spans="2:11">
      <c r="B57" s="98" t="s">
        <v>504</v>
      </c>
      <c r="C57" s="98"/>
      <c r="D57" s="98"/>
      <c r="E57" s="98"/>
      <c r="F57" s="98" t="s">
        <v>313</v>
      </c>
      <c r="G57" s="98">
        <v>2011</v>
      </c>
      <c r="H57" s="199">
        <v>30115806.268534236</v>
      </c>
      <c r="I57" s="98">
        <v>2021</v>
      </c>
      <c r="J57" s="199">
        <v>0</v>
      </c>
      <c r="K57" s="200"/>
    </row>
    <row r="58" spans="2:11">
      <c r="B58" s="98" t="s">
        <v>505</v>
      </c>
      <c r="C58" s="98"/>
      <c r="D58" s="98"/>
      <c r="E58" s="98"/>
      <c r="F58" s="98" t="s">
        <v>269</v>
      </c>
      <c r="G58" s="98">
        <v>2011</v>
      </c>
      <c r="H58" s="199">
        <v>2437521.6070272112</v>
      </c>
      <c r="I58" s="98">
        <v>2021</v>
      </c>
      <c r="J58" s="199">
        <v>1865464.9930189459</v>
      </c>
      <c r="K58" s="200"/>
    </row>
    <row r="59" spans="2:11">
      <c r="B59" s="98" t="s">
        <v>506</v>
      </c>
      <c r="C59" s="98"/>
      <c r="D59" s="98"/>
      <c r="E59" s="98"/>
      <c r="F59" s="98" t="s">
        <v>275</v>
      </c>
      <c r="G59" s="98">
        <v>2011</v>
      </c>
      <c r="H59" s="199">
        <v>322323.48030063207</v>
      </c>
      <c r="I59" s="98">
        <v>2021</v>
      </c>
      <c r="J59" s="199">
        <v>0</v>
      </c>
      <c r="K59" s="200"/>
    </row>
    <row r="60" spans="2:11">
      <c r="B60" s="98" t="s">
        <v>507</v>
      </c>
      <c r="C60" s="98"/>
      <c r="D60" s="98"/>
      <c r="E60" s="98"/>
      <c r="F60" s="98" t="s">
        <v>286</v>
      </c>
      <c r="G60" s="98">
        <v>2011</v>
      </c>
      <c r="H60" s="199">
        <v>4126005.7948834877</v>
      </c>
      <c r="I60" s="98">
        <v>2021</v>
      </c>
      <c r="J60" s="199">
        <v>0</v>
      </c>
      <c r="K60" s="200"/>
    </row>
    <row r="61" spans="2:11">
      <c r="B61" s="98" t="s">
        <v>508</v>
      </c>
      <c r="C61" s="98"/>
      <c r="D61" s="98"/>
      <c r="E61" s="98"/>
      <c r="F61" s="98" t="s">
        <v>313</v>
      </c>
      <c r="G61" s="98">
        <v>2012</v>
      </c>
      <c r="H61" s="199">
        <v>22695798.709637098</v>
      </c>
      <c r="I61" s="98">
        <v>2021</v>
      </c>
      <c r="J61" s="199">
        <v>0</v>
      </c>
      <c r="K61" s="200"/>
    </row>
    <row r="62" spans="2:11">
      <c r="B62" s="98" t="s">
        <v>509</v>
      </c>
      <c r="C62" s="98"/>
      <c r="D62" s="98"/>
      <c r="E62" s="98"/>
      <c r="F62" s="98" t="s">
        <v>313</v>
      </c>
      <c r="G62" s="98">
        <v>2013</v>
      </c>
      <c r="H62" s="199">
        <v>18719949.80436749</v>
      </c>
      <c r="I62" s="98">
        <v>2021</v>
      </c>
      <c r="J62" s="199">
        <v>0</v>
      </c>
      <c r="K62" s="200"/>
    </row>
    <row r="63" spans="2:11">
      <c r="B63" s="98" t="s">
        <v>510</v>
      </c>
      <c r="C63" s="98"/>
      <c r="D63" s="98"/>
      <c r="E63" s="98"/>
      <c r="F63" s="98" t="s">
        <v>286</v>
      </c>
      <c r="G63" s="98">
        <v>2013</v>
      </c>
      <c r="H63" s="199">
        <v>14233.766853302437</v>
      </c>
      <c r="I63" s="98">
        <v>2021</v>
      </c>
      <c r="J63" s="199">
        <v>2395.0433871794298</v>
      </c>
      <c r="K63" s="200"/>
    </row>
    <row r="64" spans="2:11">
      <c r="B64" s="98" t="s">
        <v>511</v>
      </c>
      <c r="C64" s="98"/>
      <c r="D64" s="98"/>
      <c r="E64" s="98"/>
      <c r="F64" s="98" t="s">
        <v>275</v>
      </c>
      <c r="G64" s="98">
        <v>2013</v>
      </c>
      <c r="H64" s="199">
        <v>717715.3058753697</v>
      </c>
      <c r="I64" s="98">
        <v>2021</v>
      </c>
      <c r="J64" s="199">
        <v>120766.29573396736</v>
      </c>
      <c r="K64" s="200"/>
    </row>
    <row r="65" spans="2:11">
      <c r="B65" s="98" t="s">
        <v>512</v>
      </c>
      <c r="C65" s="98"/>
      <c r="D65" s="98"/>
      <c r="E65" s="98"/>
      <c r="F65" s="98" t="s">
        <v>313</v>
      </c>
      <c r="G65" s="98">
        <v>2014</v>
      </c>
      <c r="H65" s="199">
        <v>29278944.009914741</v>
      </c>
      <c r="I65" s="98">
        <v>2021</v>
      </c>
      <c r="J65" s="199">
        <v>0</v>
      </c>
      <c r="K65" s="200"/>
    </row>
    <row r="66" spans="2:11">
      <c r="B66" s="98" t="s">
        <v>513</v>
      </c>
      <c r="C66" s="98"/>
      <c r="D66" s="98"/>
      <c r="E66" s="98"/>
      <c r="F66" s="98" t="s">
        <v>318</v>
      </c>
      <c r="G66" s="98">
        <v>2014</v>
      </c>
      <c r="H66" s="199">
        <v>149619.99545874962</v>
      </c>
      <c r="I66" s="98">
        <v>2021</v>
      </c>
      <c r="J66" s="199">
        <v>40816.786477904512</v>
      </c>
      <c r="K66" s="200"/>
    </row>
    <row r="67" spans="2:11">
      <c r="B67" s="98" t="s">
        <v>514</v>
      </c>
      <c r="C67" s="98"/>
      <c r="D67" s="98"/>
      <c r="E67" s="98"/>
      <c r="F67" s="98" t="s">
        <v>314</v>
      </c>
      <c r="G67" s="98">
        <v>2014</v>
      </c>
      <c r="H67" s="199">
        <v>180341</v>
      </c>
      <c r="I67" s="98">
        <v>2021</v>
      </c>
      <c r="J67" s="199">
        <v>0</v>
      </c>
      <c r="K67" s="200"/>
    </row>
    <row r="68" spans="2:11">
      <c r="B68" s="98" t="s">
        <v>515</v>
      </c>
      <c r="C68" s="98"/>
      <c r="D68" s="98"/>
      <c r="E68" s="98"/>
      <c r="F68" s="98" t="s">
        <v>313</v>
      </c>
      <c r="G68" s="98">
        <v>2015</v>
      </c>
      <c r="H68" s="199">
        <v>16219637.049707994</v>
      </c>
      <c r="I68" s="98">
        <v>2021</v>
      </c>
      <c r="J68" s="199">
        <v>0</v>
      </c>
      <c r="K68" s="200"/>
    </row>
    <row r="69" spans="2:11">
      <c r="B69" s="98" t="s">
        <v>516</v>
      </c>
      <c r="C69" s="98"/>
      <c r="D69" s="98"/>
      <c r="E69" s="98"/>
      <c r="F69" s="98" t="s">
        <v>286</v>
      </c>
      <c r="G69" s="98">
        <v>2015</v>
      </c>
      <c r="H69" s="199">
        <v>9111235.8707030155</v>
      </c>
      <c r="I69" s="98">
        <v>2021</v>
      </c>
      <c r="J69" s="199">
        <v>3445348.23215965</v>
      </c>
      <c r="K69" s="200"/>
    </row>
    <row r="70" spans="2:11">
      <c r="B70" s="98" t="s">
        <v>517</v>
      </c>
      <c r="C70" s="98"/>
      <c r="D70" s="98"/>
      <c r="E70" s="98"/>
      <c r="F70" s="98" t="s">
        <v>275</v>
      </c>
      <c r="G70" s="98">
        <v>2015</v>
      </c>
      <c r="H70" s="199">
        <v>1215996.3265953835</v>
      </c>
      <c r="I70" s="98">
        <v>2021</v>
      </c>
      <c r="J70" s="199">
        <v>459820.25420057232</v>
      </c>
      <c r="K70" s="200"/>
    </row>
    <row r="71" spans="2:11">
      <c r="B71" s="98" t="s">
        <v>518</v>
      </c>
      <c r="C71" s="98"/>
      <c r="D71" s="98"/>
      <c r="E71" s="98"/>
      <c r="F71" s="98" t="s">
        <v>285</v>
      </c>
      <c r="G71" s="98">
        <v>2015</v>
      </c>
      <c r="H71" s="199">
        <v>7968.6502792695001</v>
      </c>
      <c r="I71" s="98">
        <v>2021</v>
      </c>
      <c r="J71" s="199">
        <v>3013.2877188110033</v>
      </c>
      <c r="K71" s="200"/>
    </row>
    <row r="72" spans="2:11">
      <c r="B72" s="98" t="s">
        <v>519</v>
      </c>
      <c r="C72" s="98"/>
      <c r="D72" s="98"/>
      <c r="E72" s="98"/>
      <c r="F72" s="98" t="s">
        <v>313</v>
      </c>
      <c r="G72" s="98">
        <v>2016</v>
      </c>
      <c r="H72" s="199">
        <v>15289349.60564645</v>
      </c>
      <c r="I72" s="98">
        <v>2021</v>
      </c>
      <c r="J72" s="199">
        <v>0</v>
      </c>
      <c r="K72" s="200"/>
    </row>
    <row r="73" spans="2:11">
      <c r="B73" s="98" t="s">
        <v>520</v>
      </c>
      <c r="C73" s="98"/>
      <c r="D73" s="98"/>
      <c r="E73" s="98"/>
      <c r="F73" s="98" t="s">
        <v>279</v>
      </c>
      <c r="G73" s="98">
        <v>2016</v>
      </c>
      <c r="H73" s="199">
        <v>1481397.6896878041</v>
      </c>
      <c r="I73" s="98">
        <v>2021</v>
      </c>
      <c r="J73" s="199">
        <v>714515.13830443297</v>
      </c>
      <c r="K73" s="200"/>
    </row>
    <row r="74" spans="2:11">
      <c r="B74" s="98" t="s">
        <v>521</v>
      </c>
      <c r="C74" s="98"/>
      <c r="D74" s="98"/>
      <c r="E74" s="98"/>
      <c r="F74" s="98" t="s">
        <v>286</v>
      </c>
      <c r="G74" s="98">
        <v>2016</v>
      </c>
      <c r="H74" s="199">
        <v>5338260.5379699524</v>
      </c>
      <c r="I74" s="98">
        <v>2021</v>
      </c>
      <c r="J74" s="199">
        <v>2574776.5054207225</v>
      </c>
      <c r="K74" s="200"/>
    </row>
    <row r="75" spans="2:11">
      <c r="B75" s="98" t="s">
        <v>522</v>
      </c>
      <c r="C75" s="98"/>
      <c r="D75" s="98"/>
      <c r="E75" s="98"/>
      <c r="F75" s="98" t="s">
        <v>313</v>
      </c>
      <c r="G75" s="98">
        <v>2017</v>
      </c>
      <c r="H75" s="199">
        <v>17348227.126304951</v>
      </c>
      <c r="I75" s="98">
        <v>2021</v>
      </c>
      <c r="J75" s="199">
        <v>1855729.3459505453</v>
      </c>
      <c r="K75" s="200"/>
    </row>
    <row r="76" spans="2:11">
      <c r="B76" s="98" t="s">
        <v>523</v>
      </c>
      <c r="C76" s="98"/>
      <c r="D76" s="98"/>
      <c r="E76" s="98"/>
      <c r="F76" s="98" t="s">
        <v>267</v>
      </c>
      <c r="G76" s="98">
        <v>2012</v>
      </c>
      <c r="H76" s="199">
        <v>56189.23</v>
      </c>
      <c r="I76" s="98">
        <v>2021</v>
      </c>
      <c r="J76" s="199">
        <v>3224.0442736663617</v>
      </c>
      <c r="K76" s="200"/>
    </row>
    <row r="77" spans="2:11">
      <c r="B77" s="98" t="s">
        <v>524</v>
      </c>
      <c r="C77" s="98"/>
      <c r="D77" s="98"/>
      <c r="E77" s="98"/>
      <c r="F77" s="98" t="s">
        <v>313</v>
      </c>
      <c r="G77" s="98">
        <v>2018</v>
      </c>
      <c r="H77" s="199">
        <v>20811887.293785572</v>
      </c>
      <c r="I77" s="98">
        <v>2021</v>
      </c>
      <c r="J77" s="199">
        <v>6586494.0110704908</v>
      </c>
      <c r="K77" s="200"/>
    </row>
    <row r="78" spans="2:11">
      <c r="B78" s="98" t="s">
        <v>525</v>
      </c>
      <c r="C78" s="98"/>
      <c r="D78" s="98"/>
      <c r="E78" s="98"/>
      <c r="F78" s="98" t="s">
        <v>313</v>
      </c>
      <c r="G78" s="98">
        <v>2005</v>
      </c>
      <c r="H78" s="199">
        <v>3284081.86</v>
      </c>
      <c r="I78" s="98">
        <v>2021</v>
      </c>
      <c r="J78" s="199">
        <v>0</v>
      </c>
      <c r="K78" s="200"/>
    </row>
    <row r="79" spans="2:11">
      <c r="B79" s="98" t="s">
        <v>526</v>
      </c>
      <c r="C79" s="98"/>
      <c r="D79" s="98"/>
      <c r="E79" s="98"/>
      <c r="F79" s="98" t="s">
        <v>286</v>
      </c>
      <c r="G79" s="98">
        <v>2005</v>
      </c>
      <c r="H79" s="199">
        <v>1438517.3199999998</v>
      </c>
      <c r="I79" s="98">
        <v>2021</v>
      </c>
      <c r="J79" s="199">
        <v>0</v>
      </c>
      <c r="K79" s="200"/>
    </row>
    <row r="80" spans="2:11">
      <c r="B80" s="98" t="s">
        <v>527</v>
      </c>
      <c r="C80" s="98"/>
      <c r="D80" s="98"/>
      <c r="E80" s="98"/>
      <c r="F80" s="98" t="s">
        <v>279</v>
      </c>
      <c r="G80" s="98">
        <v>2005</v>
      </c>
      <c r="H80" s="199">
        <v>499809.02999999997</v>
      </c>
      <c r="I80" s="98">
        <v>2021</v>
      </c>
      <c r="J80" s="199">
        <v>0</v>
      </c>
      <c r="K80" s="200"/>
    </row>
    <row r="81" spans="2:11">
      <c r="B81" s="98" t="s">
        <v>528</v>
      </c>
      <c r="C81" s="98"/>
      <c r="D81" s="98"/>
      <c r="E81" s="98"/>
      <c r="F81" s="98" t="s">
        <v>287</v>
      </c>
      <c r="G81" s="98">
        <v>2005</v>
      </c>
      <c r="H81" s="199">
        <v>245809.3</v>
      </c>
      <c r="I81" s="98">
        <v>2021</v>
      </c>
      <c r="J81" s="199">
        <v>0</v>
      </c>
      <c r="K81" s="200"/>
    </row>
    <row r="82" spans="2:11">
      <c r="B82" s="98" t="s">
        <v>529</v>
      </c>
      <c r="C82" s="98"/>
      <c r="D82" s="98"/>
      <c r="E82" s="98"/>
      <c r="F82" s="98" t="s">
        <v>275</v>
      </c>
      <c r="G82" s="98">
        <v>2005</v>
      </c>
      <c r="H82" s="199">
        <v>58217.59</v>
      </c>
      <c r="I82" s="98">
        <v>2021</v>
      </c>
      <c r="J82" s="199">
        <v>0</v>
      </c>
      <c r="K82" s="200"/>
    </row>
    <row r="83" spans="2:11">
      <c r="B83" s="98" t="s">
        <v>530</v>
      </c>
      <c r="C83" s="98"/>
      <c r="D83" s="98"/>
      <c r="E83" s="98"/>
      <c r="F83" s="98" t="s">
        <v>313</v>
      </c>
      <c r="G83" s="98">
        <v>2006</v>
      </c>
      <c r="H83" s="199">
        <v>4639319.7116944697</v>
      </c>
      <c r="I83" s="98">
        <v>2021</v>
      </c>
      <c r="J83" s="199">
        <v>0</v>
      </c>
      <c r="K83" s="200"/>
    </row>
    <row r="84" spans="2:11">
      <c r="B84" s="98" t="s">
        <v>531</v>
      </c>
      <c r="C84" s="98"/>
      <c r="D84" s="98"/>
      <c r="E84" s="98"/>
      <c r="F84" s="98" t="s">
        <v>273</v>
      </c>
      <c r="G84" s="98">
        <v>2006</v>
      </c>
      <c r="H84" s="199">
        <v>68586.959999999992</v>
      </c>
      <c r="I84" s="98">
        <v>2021</v>
      </c>
      <c r="J84" s="199">
        <v>0</v>
      </c>
      <c r="K84" s="200"/>
    </row>
    <row r="85" spans="2:11">
      <c r="B85" s="98" t="s">
        <v>532</v>
      </c>
      <c r="C85" s="98"/>
      <c r="D85" s="98"/>
      <c r="E85" s="98"/>
      <c r="F85" s="98" t="s">
        <v>296</v>
      </c>
      <c r="G85" s="98">
        <v>2006</v>
      </c>
      <c r="H85" s="199">
        <v>104600</v>
      </c>
      <c r="I85" s="98">
        <v>2021</v>
      </c>
      <c r="J85" s="199">
        <v>64112.024048213396</v>
      </c>
      <c r="K85" s="200"/>
    </row>
    <row r="86" spans="2:11">
      <c r="B86" s="98" t="s">
        <v>533</v>
      </c>
      <c r="C86" s="98"/>
      <c r="D86" s="98"/>
      <c r="E86" s="98"/>
      <c r="F86" s="98" t="s">
        <v>274</v>
      </c>
      <c r="G86" s="98">
        <v>2006</v>
      </c>
      <c r="H86" s="199">
        <v>243251.93</v>
      </c>
      <c r="I86" s="98">
        <v>2021</v>
      </c>
      <c r="J86" s="199">
        <v>0</v>
      </c>
      <c r="K86" s="200"/>
    </row>
    <row r="87" spans="2:11">
      <c r="B87" s="98" t="s">
        <v>534</v>
      </c>
      <c r="C87" s="98"/>
      <c r="D87" s="98"/>
      <c r="E87" s="98"/>
      <c r="F87" s="98" t="s">
        <v>275</v>
      </c>
      <c r="G87" s="98">
        <v>2006</v>
      </c>
      <c r="H87" s="199">
        <v>585474.13</v>
      </c>
      <c r="I87" s="98">
        <v>2021</v>
      </c>
      <c r="J87" s="199">
        <v>0</v>
      </c>
      <c r="K87" s="200"/>
    </row>
    <row r="88" spans="2:11">
      <c r="B88" s="98" t="s">
        <v>535</v>
      </c>
      <c r="C88" s="98"/>
      <c r="D88" s="98"/>
      <c r="E88" s="98"/>
      <c r="F88" s="98" t="s">
        <v>273</v>
      </c>
      <c r="G88" s="98">
        <v>2007</v>
      </c>
      <c r="H88" s="199">
        <v>332079.90999999997</v>
      </c>
      <c r="I88" s="98">
        <v>2021</v>
      </c>
      <c r="J88" s="199">
        <v>0</v>
      </c>
      <c r="K88" s="200"/>
    </row>
    <row r="89" spans="2:11">
      <c r="B89" s="98" t="s">
        <v>536</v>
      </c>
      <c r="C89" s="98"/>
      <c r="D89" s="98"/>
      <c r="E89" s="98"/>
      <c r="F89" s="98" t="s">
        <v>296</v>
      </c>
      <c r="G89" s="98">
        <v>2007</v>
      </c>
      <c r="H89" s="199">
        <v>163550.16999999998</v>
      </c>
      <c r="I89" s="98">
        <v>2021</v>
      </c>
      <c r="J89" s="199">
        <v>105677.9899746046</v>
      </c>
      <c r="K89" s="200"/>
    </row>
    <row r="90" spans="2:11">
      <c r="B90" s="98" t="s">
        <v>537</v>
      </c>
      <c r="C90" s="98"/>
      <c r="D90" s="98"/>
      <c r="E90" s="98"/>
      <c r="F90" s="98" t="s">
        <v>313</v>
      </c>
      <c r="G90" s="98">
        <v>2007</v>
      </c>
      <c r="H90" s="199">
        <v>21517730.71653875</v>
      </c>
      <c r="I90" s="98">
        <v>2021</v>
      </c>
      <c r="J90" s="199">
        <v>0</v>
      </c>
      <c r="K90" s="200"/>
    </row>
    <row r="91" spans="2:11">
      <c r="B91" s="98" t="s">
        <v>538</v>
      </c>
      <c r="C91" s="98"/>
      <c r="D91" s="98"/>
      <c r="E91" s="98"/>
      <c r="F91" s="98" t="s">
        <v>275</v>
      </c>
      <c r="G91" s="98">
        <v>2007</v>
      </c>
      <c r="H91" s="199">
        <v>611283.49</v>
      </c>
      <c r="I91" s="98">
        <v>2021</v>
      </c>
      <c r="J91" s="199">
        <v>0</v>
      </c>
      <c r="K91" s="200"/>
    </row>
    <row r="92" spans="2:11">
      <c r="B92" s="98" t="s">
        <v>539</v>
      </c>
      <c r="C92" s="98"/>
      <c r="D92" s="98"/>
      <c r="E92" s="98"/>
      <c r="F92" s="98" t="s">
        <v>274</v>
      </c>
      <c r="G92" s="98">
        <v>2007</v>
      </c>
      <c r="H92" s="199">
        <v>87193.72</v>
      </c>
      <c r="I92" s="98">
        <v>2021</v>
      </c>
      <c r="J92" s="199">
        <v>0</v>
      </c>
      <c r="K92" s="200"/>
    </row>
    <row r="93" spans="2:11">
      <c r="B93" s="98" t="s">
        <v>540</v>
      </c>
      <c r="C93" s="98"/>
      <c r="D93" s="98"/>
      <c r="E93" s="98"/>
      <c r="F93" s="98" t="s">
        <v>284</v>
      </c>
      <c r="G93" s="98">
        <v>2007</v>
      </c>
      <c r="H93" s="199">
        <v>25760.58</v>
      </c>
      <c r="I93" s="98">
        <v>2021</v>
      </c>
      <c r="J93" s="199">
        <v>0</v>
      </c>
      <c r="K93" s="200"/>
    </row>
    <row r="94" spans="2:11">
      <c r="B94" s="98" t="s">
        <v>541</v>
      </c>
      <c r="C94" s="98"/>
      <c r="D94" s="98"/>
      <c r="E94" s="98"/>
      <c r="F94" s="98" t="s">
        <v>315</v>
      </c>
      <c r="G94" s="98">
        <v>2007</v>
      </c>
      <c r="H94" s="199">
        <v>140047.50693888956</v>
      </c>
      <c r="I94" s="98">
        <v>2021</v>
      </c>
      <c r="J94" s="199">
        <v>0</v>
      </c>
      <c r="K94" s="200"/>
    </row>
    <row r="95" spans="2:11">
      <c r="B95" s="98" t="s">
        <v>542</v>
      </c>
      <c r="C95" s="98"/>
      <c r="D95" s="98"/>
      <c r="E95" s="98"/>
      <c r="F95" s="98" t="s">
        <v>313</v>
      </c>
      <c r="G95" s="98">
        <v>2008</v>
      </c>
      <c r="H95" s="199">
        <v>1405801.5634173665</v>
      </c>
      <c r="I95" s="98">
        <v>2021</v>
      </c>
      <c r="J95" s="199">
        <v>0</v>
      </c>
      <c r="K95" s="200"/>
    </row>
    <row r="96" spans="2:11">
      <c r="B96" s="98" t="s">
        <v>543</v>
      </c>
      <c r="C96" s="98"/>
      <c r="D96" s="98"/>
      <c r="E96" s="98"/>
      <c r="F96" s="98" t="s">
        <v>284</v>
      </c>
      <c r="G96" s="98">
        <v>2008</v>
      </c>
      <c r="H96" s="199">
        <v>6485.6</v>
      </c>
      <c r="I96" s="98">
        <v>2021</v>
      </c>
      <c r="J96" s="199">
        <v>0</v>
      </c>
      <c r="K96" s="200"/>
    </row>
    <row r="97" spans="2:11">
      <c r="B97" s="98" t="s">
        <v>544</v>
      </c>
      <c r="C97" s="98"/>
      <c r="D97" s="98"/>
      <c r="E97" s="98"/>
      <c r="F97" s="98" t="s">
        <v>265</v>
      </c>
      <c r="G97" s="98">
        <v>1956</v>
      </c>
      <c r="H97" s="199">
        <v>32433.599999999999</v>
      </c>
      <c r="I97" s="98">
        <v>2021</v>
      </c>
      <c r="J97" s="199">
        <v>275057.7098199001</v>
      </c>
      <c r="K97" s="200"/>
    </row>
    <row r="98" spans="2:11">
      <c r="B98" s="98" t="s">
        <v>545</v>
      </c>
      <c r="C98" s="98"/>
      <c r="D98" s="98"/>
      <c r="E98" s="98"/>
      <c r="F98" s="98" t="s">
        <v>265</v>
      </c>
      <c r="G98" s="98">
        <v>1968</v>
      </c>
      <c r="H98" s="199">
        <v>219516.18</v>
      </c>
      <c r="I98" s="98">
        <v>2021</v>
      </c>
      <c r="J98" s="199">
        <v>1219692.8562955547</v>
      </c>
      <c r="K98" s="200"/>
    </row>
    <row r="99" spans="2:11">
      <c r="B99" s="98" t="s">
        <v>546</v>
      </c>
      <c r="C99" s="98"/>
      <c r="D99" s="98"/>
      <c r="E99" s="98"/>
      <c r="F99" s="98" t="s">
        <v>265</v>
      </c>
      <c r="G99" s="98">
        <v>1972</v>
      </c>
      <c r="H99" s="199">
        <v>411128.51</v>
      </c>
      <c r="I99" s="98">
        <v>2021</v>
      </c>
      <c r="J99" s="199">
        <v>1824024.3386379536</v>
      </c>
      <c r="K99" s="200"/>
    </row>
    <row r="100" spans="2:11">
      <c r="B100" s="98" t="s">
        <v>547</v>
      </c>
      <c r="C100" s="98"/>
      <c r="D100" s="98"/>
      <c r="E100" s="98"/>
      <c r="F100" s="98" t="s">
        <v>267</v>
      </c>
      <c r="G100" s="98">
        <v>1970</v>
      </c>
      <c r="H100" s="199">
        <v>65342.54</v>
      </c>
      <c r="I100" s="98">
        <v>2021</v>
      </c>
      <c r="J100" s="199">
        <v>0</v>
      </c>
      <c r="K100" s="200"/>
    </row>
    <row r="101" spans="2:11">
      <c r="B101" s="98" t="s">
        <v>548</v>
      </c>
      <c r="C101" s="98"/>
      <c r="D101" s="98"/>
      <c r="E101" s="98"/>
      <c r="F101" s="98" t="s">
        <v>269</v>
      </c>
      <c r="G101" s="98">
        <v>1980</v>
      </c>
      <c r="H101" s="199">
        <v>1188787.02</v>
      </c>
      <c r="I101" s="98">
        <v>2021</v>
      </c>
      <c r="J101" s="199">
        <v>0</v>
      </c>
      <c r="K101" s="200"/>
    </row>
    <row r="102" spans="2:11">
      <c r="B102" s="98" t="s">
        <v>549</v>
      </c>
      <c r="C102" s="98"/>
      <c r="D102" s="98"/>
      <c r="E102" s="98"/>
      <c r="F102" s="98" t="s">
        <v>269</v>
      </c>
      <c r="G102" s="98">
        <v>1971</v>
      </c>
      <c r="H102" s="199">
        <v>1287617.6299999999</v>
      </c>
      <c r="I102" s="98">
        <v>2021</v>
      </c>
      <c r="J102" s="199">
        <v>0</v>
      </c>
      <c r="K102" s="200"/>
    </row>
    <row r="103" spans="2:11">
      <c r="B103" s="98" t="s">
        <v>550</v>
      </c>
      <c r="C103" s="98"/>
      <c r="D103" s="98"/>
      <c r="E103" s="98"/>
      <c r="F103" s="98" t="s">
        <v>269</v>
      </c>
      <c r="G103" s="98">
        <v>1986</v>
      </c>
      <c r="H103" s="199">
        <v>986052.31</v>
      </c>
      <c r="I103" s="98">
        <v>2021</v>
      </c>
      <c r="J103" s="199">
        <v>0</v>
      </c>
      <c r="K103" s="200"/>
    </row>
    <row r="104" spans="2:11">
      <c r="B104" s="98" t="s">
        <v>551</v>
      </c>
      <c r="C104" s="98"/>
      <c r="D104" s="98"/>
      <c r="E104" s="98"/>
      <c r="F104" s="98" t="s">
        <v>269</v>
      </c>
      <c r="G104" s="98">
        <v>1988</v>
      </c>
      <c r="H104" s="199">
        <v>45049.48</v>
      </c>
      <c r="I104" s="98">
        <v>2021</v>
      </c>
      <c r="J104" s="199">
        <v>0</v>
      </c>
      <c r="K104" s="200"/>
    </row>
    <row r="105" spans="2:11">
      <c r="B105" s="98" t="s">
        <v>552</v>
      </c>
      <c r="C105" s="98"/>
      <c r="D105" s="98"/>
      <c r="E105" s="98"/>
      <c r="F105" s="98" t="s">
        <v>265</v>
      </c>
      <c r="G105" s="98">
        <v>1969</v>
      </c>
      <c r="H105" s="199">
        <v>35732.019999999997</v>
      </c>
      <c r="I105" s="98">
        <v>2021</v>
      </c>
      <c r="J105" s="199">
        <v>192194.60406110552</v>
      </c>
      <c r="K105" s="200"/>
    </row>
    <row r="106" spans="2:11">
      <c r="B106" s="98" t="s">
        <v>553</v>
      </c>
      <c r="C106" s="98"/>
      <c r="D106" s="98"/>
      <c r="E106" s="98"/>
      <c r="F106" s="98" t="s">
        <v>269</v>
      </c>
      <c r="G106" s="98">
        <v>1993</v>
      </c>
      <c r="H106" s="199">
        <v>4915025</v>
      </c>
      <c r="I106" s="98">
        <v>2021</v>
      </c>
      <c r="J106" s="199">
        <v>420683.7813984917</v>
      </c>
      <c r="K106" s="200"/>
    </row>
    <row r="107" spans="2:11">
      <c r="B107" s="98" t="s">
        <v>554</v>
      </c>
      <c r="C107" s="98"/>
      <c r="D107" s="98"/>
      <c r="E107" s="98"/>
      <c r="F107" s="98" t="s">
        <v>265</v>
      </c>
      <c r="G107" s="98">
        <v>1990</v>
      </c>
      <c r="H107" s="199">
        <v>4936129.59</v>
      </c>
      <c r="I107" s="98">
        <v>2021</v>
      </c>
      <c r="J107" s="199">
        <v>9367389.4688880406</v>
      </c>
      <c r="K107" s="200"/>
    </row>
    <row r="108" spans="2:11">
      <c r="B108" s="98" t="s">
        <v>555</v>
      </c>
      <c r="C108" s="98"/>
      <c r="D108" s="98"/>
      <c r="E108" s="98"/>
      <c r="F108" s="98" t="s">
        <v>274</v>
      </c>
      <c r="G108" s="98">
        <v>1994</v>
      </c>
      <c r="H108" s="199">
        <v>5646696.2199999997</v>
      </c>
      <c r="I108" s="98">
        <v>2021</v>
      </c>
      <c r="J108" s="199">
        <v>0</v>
      </c>
      <c r="K108" s="200"/>
    </row>
    <row r="109" spans="2:11">
      <c r="B109" s="98" t="s">
        <v>556</v>
      </c>
      <c r="C109" s="98"/>
      <c r="D109" s="98"/>
      <c r="E109" s="98"/>
      <c r="F109" s="98" t="s">
        <v>269</v>
      </c>
      <c r="G109" s="98">
        <v>1994</v>
      </c>
      <c r="H109" s="199">
        <v>326095.09000000003</v>
      </c>
      <c r="I109" s="98">
        <v>2021</v>
      </c>
      <c r="J109" s="199">
        <v>45606.0937185246</v>
      </c>
      <c r="K109" s="200"/>
    </row>
    <row r="110" spans="2:11">
      <c r="B110" s="98" t="s">
        <v>557</v>
      </c>
      <c r="C110" s="98"/>
      <c r="D110" s="98"/>
      <c r="E110" s="98"/>
      <c r="F110" s="98" t="s">
        <v>267</v>
      </c>
      <c r="G110" s="98">
        <v>1993</v>
      </c>
      <c r="H110" s="199">
        <v>174007.47</v>
      </c>
      <c r="I110" s="98">
        <v>2021</v>
      </c>
      <c r="J110" s="199">
        <v>0</v>
      </c>
      <c r="K110" s="200"/>
    </row>
    <row r="111" spans="2:11">
      <c r="B111" s="98" t="s">
        <v>558</v>
      </c>
      <c r="C111" s="98"/>
      <c r="D111" s="98"/>
      <c r="E111" s="98"/>
      <c r="F111" s="98" t="s">
        <v>296</v>
      </c>
      <c r="G111" s="98">
        <v>1991</v>
      </c>
      <c r="H111" s="199">
        <v>475302.12</v>
      </c>
      <c r="I111" s="98">
        <v>2021</v>
      </c>
      <c r="J111" s="199">
        <v>0</v>
      </c>
      <c r="K111" s="200"/>
    </row>
    <row r="112" spans="2:11">
      <c r="B112" s="98" t="s">
        <v>559</v>
      </c>
      <c r="C112" s="98"/>
      <c r="D112" s="98"/>
      <c r="E112" s="98"/>
      <c r="F112" s="98" t="s">
        <v>273</v>
      </c>
      <c r="G112" s="98">
        <v>1995</v>
      </c>
      <c r="H112" s="199">
        <v>365539.92999999993</v>
      </c>
      <c r="I112" s="98">
        <v>2021</v>
      </c>
      <c r="J112" s="199">
        <v>0</v>
      </c>
      <c r="K112" s="200"/>
    </row>
    <row r="113" spans="2:11">
      <c r="B113" s="98" t="s">
        <v>560</v>
      </c>
      <c r="C113" s="98"/>
      <c r="D113" s="98"/>
      <c r="E113" s="98"/>
      <c r="F113" s="98" t="s">
        <v>273</v>
      </c>
      <c r="G113" s="98">
        <v>1994</v>
      </c>
      <c r="H113" s="199">
        <v>6615395.4499999993</v>
      </c>
      <c r="I113" s="98">
        <v>2021</v>
      </c>
      <c r="J113" s="199">
        <v>0</v>
      </c>
      <c r="K113" s="200"/>
    </row>
    <row r="114" spans="2:11">
      <c r="B114" s="98" t="s">
        <v>561</v>
      </c>
      <c r="C114" s="98"/>
      <c r="D114" s="98"/>
      <c r="E114" s="98"/>
      <c r="F114" s="98" t="s">
        <v>296</v>
      </c>
      <c r="G114" s="98">
        <v>1998</v>
      </c>
      <c r="H114" s="199">
        <v>789493.11</v>
      </c>
      <c r="I114" s="98">
        <v>2021</v>
      </c>
      <c r="J114" s="199">
        <v>263672.8175889462</v>
      </c>
      <c r="K114" s="200"/>
    </row>
    <row r="115" spans="2:11">
      <c r="B115" s="98" t="s">
        <v>562</v>
      </c>
      <c r="C115" s="98"/>
      <c r="D115" s="98"/>
      <c r="E115" s="98"/>
      <c r="F115" s="98" t="s">
        <v>296</v>
      </c>
      <c r="G115" s="98">
        <v>1995</v>
      </c>
      <c r="H115" s="199">
        <v>93310335.520000011</v>
      </c>
      <c r="I115" s="98">
        <v>2021</v>
      </c>
      <c r="J115" s="199">
        <v>17806929.596040629</v>
      </c>
      <c r="K115" s="200"/>
    </row>
    <row r="116" spans="2:11">
      <c r="B116" s="98" t="s">
        <v>563</v>
      </c>
      <c r="C116" s="98"/>
      <c r="D116" s="98"/>
      <c r="E116" s="98"/>
      <c r="F116" s="98" t="s">
        <v>274</v>
      </c>
      <c r="G116" s="98">
        <v>1997</v>
      </c>
      <c r="H116" s="199">
        <v>3767.74</v>
      </c>
      <c r="I116" s="98">
        <v>2021</v>
      </c>
      <c r="J116" s="199">
        <v>0</v>
      </c>
      <c r="K116" s="200"/>
    </row>
    <row r="117" spans="2:11">
      <c r="B117" s="98" t="s">
        <v>564</v>
      </c>
      <c r="C117" s="98"/>
      <c r="D117" s="98"/>
      <c r="E117" s="98"/>
      <c r="F117" s="98" t="s">
        <v>273</v>
      </c>
      <c r="G117" s="98">
        <v>2002</v>
      </c>
      <c r="H117" s="199">
        <v>257167.26</v>
      </c>
      <c r="I117" s="98">
        <v>2021</v>
      </c>
      <c r="J117" s="199">
        <v>0</v>
      </c>
      <c r="K117" s="200"/>
    </row>
    <row r="118" spans="2:11">
      <c r="B118" s="98" t="s">
        <v>565</v>
      </c>
      <c r="C118" s="98"/>
      <c r="D118" s="98"/>
      <c r="E118" s="98"/>
      <c r="F118" s="98" t="s">
        <v>296</v>
      </c>
      <c r="G118" s="98">
        <v>1997</v>
      </c>
      <c r="H118" s="199">
        <v>9956.39</v>
      </c>
      <c r="I118" s="98">
        <v>2021</v>
      </c>
      <c r="J118" s="199">
        <v>2886.7927731398736</v>
      </c>
      <c r="K118" s="200"/>
    </row>
    <row r="119" spans="2:11">
      <c r="B119" s="98" t="s">
        <v>566</v>
      </c>
      <c r="C119" s="98"/>
      <c r="D119" s="98"/>
      <c r="E119" s="98"/>
      <c r="F119" s="98" t="s">
        <v>274</v>
      </c>
      <c r="G119" s="98">
        <v>2002</v>
      </c>
      <c r="H119" s="199">
        <v>259859.76</v>
      </c>
      <c r="I119" s="98">
        <v>2021</v>
      </c>
      <c r="J119" s="199">
        <v>0</v>
      </c>
      <c r="K119" s="200"/>
    </row>
    <row r="120" spans="2:11">
      <c r="B120" s="98" t="s">
        <v>567</v>
      </c>
      <c r="C120" s="98"/>
      <c r="D120" s="98"/>
      <c r="E120" s="98"/>
      <c r="F120" s="98" t="s">
        <v>313</v>
      </c>
      <c r="G120" s="98">
        <v>1998</v>
      </c>
      <c r="H120" s="199">
        <v>194674.43</v>
      </c>
      <c r="I120" s="98">
        <v>2021</v>
      </c>
      <c r="J120" s="199">
        <v>0</v>
      </c>
      <c r="K120" s="200"/>
    </row>
    <row r="121" spans="2:11">
      <c r="B121" s="98" t="s">
        <v>568</v>
      </c>
      <c r="C121" s="98"/>
      <c r="D121" s="98"/>
      <c r="E121" s="98"/>
      <c r="F121" s="98" t="s">
        <v>284</v>
      </c>
      <c r="G121" s="98">
        <v>2000</v>
      </c>
      <c r="H121" s="199">
        <v>5437.76</v>
      </c>
      <c r="I121" s="98">
        <v>2021</v>
      </c>
      <c r="J121" s="199">
        <v>0</v>
      </c>
      <c r="K121" s="200"/>
    </row>
    <row r="122" spans="2:11">
      <c r="B122" s="98" t="s">
        <v>569</v>
      </c>
      <c r="C122" s="98"/>
      <c r="D122" s="98"/>
      <c r="E122" s="98"/>
      <c r="F122" s="98" t="s">
        <v>274</v>
      </c>
      <c r="G122" s="98">
        <v>1998</v>
      </c>
      <c r="H122" s="199">
        <v>159402.09</v>
      </c>
      <c r="I122" s="98">
        <v>2021</v>
      </c>
      <c r="J122" s="199">
        <v>0</v>
      </c>
      <c r="K122" s="200"/>
    </row>
    <row r="123" spans="2:11">
      <c r="B123" s="98" t="s">
        <v>570</v>
      </c>
      <c r="C123" s="98"/>
      <c r="D123" s="98"/>
      <c r="E123" s="98"/>
      <c r="F123" s="98" t="s">
        <v>273</v>
      </c>
      <c r="G123" s="98">
        <v>1998</v>
      </c>
      <c r="H123" s="199">
        <v>120568.99000000002</v>
      </c>
      <c r="I123" s="98">
        <v>2021</v>
      </c>
      <c r="J123" s="199">
        <v>0</v>
      </c>
      <c r="K123" s="200"/>
    </row>
    <row r="124" spans="2:11">
      <c r="B124" s="98" t="s">
        <v>571</v>
      </c>
      <c r="C124" s="98"/>
      <c r="D124" s="98"/>
      <c r="E124" s="98"/>
      <c r="F124" s="98" t="s">
        <v>313</v>
      </c>
      <c r="G124" s="98">
        <v>2002</v>
      </c>
      <c r="H124" s="199">
        <v>342396.39</v>
      </c>
      <c r="I124" s="98">
        <v>2021</v>
      </c>
      <c r="J124" s="199">
        <v>0</v>
      </c>
      <c r="K124" s="200"/>
    </row>
    <row r="125" spans="2:11">
      <c r="B125" s="98" t="s">
        <v>572</v>
      </c>
      <c r="C125" s="98"/>
      <c r="D125" s="98"/>
      <c r="E125" s="98"/>
      <c r="F125" s="98" t="s">
        <v>315</v>
      </c>
      <c r="G125" s="98">
        <v>2000</v>
      </c>
      <c r="H125" s="199">
        <v>717051.87</v>
      </c>
      <c r="I125" s="98">
        <v>2021</v>
      </c>
      <c r="J125" s="199">
        <v>0</v>
      </c>
      <c r="K125" s="200"/>
    </row>
    <row r="126" spans="2:11">
      <c r="B126" s="98" t="s">
        <v>573</v>
      </c>
      <c r="C126" s="98"/>
      <c r="D126" s="98"/>
      <c r="E126" s="98"/>
      <c r="F126" s="98" t="s">
        <v>274</v>
      </c>
      <c r="G126" s="98">
        <v>1999</v>
      </c>
      <c r="H126" s="199">
        <v>64305.72</v>
      </c>
      <c r="I126" s="98">
        <v>2021</v>
      </c>
      <c r="J126" s="199">
        <v>0</v>
      </c>
      <c r="K126" s="200"/>
    </row>
    <row r="127" spans="2:11">
      <c r="B127" s="98" t="s">
        <v>574</v>
      </c>
      <c r="C127" s="98"/>
      <c r="D127" s="98"/>
      <c r="E127" s="98"/>
      <c r="F127" s="98" t="s">
        <v>273</v>
      </c>
      <c r="G127" s="98">
        <v>1999</v>
      </c>
      <c r="H127" s="199">
        <v>41263.56</v>
      </c>
      <c r="I127" s="98">
        <v>2021</v>
      </c>
      <c r="J127" s="199">
        <v>0</v>
      </c>
      <c r="K127" s="200"/>
    </row>
    <row r="128" spans="2:11">
      <c r="B128" s="98" t="s">
        <v>575</v>
      </c>
      <c r="C128" s="98"/>
      <c r="D128" s="98"/>
      <c r="E128" s="98"/>
      <c r="F128" s="98" t="s">
        <v>274</v>
      </c>
      <c r="G128" s="98">
        <v>2000</v>
      </c>
      <c r="H128" s="199">
        <v>5312.4</v>
      </c>
      <c r="I128" s="98">
        <v>2021</v>
      </c>
      <c r="J128" s="199">
        <v>0</v>
      </c>
      <c r="K128" s="200"/>
    </row>
    <row r="129" spans="2:11">
      <c r="B129" s="98" t="s">
        <v>576</v>
      </c>
      <c r="C129" s="98"/>
      <c r="D129" s="98"/>
      <c r="E129" s="98"/>
      <c r="F129" s="98" t="s">
        <v>313</v>
      </c>
      <c r="G129" s="98">
        <v>2001</v>
      </c>
      <c r="H129" s="199">
        <v>1754908.7700000003</v>
      </c>
      <c r="I129" s="98">
        <v>2021</v>
      </c>
      <c r="J129" s="199">
        <v>0</v>
      </c>
      <c r="K129" s="200"/>
    </row>
    <row r="130" spans="2:11">
      <c r="B130" s="98" t="s">
        <v>577</v>
      </c>
      <c r="C130" s="98"/>
      <c r="D130" s="98"/>
      <c r="E130" s="98"/>
      <c r="F130" s="98" t="s">
        <v>279</v>
      </c>
      <c r="G130" s="98">
        <v>2000</v>
      </c>
      <c r="H130" s="199">
        <v>86461.709999999992</v>
      </c>
      <c r="I130" s="98">
        <v>2021</v>
      </c>
      <c r="J130" s="199">
        <v>0</v>
      </c>
      <c r="K130" s="200"/>
    </row>
    <row r="131" spans="2:11">
      <c r="B131" s="98" t="s">
        <v>578</v>
      </c>
      <c r="C131" s="98"/>
      <c r="D131" s="98"/>
      <c r="E131" s="98"/>
      <c r="F131" s="98" t="s">
        <v>284</v>
      </c>
      <c r="G131" s="98">
        <v>1998</v>
      </c>
      <c r="H131" s="199">
        <v>3630.24</v>
      </c>
      <c r="I131" s="98">
        <v>2021</v>
      </c>
      <c r="J131" s="199">
        <v>0</v>
      </c>
      <c r="K131" s="200"/>
    </row>
    <row r="132" spans="2:11">
      <c r="B132" s="98" t="s">
        <v>579</v>
      </c>
      <c r="C132" s="98"/>
      <c r="D132" s="98"/>
      <c r="E132" s="98"/>
      <c r="F132" s="98" t="s">
        <v>313</v>
      </c>
      <c r="G132" s="98">
        <v>2000</v>
      </c>
      <c r="H132" s="199">
        <v>63690.75</v>
      </c>
      <c r="I132" s="98">
        <v>2021</v>
      </c>
      <c r="J132" s="199">
        <v>0</v>
      </c>
      <c r="K132" s="200"/>
    </row>
    <row r="133" spans="2:11">
      <c r="B133" s="98" t="s">
        <v>580</v>
      </c>
      <c r="C133" s="98"/>
      <c r="D133" s="98"/>
      <c r="E133" s="98"/>
      <c r="F133" s="98" t="s">
        <v>273</v>
      </c>
      <c r="G133" s="98">
        <v>2000</v>
      </c>
      <c r="H133" s="199">
        <v>53314.77</v>
      </c>
      <c r="I133" s="98">
        <v>2021</v>
      </c>
      <c r="J133" s="199">
        <v>0</v>
      </c>
      <c r="K133" s="200"/>
    </row>
    <row r="134" spans="2:11">
      <c r="B134" s="98" t="s">
        <v>581</v>
      </c>
      <c r="C134" s="98"/>
      <c r="D134" s="98"/>
      <c r="E134" s="98"/>
      <c r="F134" s="98" t="s">
        <v>286</v>
      </c>
      <c r="G134" s="98">
        <v>2000</v>
      </c>
      <c r="H134" s="199">
        <v>36334.86</v>
      </c>
      <c r="I134" s="98">
        <v>2021</v>
      </c>
      <c r="J134" s="199">
        <v>0</v>
      </c>
      <c r="K134" s="200"/>
    </row>
    <row r="135" spans="2:11">
      <c r="B135" s="98" t="s">
        <v>582</v>
      </c>
      <c r="C135" s="98"/>
      <c r="D135" s="98"/>
      <c r="E135" s="98"/>
      <c r="F135" s="98" t="s">
        <v>269</v>
      </c>
      <c r="G135" s="98">
        <v>2000</v>
      </c>
      <c r="H135" s="199">
        <v>61022.52</v>
      </c>
      <c r="I135" s="98">
        <v>2021</v>
      </c>
      <c r="J135" s="199">
        <v>25541.383007029126</v>
      </c>
      <c r="K135" s="200"/>
    </row>
    <row r="136" spans="2:11">
      <c r="B136" s="98" t="s">
        <v>583</v>
      </c>
      <c r="C136" s="98"/>
      <c r="D136" s="98"/>
      <c r="E136" s="98"/>
      <c r="F136" s="98" t="s">
        <v>279</v>
      </c>
      <c r="G136" s="98">
        <v>2001</v>
      </c>
      <c r="H136" s="199">
        <v>11928.48</v>
      </c>
      <c r="I136" s="98">
        <v>2021</v>
      </c>
      <c r="J136" s="199">
        <v>0</v>
      </c>
      <c r="K136" s="200"/>
    </row>
    <row r="137" spans="2:11">
      <c r="B137" s="98" t="s">
        <v>584</v>
      </c>
      <c r="C137" s="98"/>
      <c r="D137" s="98"/>
      <c r="E137" s="98"/>
      <c r="F137" s="98" t="s">
        <v>286</v>
      </c>
      <c r="G137" s="98">
        <v>2001</v>
      </c>
      <c r="H137" s="199">
        <v>70639.289999999994</v>
      </c>
      <c r="I137" s="98">
        <v>2021</v>
      </c>
      <c r="J137" s="199">
        <v>0</v>
      </c>
      <c r="K137" s="200"/>
    </row>
    <row r="138" spans="2:11">
      <c r="B138" s="98" t="s">
        <v>585</v>
      </c>
      <c r="C138" s="98"/>
      <c r="D138" s="98"/>
      <c r="E138" s="98"/>
      <c r="F138" s="98" t="s">
        <v>274</v>
      </c>
      <c r="G138" s="98">
        <v>2001</v>
      </c>
      <c r="H138" s="199">
        <v>55051.729999999996</v>
      </c>
      <c r="I138" s="98">
        <v>2021</v>
      </c>
      <c r="J138" s="199">
        <v>0</v>
      </c>
      <c r="K138" s="200"/>
    </row>
    <row r="139" spans="2:11">
      <c r="B139" s="98" t="s">
        <v>586</v>
      </c>
      <c r="C139" s="98"/>
      <c r="D139" s="98"/>
      <c r="E139" s="98"/>
      <c r="F139" s="98" t="s">
        <v>275</v>
      </c>
      <c r="G139" s="98">
        <v>2002</v>
      </c>
      <c r="H139" s="199">
        <v>26546</v>
      </c>
      <c r="I139" s="98">
        <v>2021</v>
      </c>
      <c r="J139" s="199">
        <v>0</v>
      </c>
      <c r="K139" s="200"/>
    </row>
    <row r="140" spans="2:11">
      <c r="B140" s="98" t="s">
        <v>587</v>
      </c>
      <c r="C140" s="98"/>
      <c r="D140" s="98"/>
      <c r="E140" s="98"/>
      <c r="F140" s="98" t="s">
        <v>264</v>
      </c>
      <c r="G140" s="98">
        <v>2001</v>
      </c>
      <c r="H140" s="199">
        <v>16968.61</v>
      </c>
      <c r="I140" s="98">
        <v>2021</v>
      </c>
      <c r="J140" s="199">
        <v>0</v>
      </c>
      <c r="K140" s="200"/>
    </row>
    <row r="141" spans="2:11">
      <c r="B141" s="98" t="s">
        <v>588</v>
      </c>
      <c r="C141" s="98"/>
      <c r="D141" s="98"/>
      <c r="E141" s="98"/>
      <c r="F141" s="98" t="s">
        <v>273</v>
      </c>
      <c r="G141" s="98">
        <v>2001</v>
      </c>
      <c r="H141" s="199">
        <v>7752.83</v>
      </c>
      <c r="I141" s="98">
        <v>2021</v>
      </c>
      <c r="J141" s="199">
        <v>0</v>
      </c>
      <c r="K141" s="200"/>
    </row>
    <row r="142" spans="2:11">
      <c r="B142" s="98" t="s">
        <v>589</v>
      </c>
      <c r="C142" s="98"/>
      <c r="D142" s="98"/>
      <c r="E142" s="98"/>
      <c r="F142" s="98" t="s">
        <v>315</v>
      </c>
      <c r="G142" s="98">
        <v>2001</v>
      </c>
      <c r="H142" s="199">
        <v>757040.92</v>
      </c>
      <c r="I142" s="98">
        <v>2021</v>
      </c>
      <c r="J142" s="199">
        <v>0</v>
      </c>
      <c r="K142" s="200"/>
    </row>
    <row r="143" spans="2:11">
      <c r="B143" s="98" t="s">
        <v>590</v>
      </c>
      <c r="C143" s="98"/>
      <c r="D143" s="98"/>
      <c r="E143" s="98"/>
      <c r="F143" s="98" t="s">
        <v>284</v>
      </c>
      <c r="G143" s="98">
        <v>2001</v>
      </c>
      <c r="H143" s="199">
        <v>2746.92</v>
      </c>
      <c r="I143" s="98">
        <v>2021</v>
      </c>
      <c r="J143" s="199">
        <v>0</v>
      </c>
      <c r="K143" s="200"/>
    </row>
    <row r="144" spans="2:11">
      <c r="B144" s="98" t="s">
        <v>591</v>
      </c>
      <c r="C144" s="98"/>
      <c r="D144" s="98"/>
      <c r="E144" s="98"/>
      <c r="F144" s="98" t="s">
        <v>279</v>
      </c>
      <c r="G144" s="98">
        <v>2002</v>
      </c>
      <c r="H144" s="199">
        <v>108571.05</v>
      </c>
      <c r="I144" s="98">
        <v>2021</v>
      </c>
      <c r="J144" s="199">
        <v>0</v>
      </c>
      <c r="K144" s="200"/>
    </row>
    <row r="145" spans="2:11">
      <c r="B145" s="98" t="s">
        <v>592</v>
      </c>
      <c r="C145" s="98"/>
      <c r="D145" s="98"/>
      <c r="E145" s="98"/>
      <c r="F145" s="98" t="s">
        <v>315</v>
      </c>
      <c r="G145" s="98">
        <v>2002</v>
      </c>
      <c r="H145" s="199">
        <v>27589.78</v>
      </c>
      <c r="I145" s="98">
        <v>2021</v>
      </c>
      <c r="J145" s="199">
        <v>0</v>
      </c>
      <c r="K145" s="200"/>
    </row>
    <row r="146" spans="2:11">
      <c r="B146" s="98" t="s">
        <v>593</v>
      </c>
      <c r="C146" s="98"/>
      <c r="D146" s="98"/>
      <c r="E146" s="98"/>
      <c r="F146" s="98" t="s">
        <v>286</v>
      </c>
      <c r="G146" s="98">
        <v>2002</v>
      </c>
      <c r="H146" s="199">
        <v>7905</v>
      </c>
      <c r="I146" s="98">
        <v>2021</v>
      </c>
      <c r="J146" s="199">
        <v>0</v>
      </c>
      <c r="K146" s="200"/>
    </row>
    <row r="147" spans="2:11">
      <c r="B147" s="98" t="s">
        <v>594</v>
      </c>
      <c r="C147" s="98"/>
      <c r="D147" s="98"/>
      <c r="E147" s="98"/>
      <c r="F147" s="98" t="s">
        <v>284</v>
      </c>
      <c r="G147" s="98">
        <v>2002</v>
      </c>
      <c r="H147" s="199">
        <v>1243</v>
      </c>
      <c r="I147" s="98">
        <v>2021</v>
      </c>
      <c r="J147" s="199">
        <v>0</v>
      </c>
      <c r="K147" s="200"/>
    </row>
    <row r="148" spans="2:11">
      <c r="B148" s="98" t="s">
        <v>595</v>
      </c>
      <c r="C148" s="98"/>
      <c r="D148" s="98"/>
      <c r="E148" s="98"/>
      <c r="F148" s="98" t="s">
        <v>269</v>
      </c>
      <c r="G148" s="98">
        <v>2002</v>
      </c>
      <c r="H148" s="199">
        <v>68637.27</v>
      </c>
      <c r="I148" s="98">
        <v>2021</v>
      </c>
      <c r="J148" s="199">
        <v>33068.469795601901</v>
      </c>
      <c r="K148" s="200"/>
    </row>
    <row r="149" spans="2:11">
      <c r="B149" s="98" t="s">
        <v>596</v>
      </c>
      <c r="C149" s="98"/>
      <c r="D149" s="98"/>
      <c r="E149" s="98"/>
      <c r="F149" s="98" t="s">
        <v>274</v>
      </c>
      <c r="G149" s="98">
        <v>2003</v>
      </c>
      <c r="H149" s="199">
        <v>108222.26</v>
      </c>
      <c r="I149" s="98">
        <v>2021</v>
      </c>
      <c r="J149" s="199">
        <v>0</v>
      </c>
      <c r="K149" s="200"/>
    </row>
    <row r="150" spans="2:11">
      <c r="B150" s="98" t="s">
        <v>597</v>
      </c>
      <c r="C150" s="98"/>
      <c r="D150" s="98"/>
      <c r="E150" s="98"/>
      <c r="F150" s="98" t="s">
        <v>279</v>
      </c>
      <c r="G150" s="98">
        <v>2003</v>
      </c>
      <c r="H150" s="199">
        <v>135681.9</v>
      </c>
      <c r="I150" s="98">
        <v>2021</v>
      </c>
      <c r="J150" s="199">
        <v>0</v>
      </c>
      <c r="K150" s="200"/>
    </row>
    <row r="151" spans="2:11">
      <c r="B151" s="98" t="s">
        <v>598</v>
      </c>
      <c r="C151" s="98"/>
      <c r="D151" s="98"/>
      <c r="E151" s="98"/>
      <c r="F151" s="98" t="s">
        <v>313</v>
      </c>
      <c r="G151" s="98">
        <v>2003</v>
      </c>
      <c r="H151" s="199">
        <v>869353.66999999993</v>
      </c>
      <c r="I151" s="98">
        <v>2021</v>
      </c>
      <c r="J151" s="199">
        <v>0</v>
      </c>
      <c r="K151" s="200"/>
    </row>
    <row r="152" spans="2:11">
      <c r="B152" s="98" t="s">
        <v>599</v>
      </c>
      <c r="C152" s="98"/>
      <c r="D152" s="98"/>
      <c r="E152" s="98"/>
      <c r="F152" s="98" t="s">
        <v>315</v>
      </c>
      <c r="G152" s="98">
        <v>2003</v>
      </c>
      <c r="H152" s="199">
        <v>1210667.97</v>
      </c>
      <c r="I152" s="98">
        <v>2021</v>
      </c>
      <c r="J152" s="199">
        <v>0</v>
      </c>
      <c r="K152" s="200"/>
    </row>
    <row r="153" spans="2:11">
      <c r="B153" s="98" t="s">
        <v>600</v>
      </c>
      <c r="C153" s="98"/>
      <c r="D153" s="98"/>
      <c r="E153" s="98"/>
      <c r="F153" s="98" t="s">
        <v>275</v>
      </c>
      <c r="G153" s="98">
        <v>2003</v>
      </c>
      <c r="H153" s="199">
        <v>62325</v>
      </c>
      <c r="I153" s="98">
        <v>2021</v>
      </c>
      <c r="J153" s="199">
        <v>0</v>
      </c>
      <c r="K153" s="200"/>
    </row>
    <row r="154" spans="2:11">
      <c r="B154" s="98" t="s">
        <v>601</v>
      </c>
      <c r="C154" s="98"/>
      <c r="D154" s="98"/>
      <c r="E154" s="98"/>
      <c r="F154" s="98" t="s">
        <v>269</v>
      </c>
      <c r="G154" s="98">
        <v>2003</v>
      </c>
      <c r="H154" s="199">
        <v>206366.74</v>
      </c>
      <c r="I154" s="98">
        <v>2021</v>
      </c>
      <c r="J154" s="199">
        <v>105414.90479883776</v>
      </c>
      <c r="K154" s="200"/>
    </row>
    <row r="155" spans="2:11">
      <c r="B155" s="98" t="s">
        <v>602</v>
      </c>
      <c r="C155" s="98"/>
      <c r="D155" s="98"/>
      <c r="E155" s="98"/>
      <c r="F155" s="98" t="s">
        <v>284</v>
      </c>
      <c r="G155" s="98">
        <v>2003</v>
      </c>
      <c r="H155" s="199">
        <v>1830.54</v>
      </c>
      <c r="I155" s="98">
        <v>2021</v>
      </c>
      <c r="J155" s="199">
        <v>0</v>
      </c>
      <c r="K155" s="200"/>
    </row>
    <row r="156" spans="2:11">
      <c r="B156" s="98" t="s">
        <v>603</v>
      </c>
      <c r="C156" s="98"/>
      <c r="D156" s="98"/>
      <c r="E156" s="98"/>
      <c r="F156" s="98" t="s">
        <v>313</v>
      </c>
      <c r="G156" s="98">
        <v>2004</v>
      </c>
      <c r="H156" s="199">
        <v>2583848.4300000002</v>
      </c>
      <c r="I156" s="98">
        <v>2021</v>
      </c>
      <c r="J156" s="199">
        <v>0</v>
      </c>
      <c r="K156" s="200"/>
    </row>
    <row r="157" spans="2:11">
      <c r="B157" s="98" t="s">
        <v>604</v>
      </c>
      <c r="C157" s="98"/>
      <c r="D157" s="98"/>
      <c r="E157" s="98"/>
      <c r="F157" s="98" t="s">
        <v>315</v>
      </c>
      <c r="G157" s="98">
        <v>2004</v>
      </c>
      <c r="H157" s="199">
        <v>263122.5</v>
      </c>
      <c r="I157" s="98">
        <v>2021</v>
      </c>
      <c r="J157" s="199">
        <v>0</v>
      </c>
      <c r="K157" s="200"/>
    </row>
    <row r="158" spans="2:11">
      <c r="B158" s="98" t="s">
        <v>605</v>
      </c>
      <c r="C158" s="98"/>
      <c r="D158" s="98"/>
      <c r="E158" s="98"/>
      <c r="F158" s="98" t="s">
        <v>274</v>
      </c>
      <c r="G158" s="98">
        <v>2004</v>
      </c>
      <c r="H158" s="199">
        <v>142655</v>
      </c>
      <c r="I158" s="98">
        <v>2021</v>
      </c>
      <c r="J158" s="199">
        <v>0</v>
      </c>
      <c r="K158" s="200"/>
    </row>
    <row r="159" spans="2:11">
      <c r="B159" s="98" t="s">
        <v>606</v>
      </c>
      <c r="C159" s="98"/>
      <c r="D159" s="98"/>
      <c r="E159" s="98"/>
      <c r="F159" s="98" t="s">
        <v>279</v>
      </c>
      <c r="G159" s="98">
        <v>2004</v>
      </c>
      <c r="H159" s="199">
        <v>77020.09</v>
      </c>
      <c r="I159" s="98">
        <v>2021</v>
      </c>
      <c r="J159" s="199">
        <v>0</v>
      </c>
      <c r="K159" s="200"/>
    </row>
    <row r="160" spans="2:11">
      <c r="B160" s="98" t="s">
        <v>607</v>
      </c>
      <c r="C160" s="98"/>
      <c r="D160" s="98"/>
      <c r="E160" s="98"/>
      <c r="F160" s="98" t="s">
        <v>286</v>
      </c>
      <c r="G160" s="98">
        <v>2004</v>
      </c>
      <c r="H160" s="199">
        <v>195332.07</v>
      </c>
      <c r="I160" s="98">
        <v>2021</v>
      </c>
      <c r="J160" s="199">
        <v>0</v>
      </c>
      <c r="K160" s="200"/>
    </row>
    <row r="161" spans="2:11">
      <c r="B161" s="98" t="s">
        <v>608</v>
      </c>
      <c r="C161" s="98"/>
      <c r="D161" s="98"/>
      <c r="E161" s="98"/>
      <c r="F161" s="98" t="s">
        <v>284</v>
      </c>
      <c r="G161" s="98">
        <v>2004</v>
      </c>
      <c r="H161" s="199">
        <v>1265</v>
      </c>
      <c r="I161" s="98">
        <v>2021</v>
      </c>
      <c r="J161" s="199">
        <v>0</v>
      </c>
      <c r="K161" s="200"/>
    </row>
    <row r="162" spans="2:11">
      <c r="B162" s="98" t="s">
        <v>609</v>
      </c>
      <c r="C162" s="98"/>
      <c r="D162" s="98"/>
      <c r="E162" s="98"/>
      <c r="F162" s="98" t="s">
        <v>273</v>
      </c>
      <c r="G162" s="98">
        <v>2004</v>
      </c>
      <c r="H162" s="199">
        <v>62865.23</v>
      </c>
      <c r="I162" s="98">
        <v>2021</v>
      </c>
      <c r="J162" s="199">
        <v>0</v>
      </c>
      <c r="K162" s="200"/>
    </row>
    <row r="163" spans="2:11">
      <c r="B163" s="98" t="s">
        <v>610</v>
      </c>
      <c r="C163" s="98"/>
      <c r="D163" s="98"/>
      <c r="E163" s="98"/>
      <c r="F163" s="98" t="s">
        <v>283</v>
      </c>
      <c r="G163" s="98">
        <v>2004</v>
      </c>
      <c r="H163" s="199">
        <v>47369.03</v>
      </c>
      <c r="I163" s="98">
        <v>2021</v>
      </c>
      <c r="J163" s="199">
        <v>0</v>
      </c>
      <c r="K163" s="200"/>
    </row>
    <row r="164" spans="2:11">
      <c r="B164" s="98" t="s">
        <v>611</v>
      </c>
      <c r="C164" s="98"/>
      <c r="D164" s="98"/>
      <c r="E164" s="98"/>
      <c r="F164" s="98" t="s">
        <v>269</v>
      </c>
      <c r="G164" s="98">
        <v>2005</v>
      </c>
      <c r="H164" s="199">
        <v>13716.41</v>
      </c>
      <c r="I164" s="98">
        <v>2021</v>
      </c>
      <c r="J164" s="199">
        <v>7968.2289834864932</v>
      </c>
      <c r="K164" s="200"/>
    </row>
    <row r="165" spans="2:11">
      <c r="B165" s="98" t="s">
        <v>612</v>
      </c>
      <c r="C165" s="98"/>
      <c r="D165" s="98"/>
      <c r="E165" s="98"/>
      <c r="F165" s="98" t="s">
        <v>284</v>
      </c>
      <c r="G165" s="98">
        <v>2005</v>
      </c>
      <c r="H165" s="199">
        <v>5690.5</v>
      </c>
      <c r="I165" s="98">
        <v>2021</v>
      </c>
      <c r="J165" s="199">
        <v>0</v>
      </c>
      <c r="K165" s="200"/>
    </row>
    <row r="166" spans="2:11">
      <c r="B166" s="98" t="s">
        <v>613</v>
      </c>
      <c r="C166" s="98"/>
      <c r="D166" s="98"/>
      <c r="E166" s="98"/>
      <c r="F166" s="98" t="s">
        <v>273</v>
      </c>
      <c r="G166" s="98">
        <v>2005</v>
      </c>
      <c r="H166" s="199">
        <v>149702.98000000001</v>
      </c>
      <c r="I166" s="98">
        <v>2021</v>
      </c>
      <c r="J166" s="199">
        <v>0</v>
      </c>
      <c r="K166" s="200"/>
    </row>
    <row r="167" spans="2:11">
      <c r="B167" s="98" t="s">
        <v>614</v>
      </c>
      <c r="C167" s="98"/>
      <c r="D167" s="98"/>
      <c r="E167" s="98"/>
      <c r="F167" s="98" t="s">
        <v>283</v>
      </c>
      <c r="G167" s="98">
        <v>2005</v>
      </c>
      <c r="H167" s="199">
        <v>144500</v>
      </c>
      <c r="I167" s="98">
        <v>2021</v>
      </c>
      <c r="J167" s="199">
        <v>0</v>
      </c>
      <c r="K167" s="200"/>
    </row>
    <row r="168" spans="2:11">
      <c r="B168" s="98" t="s">
        <v>615</v>
      </c>
      <c r="C168" s="98"/>
      <c r="D168" s="98"/>
      <c r="E168" s="98"/>
      <c r="F168" s="98" t="s">
        <v>274</v>
      </c>
      <c r="G168" s="98">
        <v>2005</v>
      </c>
      <c r="H168" s="199">
        <v>22500</v>
      </c>
      <c r="I168" s="98">
        <v>2021</v>
      </c>
      <c r="J168" s="199">
        <v>0</v>
      </c>
      <c r="K168" s="200"/>
    </row>
    <row r="169" spans="2:11">
      <c r="B169" s="98" t="s">
        <v>616</v>
      </c>
      <c r="C169" s="98"/>
      <c r="D169" s="98"/>
      <c r="E169" s="98"/>
      <c r="F169" s="98" t="s">
        <v>286</v>
      </c>
      <c r="G169" s="98">
        <v>2006</v>
      </c>
      <c r="H169" s="199">
        <v>23374</v>
      </c>
      <c r="I169" s="98">
        <v>2021</v>
      </c>
      <c r="J169" s="199">
        <v>0</v>
      </c>
      <c r="K169" s="200"/>
    </row>
    <row r="170" spans="2:11">
      <c r="B170" s="98" t="s">
        <v>617</v>
      </c>
      <c r="C170" s="98"/>
      <c r="D170" s="98"/>
      <c r="E170" s="98"/>
      <c r="F170" s="98" t="s">
        <v>269</v>
      </c>
      <c r="G170" s="98">
        <v>2006</v>
      </c>
      <c r="H170" s="199">
        <v>216791.4</v>
      </c>
      <c r="I170" s="98">
        <v>2021</v>
      </c>
      <c r="J170" s="199">
        <v>132877.0119526372</v>
      </c>
      <c r="K170" s="200"/>
    </row>
    <row r="171" spans="2:11">
      <c r="B171" s="98" t="s">
        <v>618</v>
      </c>
      <c r="C171" s="98"/>
      <c r="D171" s="98"/>
      <c r="E171" s="98"/>
      <c r="F171" s="98" t="s">
        <v>279</v>
      </c>
      <c r="G171" s="98">
        <v>2006</v>
      </c>
      <c r="H171" s="199">
        <v>39984.959999999999</v>
      </c>
      <c r="I171" s="98">
        <v>2021</v>
      </c>
      <c r="J171" s="199">
        <v>0</v>
      </c>
      <c r="K171" s="200"/>
    </row>
    <row r="172" spans="2:11">
      <c r="B172" s="98" t="s">
        <v>619</v>
      </c>
      <c r="C172" s="98"/>
      <c r="D172" s="98"/>
      <c r="E172" s="98"/>
      <c r="F172" s="98" t="s">
        <v>269</v>
      </c>
      <c r="G172" s="98">
        <v>2007</v>
      </c>
      <c r="H172" s="199">
        <v>25858.771191949236</v>
      </c>
      <c r="I172" s="98">
        <v>2021</v>
      </c>
      <c r="J172" s="199">
        <v>16708.652536273155</v>
      </c>
      <c r="K172" s="200"/>
    </row>
    <row r="173" spans="2:11">
      <c r="B173" s="98" t="s">
        <v>620</v>
      </c>
      <c r="C173" s="98"/>
      <c r="D173" s="98"/>
      <c r="E173" s="98"/>
      <c r="F173" s="98" t="s">
        <v>279</v>
      </c>
      <c r="G173" s="98">
        <v>2007</v>
      </c>
      <c r="H173" s="199">
        <v>1088351.8199999998</v>
      </c>
      <c r="I173" s="98">
        <v>2021</v>
      </c>
      <c r="J173" s="199">
        <v>0</v>
      </c>
      <c r="K173" s="200"/>
    </row>
    <row r="174" spans="2:11">
      <c r="B174" s="98" t="s">
        <v>621</v>
      </c>
      <c r="C174" s="98"/>
      <c r="D174" s="98"/>
      <c r="E174" s="98"/>
      <c r="F174" s="98" t="s">
        <v>286</v>
      </c>
      <c r="G174" s="98">
        <v>2007</v>
      </c>
      <c r="H174" s="199">
        <v>661943.85</v>
      </c>
      <c r="I174" s="98">
        <v>2021</v>
      </c>
      <c r="J174" s="199">
        <v>0</v>
      </c>
      <c r="K174" s="200"/>
    </row>
    <row r="175" spans="2:11">
      <c r="B175" s="98" t="s">
        <v>622</v>
      </c>
      <c r="C175" s="98"/>
      <c r="D175" s="98"/>
      <c r="E175" s="98"/>
      <c r="F175" s="98" t="s">
        <v>283</v>
      </c>
      <c r="G175" s="98">
        <v>2007</v>
      </c>
      <c r="H175" s="199">
        <v>154091.65000000002</v>
      </c>
      <c r="I175" s="98">
        <v>2021</v>
      </c>
      <c r="J175" s="199">
        <v>0</v>
      </c>
      <c r="K175" s="200"/>
    </row>
    <row r="176" spans="2:11">
      <c r="B176" s="98" t="s">
        <v>623</v>
      </c>
      <c r="C176" s="98"/>
      <c r="D176" s="98"/>
      <c r="E176" s="98"/>
      <c r="F176" s="98" t="s">
        <v>267</v>
      </c>
      <c r="G176" s="98">
        <v>2007</v>
      </c>
      <c r="H176" s="199">
        <v>79744.08</v>
      </c>
      <c r="I176" s="98">
        <v>2021</v>
      </c>
      <c r="J176" s="199">
        <v>0</v>
      </c>
      <c r="K176" s="200"/>
    </row>
    <row r="177" spans="2:11">
      <c r="B177" s="98" t="s">
        <v>624</v>
      </c>
      <c r="C177" s="98"/>
      <c r="D177" s="98"/>
      <c r="E177" s="98"/>
      <c r="F177" s="98" t="s">
        <v>296</v>
      </c>
      <c r="G177" s="98">
        <v>2008</v>
      </c>
      <c r="H177" s="199">
        <v>4978200.5000000009</v>
      </c>
      <c r="I177" s="98">
        <v>2021</v>
      </c>
      <c r="J177" s="199">
        <v>3386936.2239016104</v>
      </c>
      <c r="K177" s="200"/>
    </row>
    <row r="178" spans="2:11">
      <c r="B178" s="98" t="s">
        <v>625</v>
      </c>
      <c r="C178" s="98"/>
      <c r="D178" s="98"/>
      <c r="E178" s="98"/>
      <c r="F178" s="98" t="s">
        <v>269</v>
      </c>
      <c r="G178" s="98">
        <v>2008</v>
      </c>
      <c r="H178" s="199">
        <v>233293.04544821067</v>
      </c>
      <c r="I178" s="98">
        <v>2021</v>
      </c>
      <c r="J178" s="199">
        <v>158721.74421517763</v>
      </c>
      <c r="K178" s="200"/>
    </row>
    <row r="179" spans="2:11">
      <c r="B179" s="98" t="s">
        <v>626</v>
      </c>
      <c r="C179" s="98"/>
      <c r="D179" s="98"/>
      <c r="E179" s="98"/>
      <c r="F179" s="98" t="s">
        <v>275</v>
      </c>
      <c r="G179" s="98">
        <v>2008</v>
      </c>
      <c r="H179" s="199">
        <v>178157.88</v>
      </c>
      <c r="I179" s="98">
        <v>2021</v>
      </c>
      <c r="J179" s="199">
        <v>0</v>
      </c>
      <c r="K179" s="200"/>
    </row>
    <row r="180" spans="2:11">
      <c r="B180" s="98" t="s">
        <v>627</v>
      </c>
      <c r="C180" s="98"/>
      <c r="D180" s="98"/>
      <c r="E180" s="98"/>
      <c r="F180" s="98" t="s">
        <v>286</v>
      </c>
      <c r="G180" s="98">
        <v>2008</v>
      </c>
      <c r="H180" s="199">
        <v>1299449.8500000001</v>
      </c>
      <c r="I180" s="98">
        <v>2021</v>
      </c>
      <c r="J180" s="199">
        <v>0</v>
      </c>
      <c r="K180" s="200"/>
    </row>
    <row r="181" spans="2:11">
      <c r="B181" s="98" t="s">
        <v>628</v>
      </c>
      <c r="C181" s="98"/>
      <c r="D181" s="98"/>
      <c r="E181" s="98"/>
      <c r="F181" s="98" t="s">
        <v>315</v>
      </c>
      <c r="G181" s="98">
        <v>2008</v>
      </c>
      <c r="H181" s="199">
        <v>8310.1200000000008</v>
      </c>
      <c r="I181" s="98">
        <v>2021</v>
      </c>
      <c r="J181" s="199">
        <v>0</v>
      </c>
      <c r="K181" s="200"/>
    </row>
    <row r="182" spans="2:11">
      <c r="B182" s="98" t="s">
        <v>629</v>
      </c>
      <c r="C182" s="98"/>
      <c r="D182" s="98"/>
      <c r="E182" s="98"/>
      <c r="F182" s="98" t="s">
        <v>279</v>
      </c>
      <c r="G182" s="98">
        <v>2008</v>
      </c>
      <c r="H182" s="199">
        <v>427546.18</v>
      </c>
      <c r="I182" s="98">
        <v>2021</v>
      </c>
      <c r="J182" s="199">
        <v>0</v>
      </c>
      <c r="K182" s="200"/>
    </row>
    <row r="183" spans="2:11">
      <c r="B183" s="98" t="s">
        <v>630</v>
      </c>
      <c r="C183" s="98"/>
      <c r="D183" s="98"/>
      <c r="E183" s="98"/>
      <c r="F183" s="98" t="s">
        <v>273</v>
      </c>
      <c r="G183" s="98">
        <v>2008</v>
      </c>
      <c r="H183" s="199">
        <v>1194171.3899999999</v>
      </c>
      <c r="I183" s="98">
        <v>2021</v>
      </c>
      <c r="J183" s="199">
        <v>0</v>
      </c>
      <c r="K183" s="200"/>
    </row>
    <row r="184" spans="2:11">
      <c r="B184" s="98" t="s">
        <v>631</v>
      </c>
      <c r="C184" s="98"/>
      <c r="D184" s="98"/>
      <c r="E184" s="98"/>
      <c r="F184" s="98" t="s">
        <v>273</v>
      </c>
      <c r="G184" s="98">
        <v>2009</v>
      </c>
      <c r="H184" s="199">
        <v>124506.82</v>
      </c>
      <c r="I184" s="98">
        <v>2021</v>
      </c>
      <c r="J184" s="199">
        <v>0</v>
      </c>
      <c r="K184" s="200"/>
    </row>
    <row r="185" spans="2:11">
      <c r="B185" s="98" t="s">
        <v>632</v>
      </c>
      <c r="C185" s="98"/>
      <c r="D185" s="98"/>
      <c r="E185" s="98"/>
      <c r="F185" s="98" t="s">
        <v>286</v>
      </c>
      <c r="G185" s="98">
        <v>2009</v>
      </c>
      <c r="H185" s="199">
        <v>285378.59999999998</v>
      </c>
      <c r="I185" s="98">
        <v>2021</v>
      </c>
      <c r="J185" s="199">
        <v>0</v>
      </c>
      <c r="K185" s="200"/>
    </row>
    <row r="186" spans="2:11">
      <c r="B186" s="98" t="s">
        <v>633</v>
      </c>
      <c r="C186" s="98"/>
      <c r="D186" s="98"/>
      <c r="E186" s="98"/>
      <c r="F186" s="98" t="s">
        <v>269</v>
      </c>
      <c r="G186" s="98">
        <v>2009</v>
      </c>
      <c r="H186" s="199">
        <v>35389.120000000003</v>
      </c>
      <c r="I186" s="98">
        <v>2021</v>
      </c>
      <c r="J186" s="199">
        <v>24744.506996892218</v>
      </c>
      <c r="K186" s="200"/>
    </row>
    <row r="187" spans="2:11">
      <c r="B187" s="98" t="s">
        <v>634</v>
      </c>
      <c r="C187" s="98"/>
      <c r="D187" s="98"/>
      <c r="E187" s="98"/>
      <c r="F187" s="98" t="s">
        <v>274</v>
      </c>
      <c r="G187" s="98">
        <v>2009</v>
      </c>
      <c r="H187" s="199">
        <v>537011.27</v>
      </c>
      <c r="I187" s="98">
        <v>2021</v>
      </c>
      <c r="J187" s="199">
        <v>0</v>
      </c>
      <c r="K187" s="200"/>
    </row>
    <row r="188" spans="2:11">
      <c r="B188" s="98" t="s">
        <v>635</v>
      </c>
      <c r="C188" s="98"/>
      <c r="D188" s="98"/>
      <c r="E188" s="98"/>
      <c r="F188" s="98" t="s">
        <v>296</v>
      </c>
      <c r="G188" s="98">
        <v>2009</v>
      </c>
      <c r="H188" s="199">
        <v>2416053.9300000006</v>
      </c>
      <c r="I188" s="98">
        <v>2021</v>
      </c>
      <c r="J188" s="199">
        <v>1689334.5575067692</v>
      </c>
      <c r="K188" s="200"/>
    </row>
    <row r="189" spans="2:11">
      <c r="B189" s="98" t="s">
        <v>636</v>
      </c>
      <c r="C189" s="98"/>
      <c r="D189" s="98"/>
      <c r="E189" s="98"/>
      <c r="F189" s="98" t="s">
        <v>267</v>
      </c>
      <c r="G189" s="98">
        <v>2009</v>
      </c>
      <c r="H189" s="199">
        <v>97690.9</v>
      </c>
      <c r="I189" s="98">
        <v>2021</v>
      </c>
      <c r="J189" s="199">
        <v>0</v>
      </c>
      <c r="K189" s="200"/>
    </row>
    <row r="190" spans="2:11">
      <c r="B190" s="98" t="s">
        <v>637</v>
      </c>
      <c r="C190" s="98"/>
      <c r="D190" s="98"/>
      <c r="E190" s="98"/>
      <c r="F190" s="98" t="s">
        <v>284</v>
      </c>
      <c r="G190" s="98">
        <v>2009</v>
      </c>
      <c r="H190" s="199">
        <v>655669.05999999994</v>
      </c>
      <c r="I190" s="98">
        <v>2021</v>
      </c>
      <c r="J190" s="199">
        <v>0</v>
      </c>
      <c r="K190" s="200"/>
    </row>
    <row r="191" spans="2:11">
      <c r="B191" s="98" t="s">
        <v>638</v>
      </c>
      <c r="C191" s="98"/>
      <c r="D191" s="98"/>
      <c r="E191" s="98"/>
      <c r="F191" s="98" t="s">
        <v>279</v>
      </c>
      <c r="G191" s="98">
        <v>2010</v>
      </c>
      <c r="H191" s="199">
        <v>453194.78213502961</v>
      </c>
      <c r="I191" s="98">
        <v>2021</v>
      </c>
      <c r="J191" s="199">
        <v>0</v>
      </c>
      <c r="K191" s="200"/>
    </row>
    <row r="192" spans="2:11">
      <c r="B192" s="98" t="s">
        <v>639</v>
      </c>
      <c r="C192" s="98"/>
      <c r="D192" s="98"/>
      <c r="E192" s="98"/>
      <c r="F192" s="98" t="s">
        <v>286</v>
      </c>
      <c r="G192" s="98">
        <v>2010</v>
      </c>
      <c r="H192" s="199">
        <v>179634.02000000002</v>
      </c>
      <c r="I192" s="98">
        <v>2021</v>
      </c>
      <c r="J192" s="199">
        <v>0</v>
      </c>
      <c r="K192" s="200"/>
    </row>
    <row r="193" spans="2:11">
      <c r="B193" s="98" t="s">
        <v>640</v>
      </c>
      <c r="C193" s="98"/>
      <c r="D193" s="98"/>
      <c r="E193" s="98"/>
      <c r="F193" s="98" t="s">
        <v>283</v>
      </c>
      <c r="G193" s="98">
        <v>2011</v>
      </c>
      <c r="H193" s="199">
        <v>293470.62269139342</v>
      </c>
      <c r="I193" s="98">
        <v>2021</v>
      </c>
      <c r="J193" s="199">
        <v>0</v>
      </c>
      <c r="K193" s="200"/>
    </row>
    <row r="194" spans="2:11">
      <c r="B194" s="98" t="s">
        <v>641</v>
      </c>
      <c r="C194" s="98"/>
      <c r="D194" s="98"/>
      <c r="E194" s="98"/>
      <c r="F194" s="98" t="s">
        <v>273</v>
      </c>
      <c r="G194" s="98">
        <v>2011</v>
      </c>
      <c r="H194" s="199">
        <v>309147.61872011481</v>
      </c>
      <c r="I194" s="98">
        <v>2021</v>
      </c>
      <c r="J194" s="199">
        <v>0</v>
      </c>
      <c r="K194" s="200"/>
    </row>
    <row r="195" spans="2:11">
      <c r="B195" s="98" t="s">
        <v>642</v>
      </c>
      <c r="C195" s="98"/>
      <c r="D195" s="98"/>
      <c r="E195" s="98"/>
      <c r="F195" s="98" t="s">
        <v>318</v>
      </c>
      <c r="G195" s="98">
        <v>2011</v>
      </c>
      <c r="H195" s="199">
        <v>24343500.983545668</v>
      </c>
      <c r="I195" s="98">
        <v>2021</v>
      </c>
      <c r="J195" s="199">
        <v>0</v>
      </c>
      <c r="K195" s="200"/>
    </row>
    <row r="196" spans="2:11">
      <c r="B196" s="98" t="s">
        <v>643</v>
      </c>
      <c r="C196" s="98"/>
      <c r="D196" s="98"/>
      <c r="E196" s="98"/>
      <c r="F196" s="98" t="s">
        <v>279</v>
      </c>
      <c r="G196" s="98">
        <v>2011</v>
      </c>
      <c r="H196" s="199">
        <v>345005.47060998465</v>
      </c>
      <c r="I196" s="98">
        <v>2021</v>
      </c>
      <c r="J196" s="199">
        <v>0</v>
      </c>
      <c r="K196" s="200"/>
    </row>
    <row r="197" spans="2:11">
      <c r="B197" s="98" t="s">
        <v>644</v>
      </c>
      <c r="C197" s="98"/>
      <c r="D197" s="98"/>
      <c r="E197" s="98"/>
      <c r="F197" s="98" t="s">
        <v>284</v>
      </c>
      <c r="G197" s="98">
        <v>2011</v>
      </c>
      <c r="H197" s="199">
        <v>10931.96</v>
      </c>
      <c r="I197" s="98">
        <v>2021</v>
      </c>
      <c r="J197" s="199">
        <v>0</v>
      </c>
      <c r="K197" s="200"/>
    </row>
    <row r="198" spans="2:11">
      <c r="B198" s="98" t="s">
        <v>645</v>
      </c>
      <c r="C198" s="98"/>
      <c r="D198" s="98"/>
      <c r="E198" s="98"/>
      <c r="F198" s="98" t="s">
        <v>314</v>
      </c>
      <c r="G198" s="98">
        <v>2012</v>
      </c>
      <c r="H198" s="199">
        <v>817297.73457401327</v>
      </c>
      <c r="I198" s="98">
        <v>2021</v>
      </c>
      <c r="J198" s="199">
        <v>0</v>
      </c>
      <c r="K198" s="200"/>
    </row>
    <row r="199" spans="2:11">
      <c r="B199" s="98" t="s">
        <v>646</v>
      </c>
      <c r="C199" s="98"/>
      <c r="D199" s="98"/>
      <c r="E199" s="98"/>
      <c r="F199" s="98" t="s">
        <v>279</v>
      </c>
      <c r="G199" s="98">
        <v>2012</v>
      </c>
      <c r="H199" s="199">
        <v>237528.30775638262</v>
      </c>
      <c r="I199" s="98">
        <v>2021</v>
      </c>
      <c r="J199" s="199">
        <v>13628.978016883706</v>
      </c>
      <c r="K199" s="200"/>
    </row>
    <row r="200" spans="2:11">
      <c r="B200" s="98" t="s">
        <v>647</v>
      </c>
      <c r="C200" s="98"/>
      <c r="D200" s="98"/>
      <c r="E200" s="98"/>
      <c r="F200" s="98" t="s">
        <v>284</v>
      </c>
      <c r="G200" s="98">
        <v>2012</v>
      </c>
      <c r="H200" s="199">
        <v>20000</v>
      </c>
      <c r="I200" s="98">
        <v>2021</v>
      </c>
      <c r="J200" s="199">
        <v>1147.5666328463135</v>
      </c>
      <c r="K200" s="200"/>
    </row>
    <row r="201" spans="2:11">
      <c r="B201" s="98" t="s">
        <v>648</v>
      </c>
      <c r="C201" s="98"/>
      <c r="D201" s="98"/>
      <c r="E201" s="98"/>
      <c r="F201" s="98" t="s">
        <v>296</v>
      </c>
      <c r="G201" s="98">
        <v>2012</v>
      </c>
      <c r="H201" s="199">
        <v>701380.67501665035</v>
      </c>
      <c r="I201" s="98">
        <v>2021</v>
      </c>
      <c r="J201" s="199">
        <v>550002.05737442558</v>
      </c>
      <c r="K201" s="200"/>
    </row>
    <row r="202" spans="2:11">
      <c r="B202" s="98" t="s">
        <v>649</v>
      </c>
      <c r="C202" s="98"/>
      <c r="D202" s="98"/>
      <c r="E202" s="98"/>
      <c r="F202" s="98" t="s">
        <v>275</v>
      </c>
      <c r="G202" s="98">
        <v>2012</v>
      </c>
      <c r="H202" s="199">
        <v>102288.01000000001</v>
      </c>
      <c r="I202" s="98">
        <v>2021</v>
      </c>
      <c r="J202" s="199">
        <v>5869.1153608124732</v>
      </c>
      <c r="K202" s="200"/>
    </row>
    <row r="203" spans="2:11">
      <c r="B203" s="98" t="s">
        <v>650</v>
      </c>
      <c r="C203" s="98"/>
      <c r="D203" s="98"/>
      <c r="E203" s="98"/>
      <c r="F203" s="98" t="s">
        <v>274</v>
      </c>
      <c r="G203" s="98">
        <v>2012</v>
      </c>
      <c r="H203" s="199">
        <v>321753.96830222307</v>
      </c>
      <c r="I203" s="98">
        <v>2021</v>
      </c>
      <c r="J203" s="199">
        <v>18461.705900476001</v>
      </c>
      <c r="K203" s="200"/>
    </row>
    <row r="204" spans="2:11">
      <c r="B204" s="98" t="s">
        <v>651</v>
      </c>
      <c r="C204" s="98"/>
      <c r="D204" s="98"/>
      <c r="E204" s="98"/>
      <c r="F204" s="98" t="s">
        <v>286</v>
      </c>
      <c r="G204" s="98">
        <v>2012</v>
      </c>
      <c r="H204" s="199">
        <v>341738.83030935976</v>
      </c>
      <c r="I204" s="98">
        <v>2021</v>
      </c>
      <c r="J204" s="199">
        <v>19608.403940547396</v>
      </c>
      <c r="K204" s="200"/>
    </row>
    <row r="205" spans="2:11">
      <c r="B205" s="98" t="s">
        <v>652</v>
      </c>
      <c r="C205" s="98"/>
      <c r="D205" s="98"/>
      <c r="E205" s="98"/>
      <c r="F205" s="98" t="s">
        <v>273</v>
      </c>
      <c r="G205" s="98">
        <v>2012</v>
      </c>
      <c r="H205" s="199">
        <v>737114.28212566266</v>
      </c>
      <c r="I205" s="98">
        <v>2021</v>
      </c>
      <c r="J205" s="199">
        <v>42294.387738093574</v>
      </c>
      <c r="K205" s="200"/>
    </row>
    <row r="206" spans="2:11">
      <c r="B206" s="98" t="s">
        <v>653</v>
      </c>
      <c r="C206" s="98"/>
      <c r="D206" s="98"/>
      <c r="E206" s="98"/>
      <c r="F206" s="98" t="s">
        <v>279</v>
      </c>
      <c r="G206" s="98">
        <v>2013</v>
      </c>
      <c r="H206" s="199">
        <v>5005059.40396435</v>
      </c>
      <c r="I206" s="98">
        <v>2021</v>
      </c>
      <c r="J206" s="199">
        <v>842175.83099752699</v>
      </c>
      <c r="K206" s="200"/>
    </row>
    <row r="207" spans="2:11">
      <c r="B207" s="98" t="s">
        <v>654</v>
      </c>
      <c r="C207" s="98"/>
      <c r="D207" s="98"/>
      <c r="E207" s="98"/>
      <c r="F207" s="98" t="s">
        <v>296</v>
      </c>
      <c r="G207" s="98">
        <v>2013</v>
      </c>
      <c r="H207" s="199">
        <v>1237826.9064472313</v>
      </c>
      <c r="I207" s="98">
        <v>2021</v>
      </c>
      <c r="J207" s="199">
        <v>995129.04477620148</v>
      </c>
      <c r="K207" s="200"/>
    </row>
    <row r="208" spans="2:11">
      <c r="B208" s="98" t="s">
        <v>655</v>
      </c>
      <c r="C208" s="98"/>
      <c r="D208" s="98"/>
      <c r="E208" s="98"/>
      <c r="F208" s="98" t="s">
        <v>274</v>
      </c>
      <c r="G208" s="98">
        <v>2013</v>
      </c>
      <c r="H208" s="199">
        <v>292655.61609467439</v>
      </c>
      <c r="I208" s="98">
        <v>2021</v>
      </c>
      <c r="J208" s="199">
        <v>49243.668613684422</v>
      </c>
      <c r="K208" s="200"/>
    </row>
    <row r="209" spans="2:11">
      <c r="B209" s="98" t="s">
        <v>656</v>
      </c>
      <c r="C209" s="98"/>
      <c r="D209" s="98"/>
      <c r="E209" s="98"/>
      <c r="F209" s="98" t="s">
        <v>296</v>
      </c>
      <c r="G209" s="98">
        <v>2014</v>
      </c>
      <c r="H209" s="199">
        <v>4973944.9463818558</v>
      </c>
      <c r="I209" s="98">
        <v>2021</v>
      </c>
      <c r="J209" s="199">
        <v>4070721.5945336674</v>
      </c>
      <c r="K209" s="200"/>
    </row>
    <row r="210" spans="2:11">
      <c r="B210" s="98" t="s">
        <v>657</v>
      </c>
      <c r="C210" s="98"/>
      <c r="D210" s="98"/>
      <c r="E210" s="98"/>
      <c r="F210" s="98" t="s">
        <v>274</v>
      </c>
      <c r="G210" s="98">
        <v>2014</v>
      </c>
      <c r="H210" s="199">
        <v>332895.6529706032</v>
      </c>
      <c r="I210" s="98">
        <v>2021</v>
      </c>
      <c r="J210" s="199">
        <v>90814.939173486709</v>
      </c>
      <c r="K210" s="200"/>
    </row>
    <row r="211" spans="2:11">
      <c r="B211" s="98" t="s">
        <v>658</v>
      </c>
      <c r="C211" s="98"/>
      <c r="D211" s="98"/>
      <c r="E211" s="98"/>
      <c r="F211" s="98" t="s">
        <v>275</v>
      </c>
      <c r="G211" s="98">
        <v>2014</v>
      </c>
      <c r="H211" s="199">
        <v>294123.8734031191</v>
      </c>
      <c r="I211" s="98">
        <v>2021</v>
      </c>
      <c r="J211" s="199">
        <v>80237.880651848885</v>
      </c>
      <c r="K211" s="200"/>
    </row>
    <row r="212" spans="2:11">
      <c r="B212" s="98" t="s">
        <v>659</v>
      </c>
      <c r="C212" s="98"/>
      <c r="D212" s="98"/>
      <c r="E212" s="98"/>
      <c r="F212" s="98" t="s">
        <v>284</v>
      </c>
      <c r="G212" s="98">
        <v>2014</v>
      </c>
      <c r="H212" s="199">
        <v>24919.261718386999</v>
      </c>
      <c r="I212" s="98">
        <v>2021</v>
      </c>
      <c r="J212" s="199">
        <v>6798.0498303573586</v>
      </c>
      <c r="K212" s="200"/>
    </row>
    <row r="213" spans="2:11">
      <c r="B213" s="98" t="s">
        <v>660</v>
      </c>
      <c r="C213" s="98"/>
      <c r="D213" s="98"/>
      <c r="E213" s="98"/>
      <c r="F213" s="98" t="s">
        <v>279</v>
      </c>
      <c r="G213" s="98">
        <v>2014</v>
      </c>
      <c r="H213" s="199">
        <v>264974.99557180319</v>
      </c>
      <c r="I213" s="98">
        <v>2021</v>
      </c>
      <c r="J213" s="199">
        <v>72285.978776277945</v>
      </c>
      <c r="K213" s="200"/>
    </row>
    <row r="214" spans="2:11">
      <c r="B214" s="98" t="s">
        <v>661</v>
      </c>
      <c r="C214" s="98"/>
      <c r="D214" s="98"/>
      <c r="E214" s="98"/>
      <c r="F214" s="98" t="s">
        <v>273</v>
      </c>
      <c r="G214" s="98">
        <v>2014</v>
      </c>
      <c r="H214" s="199">
        <v>724167.86511950963</v>
      </c>
      <c r="I214" s="98">
        <v>2021</v>
      </c>
      <c r="J214" s="199">
        <v>197555.1799351057</v>
      </c>
      <c r="K214" s="200"/>
    </row>
    <row r="215" spans="2:11">
      <c r="B215" s="98" t="s">
        <v>662</v>
      </c>
      <c r="C215" s="98"/>
      <c r="D215" s="98"/>
      <c r="E215" s="98"/>
      <c r="F215" s="98" t="s">
        <v>287</v>
      </c>
      <c r="G215" s="98">
        <v>2014</v>
      </c>
      <c r="H215" s="199">
        <v>1415.9999999999968</v>
      </c>
      <c r="I215" s="98">
        <v>2021</v>
      </c>
      <c r="J215" s="199">
        <v>386.28907503641284</v>
      </c>
      <c r="K215" s="200"/>
    </row>
    <row r="216" spans="2:11">
      <c r="B216" s="98" t="s">
        <v>663</v>
      </c>
      <c r="C216" s="98"/>
      <c r="D216" s="98"/>
      <c r="E216" s="98"/>
      <c r="F216" s="98" t="s">
        <v>287</v>
      </c>
      <c r="G216" s="98">
        <v>2015</v>
      </c>
      <c r="H216" s="199">
        <v>43315.304046858677</v>
      </c>
      <c r="I216" s="98">
        <v>2021</v>
      </c>
      <c r="J216" s="199">
        <v>16379.370300704035</v>
      </c>
      <c r="K216" s="200"/>
    </row>
    <row r="217" spans="2:11">
      <c r="B217" s="98" t="s">
        <v>664</v>
      </c>
      <c r="C217" s="98"/>
      <c r="D217" s="98"/>
      <c r="E217" s="98"/>
      <c r="F217" s="98" t="s">
        <v>284</v>
      </c>
      <c r="G217" s="98">
        <v>2015</v>
      </c>
      <c r="H217" s="199">
        <v>78424.550748692549</v>
      </c>
      <c r="I217" s="98">
        <v>2021</v>
      </c>
      <c r="J217" s="199">
        <v>29655.679110310892</v>
      </c>
      <c r="K217" s="200"/>
    </row>
    <row r="218" spans="2:11">
      <c r="B218" s="98" t="s">
        <v>665</v>
      </c>
      <c r="C218" s="98"/>
      <c r="D218" s="98"/>
      <c r="E218" s="98"/>
      <c r="F218" s="98" t="s">
        <v>279</v>
      </c>
      <c r="G218" s="98">
        <v>2015</v>
      </c>
      <c r="H218" s="199">
        <v>481116.61247078225</v>
      </c>
      <c r="I218" s="98">
        <v>2021</v>
      </c>
      <c r="J218" s="199">
        <v>181930.78236168518</v>
      </c>
      <c r="K218" s="200"/>
    </row>
    <row r="219" spans="2:11">
      <c r="B219" s="98" t="s">
        <v>666</v>
      </c>
      <c r="C219" s="98"/>
      <c r="D219" s="98"/>
      <c r="E219" s="98"/>
      <c r="F219" s="98" t="s">
        <v>319</v>
      </c>
      <c r="G219" s="98">
        <v>2015</v>
      </c>
      <c r="H219" s="199">
        <v>13785822.782425826</v>
      </c>
      <c r="I219" s="98">
        <v>2021</v>
      </c>
      <c r="J219" s="199">
        <v>8440110.7970265597</v>
      </c>
      <c r="K219" s="200"/>
    </row>
    <row r="220" spans="2:11">
      <c r="B220" s="98" t="s">
        <v>667</v>
      </c>
      <c r="C220" s="98"/>
      <c r="D220" s="98"/>
      <c r="E220" s="98"/>
      <c r="F220" s="98" t="s">
        <v>283</v>
      </c>
      <c r="G220" s="98">
        <v>2015</v>
      </c>
      <c r="H220" s="199">
        <v>43877.173224174046</v>
      </c>
      <c r="I220" s="98">
        <v>2021</v>
      </c>
      <c r="J220" s="199">
        <v>16591.837083941773</v>
      </c>
      <c r="K220" s="200"/>
    </row>
    <row r="221" spans="2:11">
      <c r="B221" s="98" t="s">
        <v>668</v>
      </c>
      <c r="C221" s="98"/>
      <c r="D221" s="98"/>
      <c r="E221" s="98"/>
      <c r="F221" s="98" t="s">
        <v>274</v>
      </c>
      <c r="G221" s="98">
        <v>2015</v>
      </c>
      <c r="H221" s="199">
        <v>153470.91831934603</v>
      </c>
      <c r="I221" s="98">
        <v>2021</v>
      </c>
      <c r="J221" s="199">
        <v>58033.922579009974</v>
      </c>
      <c r="K221" s="200"/>
    </row>
    <row r="222" spans="2:11">
      <c r="B222" s="98" t="s">
        <v>669</v>
      </c>
      <c r="C222" s="98"/>
      <c r="D222" s="98"/>
      <c r="E222" s="98"/>
      <c r="F222" s="98" t="s">
        <v>296</v>
      </c>
      <c r="G222" s="98">
        <v>2015</v>
      </c>
      <c r="H222" s="199">
        <v>2375369.7957282378</v>
      </c>
      <c r="I222" s="98">
        <v>2021</v>
      </c>
      <c r="J222" s="199">
        <v>2010322.0086927759</v>
      </c>
      <c r="K222" s="200"/>
    </row>
    <row r="223" spans="2:11">
      <c r="B223" s="98" t="s">
        <v>670</v>
      </c>
      <c r="C223" s="98"/>
      <c r="D223" s="98"/>
      <c r="E223" s="98"/>
      <c r="F223" s="98" t="s">
        <v>269</v>
      </c>
      <c r="G223" s="98">
        <v>2015</v>
      </c>
      <c r="H223" s="199">
        <v>516544.29057147249</v>
      </c>
      <c r="I223" s="98">
        <v>2021</v>
      </c>
      <c r="J223" s="199">
        <v>437161.55592610373</v>
      </c>
      <c r="K223" s="200"/>
    </row>
    <row r="224" spans="2:11">
      <c r="B224" s="98" t="s">
        <v>671</v>
      </c>
      <c r="C224" s="98"/>
      <c r="D224" s="98"/>
      <c r="E224" s="98"/>
      <c r="F224" s="98" t="s">
        <v>273</v>
      </c>
      <c r="G224" s="98">
        <v>2015</v>
      </c>
      <c r="H224" s="199">
        <v>406758.82739129546</v>
      </c>
      <c r="I224" s="98">
        <v>2021</v>
      </c>
      <c r="J224" s="199">
        <v>153812.9214033616</v>
      </c>
      <c r="K224" s="200"/>
    </row>
    <row r="225" spans="2:11">
      <c r="B225" s="98" t="s">
        <v>672</v>
      </c>
      <c r="C225" s="98"/>
      <c r="D225" s="98"/>
      <c r="E225" s="98"/>
      <c r="F225" s="98" t="s">
        <v>296</v>
      </c>
      <c r="G225" s="98">
        <v>2016</v>
      </c>
      <c r="H225" s="199">
        <v>229380.26938547671</v>
      </c>
      <c r="I225" s="98">
        <v>2021</v>
      </c>
      <c r="J225" s="199">
        <v>200783.5579674957</v>
      </c>
      <c r="K225" s="200"/>
    </row>
    <row r="226" spans="2:11">
      <c r="B226" s="98" t="s">
        <v>673</v>
      </c>
      <c r="C226" s="98"/>
      <c r="D226" s="98"/>
      <c r="E226" s="98"/>
      <c r="F226" s="98" t="s">
        <v>319</v>
      </c>
      <c r="G226" s="98">
        <v>2016</v>
      </c>
      <c r="H226" s="199">
        <v>529286.5107518764</v>
      </c>
      <c r="I226" s="98">
        <v>2021</v>
      </c>
      <c r="J226" s="199">
        <v>359294.38470756344</v>
      </c>
      <c r="K226" s="200"/>
    </row>
    <row r="227" spans="2:11">
      <c r="B227" s="98" t="s">
        <v>674</v>
      </c>
      <c r="C227" s="98"/>
      <c r="D227" s="98"/>
      <c r="E227" s="98"/>
      <c r="F227" s="98" t="s">
        <v>283</v>
      </c>
      <c r="G227" s="98">
        <v>2016</v>
      </c>
      <c r="H227" s="199">
        <v>28567.827468907908</v>
      </c>
      <c r="I227" s="98">
        <v>2021</v>
      </c>
      <c r="J227" s="199">
        <v>13778.977338155324</v>
      </c>
      <c r="K227" s="200"/>
    </row>
    <row r="228" spans="2:11">
      <c r="B228" s="98" t="s">
        <v>675</v>
      </c>
      <c r="C228" s="98"/>
      <c r="D228" s="98"/>
      <c r="E228" s="98"/>
      <c r="F228" s="98" t="s">
        <v>269</v>
      </c>
      <c r="G228" s="98">
        <v>2016</v>
      </c>
      <c r="H228" s="199">
        <v>69569.550579382194</v>
      </c>
      <c r="I228" s="98">
        <v>2021</v>
      </c>
      <c r="J228" s="199">
        <v>60896.353156050573</v>
      </c>
      <c r="K228" s="200"/>
    </row>
    <row r="229" spans="2:11">
      <c r="B229" s="98" t="s">
        <v>676</v>
      </c>
      <c r="C229" s="98"/>
      <c r="D229" s="98"/>
      <c r="E229" s="98"/>
      <c r="F229" s="98" t="s">
        <v>274</v>
      </c>
      <c r="G229" s="98">
        <v>2016</v>
      </c>
      <c r="H229" s="199">
        <v>285684.31746031862</v>
      </c>
      <c r="I229" s="98">
        <v>2021</v>
      </c>
      <c r="J229" s="199">
        <v>137792.68796118168</v>
      </c>
      <c r="K229" s="200"/>
    </row>
    <row r="230" spans="2:11">
      <c r="B230" s="98" t="s">
        <v>677</v>
      </c>
      <c r="C230" s="98"/>
      <c r="D230" s="98"/>
      <c r="E230" s="98"/>
      <c r="F230" s="98" t="s">
        <v>273</v>
      </c>
      <c r="G230" s="98">
        <v>2016</v>
      </c>
      <c r="H230" s="199">
        <v>23169.006741347624</v>
      </c>
      <c r="I230" s="98">
        <v>2021</v>
      </c>
      <c r="J230" s="199">
        <v>11174.991139387506</v>
      </c>
      <c r="K230" s="200"/>
    </row>
    <row r="231" spans="2:11">
      <c r="B231" s="98" t="s">
        <v>678</v>
      </c>
      <c r="C231" s="98"/>
      <c r="D231" s="98"/>
      <c r="E231" s="98"/>
      <c r="F231" s="98" t="s">
        <v>282</v>
      </c>
      <c r="G231" s="98">
        <v>2017</v>
      </c>
      <c r="H231" s="199">
        <v>42505.139899436123</v>
      </c>
      <c r="I231" s="98">
        <v>2021</v>
      </c>
      <c r="J231" s="199">
        <v>25007.119857240814</v>
      </c>
      <c r="K231" s="200"/>
    </row>
    <row r="232" spans="2:11">
      <c r="B232" s="98" t="s">
        <v>679</v>
      </c>
      <c r="C232" s="98"/>
      <c r="D232" s="98"/>
      <c r="E232" s="98"/>
      <c r="F232" s="98" t="s">
        <v>275</v>
      </c>
      <c r="G232" s="98">
        <v>2017</v>
      </c>
      <c r="H232" s="199">
        <v>283180.78041617683</v>
      </c>
      <c r="I232" s="98">
        <v>2021</v>
      </c>
      <c r="J232" s="199">
        <v>166604.2208986652</v>
      </c>
      <c r="K232" s="200"/>
    </row>
    <row r="233" spans="2:11">
      <c r="B233" s="98" t="s">
        <v>680</v>
      </c>
      <c r="C233" s="98"/>
      <c r="D233" s="98"/>
      <c r="E233" s="98"/>
      <c r="F233" s="98" t="s">
        <v>275</v>
      </c>
      <c r="G233" s="98">
        <v>2016</v>
      </c>
      <c r="H233" s="199">
        <v>59355.750635093973</v>
      </c>
      <c r="I233" s="98">
        <v>2021</v>
      </c>
      <c r="J233" s="199">
        <v>28628.76232994219</v>
      </c>
      <c r="K233" s="200"/>
    </row>
    <row r="234" spans="2:11">
      <c r="B234" s="98" t="s">
        <v>681</v>
      </c>
      <c r="C234" s="98"/>
      <c r="D234" s="98"/>
      <c r="E234" s="98"/>
      <c r="F234" s="98" t="s">
        <v>296</v>
      </c>
      <c r="G234" s="98">
        <v>2017</v>
      </c>
      <c r="H234" s="199">
        <v>1235103.6006231268</v>
      </c>
      <c r="I234" s="98">
        <v>2021</v>
      </c>
      <c r="J234" s="199">
        <v>1123005.4133120223</v>
      </c>
      <c r="K234" s="200"/>
    </row>
    <row r="235" spans="2:11">
      <c r="B235" s="98" t="s">
        <v>682</v>
      </c>
      <c r="C235" s="98"/>
      <c r="D235" s="98"/>
      <c r="E235" s="98"/>
      <c r="F235" s="98" t="s">
        <v>284</v>
      </c>
      <c r="G235" s="98">
        <v>2017</v>
      </c>
      <c r="H235" s="199">
        <v>251242.94461834809</v>
      </c>
      <c r="I235" s="98">
        <v>2021</v>
      </c>
      <c r="J235" s="199">
        <v>147814.18069019204</v>
      </c>
      <c r="K235" s="200"/>
    </row>
    <row r="236" spans="2:11">
      <c r="B236" s="98" t="s">
        <v>683</v>
      </c>
      <c r="C236" s="98"/>
      <c r="D236" s="98"/>
      <c r="E236" s="98"/>
      <c r="F236" s="98" t="s">
        <v>283</v>
      </c>
      <c r="G236" s="98">
        <v>2017</v>
      </c>
      <c r="H236" s="199">
        <v>342149.84909853589</v>
      </c>
      <c r="I236" s="98">
        <v>2021</v>
      </c>
      <c r="J236" s="199">
        <v>201297.59143922853</v>
      </c>
      <c r="K236" s="200"/>
    </row>
    <row r="237" spans="2:11">
      <c r="B237" s="98" t="s">
        <v>684</v>
      </c>
      <c r="C237" s="98"/>
      <c r="D237" s="98"/>
      <c r="E237" s="98"/>
      <c r="F237" s="98" t="s">
        <v>278</v>
      </c>
      <c r="G237" s="98">
        <v>2017</v>
      </c>
      <c r="H237" s="199">
        <v>492613.45921199484</v>
      </c>
      <c r="I237" s="98">
        <v>2021</v>
      </c>
      <c r="J237" s="199">
        <v>289820.09815635922</v>
      </c>
      <c r="K237" s="200"/>
    </row>
    <row r="238" spans="2:11">
      <c r="B238" s="98" t="s">
        <v>685</v>
      </c>
      <c r="C238" s="98"/>
      <c r="D238" s="98"/>
      <c r="E238" s="98"/>
      <c r="F238" s="98" t="s">
        <v>279</v>
      </c>
      <c r="G238" s="98">
        <v>2017</v>
      </c>
      <c r="H238" s="199">
        <v>2185364.6124668787</v>
      </c>
      <c r="I238" s="98">
        <v>2021</v>
      </c>
      <c r="J238" s="199">
        <v>1285719.20772473</v>
      </c>
      <c r="K238" s="200"/>
    </row>
    <row r="239" spans="2:11">
      <c r="B239" s="98" t="s">
        <v>686</v>
      </c>
      <c r="C239" s="98"/>
      <c r="D239" s="98"/>
      <c r="E239" s="98"/>
      <c r="F239" s="98" t="s">
        <v>286</v>
      </c>
      <c r="G239" s="98">
        <v>2017</v>
      </c>
      <c r="H239" s="199">
        <v>68624.022512808762</v>
      </c>
      <c r="I239" s="98">
        <v>2021</v>
      </c>
      <c r="J239" s="199">
        <v>40373.685632465487</v>
      </c>
      <c r="K239" s="200"/>
    </row>
    <row r="240" spans="2:11">
      <c r="B240" s="98" t="s">
        <v>687</v>
      </c>
      <c r="C240" s="98"/>
      <c r="D240" s="98"/>
      <c r="E240" s="98"/>
      <c r="F240" s="98" t="s">
        <v>274</v>
      </c>
      <c r="G240" s="98">
        <v>2017</v>
      </c>
      <c r="H240" s="199">
        <v>75086.588886849713</v>
      </c>
      <c r="I240" s="98">
        <v>2021</v>
      </c>
      <c r="J240" s="199">
        <v>44175.81808711389</v>
      </c>
      <c r="K240" s="200"/>
    </row>
    <row r="241" spans="2:11">
      <c r="B241" s="98" t="s">
        <v>688</v>
      </c>
      <c r="C241" s="98"/>
      <c r="D241" s="98"/>
      <c r="E241" s="98"/>
      <c r="F241" s="98" t="s">
        <v>273</v>
      </c>
      <c r="G241" s="98">
        <v>2017</v>
      </c>
      <c r="H241" s="199">
        <v>894081.48176313401</v>
      </c>
      <c r="I241" s="98">
        <v>2021</v>
      </c>
      <c r="J241" s="199">
        <v>526016.44952794898</v>
      </c>
      <c r="K241" s="200"/>
    </row>
    <row r="242" spans="2:11">
      <c r="B242" s="98" t="s">
        <v>689</v>
      </c>
      <c r="C242" s="98"/>
      <c r="D242" s="98"/>
      <c r="E242" s="98"/>
      <c r="F242" s="98" t="s">
        <v>274</v>
      </c>
      <c r="G242" s="98">
        <v>2018</v>
      </c>
      <c r="H242" s="199">
        <v>490885.08786120504</v>
      </c>
      <c r="I242" s="98">
        <v>2021</v>
      </c>
      <c r="J242" s="199">
        <v>336600.51580018562</v>
      </c>
      <c r="K242" s="200"/>
    </row>
    <row r="243" spans="2:11">
      <c r="B243" s="98" t="s">
        <v>690</v>
      </c>
      <c r="C243" s="98"/>
      <c r="D243" s="98"/>
      <c r="E243" s="98"/>
      <c r="F243" s="98" t="s">
        <v>273</v>
      </c>
      <c r="G243" s="98">
        <v>2018</v>
      </c>
      <c r="H243" s="199">
        <v>533703.76265516167</v>
      </c>
      <c r="I243" s="98">
        <v>2021</v>
      </c>
      <c r="J243" s="199">
        <v>365961.33440708811</v>
      </c>
      <c r="K243" s="200"/>
    </row>
    <row r="244" spans="2:11">
      <c r="B244" s="98" t="s">
        <v>691</v>
      </c>
      <c r="C244" s="98"/>
      <c r="D244" s="98"/>
      <c r="E244" s="98"/>
      <c r="F244" s="98" t="s">
        <v>279</v>
      </c>
      <c r="G244" s="98">
        <v>2018</v>
      </c>
      <c r="H244" s="199">
        <v>2619455.826851733</v>
      </c>
      <c r="I244" s="98">
        <v>2021</v>
      </c>
      <c r="J244" s="199">
        <v>1796164.1211708463</v>
      </c>
      <c r="K244" s="200"/>
    </row>
    <row r="245" spans="2:11">
      <c r="B245" s="98" t="s">
        <v>692</v>
      </c>
      <c r="C245" s="98"/>
      <c r="D245" s="98"/>
      <c r="E245" s="98"/>
      <c r="F245" s="98" t="s">
        <v>275</v>
      </c>
      <c r="G245" s="98">
        <v>2018</v>
      </c>
      <c r="H245" s="199">
        <v>252164.79428194632</v>
      </c>
      <c r="I245" s="98">
        <v>2021</v>
      </c>
      <c r="J245" s="199">
        <v>172909.7133338665</v>
      </c>
      <c r="K245" s="200"/>
    </row>
    <row r="246" spans="2:11">
      <c r="B246" s="98" t="s">
        <v>693</v>
      </c>
      <c r="C246" s="98"/>
      <c r="D246" s="98"/>
      <c r="E246" s="98"/>
      <c r="F246" s="98" t="s">
        <v>282</v>
      </c>
      <c r="G246" s="98">
        <v>2018</v>
      </c>
      <c r="H246" s="199">
        <v>13021546.318391869</v>
      </c>
      <c r="I246" s="98">
        <v>2021</v>
      </c>
      <c r="J246" s="199">
        <v>8928890.519742161</v>
      </c>
      <c r="K246" s="200"/>
    </row>
    <row r="247" spans="2:11">
      <c r="B247" s="98" t="s">
        <v>694</v>
      </c>
      <c r="C247" s="98"/>
      <c r="D247" s="98"/>
      <c r="E247" s="98"/>
      <c r="F247" s="98" t="s">
        <v>296</v>
      </c>
      <c r="G247" s="98">
        <v>2018</v>
      </c>
      <c r="H247" s="199">
        <v>5158473.573657441</v>
      </c>
      <c r="I247" s="98">
        <v>2021</v>
      </c>
      <c r="J247" s="199">
        <v>4806925.7125234623</v>
      </c>
      <c r="K247" s="200"/>
    </row>
    <row r="248" spans="2:11">
      <c r="B248" s="98" t="s">
        <v>695</v>
      </c>
      <c r="C248" s="98"/>
      <c r="D248" s="98"/>
      <c r="E248" s="98"/>
      <c r="F248" s="98" t="s">
        <v>320</v>
      </c>
      <c r="G248" s="98">
        <v>2018</v>
      </c>
      <c r="H248" s="199">
        <v>21147142.000000007</v>
      </c>
      <c r="I248" s="98">
        <v>2021</v>
      </c>
      <c r="J248" s="199">
        <v>17103297.263965867</v>
      </c>
      <c r="K248" s="200"/>
    </row>
    <row r="249" spans="2:11">
      <c r="B249" s="98" t="s">
        <v>696</v>
      </c>
      <c r="C249" s="98"/>
      <c r="D249" s="98"/>
      <c r="E249" s="98"/>
      <c r="F249" s="98" t="s">
        <v>316</v>
      </c>
      <c r="G249" s="98">
        <v>2018</v>
      </c>
      <c r="H249" s="199">
        <v>1669649.9999999995</v>
      </c>
      <c r="I249" s="98">
        <v>2021</v>
      </c>
      <c r="J249" s="199">
        <v>528406.65386783984</v>
      </c>
      <c r="K249" s="200"/>
    </row>
    <row r="250" spans="2:11">
      <c r="B250" s="98" t="s">
        <v>697</v>
      </c>
      <c r="C250" s="98"/>
      <c r="D250" s="98"/>
      <c r="E250" s="98"/>
      <c r="F250" s="98" t="s">
        <v>267</v>
      </c>
      <c r="G250" s="98">
        <v>2017</v>
      </c>
      <c r="H250" s="199">
        <v>41129.587663444909</v>
      </c>
      <c r="I250" s="98">
        <v>2021</v>
      </c>
      <c r="J250" s="199">
        <v>24197.83891576614</v>
      </c>
      <c r="K250" s="200"/>
    </row>
    <row r="251" spans="2:11">
      <c r="B251" s="98" t="s">
        <v>698</v>
      </c>
      <c r="C251" s="98"/>
      <c r="D251" s="98"/>
      <c r="E251" s="98"/>
      <c r="F251" s="98" t="s">
        <v>269</v>
      </c>
      <c r="G251" s="98">
        <v>2018</v>
      </c>
      <c r="H251" s="199">
        <v>1769813.2968497979</v>
      </c>
      <c r="I251" s="98">
        <v>2021</v>
      </c>
      <c r="J251" s="199">
        <v>1649201.2455850111</v>
      </c>
      <c r="K251" s="200"/>
    </row>
    <row r="252" spans="2:11">
      <c r="B252" s="98" t="s">
        <v>699</v>
      </c>
      <c r="C252" s="98"/>
      <c r="D252" s="98"/>
      <c r="E252" s="98"/>
      <c r="F252" s="98" t="s">
        <v>286</v>
      </c>
      <c r="G252" s="98">
        <v>2018</v>
      </c>
      <c r="H252" s="199">
        <v>20291.448993786991</v>
      </c>
      <c r="I252" s="98">
        <v>2021</v>
      </c>
      <c r="J252" s="199">
        <v>13913.871833835448</v>
      </c>
      <c r="K252" s="200"/>
    </row>
    <row r="253" spans="2:11">
      <c r="B253" s="98" t="s">
        <v>700</v>
      </c>
      <c r="C253" s="98"/>
      <c r="D253" s="98"/>
      <c r="E253" s="98"/>
      <c r="F253" s="98" t="s">
        <v>277</v>
      </c>
      <c r="G253" s="98">
        <v>2018</v>
      </c>
      <c r="H253" s="199">
        <v>59796.38767845487</v>
      </c>
      <c r="I253" s="98">
        <v>2021</v>
      </c>
      <c r="J253" s="199">
        <v>41002.457465659885</v>
      </c>
      <c r="K253" s="200"/>
    </row>
    <row r="254" spans="2:11">
      <c r="B254" s="98" t="s">
        <v>701</v>
      </c>
      <c r="C254" s="98"/>
      <c r="D254" s="98"/>
      <c r="E254" s="98"/>
      <c r="F254" s="98" t="s">
        <v>267</v>
      </c>
      <c r="G254" s="98">
        <v>2018</v>
      </c>
      <c r="H254" s="199">
        <v>70537.619152208252</v>
      </c>
      <c r="I254" s="98">
        <v>2021</v>
      </c>
      <c r="J254" s="199">
        <v>48367.733257897518</v>
      </c>
      <c r="K254" s="200"/>
    </row>
    <row r="255" spans="2:11">
      <c r="B255" s="98" t="s">
        <v>702</v>
      </c>
      <c r="C255" s="98"/>
      <c r="D255" s="98"/>
      <c r="E255" s="98"/>
      <c r="F255" s="98" t="s">
        <v>317</v>
      </c>
      <c r="G255" s="98">
        <v>2018</v>
      </c>
      <c r="H255" s="199">
        <v>1033593</v>
      </c>
      <c r="I255" s="98">
        <v>2021</v>
      </c>
      <c r="J255" s="199">
        <v>327108.92617687664</v>
      </c>
      <c r="K255" s="200"/>
    </row>
    <row r="256" spans="2:11">
      <c r="B256" s="98" t="s">
        <v>703</v>
      </c>
      <c r="C256" s="98"/>
      <c r="D256" s="98"/>
      <c r="E256" s="98"/>
      <c r="F256" s="98" t="s">
        <v>313</v>
      </c>
      <c r="G256" s="98">
        <v>2019</v>
      </c>
      <c r="H256" s="199">
        <v>7023542.7917365544</v>
      </c>
      <c r="I256" s="98">
        <v>2021</v>
      </c>
      <c r="J256" s="199">
        <v>3660726.6913954271</v>
      </c>
      <c r="K256" s="200"/>
    </row>
    <row r="257" spans="2:11">
      <c r="B257" s="98" t="s">
        <v>704</v>
      </c>
      <c r="C257" s="98"/>
      <c r="D257" s="98"/>
      <c r="E257" s="98"/>
      <c r="F257" s="98" t="s">
        <v>286</v>
      </c>
      <c r="G257" s="98">
        <v>2019</v>
      </c>
      <c r="H257" s="199">
        <v>857388.09237261105</v>
      </c>
      <c r="I257" s="98">
        <v>2021</v>
      </c>
      <c r="J257" s="199">
        <v>670316.29927401594</v>
      </c>
      <c r="K257" s="200"/>
    </row>
    <row r="258" spans="2:11">
      <c r="B258" s="98" t="s">
        <v>705</v>
      </c>
      <c r="C258" s="98"/>
      <c r="D258" s="98"/>
      <c r="E258" s="98"/>
      <c r="F258" s="98" t="s">
        <v>273</v>
      </c>
      <c r="G258" s="98">
        <v>2019</v>
      </c>
      <c r="H258" s="199">
        <v>460067.29247706069</v>
      </c>
      <c r="I258" s="98">
        <v>2021</v>
      </c>
      <c r="J258" s="199">
        <v>359686.13006607577</v>
      </c>
      <c r="K258" s="200"/>
    </row>
    <row r="259" spans="2:11">
      <c r="B259" s="98" t="s">
        <v>706</v>
      </c>
      <c r="C259" s="98"/>
      <c r="D259" s="98"/>
      <c r="E259" s="98"/>
      <c r="F259" s="98" t="s">
        <v>316</v>
      </c>
      <c r="G259" s="98">
        <v>2019</v>
      </c>
      <c r="H259" s="199">
        <v>119060</v>
      </c>
      <c r="I259" s="98">
        <v>2021</v>
      </c>
      <c r="J259" s="199">
        <v>62055.024479999985</v>
      </c>
      <c r="K259" s="200"/>
    </row>
    <row r="260" spans="2:11">
      <c r="B260" s="98" t="s">
        <v>707</v>
      </c>
      <c r="C260" s="98"/>
      <c r="D260" s="98"/>
      <c r="E260" s="98"/>
      <c r="F260" s="98" t="s">
        <v>279</v>
      </c>
      <c r="G260" s="98">
        <v>2019</v>
      </c>
      <c r="H260" s="199">
        <v>288666.6970011855</v>
      </c>
      <c r="I260" s="98">
        <v>2021</v>
      </c>
      <c r="J260" s="199">
        <v>225683.08771589081</v>
      </c>
      <c r="K260" s="200"/>
    </row>
    <row r="261" spans="2:11">
      <c r="B261" s="98" t="s">
        <v>708</v>
      </c>
      <c r="C261" s="98"/>
      <c r="D261" s="98"/>
      <c r="E261" s="98"/>
      <c r="F261" s="98" t="s">
        <v>296</v>
      </c>
      <c r="G261" s="98">
        <v>2019</v>
      </c>
      <c r="H261" s="199">
        <v>1170372.8470650064</v>
      </c>
      <c r="I261" s="98">
        <v>2021</v>
      </c>
      <c r="J261" s="199">
        <v>1118347.433267273</v>
      </c>
      <c r="K261" s="200"/>
    </row>
    <row r="262" spans="2:11">
      <c r="B262" s="98" t="s">
        <v>709</v>
      </c>
      <c r="C262" s="98"/>
      <c r="D262" s="98"/>
      <c r="E262" s="98"/>
      <c r="F262" s="98" t="s">
        <v>317</v>
      </c>
      <c r="G262" s="98">
        <v>2019</v>
      </c>
      <c r="H262" s="199">
        <v>73704</v>
      </c>
      <c r="I262" s="98">
        <v>2021</v>
      </c>
      <c r="J262" s="199">
        <v>38415.114431999995</v>
      </c>
      <c r="K262" s="200"/>
    </row>
    <row r="263" spans="2:11">
      <c r="B263" s="98" t="s">
        <v>710</v>
      </c>
      <c r="C263" s="98"/>
      <c r="D263" s="98"/>
      <c r="E263" s="98"/>
      <c r="F263" s="98" t="s">
        <v>315</v>
      </c>
      <c r="G263" s="98">
        <v>2019</v>
      </c>
      <c r="H263" s="199">
        <v>138775.45971332947</v>
      </c>
      <c r="I263" s="98">
        <v>2021</v>
      </c>
      <c r="J263" s="199">
        <v>72330.879806265031</v>
      </c>
      <c r="K263" s="200"/>
    </row>
    <row r="264" spans="2:11">
      <c r="B264" s="98" t="s">
        <v>711</v>
      </c>
      <c r="C264" s="98"/>
      <c r="D264" s="98"/>
      <c r="E264" s="98"/>
      <c r="F264" s="98" t="s">
        <v>275</v>
      </c>
      <c r="G264" s="98">
        <v>2019</v>
      </c>
      <c r="H264" s="199">
        <v>142771.1801450084</v>
      </c>
      <c r="I264" s="98">
        <v>2021</v>
      </c>
      <c r="J264" s="199">
        <v>111620.22189152931</v>
      </c>
      <c r="K264" s="200"/>
    </row>
    <row r="265" spans="2:11">
      <c r="B265" s="98" t="s">
        <v>712</v>
      </c>
      <c r="C265" s="98"/>
      <c r="D265" s="98"/>
      <c r="E265" s="98"/>
      <c r="F265" s="98" t="s">
        <v>319</v>
      </c>
      <c r="G265" s="98">
        <v>2018</v>
      </c>
      <c r="H265" s="199">
        <v>66462443.599999994</v>
      </c>
      <c r="I265" s="98">
        <v>2021</v>
      </c>
      <c r="J265" s="199">
        <v>53753217.800323352</v>
      </c>
      <c r="K265" s="200"/>
    </row>
    <row r="266" spans="2:11">
      <c r="B266" s="98" t="s">
        <v>713</v>
      </c>
      <c r="C266" s="98"/>
      <c r="D266" s="98"/>
      <c r="E266" s="98"/>
      <c r="F266" s="98" t="s">
        <v>321</v>
      </c>
      <c r="G266" s="98">
        <v>2018</v>
      </c>
      <c r="H266" s="199">
        <v>13091088</v>
      </c>
      <c r="I266" s="98">
        <v>2021</v>
      </c>
      <c r="J266" s="199">
        <v>10587755.526147995</v>
      </c>
      <c r="K266" s="200"/>
    </row>
    <row r="267" spans="2:11">
      <c r="B267" s="98" t="s">
        <v>714</v>
      </c>
      <c r="C267" s="98"/>
      <c r="D267" s="98"/>
      <c r="E267" s="98"/>
      <c r="F267" s="98" t="s">
        <v>320</v>
      </c>
      <c r="G267" s="98">
        <v>2019</v>
      </c>
      <c r="H267" s="199">
        <v>510273.00000000006</v>
      </c>
      <c r="I267" s="98">
        <v>2021</v>
      </c>
      <c r="J267" s="199">
        <v>443263.94964000006</v>
      </c>
      <c r="K267" s="200"/>
    </row>
    <row r="268" spans="2:11">
      <c r="B268" s="98" t="s">
        <v>715</v>
      </c>
      <c r="C268" s="98"/>
      <c r="D268" s="98"/>
      <c r="E268" s="98"/>
      <c r="F268" s="98" t="s">
        <v>313</v>
      </c>
      <c r="G268" s="98">
        <v>2020</v>
      </c>
      <c r="H268" s="199">
        <v>4054436.8604233577</v>
      </c>
      <c r="I268" s="98">
        <v>2021</v>
      </c>
      <c r="J268" s="199">
        <v>2883515.4951330922</v>
      </c>
      <c r="K268" s="200"/>
    </row>
    <row r="269" spans="2:11">
      <c r="B269" s="98" t="s">
        <v>716</v>
      </c>
      <c r="C269" s="98"/>
      <c r="D269" s="98"/>
      <c r="E269" s="98"/>
      <c r="F269" s="98" t="s">
        <v>279</v>
      </c>
      <c r="G269" s="98">
        <v>2021</v>
      </c>
      <c r="H269" s="199">
        <v>2667062.5363170211</v>
      </c>
      <c r="I269" s="98">
        <v>2021</v>
      </c>
      <c r="J269" s="199">
        <v>2533709.4095011703</v>
      </c>
      <c r="K269" s="200"/>
    </row>
    <row r="270" spans="2:11">
      <c r="B270" s="98" t="s">
        <v>717</v>
      </c>
      <c r="C270" s="98"/>
      <c r="D270" s="98"/>
      <c r="E270" s="98"/>
      <c r="F270" s="98" t="s">
        <v>275</v>
      </c>
      <c r="G270" s="98">
        <v>2021</v>
      </c>
      <c r="H270" s="199">
        <v>467492.45719026914</v>
      </c>
      <c r="I270" s="98">
        <v>2021</v>
      </c>
      <c r="J270" s="199">
        <v>444117.83433075569</v>
      </c>
      <c r="K270" s="200"/>
    </row>
    <row r="271" spans="2:11">
      <c r="B271" s="98" t="s">
        <v>718</v>
      </c>
      <c r="C271" s="98"/>
      <c r="D271" s="98"/>
      <c r="E271" s="98"/>
      <c r="F271" s="98" t="s">
        <v>318</v>
      </c>
      <c r="G271" s="98">
        <v>2021</v>
      </c>
      <c r="H271" s="199">
        <v>3432262.7310020467</v>
      </c>
      <c r="I271" s="98">
        <v>2021</v>
      </c>
      <c r="J271" s="199">
        <v>3260649.5944519443</v>
      </c>
      <c r="K271" s="200"/>
    </row>
    <row r="272" spans="2:11">
      <c r="B272" s="98" t="s">
        <v>719</v>
      </c>
      <c r="C272" s="98"/>
      <c r="D272" s="98"/>
      <c r="E272" s="98"/>
      <c r="F272" s="98" t="s">
        <v>313</v>
      </c>
      <c r="G272" s="98">
        <v>2021</v>
      </c>
      <c r="H272" s="199">
        <v>8176022.700880779</v>
      </c>
      <c r="I272" s="98">
        <v>2021</v>
      </c>
      <c r="J272" s="199">
        <v>7358420.4307927005</v>
      </c>
      <c r="K272" s="200"/>
    </row>
    <row r="273" spans="2:11">
      <c r="B273" s="98" t="s">
        <v>720</v>
      </c>
      <c r="C273" s="98"/>
      <c r="D273" s="98"/>
      <c r="E273" s="98"/>
      <c r="F273" s="98" t="s">
        <v>319</v>
      </c>
      <c r="G273" s="98">
        <v>2019</v>
      </c>
      <c r="H273" s="199">
        <v>1603714.1720507673</v>
      </c>
      <c r="I273" s="98">
        <v>2021</v>
      </c>
      <c r="J273" s="199">
        <v>1393114.426977061</v>
      </c>
      <c r="K273" s="200"/>
    </row>
    <row r="274" spans="2:11">
      <c r="B274" s="98" t="s">
        <v>721</v>
      </c>
      <c r="C274" s="98"/>
      <c r="D274" s="98"/>
      <c r="E274" s="98"/>
      <c r="F274" s="98" t="s">
        <v>321</v>
      </c>
      <c r="G274" s="98">
        <v>2019</v>
      </c>
      <c r="H274" s="199">
        <v>315883</v>
      </c>
      <c r="I274" s="98">
        <v>2021</v>
      </c>
      <c r="J274" s="199">
        <v>274401.24443999998</v>
      </c>
      <c r="K274" s="200"/>
    </row>
    <row r="275" spans="2:11">
      <c r="B275" s="98" t="s">
        <v>722</v>
      </c>
      <c r="C275" s="98"/>
      <c r="D275" s="98"/>
      <c r="E275" s="98"/>
      <c r="F275" s="98" t="s">
        <v>319</v>
      </c>
      <c r="G275" s="98">
        <v>2020</v>
      </c>
      <c r="H275" s="199">
        <v>437.7361508808076</v>
      </c>
      <c r="I275" s="98">
        <v>2021</v>
      </c>
      <c r="J275" s="199">
        <v>400.26593636541048</v>
      </c>
      <c r="K275" s="200"/>
    </row>
    <row r="276" spans="2:11">
      <c r="B276" s="98" t="s">
        <v>723</v>
      </c>
      <c r="C276" s="98"/>
      <c r="D276" s="98"/>
      <c r="E276" s="98"/>
      <c r="F276" s="98" t="s">
        <v>267</v>
      </c>
      <c r="G276" s="98">
        <v>2020</v>
      </c>
      <c r="H276" s="199">
        <v>274981.09053004743</v>
      </c>
      <c r="I276" s="98">
        <v>2021</v>
      </c>
      <c r="J276" s="199">
        <v>237473.66978174893</v>
      </c>
      <c r="K276" s="200"/>
    </row>
    <row r="277" spans="2:11">
      <c r="B277" s="98" t="s">
        <v>724</v>
      </c>
      <c r="C277" s="98"/>
      <c r="D277" s="98"/>
      <c r="E277" s="98"/>
      <c r="F277" s="98" t="s">
        <v>265</v>
      </c>
      <c r="G277" s="98">
        <v>2020</v>
      </c>
      <c r="H277" s="199">
        <v>1155506.2616599156</v>
      </c>
      <c r="I277" s="98">
        <v>2021</v>
      </c>
      <c r="J277" s="199">
        <v>1173994.3618464742</v>
      </c>
      <c r="K277" s="200"/>
    </row>
    <row r="278" spans="2:11">
      <c r="B278" s="98" t="s">
        <v>725</v>
      </c>
      <c r="C278" s="98"/>
      <c r="D278" s="98"/>
      <c r="E278" s="98"/>
      <c r="F278" s="98" t="s">
        <v>273</v>
      </c>
      <c r="G278" s="98">
        <v>2020</v>
      </c>
      <c r="H278" s="199">
        <v>227204.18889764068</v>
      </c>
      <c r="I278" s="98">
        <v>2021</v>
      </c>
      <c r="J278" s="199">
        <v>196213.53753200249</v>
      </c>
      <c r="K278" s="200"/>
    </row>
    <row r="279" spans="2:11">
      <c r="B279" s="98" t="s">
        <v>726</v>
      </c>
      <c r="C279" s="98"/>
      <c r="D279" s="98"/>
      <c r="E279" s="98"/>
      <c r="F279" s="98" t="s">
        <v>279</v>
      </c>
      <c r="G279" s="98">
        <v>2020</v>
      </c>
      <c r="H279" s="199">
        <v>880855.41897943604</v>
      </c>
      <c r="I279" s="98">
        <v>2021</v>
      </c>
      <c r="J279" s="199">
        <v>760706.73983064084</v>
      </c>
      <c r="K279" s="200"/>
    </row>
    <row r="280" spans="2:11">
      <c r="B280" s="98" t="s">
        <v>727</v>
      </c>
      <c r="C280" s="98"/>
      <c r="D280" s="98"/>
      <c r="E280" s="98"/>
      <c r="F280" s="98" t="s">
        <v>286</v>
      </c>
      <c r="G280" s="98">
        <v>2020</v>
      </c>
      <c r="H280" s="199">
        <v>111163.8757407683</v>
      </c>
      <c r="I280" s="98">
        <v>2021</v>
      </c>
      <c r="J280" s="199">
        <v>96001.123089727509</v>
      </c>
      <c r="K280" s="200"/>
    </row>
    <row r="281" spans="2:11">
      <c r="B281" s="98" t="s">
        <v>728</v>
      </c>
      <c r="C281" s="98"/>
      <c r="D281" s="98"/>
      <c r="E281" s="98"/>
      <c r="F281" s="98" t="s">
        <v>318</v>
      </c>
      <c r="G281" s="98">
        <v>2020</v>
      </c>
      <c r="H281" s="199">
        <v>2253829.6322485749</v>
      </c>
      <c r="I281" s="98">
        <v>2021</v>
      </c>
      <c r="J281" s="199">
        <v>1946407.2704098693</v>
      </c>
      <c r="K281" s="200"/>
    </row>
    <row r="282" spans="2:11">
      <c r="B282" s="98" t="s">
        <v>729</v>
      </c>
      <c r="C282" s="98"/>
      <c r="D282" s="98"/>
      <c r="E282" s="98"/>
      <c r="F282" s="98" t="s">
        <v>296</v>
      </c>
      <c r="G282" s="98">
        <v>2020</v>
      </c>
      <c r="H282" s="199">
        <v>715175.01653112471</v>
      </c>
      <c r="I282" s="98">
        <v>2021</v>
      </c>
      <c r="J282" s="199">
        <v>690286.92595584155</v>
      </c>
      <c r="K282" s="200"/>
    </row>
    <row r="283" spans="2:11">
      <c r="B283" s="98" t="s">
        <v>730</v>
      </c>
      <c r="C283" s="98"/>
      <c r="D283" s="98"/>
      <c r="E283" s="98"/>
      <c r="F283" s="98" t="s">
        <v>269</v>
      </c>
      <c r="G283" s="98">
        <v>2020</v>
      </c>
      <c r="H283" s="199">
        <v>611310.12783119339</v>
      </c>
      <c r="I283" s="98">
        <v>2021</v>
      </c>
      <c r="J283" s="199">
        <v>590036.53538266791</v>
      </c>
      <c r="K283" s="200"/>
    </row>
    <row r="284" spans="2:11">
      <c r="B284" s="98" t="s">
        <v>731</v>
      </c>
      <c r="C284" s="98"/>
      <c r="D284" s="98"/>
      <c r="E284" s="98"/>
      <c r="F284" s="98" t="s">
        <v>273</v>
      </c>
      <c r="G284" s="98">
        <v>2021</v>
      </c>
      <c r="H284" s="199">
        <v>384242.51972392667</v>
      </c>
      <c r="I284" s="98">
        <v>2021</v>
      </c>
      <c r="J284" s="199">
        <v>365030.39373773034</v>
      </c>
      <c r="K284" s="200"/>
    </row>
    <row r="285" spans="2:11">
      <c r="B285" s="98" t="s">
        <v>732</v>
      </c>
      <c r="C285" s="98"/>
      <c r="D285" s="98"/>
      <c r="E285" s="98"/>
      <c r="F285" s="98" t="s">
        <v>296</v>
      </c>
      <c r="G285" s="98">
        <v>2021</v>
      </c>
      <c r="H285" s="199">
        <v>1098657.1778898467</v>
      </c>
      <c r="I285" s="98">
        <v>2021</v>
      </c>
      <c r="J285" s="199">
        <v>1080346.2249250161</v>
      </c>
      <c r="K285" s="200"/>
    </row>
    <row r="286" spans="2:11">
      <c r="B286" s="98" t="s">
        <v>733</v>
      </c>
      <c r="C286" s="98"/>
      <c r="D286" s="98"/>
      <c r="E286" s="98"/>
      <c r="F286" s="98" t="s">
        <v>264</v>
      </c>
      <c r="G286" s="98">
        <v>1993</v>
      </c>
      <c r="H286" s="199">
        <v>27208128.690000001</v>
      </c>
      <c r="I286" s="98">
        <v>2021</v>
      </c>
      <c r="J286" s="199">
        <v>0</v>
      </c>
      <c r="K286" s="200"/>
    </row>
    <row r="287" spans="2:11">
      <c r="B287" s="98" t="s">
        <v>734</v>
      </c>
      <c r="C287" s="98"/>
      <c r="D287" s="98"/>
      <c r="E287" s="98"/>
      <c r="F287" s="98" t="s">
        <v>269</v>
      </c>
      <c r="G287" s="98">
        <v>2021</v>
      </c>
      <c r="H287" s="199">
        <v>114485.52709029273</v>
      </c>
      <c r="I287" s="98">
        <v>2021</v>
      </c>
      <c r="J287" s="199">
        <v>112577.43497212119</v>
      </c>
      <c r="K287" s="200"/>
    </row>
    <row r="288" spans="2:11">
      <c r="B288" s="98" t="s">
        <v>735</v>
      </c>
      <c r="C288" s="98"/>
      <c r="D288" s="98"/>
      <c r="E288" s="98"/>
      <c r="F288" s="98" t="s">
        <v>318</v>
      </c>
      <c r="G288" s="98">
        <v>2019</v>
      </c>
      <c r="H288" s="199">
        <v>5155994.869123158</v>
      </c>
      <c r="I288" s="98">
        <v>2021</v>
      </c>
      <c r="J288" s="199">
        <v>4031018.6606189152</v>
      </c>
      <c r="K288" s="200"/>
    </row>
  </sheetData>
  <mergeCells count="2">
    <mergeCell ref="B5:D5"/>
    <mergeCell ref="B8:D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90" zoomScaleNormal="90" workbookViewId="0">
      <pane xSplit="2" ySplit="5" topLeftCell="C6" activePane="bottomRight" state="frozen"/>
      <selection pane="topRight"/>
      <selection pane="bottomLeft"/>
      <selection pane="bottomRight"/>
    </sheetView>
  </sheetViews>
  <sheetFormatPr defaultColWidth="9.140625" defaultRowHeight="12.75"/>
  <cols>
    <col min="1" max="1" width="2.7109375" style="3" customWidth="1"/>
    <col min="2" max="2" width="62" style="3" customWidth="1"/>
    <col min="3" max="3" width="2.7109375" style="3" customWidth="1"/>
    <col min="4" max="4" width="13.7109375" style="3" customWidth="1"/>
    <col min="5" max="5" width="2.7109375" style="3" customWidth="1"/>
    <col min="6" max="6" width="13.7109375" style="3" customWidth="1"/>
    <col min="7" max="7" width="2.7109375" style="3" customWidth="1"/>
    <col min="8" max="14" width="12.5703125" style="3" customWidth="1"/>
    <col min="15" max="15" width="2.7109375" style="3" customWidth="1"/>
    <col min="16" max="16" width="20.7109375" style="3" customWidth="1"/>
    <col min="17" max="17" width="2.7109375" style="3" customWidth="1"/>
    <col min="18" max="18" width="20.7109375" style="3" customWidth="1"/>
    <col min="19" max="31" width="13.7109375" style="3" customWidth="1"/>
    <col min="32" max="16384" width="9.140625" style="3"/>
  </cols>
  <sheetData>
    <row r="2" spans="2:18" s="12" customFormat="1" ht="18">
      <c r="B2" s="12" t="s">
        <v>736</v>
      </c>
    </row>
    <row r="4" spans="2:18">
      <c r="B4" s="16" t="s">
        <v>173</v>
      </c>
      <c r="C4" s="2"/>
    </row>
    <row r="5" spans="2:18" ht="25.5" customHeight="1">
      <c r="B5" s="322" t="s">
        <v>737</v>
      </c>
      <c r="C5" s="327"/>
      <c r="D5" s="327"/>
      <c r="F5" s="13"/>
    </row>
    <row r="7" spans="2:18" s="8" customFormat="1">
      <c r="B7" s="8" t="s">
        <v>134</v>
      </c>
      <c r="D7" s="8" t="s">
        <v>175</v>
      </c>
      <c r="F7" s="8" t="s">
        <v>176</v>
      </c>
      <c r="H7" s="59">
        <v>2020</v>
      </c>
      <c r="I7" s="52">
        <v>2021</v>
      </c>
      <c r="J7" s="52">
        <v>2022</v>
      </c>
      <c r="K7" s="52">
        <v>2023</v>
      </c>
      <c r="L7" s="52">
        <v>2024</v>
      </c>
      <c r="M7" s="52">
        <v>2025</v>
      </c>
      <c r="N7" s="52">
        <v>2026</v>
      </c>
      <c r="P7" s="8" t="s">
        <v>177</v>
      </c>
      <c r="R7" s="8" t="s">
        <v>178</v>
      </c>
    </row>
    <row r="9" spans="2:18" s="8" customFormat="1">
      <c r="B9" s="8" t="s">
        <v>738</v>
      </c>
    </row>
    <row r="11" spans="2:18">
      <c r="B11" s="16" t="s">
        <v>738</v>
      </c>
    </row>
    <row r="12" spans="2:18">
      <c r="B12" s="3" t="s">
        <v>739</v>
      </c>
      <c r="D12" s="3" t="s">
        <v>740</v>
      </c>
      <c r="H12" s="10"/>
      <c r="I12" s="10"/>
      <c r="J12" s="10"/>
      <c r="K12" s="10"/>
      <c r="L12" s="277">
        <v>177536591</v>
      </c>
      <c r="M12" s="10"/>
      <c r="N12" s="10"/>
      <c r="P12" s="141" t="s">
        <v>741</v>
      </c>
    </row>
    <row r="13" spans="2:18">
      <c r="B13" s="3" t="s">
        <v>742</v>
      </c>
      <c r="D13" s="3" t="s">
        <v>740</v>
      </c>
      <c r="H13" s="10"/>
      <c r="I13" s="10"/>
      <c r="J13" s="10"/>
      <c r="K13" s="10"/>
      <c r="L13" s="277">
        <v>272463409</v>
      </c>
      <c r="M13" s="10"/>
      <c r="N13" s="10"/>
      <c r="P13" s="141" t="s">
        <v>741</v>
      </c>
    </row>
    <row r="14" spans="2:18">
      <c r="J14" s="13"/>
      <c r="K14" s="13"/>
    </row>
    <row r="15" spans="2:18">
      <c r="B15" s="3" t="s">
        <v>743</v>
      </c>
      <c r="D15" s="3" t="s">
        <v>740</v>
      </c>
      <c r="H15" s="10"/>
      <c r="I15" s="10"/>
      <c r="J15" s="10"/>
      <c r="K15" s="10"/>
      <c r="L15" s="277">
        <v>74239755</v>
      </c>
      <c r="M15" s="10"/>
      <c r="N15" s="10"/>
      <c r="P15" s="141" t="s">
        <v>741</v>
      </c>
    </row>
    <row r="16" spans="2:18">
      <c r="B16" s="3" t="s">
        <v>744</v>
      </c>
      <c r="D16" s="3" t="s">
        <v>740</v>
      </c>
      <c r="H16" s="10"/>
      <c r="I16" s="10"/>
      <c r="J16" s="10"/>
      <c r="K16" s="10"/>
      <c r="L16" s="277">
        <v>37879881</v>
      </c>
      <c r="M16" s="10"/>
      <c r="N16" s="10"/>
      <c r="P16" s="141" t="s">
        <v>741</v>
      </c>
    </row>
    <row r="17" spans="10:13">
      <c r="J17" s="13"/>
    </row>
    <row r="18" spans="10:13">
      <c r="J18" s="13"/>
    </row>
    <row r="24" spans="10:13">
      <c r="M24" s="179"/>
    </row>
    <row r="25" spans="10:13">
      <c r="M25" s="179"/>
    </row>
    <row r="26" spans="10:13">
      <c r="M26" s="179"/>
    </row>
    <row r="27" spans="10:13">
      <c r="M27" s="179"/>
    </row>
    <row r="28" spans="10:13">
      <c r="M28" s="179"/>
    </row>
    <row r="29" spans="10:13">
      <c r="M29" s="179"/>
    </row>
    <row r="30" spans="10:13">
      <c r="M30" s="179"/>
    </row>
  </sheetData>
  <mergeCells count="1">
    <mergeCell ref="B5:D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25"/>
  <sheetViews>
    <sheetView showGridLines="0" zoomScale="90" zoomScaleNormal="90" workbookViewId="0">
      <selection activeCell="B19" sqref="B19"/>
    </sheetView>
  </sheetViews>
  <sheetFormatPr defaultRowHeight="12.75"/>
  <cols>
    <col min="1" max="1" width="2.5703125" customWidth="1"/>
    <col min="2" max="2" width="7.5703125" bestFit="1" customWidth="1"/>
    <col min="3" max="3" width="19.7109375" bestFit="1" customWidth="1"/>
    <col min="4" max="4" width="22.140625" bestFit="1" customWidth="1"/>
    <col min="5" max="5" width="20.7109375" bestFit="1" customWidth="1"/>
    <col min="6" max="6" width="23.85546875" bestFit="1" customWidth="1"/>
    <col min="7" max="7" width="13.5703125" bestFit="1" customWidth="1"/>
    <col min="8" max="8" width="46.7109375" bestFit="1" customWidth="1"/>
  </cols>
  <sheetData>
    <row r="1" spans="2:7" s="3" customFormat="1"/>
    <row r="2" spans="2:7" s="12" customFormat="1" ht="18">
      <c r="B2" s="12" t="s">
        <v>745</v>
      </c>
    </row>
    <row r="3" spans="2:7" s="3" customFormat="1"/>
    <row r="4" spans="2:7" s="3" customFormat="1">
      <c r="B4" s="2" t="s">
        <v>173</v>
      </c>
    </row>
    <row r="5" spans="2:7" s="3" customFormat="1" ht="27.75" customHeight="1">
      <c r="B5" s="322" t="s">
        <v>746</v>
      </c>
      <c r="C5" s="322"/>
      <c r="D5" s="322"/>
      <c r="E5" s="322"/>
      <c r="F5" s="322"/>
      <c r="G5" s="320"/>
    </row>
    <row r="6" spans="2:7" s="3" customFormat="1"/>
    <row r="7" spans="2:7" s="3" customFormat="1">
      <c r="B7" s="16" t="s">
        <v>747</v>
      </c>
      <c r="D7" s="2"/>
    </row>
    <row r="8" spans="2:7" s="3" customFormat="1" ht="16.5" customHeight="1">
      <c r="B8" s="327" t="s">
        <v>1090</v>
      </c>
      <c r="C8" s="327"/>
      <c r="D8" s="327"/>
      <c r="E8" s="327"/>
      <c r="F8" s="327"/>
      <c r="G8" s="321"/>
    </row>
    <row r="9" spans="2:7" s="3" customFormat="1">
      <c r="B9" s="4"/>
    </row>
    <row r="10" spans="2:7" s="3" customFormat="1">
      <c r="B10" s="189" t="s">
        <v>748</v>
      </c>
    </row>
    <row r="11" spans="2:7" s="3" customFormat="1">
      <c r="B11" s="329">
        <v>45050</v>
      </c>
      <c r="C11" s="329"/>
      <c r="D11" s="329"/>
      <c r="E11" s="128"/>
    </row>
    <row r="13" spans="2:7">
      <c r="B13" s="189" t="s">
        <v>749</v>
      </c>
      <c r="D13" s="3"/>
      <c r="E13" s="3"/>
    </row>
    <row r="14" spans="2:7" ht="38.25" customHeight="1">
      <c r="B14" s="322" t="s">
        <v>750</v>
      </c>
      <c r="C14" s="322"/>
      <c r="D14" s="322"/>
      <c r="E14" s="322"/>
      <c r="F14" s="322"/>
      <c r="G14" s="320"/>
    </row>
    <row r="16" spans="2:7">
      <c r="B16" s="190" t="s">
        <v>751</v>
      </c>
    </row>
    <row r="17" spans="2:8">
      <c r="B17" s="135">
        <v>6</v>
      </c>
    </row>
    <row r="18" spans="2:8" ht="14.25" customHeight="1"/>
    <row r="19" spans="2:8" s="8" customFormat="1">
      <c r="B19" s="8" t="s">
        <v>752</v>
      </c>
      <c r="C19" s="40" t="s">
        <v>457</v>
      </c>
      <c r="D19" s="40" t="s">
        <v>753</v>
      </c>
      <c r="E19" s="40" t="s">
        <v>754</v>
      </c>
      <c r="F19" s="40" t="s">
        <v>755</v>
      </c>
      <c r="G19" s="282" t="s">
        <v>756</v>
      </c>
      <c r="H19" s="40" t="s">
        <v>757</v>
      </c>
    </row>
    <row r="20" spans="2:8">
      <c r="B20">
        <v>1</v>
      </c>
      <c r="C20" s="191">
        <v>560010.50868726079</v>
      </c>
      <c r="D20">
        <v>2020</v>
      </c>
      <c r="E20" t="s">
        <v>262</v>
      </c>
      <c r="F20" t="s">
        <v>1069</v>
      </c>
      <c r="G20" t="s">
        <v>20</v>
      </c>
      <c r="H20" t="s">
        <v>759</v>
      </c>
    </row>
    <row r="21" spans="2:8">
      <c r="B21">
        <v>2</v>
      </c>
      <c r="C21" s="191">
        <v>1887192.5279576036</v>
      </c>
      <c r="D21">
        <v>2022</v>
      </c>
      <c r="E21" t="s">
        <v>258</v>
      </c>
      <c r="F21" t="s">
        <v>1069</v>
      </c>
      <c r="G21" t="s">
        <v>20</v>
      </c>
      <c r="H21" t="s">
        <v>1060</v>
      </c>
    </row>
    <row r="22" spans="2:8">
      <c r="B22">
        <v>3</v>
      </c>
      <c r="C22" s="191">
        <v>2723263.0314016985</v>
      </c>
      <c r="D22">
        <v>2022</v>
      </c>
      <c r="E22" t="s">
        <v>262</v>
      </c>
      <c r="F22" t="s">
        <v>1069</v>
      </c>
      <c r="G22" t="s">
        <v>20</v>
      </c>
      <c r="H22" t="s">
        <v>1060</v>
      </c>
    </row>
    <row r="23" spans="2:8">
      <c r="B23">
        <v>4</v>
      </c>
      <c r="C23" s="191">
        <v>226708.44028062467</v>
      </c>
      <c r="D23">
        <v>2022</v>
      </c>
      <c r="E23" t="s">
        <v>269</v>
      </c>
      <c r="F23" t="s">
        <v>1069</v>
      </c>
      <c r="G23" t="s">
        <v>20</v>
      </c>
      <c r="H23" t="s">
        <v>1060</v>
      </c>
    </row>
    <row r="24" spans="2:8">
      <c r="B24">
        <v>5</v>
      </c>
      <c r="C24" s="191">
        <v>3823042.1122861058</v>
      </c>
      <c r="D24">
        <v>2022</v>
      </c>
      <c r="E24" t="s">
        <v>297</v>
      </c>
      <c r="F24" t="s">
        <v>1069</v>
      </c>
      <c r="G24" t="s">
        <v>20</v>
      </c>
      <c r="H24" t="s">
        <v>1060</v>
      </c>
    </row>
    <row r="25" spans="2:8">
      <c r="B25">
        <v>6</v>
      </c>
      <c r="C25" s="191">
        <v>3149406.1431344105</v>
      </c>
      <c r="D25">
        <v>2022</v>
      </c>
      <c r="E25" t="s">
        <v>303</v>
      </c>
      <c r="F25" t="s">
        <v>1069</v>
      </c>
      <c r="G25" t="s">
        <v>20</v>
      </c>
      <c r="H25" t="s">
        <v>1060</v>
      </c>
    </row>
  </sheetData>
  <mergeCells count="4">
    <mergeCell ref="B5:F5"/>
    <mergeCell ref="B8:F8"/>
    <mergeCell ref="B11:D11"/>
    <mergeCell ref="B14:F14"/>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75"/>
  <sheetViews>
    <sheetView showGridLines="0" zoomScale="90" zoomScaleNormal="90" workbookViewId="0">
      <selection activeCell="B19" sqref="B19"/>
    </sheetView>
  </sheetViews>
  <sheetFormatPr defaultRowHeight="12.75"/>
  <cols>
    <col min="1" max="1" width="2.5703125" customWidth="1"/>
    <col min="2" max="2" width="8.42578125" bestFit="1" customWidth="1"/>
    <col min="3" max="3" width="20.85546875" bestFit="1" customWidth="1"/>
    <col min="4" max="4" width="23.85546875" bestFit="1" customWidth="1"/>
    <col min="5" max="5" width="30.28515625" bestFit="1" customWidth="1"/>
    <col min="6" max="6" width="72" bestFit="1" customWidth="1"/>
    <col min="7" max="7" width="9" bestFit="1" customWidth="1"/>
  </cols>
  <sheetData>
    <row r="1" spans="2:13" s="3" customFormat="1"/>
    <row r="2" spans="2:13" s="12" customFormat="1" ht="18">
      <c r="B2" s="12" t="s">
        <v>1061</v>
      </c>
    </row>
    <row r="3" spans="2:13" s="3" customFormat="1"/>
    <row r="4" spans="2:13" s="3" customFormat="1">
      <c r="B4" s="2" t="s">
        <v>173</v>
      </c>
    </row>
    <row r="5" spans="2:13" s="3" customFormat="1" ht="27" customHeight="1">
      <c r="B5" s="322" t="s">
        <v>1062</v>
      </c>
      <c r="C5" s="322"/>
      <c r="D5" s="322"/>
      <c r="E5" s="322"/>
      <c r="F5" s="322"/>
    </row>
    <row r="6" spans="2:13" s="3" customFormat="1"/>
    <row r="7" spans="2:13" s="3" customFormat="1">
      <c r="B7" s="16" t="s">
        <v>747</v>
      </c>
      <c r="D7" s="2"/>
    </row>
    <row r="8" spans="2:13" s="3" customFormat="1" ht="16.5" customHeight="1">
      <c r="B8" s="327" t="s">
        <v>1090</v>
      </c>
      <c r="C8" s="327"/>
      <c r="D8" s="327"/>
      <c r="E8" s="327"/>
      <c r="F8" s="327"/>
      <c r="G8" s="327"/>
      <c r="H8" s="327"/>
      <c r="I8" s="327"/>
      <c r="J8" s="327"/>
      <c r="K8" s="327"/>
      <c r="L8" s="327"/>
      <c r="M8" s="327"/>
    </row>
    <row r="9" spans="2:13" s="3" customFormat="1">
      <c r="B9" s="4"/>
    </row>
    <row r="10" spans="2:13" s="3" customFormat="1">
      <c r="B10" s="189" t="s">
        <v>748</v>
      </c>
    </row>
    <row r="11" spans="2:13" s="3" customFormat="1">
      <c r="B11" s="329">
        <v>45050</v>
      </c>
      <c r="C11" s="329"/>
      <c r="D11" s="329"/>
      <c r="E11" s="128"/>
    </row>
    <row r="13" spans="2:13">
      <c r="B13" s="189" t="s">
        <v>749</v>
      </c>
      <c r="D13" s="3"/>
      <c r="E13" s="3"/>
    </row>
    <row r="14" spans="2:13" ht="26.25" customHeight="1">
      <c r="B14" s="322" t="s">
        <v>760</v>
      </c>
      <c r="C14" s="322"/>
      <c r="D14" s="322"/>
      <c r="E14" s="322"/>
      <c r="F14" s="322"/>
    </row>
    <row r="16" spans="2:13">
      <c r="B16" s="190" t="s">
        <v>751</v>
      </c>
    </row>
    <row r="17" spans="2:7">
      <c r="B17" s="135">
        <f>SUBTOTAL(103,B20:B522)</f>
        <v>56</v>
      </c>
    </row>
    <row r="18" spans="2:7" ht="14.25" customHeight="1"/>
    <row r="19" spans="2:7" s="8" customFormat="1">
      <c r="B19" s="8" t="s">
        <v>752</v>
      </c>
      <c r="C19" s="40" t="s">
        <v>457</v>
      </c>
      <c r="D19" s="40" t="s">
        <v>753</v>
      </c>
      <c r="E19" s="40" t="s">
        <v>754</v>
      </c>
      <c r="F19" s="40" t="s">
        <v>757</v>
      </c>
      <c r="G19" s="40" t="s">
        <v>758</v>
      </c>
    </row>
    <row r="20" spans="2:7">
      <c r="B20">
        <v>1</v>
      </c>
      <c r="C20" s="191">
        <v>31360107.14852399</v>
      </c>
      <c r="D20">
        <v>2020</v>
      </c>
      <c r="E20" t="s">
        <v>258</v>
      </c>
      <c r="F20" t="s">
        <v>759</v>
      </c>
      <c r="G20">
        <v>1</v>
      </c>
    </row>
    <row r="21" spans="2:7">
      <c r="B21">
        <v>2</v>
      </c>
      <c r="C21" s="191">
        <v>4529775.5276718521</v>
      </c>
      <c r="D21">
        <v>2020</v>
      </c>
      <c r="E21" t="s">
        <v>262</v>
      </c>
      <c r="F21" t="s">
        <v>759</v>
      </c>
      <c r="G21">
        <v>1</v>
      </c>
    </row>
    <row r="22" spans="2:7">
      <c r="B22">
        <v>3</v>
      </c>
      <c r="C22" s="191">
        <v>1155721.8280173452</v>
      </c>
      <c r="D22">
        <v>2020</v>
      </c>
      <c r="E22" t="s">
        <v>265</v>
      </c>
      <c r="F22" t="s">
        <v>759</v>
      </c>
      <c r="G22">
        <v>1</v>
      </c>
    </row>
    <row r="23" spans="2:7">
      <c r="B23">
        <v>4</v>
      </c>
      <c r="C23" s="191">
        <v>1555027.7495395842</v>
      </c>
      <c r="D23">
        <v>2020</v>
      </c>
      <c r="E23" t="s">
        <v>269</v>
      </c>
      <c r="F23" t="s">
        <v>759</v>
      </c>
      <c r="G23">
        <v>1</v>
      </c>
    </row>
    <row r="24" spans="2:7">
      <c r="B24">
        <v>5</v>
      </c>
      <c r="C24" s="191">
        <v>847435.58289065212</v>
      </c>
      <c r="D24">
        <v>2020</v>
      </c>
      <c r="E24" t="s">
        <v>291</v>
      </c>
      <c r="F24" t="s">
        <v>759</v>
      </c>
      <c r="G24">
        <v>1</v>
      </c>
    </row>
    <row r="25" spans="2:7">
      <c r="B25">
        <v>6</v>
      </c>
      <c r="C25" s="191">
        <v>9057966.2936882433</v>
      </c>
      <c r="D25">
        <v>2020</v>
      </c>
      <c r="E25" t="s">
        <v>289</v>
      </c>
      <c r="F25" t="s">
        <v>759</v>
      </c>
      <c r="G25">
        <v>1</v>
      </c>
    </row>
    <row r="26" spans="2:7">
      <c r="B26">
        <v>7</v>
      </c>
      <c r="C26" s="191">
        <v>505581.67726689682</v>
      </c>
      <c r="D26">
        <v>2020</v>
      </c>
      <c r="E26" t="s">
        <v>292</v>
      </c>
      <c r="F26" t="s">
        <v>759</v>
      </c>
      <c r="G26">
        <v>1</v>
      </c>
    </row>
    <row r="27" spans="2:7">
      <c r="B27">
        <v>8</v>
      </c>
      <c r="C27" s="191">
        <v>26405484.075497396</v>
      </c>
      <c r="D27">
        <v>2020</v>
      </c>
      <c r="E27" t="s">
        <v>293</v>
      </c>
      <c r="F27" t="s">
        <v>759</v>
      </c>
      <c r="G27">
        <v>1</v>
      </c>
    </row>
    <row r="28" spans="2:7">
      <c r="B28">
        <v>9</v>
      </c>
      <c r="C28" s="191">
        <v>756400.94229177735</v>
      </c>
      <c r="D28">
        <v>2020</v>
      </c>
      <c r="E28" t="s">
        <v>296</v>
      </c>
      <c r="F28" t="s">
        <v>759</v>
      </c>
      <c r="G28">
        <v>1</v>
      </c>
    </row>
    <row r="29" spans="2:7">
      <c r="B29">
        <v>10</v>
      </c>
      <c r="C29" s="191">
        <v>12922329.119819744</v>
      </c>
      <c r="D29">
        <v>2020</v>
      </c>
      <c r="E29" t="s">
        <v>297</v>
      </c>
      <c r="F29" t="s">
        <v>759</v>
      </c>
      <c r="G29">
        <v>1</v>
      </c>
    </row>
    <row r="30" spans="2:7">
      <c r="B30">
        <v>11</v>
      </c>
      <c r="C30" s="191">
        <v>686952.98173478153</v>
      </c>
      <c r="D30">
        <v>2020</v>
      </c>
      <c r="E30" t="s">
        <v>303</v>
      </c>
      <c r="F30" t="s">
        <v>759</v>
      </c>
      <c r="G30">
        <v>1</v>
      </c>
    </row>
    <row r="31" spans="2:7">
      <c r="B31">
        <v>12</v>
      </c>
      <c r="C31" s="191">
        <v>975839.82625029294</v>
      </c>
      <c r="D31">
        <v>2020</v>
      </c>
      <c r="E31" t="s">
        <v>306</v>
      </c>
      <c r="F31" t="s">
        <v>759</v>
      </c>
      <c r="G31">
        <v>1</v>
      </c>
    </row>
    <row r="32" spans="2:7">
      <c r="B32">
        <v>13</v>
      </c>
      <c r="C32" s="191">
        <v>31012.676750044764</v>
      </c>
      <c r="D32">
        <v>2020</v>
      </c>
      <c r="E32" t="s">
        <v>308</v>
      </c>
      <c r="F32" t="s">
        <v>759</v>
      </c>
      <c r="G32">
        <v>1</v>
      </c>
    </row>
    <row r="33" spans="2:7">
      <c r="B33">
        <v>14</v>
      </c>
      <c r="C33" s="191">
        <v>12132.747993912169</v>
      </c>
      <c r="D33">
        <v>2020</v>
      </c>
      <c r="E33" t="s">
        <v>311</v>
      </c>
      <c r="F33" t="s">
        <v>759</v>
      </c>
      <c r="G33">
        <v>1</v>
      </c>
    </row>
    <row r="34" spans="2:7">
      <c r="B34">
        <v>15</v>
      </c>
      <c r="C34" s="191">
        <v>6654019.8779814392</v>
      </c>
      <c r="D34">
        <v>2020</v>
      </c>
      <c r="E34" t="s">
        <v>312</v>
      </c>
      <c r="F34" t="s">
        <v>759</v>
      </c>
      <c r="G34">
        <v>1</v>
      </c>
    </row>
    <row r="35" spans="2:7">
      <c r="B35">
        <v>16</v>
      </c>
      <c r="C35" s="191">
        <v>437.7361508808076</v>
      </c>
      <c r="D35">
        <v>2020</v>
      </c>
      <c r="E35" t="s">
        <v>319</v>
      </c>
      <c r="F35" t="s">
        <v>759</v>
      </c>
      <c r="G35">
        <v>1</v>
      </c>
    </row>
    <row r="36" spans="2:7">
      <c r="B36">
        <v>17</v>
      </c>
      <c r="C36" s="191">
        <v>11388.804547887481</v>
      </c>
      <c r="D36">
        <v>2020</v>
      </c>
      <c r="E36" t="s">
        <v>323</v>
      </c>
      <c r="F36" t="s">
        <v>759</v>
      </c>
      <c r="G36">
        <v>1</v>
      </c>
    </row>
    <row r="37" spans="2:7">
      <c r="B37">
        <v>18</v>
      </c>
      <c r="C37" s="191">
        <v>629346.76893527061</v>
      </c>
      <c r="D37">
        <v>2020</v>
      </c>
      <c r="E37" t="s">
        <v>324</v>
      </c>
      <c r="F37" t="s">
        <v>759</v>
      </c>
      <c r="G37">
        <v>1</v>
      </c>
    </row>
    <row r="38" spans="2:7">
      <c r="B38">
        <v>19</v>
      </c>
      <c r="C38" s="191">
        <v>17036.436079166462</v>
      </c>
      <c r="D38">
        <v>2020</v>
      </c>
      <c r="E38" t="s">
        <v>327</v>
      </c>
      <c r="F38" t="s">
        <v>759</v>
      </c>
      <c r="G38">
        <v>1</v>
      </c>
    </row>
    <row r="39" spans="2:7">
      <c r="B39">
        <v>20</v>
      </c>
      <c r="C39" s="191">
        <v>25706134.090591587</v>
      </c>
      <c r="D39">
        <v>2021</v>
      </c>
      <c r="E39" t="s">
        <v>258</v>
      </c>
      <c r="F39" t="s">
        <v>761</v>
      </c>
      <c r="G39">
        <v>1</v>
      </c>
    </row>
    <row r="40" spans="2:7">
      <c r="B40">
        <v>21</v>
      </c>
      <c r="C40" s="191">
        <v>4851611.3998010792</v>
      </c>
      <c r="D40">
        <v>2021</v>
      </c>
      <c r="E40" t="s">
        <v>262</v>
      </c>
      <c r="F40" t="s">
        <v>761</v>
      </c>
      <c r="G40">
        <v>1</v>
      </c>
    </row>
    <row r="41" spans="2:7">
      <c r="B41">
        <v>22</v>
      </c>
      <c r="C41" s="191">
        <v>1383899.1314390239</v>
      </c>
      <c r="D41">
        <v>2021</v>
      </c>
      <c r="E41" t="s">
        <v>263</v>
      </c>
      <c r="F41" t="s">
        <v>761</v>
      </c>
      <c r="G41">
        <v>1</v>
      </c>
    </row>
    <row r="42" spans="2:7">
      <c r="B42">
        <v>23</v>
      </c>
      <c r="C42" s="191">
        <v>36.126161654819548</v>
      </c>
      <c r="D42">
        <v>2021</v>
      </c>
      <c r="E42" t="s">
        <v>266</v>
      </c>
      <c r="F42" t="s">
        <v>761</v>
      </c>
      <c r="G42">
        <v>1</v>
      </c>
    </row>
    <row r="43" spans="2:7">
      <c r="B43">
        <v>24</v>
      </c>
      <c r="C43" s="191">
        <v>1097396.6149389972</v>
      </c>
      <c r="D43">
        <v>2021</v>
      </c>
      <c r="E43" t="s">
        <v>269</v>
      </c>
      <c r="F43" t="s">
        <v>761</v>
      </c>
      <c r="G43">
        <v>1</v>
      </c>
    </row>
    <row r="44" spans="2:7">
      <c r="B44">
        <v>25</v>
      </c>
      <c r="C44" s="191">
        <v>21.673674251477685</v>
      </c>
      <c r="D44">
        <v>2021</v>
      </c>
      <c r="E44" t="s">
        <v>270</v>
      </c>
      <c r="F44" t="s">
        <v>761</v>
      </c>
      <c r="G44">
        <v>1</v>
      </c>
    </row>
    <row r="45" spans="2:7">
      <c r="B45">
        <v>26</v>
      </c>
      <c r="C45" s="191">
        <v>503372.15987408569</v>
      </c>
      <c r="D45">
        <v>2021</v>
      </c>
      <c r="E45" t="s">
        <v>291</v>
      </c>
      <c r="F45" t="s">
        <v>761</v>
      </c>
      <c r="G45">
        <v>1</v>
      </c>
    </row>
    <row r="46" spans="2:7">
      <c r="B46">
        <v>27</v>
      </c>
      <c r="C46" s="191">
        <v>8924117.8015749026</v>
      </c>
      <c r="D46">
        <v>2021</v>
      </c>
      <c r="E46" t="s">
        <v>289</v>
      </c>
      <c r="F46" t="s">
        <v>761</v>
      </c>
      <c r="G46">
        <v>1</v>
      </c>
    </row>
    <row r="47" spans="2:7">
      <c r="B47">
        <v>28</v>
      </c>
      <c r="C47" s="191">
        <v>302473.20248261362</v>
      </c>
      <c r="D47">
        <v>2021</v>
      </c>
      <c r="E47" t="s">
        <v>292</v>
      </c>
      <c r="F47" t="s">
        <v>761</v>
      </c>
      <c r="G47">
        <v>1</v>
      </c>
    </row>
    <row r="48" spans="2:7">
      <c r="B48">
        <v>29</v>
      </c>
      <c r="C48" s="191">
        <v>2052183.8724388792</v>
      </c>
      <c r="D48">
        <v>2021</v>
      </c>
      <c r="E48" t="s">
        <v>293</v>
      </c>
      <c r="F48" t="s">
        <v>761</v>
      </c>
      <c r="G48">
        <v>1</v>
      </c>
    </row>
    <row r="49" spans="2:7">
      <c r="B49">
        <v>30</v>
      </c>
      <c r="C49" s="191">
        <v>2389093.2206175276</v>
      </c>
      <c r="D49">
        <v>2021</v>
      </c>
      <c r="E49" t="s">
        <v>296</v>
      </c>
      <c r="F49" t="s">
        <v>761</v>
      </c>
      <c r="G49">
        <v>1</v>
      </c>
    </row>
    <row r="50" spans="2:7">
      <c r="B50">
        <v>31</v>
      </c>
      <c r="C50" s="191">
        <v>2623152.226809788</v>
      </c>
      <c r="D50">
        <v>2021</v>
      </c>
      <c r="E50" t="s">
        <v>297</v>
      </c>
      <c r="F50" t="s">
        <v>761</v>
      </c>
      <c r="G50">
        <v>1</v>
      </c>
    </row>
    <row r="51" spans="2:7">
      <c r="B51">
        <v>32</v>
      </c>
      <c r="C51" s="191">
        <v>1633023.1294499158</v>
      </c>
      <c r="D51">
        <v>2021</v>
      </c>
      <c r="E51" t="s">
        <v>300</v>
      </c>
      <c r="F51" t="s">
        <v>761</v>
      </c>
      <c r="G51">
        <v>1</v>
      </c>
    </row>
    <row r="52" spans="2:7">
      <c r="B52">
        <v>33</v>
      </c>
      <c r="C52" s="191">
        <v>1234463.3646877937</v>
      </c>
      <c r="D52">
        <v>2021</v>
      </c>
      <c r="E52" t="s">
        <v>303</v>
      </c>
      <c r="F52" t="s">
        <v>761</v>
      </c>
      <c r="G52">
        <v>1</v>
      </c>
    </row>
    <row r="53" spans="2:7">
      <c r="B53">
        <v>34</v>
      </c>
      <c r="C53" s="191">
        <v>374278.37821483467</v>
      </c>
      <c r="D53">
        <v>2021</v>
      </c>
      <c r="E53" t="s">
        <v>306</v>
      </c>
      <c r="F53" t="s">
        <v>761</v>
      </c>
      <c r="G53">
        <v>1</v>
      </c>
    </row>
    <row r="54" spans="2:7">
      <c r="B54">
        <v>35</v>
      </c>
      <c r="C54" s="191">
        <v>889564.28597105667</v>
      </c>
      <c r="D54">
        <v>2021</v>
      </c>
      <c r="E54" t="s">
        <v>308</v>
      </c>
      <c r="F54" t="s">
        <v>761</v>
      </c>
      <c r="G54">
        <v>1</v>
      </c>
    </row>
    <row r="55" spans="2:7">
      <c r="B55">
        <v>36</v>
      </c>
      <c r="C55" s="191">
        <v>21.673674251477685</v>
      </c>
      <c r="D55">
        <v>2021</v>
      </c>
      <c r="E55" t="s">
        <v>310</v>
      </c>
      <c r="F55" t="s">
        <v>761</v>
      </c>
      <c r="G55">
        <v>1</v>
      </c>
    </row>
    <row r="56" spans="2:7">
      <c r="B56">
        <v>37</v>
      </c>
      <c r="C56" s="191">
        <v>66907.138099665128</v>
      </c>
      <c r="D56">
        <v>2021</v>
      </c>
      <c r="E56" t="s">
        <v>312</v>
      </c>
      <c r="F56" t="s">
        <v>761</v>
      </c>
      <c r="G56">
        <v>1</v>
      </c>
    </row>
    <row r="57" spans="2:7">
      <c r="B57">
        <v>38</v>
      </c>
      <c r="C57" s="191">
        <v>280.60480266320502</v>
      </c>
      <c r="D57">
        <v>2021</v>
      </c>
      <c r="E57" t="s">
        <v>323</v>
      </c>
      <c r="F57" t="s">
        <v>761</v>
      </c>
      <c r="G57">
        <v>1</v>
      </c>
    </row>
    <row r="58" spans="2:7">
      <c r="B58">
        <v>39</v>
      </c>
      <c r="C58" s="191">
        <v>13637663.667912096</v>
      </c>
      <c r="D58">
        <v>2021</v>
      </c>
      <c r="E58" t="s">
        <v>324</v>
      </c>
      <c r="F58" t="s">
        <v>761</v>
      </c>
      <c r="G58">
        <v>1</v>
      </c>
    </row>
    <row r="59" spans="2:7">
      <c r="B59">
        <v>40</v>
      </c>
      <c r="C59" s="191">
        <v>6068.2242421309429</v>
      </c>
      <c r="D59">
        <v>2021</v>
      </c>
      <c r="E59" t="s">
        <v>327</v>
      </c>
      <c r="F59" t="s">
        <v>761</v>
      </c>
      <c r="G59">
        <v>1</v>
      </c>
    </row>
    <row r="60" spans="2:7">
      <c r="B60">
        <v>41</v>
      </c>
      <c r="C60" s="191">
        <v>2134515.8335881382</v>
      </c>
      <c r="D60">
        <v>2021</v>
      </c>
      <c r="E60" t="s">
        <v>328</v>
      </c>
      <c r="F60" t="s">
        <v>761</v>
      </c>
      <c r="G60">
        <v>1</v>
      </c>
    </row>
    <row r="61" spans="2:7">
      <c r="B61">
        <v>42</v>
      </c>
      <c r="C61" s="191">
        <v>33802189.524532035</v>
      </c>
      <c r="D61">
        <v>2022</v>
      </c>
      <c r="E61" t="s">
        <v>258</v>
      </c>
      <c r="F61" t="s">
        <v>1060</v>
      </c>
      <c r="G61">
        <v>1</v>
      </c>
    </row>
    <row r="62" spans="2:7">
      <c r="B62">
        <v>43</v>
      </c>
      <c r="C62" s="191">
        <v>6848019.4087200193</v>
      </c>
      <c r="D62">
        <v>2022</v>
      </c>
      <c r="E62" t="s">
        <v>262</v>
      </c>
      <c r="F62" t="s">
        <v>1060</v>
      </c>
      <c r="G62">
        <v>1</v>
      </c>
    </row>
    <row r="63" spans="2:7">
      <c r="B63">
        <v>44</v>
      </c>
      <c r="C63" s="191">
        <v>906557.93143876945</v>
      </c>
      <c r="D63">
        <v>2022</v>
      </c>
      <c r="E63" t="s">
        <v>269</v>
      </c>
      <c r="F63" t="s">
        <v>1060</v>
      </c>
      <c r="G63">
        <v>1</v>
      </c>
    </row>
    <row r="64" spans="2:7">
      <c r="B64">
        <v>45</v>
      </c>
      <c r="C64" s="191">
        <v>105275.1321727797</v>
      </c>
      <c r="D64">
        <v>2022</v>
      </c>
      <c r="E64" t="s">
        <v>291</v>
      </c>
      <c r="F64" t="s">
        <v>1060</v>
      </c>
      <c r="G64">
        <v>1</v>
      </c>
    </row>
    <row r="65" spans="2:7">
      <c r="B65">
        <v>46</v>
      </c>
      <c r="C65" s="191">
        <v>6291241.6462325864</v>
      </c>
      <c r="D65">
        <v>2022</v>
      </c>
      <c r="E65" t="s">
        <v>289</v>
      </c>
      <c r="F65" t="s">
        <v>1060</v>
      </c>
      <c r="G65">
        <v>1</v>
      </c>
    </row>
    <row r="66" spans="2:7">
      <c r="B66">
        <v>47</v>
      </c>
      <c r="C66" s="191">
        <v>10404823.672873138</v>
      </c>
      <c r="D66">
        <v>2022</v>
      </c>
      <c r="E66" t="s">
        <v>292</v>
      </c>
      <c r="F66" t="s">
        <v>1060</v>
      </c>
      <c r="G66">
        <v>1</v>
      </c>
    </row>
    <row r="67" spans="2:7">
      <c r="B67">
        <v>48</v>
      </c>
      <c r="C67" s="191">
        <v>3091812.0776959248</v>
      </c>
      <c r="D67">
        <v>2022</v>
      </c>
      <c r="E67" t="s">
        <v>293</v>
      </c>
      <c r="F67" t="s">
        <v>1060</v>
      </c>
      <c r="G67">
        <v>1</v>
      </c>
    </row>
    <row r="68" spans="2:7">
      <c r="B68">
        <v>49</v>
      </c>
      <c r="C68" s="191">
        <v>1027144.7006051679</v>
      </c>
      <c r="D68">
        <v>2022</v>
      </c>
      <c r="E68" t="s">
        <v>296</v>
      </c>
      <c r="F68" t="s">
        <v>1060</v>
      </c>
      <c r="G68">
        <v>1</v>
      </c>
    </row>
    <row r="69" spans="2:7">
      <c r="B69">
        <v>50</v>
      </c>
      <c r="C69" s="191">
        <v>15713448.745536495</v>
      </c>
      <c r="D69">
        <v>2022</v>
      </c>
      <c r="E69" t="s">
        <v>297</v>
      </c>
      <c r="F69" t="s">
        <v>1060</v>
      </c>
      <c r="G69">
        <v>1</v>
      </c>
    </row>
    <row r="70" spans="2:7">
      <c r="B70">
        <v>51</v>
      </c>
      <c r="C70" s="191">
        <v>4051088.2434311435</v>
      </c>
      <c r="D70">
        <v>2022</v>
      </c>
      <c r="E70" t="s">
        <v>303</v>
      </c>
      <c r="F70" t="s">
        <v>1060</v>
      </c>
      <c r="G70">
        <v>1</v>
      </c>
    </row>
    <row r="71" spans="2:7">
      <c r="B71">
        <v>52</v>
      </c>
      <c r="C71" s="191">
        <v>646.66041749437318</v>
      </c>
      <c r="D71">
        <v>2022</v>
      </c>
      <c r="E71" t="s">
        <v>306</v>
      </c>
      <c r="F71" t="s">
        <v>1060</v>
      </c>
      <c r="G71">
        <v>1</v>
      </c>
    </row>
    <row r="72" spans="2:7">
      <c r="B72">
        <v>53</v>
      </c>
      <c r="C72" s="191">
        <v>183612.56837479287</v>
      </c>
      <c r="D72">
        <v>2022</v>
      </c>
      <c r="E72" t="s">
        <v>308</v>
      </c>
      <c r="F72" t="s">
        <v>1060</v>
      </c>
      <c r="G72">
        <v>1</v>
      </c>
    </row>
    <row r="73" spans="2:7">
      <c r="B73">
        <v>54</v>
      </c>
      <c r="C73" s="191">
        <v>913776.71943710383</v>
      </c>
      <c r="D73">
        <v>2022</v>
      </c>
      <c r="E73" t="s">
        <v>312</v>
      </c>
      <c r="F73" t="s">
        <v>1060</v>
      </c>
      <c r="G73">
        <v>1</v>
      </c>
    </row>
    <row r="74" spans="2:7">
      <c r="B74">
        <v>55</v>
      </c>
      <c r="C74" s="191">
        <v>-5585879.903173985</v>
      </c>
      <c r="D74">
        <v>2022</v>
      </c>
      <c r="E74" t="s">
        <v>324</v>
      </c>
      <c r="F74" t="s">
        <v>1060</v>
      </c>
      <c r="G74">
        <v>1</v>
      </c>
    </row>
    <row r="75" spans="2:7">
      <c r="B75">
        <v>56</v>
      </c>
      <c r="C75" s="191">
        <v>622471.67011423525</v>
      </c>
      <c r="D75">
        <v>2022</v>
      </c>
      <c r="E75" t="s">
        <v>328</v>
      </c>
      <c r="F75" t="s">
        <v>1060</v>
      </c>
      <c r="G75">
        <v>1</v>
      </c>
    </row>
  </sheetData>
  <mergeCells count="4">
    <mergeCell ref="B5:F5"/>
    <mergeCell ref="B8:M8"/>
    <mergeCell ref="B11:D11"/>
    <mergeCell ref="B14:F14"/>
  </mergeCell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426"/>
  <sheetViews>
    <sheetView showGridLines="0" zoomScale="90" zoomScaleNormal="90" workbookViewId="0">
      <selection activeCell="B19" sqref="B19:I19"/>
    </sheetView>
  </sheetViews>
  <sheetFormatPr defaultRowHeight="12.75"/>
  <cols>
    <col min="1" max="1" width="2.5703125" customWidth="1"/>
    <col min="2" max="2" width="7.5703125" bestFit="1" customWidth="1"/>
    <col min="3" max="3" width="66.140625" bestFit="1" customWidth="1"/>
    <col min="4" max="4" width="30.28515625" bestFit="1" customWidth="1"/>
    <col min="5" max="5" width="48.85546875" bestFit="1" customWidth="1"/>
    <col min="6" max="6" width="47.5703125" bestFit="1" customWidth="1"/>
    <col min="7" max="7" width="6.7109375" bestFit="1" customWidth="1"/>
    <col min="8" max="8" width="69.42578125" bestFit="1" customWidth="1"/>
    <col min="9" max="9" width="8.42578125" bestFit="1" customWidth="1"/>
  </cols>
  <sheetData>
    <row r="1" spans="2:13" s="3" customFormat="1">
      <c r="C1" s="194"/>
    </row>
    <row r="2" spans="2:13" s="12" customFormat="1" ht="18">
      <c r="B2" s="12" t="s">
        <v>762</v>
      </c>
      <c r="C2" s="195"/>
    </row>
    <row r="3" spans="2:13" s="3" customFormat="1">
      <c r="C3" s="194"/>
    </row>
    <row r="4" spans="2:13" s="3" customFormat="1">
      <c r="B4" s="2" t="s">
        <v>173</v>
      </c>
      <c r="C4" s="194"/>
    </row>
    <row r="5" spans="2:13" s="3" customFormat="1">
      <c r="B5" s="3" t="s">
        <v>763</v>
      </c>
      <c r="C5" s="194"/>
    </row>
    <row r="6" spans="2:13" s="3" customFormat="1">
      <c r="C6" s="194"/>
    </row>
    <row r="7" spans="2:13" s="3" customFormat="1">
      <c r="B7" s="16" t="s">
        <v>747</v>
      </c>
      <c r="C7" s="194"/>
      <c r="D7" s="2"/>
    </row>
    <row r="8" spans="2:13" s="3" customFormat="1" ht="16.5" customHeight="1">
      <c r="B8" s="327" t="s">
        <v>1090</v>
      </c>
      <c r="C8" s="327"/>
      <c r="D8" s="327"/>
      <c r="E8" s="327"/>
      <c r="F8" s="327"/>
      <c r="G8" s="327"/>
      <c r="H8" s="327"/>
      <c r="I8" s="327"/>
      <c r="J8" s="327"/>
      <c r="K8" s="327"/>
      <c r="L8" s="327"/>
      <c r="M8" s="327"/>
    </row>
    <row r="9" spans="2:13" s="3" customFormat="1">
      <c r="B9" s="4"/>
      <c r="C9" s="194"/>
    </row>
    <row r="10" spans="2:13" s="3" customFormat="1">
      <c r="B10" s="189" t="s">
        <v>748</v>
      </c>
      <c r="C10" s="194"/>
    </row>
    <row r="11" spans="2:13" s="3" customFormat="1">
      <c r="B11" s="329">
        <v>45050</v>
      </c>
      <c r="C11" s="329"/>
      <c r="D11" s="329"/>
      <c r="E11" s="128"/>
    </row>
    <row r="12" spans="2:13">
      <c r="C12" s="192"/>
    </row>
    <row r="13" spans="2:13">
      <c r="B13" s="189" t="s">
        <v>749</v>
      </c>
      <c r="C13" s="192"/>
      <c r="D13" s="3"/>
      <c r="E13" s="3"/>
    </row>
    <row r="14" spans="2:13">
      <c r="B14" s="322" t="s">
        <v>764</v>
      </c>
      <c r="C14" s="322"/>
      <c r="D14" s="322"/>
      <c r="E14" s="128"/>
    </row>
    <row r="15" spans="2:13">
      <c r="C15" s="192"/>
    </row>
    <row r="16" spans="2:13">
      <c r="B16" s="190" t="s">
        <v>751</v>
      </c>
      <c r="C16" s="192"/>
    </row>
    <row r="17" spans="2:9">
      <c r="B17" s="135">
        <f>SUBTOTAL(103,B20:B625)</f>
        <v>407</v>
      </c>
      <c r="C17" s="192"/>
    </row>
    <row r="18" spans="2:9" ht="14.25" customHeight="1">
      <c r="C18" s="192"/>
    </row>
    <row r="19" spans="2:9" s="8" customFormat="1">
      <c r="B19" s="8" t="s">
        <v>752</v>
      </c>
      <c r="C19" s="8" t="s">
        <v>255</v>
      </c>
      <c r="D19" s="8" t="s">
        <v>488</v>
      </c>
      <c r="E19" s="8" t="s">
        <v>765</v>
      </c>
      <c r="F19" s="8" t="s">
        <v>766</v>
      </c>
      <c r="G19" s="8" t="s">
        <v>139</v>
      </c>
      <c r="H19" s="8" t="s">
        <v>757</v>
      </c>
      <c r="I19" s="8" t="s">
        <v>758</v>
      </c>
    </row>
    <row r="20" spans="2:9">
      <c r="B20">
        <v>1</v>
      </c>
      <c r="C20" t="s">
        <v>258</v>
      </c>
      <c r="D20">
        <v>1955</v>
      </c>
      <c r="E20">
        <v>7756.11</v>
      </c>
      <c r="G20">
        <v>2020</v>
      </c>
      <c r="H20" t="s">
        <v>759</v>
      </c>
      <c r="I20">
        <v>1</v>
      </c>
    </row>
    <row r="21" spans="2:9">
      <c r="B21">
        <v>2</v>
      </c>
      <c r="C21" t="s">
        <v>258</v>
      </c>
      <c r="D21">
        <v>1957</v>
      </c>
      <c r="E21">
        <v>1329.11</v>
      </c>
      <c r="G21">
        <v>2020</v>
      </c>
      <c r="H21" t="s">
        <v>759</v>
      </c>
      <c r="I21">
        <v>1</v>
      </c>
    </row>
    <row r="22" spans="2:9">
      <c r="B22">
        <v>3</v>
      </c>
      <c r="C22" t="s">
        <v>258</v>
      </c>
      <c r="D22">
        <v>1958</v>
      </c>
      <c r="E22">
        <v>110951.25</v>
      </c>
      <c r="G22">
        <v>2020</v>
      </c>
      <c r="H22" t="s">
        <v>759</v>
      </c>
      <c r="I22">
        <v>1</v>
      </c>
    </row>
    <row r="23" spans="2:9">
      <c r="B23">
        <v>4</v>
      </c>
      <c r="C23" t="s">
        <v>258</v>
      </c>
      <c r="D23">
        <v>1959</v>
      </c>
      <c r="E23">
        <v>1485.2</v>
      </c>
      <c r="G23">
        <v>2020</v>
      </c>
      <c r="H23" t="s">
        <v>759</v>
      </c>
      <c r="I23">
        <v>1</v>
      </c>
    </row>
    <row r="24" spans="2:9">
      <c r="B24">
        <v>5</v>
      </c>
      <c r="C24" t="s">
        <v>258</v>
      </c>
      <c r="D24">
        <v>1960</v>
      </c>
      <c r="E24">
        <v>472102</v>
      </c>
      <c r="F24">
        <v>70000</v>
      </c>
      <c r="G24">
        <v>2020</v>
      </c>
      <c r="H24" t="s">
        <v>759</v>
      </c>
      <c r="I24">
        <v>1</v>
      </c>
    </row>
    <row r="25" spans="2:9">
      <c r="B25">
        <v>6</v>
      </c>
      <c r="C25" t="s">
        <v>258</v>
      </c>
      <c r="D25">
        <v>1963</v>
      </c>
      <c r="E25">
        <v>5199.87</v>
      </c>
      <c r="G25">
        <v>2020</v>
      </c>
      <c r="H25" t="s">
        <v>759</v>
      </c>
      <c r="I25">
        <v>1</v>
      </c>
    </row>
    <row r="26" spans="2:9">
      <c r="B26">
        <v>7</v>
      </c>
      <c r="C26" t="s">
        <v>258</v>
      </c>
      <c r="D26">
        <v>1965</v>
      </c>
      <c r="E26">
        <v>323801.40000000002</v>
      </c>
      <c r="G26">
        <v>2020</v>
      </c>
      <c r="H26" t="s">
        <v>759</v>
      </c>
      <c r="I26">
        <v>1</v>
      </c>
    </row>
    <row r="27" spans="2:9">
      <c r="B27">
        <v>8</v>
      </c>
      <c r="C27" t="s">
        <v>258</v>
      </c>
      <c r="D27">
        <v>1966</v>
      </c>
      <c r="E27">
        <v>436963.19</v>
      </c>
      <c r="G27">
        <v>2020</v>
      </c>
      <c r="H27" t="s">
        <v>759</v>
      </c>
      <c r="I27">
        <v>1</v>
      </c>
    </row>
    <row r="28" spans="2:9">
      <c r="B28">
        <v>9</v>
      </c>
      <c r="C28" t="s">
        <v>260</v>
      </c>
      <c r="D28">
        <v>1966</v>
      </c>
      <c r="E28">
        <v>185.7</v>
      </c>
      <c r="G28">
        <v>2020</v>
      </c>
      <c r="H28" t="s">
        <v>759</v>
      </c>
      <c r="I28">
        <v>1</v>
      </c>
    </row>
    <row r="29" spans="2:9">
      <c r="B29">
        <v>10</v>
      </c>
      <c r="C29" t="s">
        <v>258</v>
      </c>
      <c r="D29">
        <v>1967</v>
      </c>
      <c r="E29">
        <v>527887.29</v>
      </c>
      <c r="G29">
        <v>2020</v>
      </c>
      <c r="H29" t="s">
        <v>759</v>
      </c>
      <c r="I29">
        <v>1</v>
      </c>
    </row>
    <row r="30" spans="2:9">
      <c r="B30">
        <v>11</v>
      </c>
      <c r="C30" t="s">
        <v>258</v>
      </c>
      <c r="D30">
        <v>1968</v>
      </c>
      <c r="E30">
        <v>243220.29</v>
      </c>
      <c r="G30">
        <v>2020</v>
      </c>
      <c r="H30" t="s">
        <v>759</v>
      </c>
      <c r="I30">
        <v>1</v>
      </c>
    </row>
    <row r="31" spans="2:9">
      <c r="B31">
        <v>12</v>
      </c>
      <c r="C31" t="s">
        <v>258</v>
      </c>
      <c r="D31">
        <v>1969</v>
      </c>
      <c r="E31">
        <v>157118.15</v>
      </c>
      <c r="G31">
        <v>2020</v>
      </c>
      <c r="H31" t="s">
        <v>759</v>
      </c>
      <c r="I31">
        <v>1</v>
      </c>
    </row>
    <row r="32" spans="2:9">
      <c r="B32">
        <v>13</v>
      </c>
      <c r="C32" t="s">
        <v>260</v>
      </c>
      <c r="D32">
        <v>1969</v>
      </c>
      <c r="E32">
        <v>16723.95</v>
      </c>
      <c r="G32">
        <v>2020</v>
      </c>
      <c r="H32" t="s">
        <v>759</v>
      </c>
      <c r="I32">
        <v>1</v>
      </c>
    </row>
    <row r="33" spans="2:9">
      <c r="B33">
        <v>14</v>
      </c>
      <c r="C33" t="s">
        <v>258</v>
      </c>
      <c r="D33">
        <v>1970</v>
      </c>
      <c r="E33">
        <v>186298.57</v>
      </c>
      <c r="G33">
        <v>2020</v>
      </c>
      <c r="H33" t="s">
        <v>759</v>
      </c>
      <c r="I33">
        <v>1</v>
      </c>
    </row>
    <row r="34" spans="2:9">
      <c r="B34">
        <v>15</v>
      </c>
      <c r="C34" t="s">
        <v>258</v>
      </c>
      <c r="D34">
        <v>1971</v>
      </c>
      <c r="E34">
        <v>161892.66</v>
      </c>
      <c r="G34">
        <v>2020</v>
      </c>
      <c r="H34" t="s">
        <v>759</v>
      </c>
      <c r="I34">
        <v>1</v>
      </c>
    </row>
    <row r="35" spans="2:9">
      <c r="B35">
        <v>16</v>
      </c>
      <c r="C35" t="s">
        <v>260</v>
      </c>
      <c r="D35">
        <v>1971</v>
      </c>
      <c r="E35">
        <v>20942.86</v>
      </c>
      <c r="G35">
        <v>2020</v>
      </c>
      <c r="H35" t="s">
        <v>759</v>
      </c>
      <c r="I35">
        <v>1</v>
      </c>
    </row>
    <row r="36" spans="2:9">
      <c r="B36">
        <v>17</v>
      </c>
      <c r="C36" t="s">
        <v>258</v>
      </c>
      <c r="D36">
        <v>1972</v>
      </c>
      <c r="E36">
        <v>414299.14</v>
      </c>
      <c r="G36">
        <v>2020</v>
      </c>
      <c r="H36" t="s">
        <v>759</v>
      </c>
      <c r="I36">
        <v>1</v>
      </c>
    </row>
    <row r="37" spans="2:9">
      <c r="B37">
        <v>18</v>
      </c>
      <c r="C37" t="s">
        <v>260</v>
      </c>
      <c r="D37">
        <v>1972</v>
      </c>
      <c r="E37">
        <v>40987.47</v>
      </c>
      <c r="G37">
        <v>2020</v>
      </c>
      <c r="H37" t="s">
        <v>759</v>
      </c>
      <c r="I37">
        <v>1</v>
      </c>
    </row>
    <row r="38" spans="2:9">
      <c r="B38">
        <v>19</v>
      </c>
      <c r="C38" t="s">
        <v>258</v>
      </c>
      <c r="D38">
        <v>1973</v>
      </c>
      <c r="E38">
        <v>199407.52</v>
      </c>
      <c r="G38">
        <v>2020</v>
      </c>
      <c r="H38" t="s">
        <v>759</v>
      </c>
      <c r="I38">
        <v>1</v>
      </c>
    </row>
    <row r="39" spans="2:9">
      <c r="B39">
        <v>20</v>
      </c>
      <c r="C39" t="s">
        <v>260</v>
      </c>
      <c r="D39">
        <v>1973</v>
      </c>
      <c r="E39">
        <v>12298.26</v>
      </c>
      <c r="G39">
        <v>2020</v>
      </c>
      <c r="H39" t="s">
        <v>759</v>
      </c>
      <c r="I39">
        <v>1</v>
      </c>
    </row>
    <row r="40" spans="2:9">
      <c r="B40">
        <v>21</v>
      </c>
      <c r="C40" t="s">
        <v>258</v>
      </c>
      <c r="D40">
        <v>1974</v>
      </c>
      <c r="E40">
        <v>45610.86</v>
      </c>
      <c r="G40">
        <v>2020</v>
      </c>
      <c r="H40" t="s">
        <v>759</v>
      </c>
      <c r="I40">
        <v>1</v>
      </c>
    </row>
    <row r="41" spans="2:9">
      <c r="B41">
        <v>22</v>
      </c>
      <c r="C41" t="s">
        <v>258</v>
      </c>
      <c r="D41">
        <v>1975</v>
      </c>
      <c r="E41">
        <v>26637.1</v>
      </c>
      <c r="G41">
        <v>2020</v>
      </c>
      <c r="H41" t="s">
        <v>759</v>
      </c>
      <c r="I41">
        <v>1</v>
      </c>
    </row>
    <row r="42" spans="2:9">
      <c r="B42">
        <v>23</v>
      </c>
      <c r="C42" t="s">
        <v>260</v>
      </c>
      <c r="D42">
        <v>1975</v>
      </c>
      <c r="E42">
        <v>13362.9</v>
      </c>
      <c r="G42">
        <v>2020</v>
      </c>
      <c r="H42" t="s">
        <v>759</v>
      </c>
      <c r="I42">
        <v>1</v>
      </c>
    </row>
    <row r="43" spans="2:9">
      <c r="B43">
        <v>24</v>
      </c>
      <c r="C43" t="s">
        <v>258</v>
      </c>
      <c r="D43">
        <v>1976</v>
      </c>
      <c r="E43">
        <v>110116.33</v>
      </c>
      <c r="G43">
        <v>2020</v>
      </c>
      <c r="H43" t="s">
        <v>759</v>
      </c>
      <c r="I43">
        <v>1</v>
      </c>
    </row>
    <row r="44" spans="2:9">
      <c r="B44">
        <v>25</v>
      </c>
      <c r="C44" t="s">
        <v>258</v>
      </c>
      <c r="D44">
        <v>1977</v>
      </c>
      <c r="E44">
        <v>40000</v>
      </c>
      <c r="G44">
        <v>2020</v>
      </c>
      <c r="H44" t="s">
        <v>759</v>
      </c>
      <c r="I44">
        <v>1</v>
      </c>
    </row>
    <row r="45" spans="2:9">
      <c r="B45">
        <v>26</v>
      </c>
      <c r="C45" t="s">
        <v>258</v>
      </c>
      <c r="D45">
        <v>1980</v>
      </c>
      <c r="E45">
        <v>104178.71</v>
      </c>
      <c r="G45">
        <v>2020</v>
      </c>
      <c r="H45" t="s">
        <v>759</v>
      </c>
      <c r="I45">
        <v>1</v>
      </c>
    </row>
    <row r="46" spans="2:9">
      <c r="B46">
        <v>27</v>
      </c>
      <c r="C46" t="s">
        <v>260</v>
      </c>
      <c r="D46">
        <v>1980</v>
      </c>
      <c r="E46">
        <v>47995.57</v>
      </c>
      <c r="G46">
        <v>2020</v>
      </c>
      <c r="H46" t="s">
        <v>759</v>
      </c>
      <c r="I46">
        <v>1</v>
      </c>
    </row>
    <row r="47" spans="2:9">
      <c r="B47">
        <v>28</v>
      </c>
      <c r="C47" t="s">
        <v>258</v>
      </c>
      <c r="D47">
        <v>1986</v>
      </c>
      <c r="E47">
        <v>1666.04</v>
      </c>
      <c r="G47">
        <v>2020</v>
      </c>
      <c r="H47" t="s">
        <v>759</v>
      </c>
      <c r="I47">
        <v>1</v>
      </c>
    </row>
    <row r="48" spans="2:9">
      <c r="B48">
        <v>29</v>
      </c>
      <c r="C48" t="s">
        <v>258</v>
      </c>
      <c r="D48">
        <v>1987</v>
      </c>
      <c r="E48">
        <v>35717.06</v>
      </c>
      <c r="G48">
        <v>2020</v>
      </c>
      <c r="H48" t="s">
        <v>759</v>
      </c>
      <c r="I48">
        <v>1</v>
      </c>
    </row>
    <row r="49" spans="2:9">
      <c r="B49">
        <v>30</v>
      </c>
      <c r="C49" t="s">
        <v>258</v>
      </c>
      <c r="D49">
        <v>1988</v>
      </c>
      <c r="E49">
        <v>4808.08</v>
      </c>
      <c r="G49">
        <v>2020</v>
      </c>
      <c r="H49" t="s">
        <v>759</v>
      </c>
      <c r="I49">
        <v>1</v>
      </c>
    </row>
    <row r="50" spans="2:9">
      <c r="B50">
        <v>31</v>
      </c>
      <c r="C50" t="s">
        <v>258</v>
      </c>
      <c r="D50">
        <v>1989</v>
      </c>
      <c r="E50">
        <v>24785.81</v>
      </c>
      <c r="G50">
        <v>2020</v>
      </c>
      <c r="H50" t="s">
        <v>759</v>
      </c>
      <c r="I50">
        <v>1</v>
      </c>
    </row>
    <row r="51" spans="2:9">
      <c r="B51">
        <v>32</v>
      </c>
      <c r="C51" t="s">
        <v>258</v>
      </c>
      <c r="D51">
        <v>1992</v>
      </c>
      <c r="E51">
        <v>22986.32</v>
      </c>
      <c r="G51">
        <v>2020</v>
      </c>
      <c r="H51" t="s">
        <v>759</v>
      </c>
      <c r="I51">
        <v>1</v>
      </c>
    </row>
    <row r="52" spans="2:9">
      <c r="B52">
        <v>33</v>
      </c>
      <c r="C52" t="s">
        <v>258</v>
      </c>
      <c r="D52">
        <v>1999</v>
      </c>
      <c r="E52">
        <v>62463.15</v>
      </c>
      <c r="G52">
        <v>2020</v>
      </c>
      <c r="H52" t="s">
        <v>759</v>
      </c>
      <c r="I52">
        <v>1</v>
      </c>
    </row>
    <row r="53" spans="2:9">
      <c r="B53">
        <v>34</v>
      </c>
      <c r="C53" t="s">
        <v>258</v>
      </c>
      <c r="D53">
        <v>2000</v>
      </c>
      <c r="E53">
        <v>184556.79</v>
      </c>
      <c r="G53">
        <v>2020</v>
      </c>
      <c r="H53" t="s">
        <v>759</v>
      </c>
      <c r="I53">
        <v>1</v>
      </c>
    </row>
    <row r="54" spans="2:9">
      <c r="B54">
        <v>35</v>
      </c>
      <c r="C54" t="s">
        <v>258</v>
      </c>
      <c r="D54">
        <v>2001</v>
      </c>
      <c r="E54">
        <v>74893.259999999995</v>
      </c>
      <c r="G54">
        <v>2020</v>
      </c>
      <c r="H54" t="s">
        <v>759</v>
      </c>
      <c r="I54">
        <v>1</v>
      </c>
    </row>
    <row r="55" spans="2:9">
      <c r="B55">
        <v>36</v>
      </c>
      <c r="C55" t="s">
        <v>258</v>
      </c>
      <c r="D55">
        <v>2002</v>
      </c>
      <c r="E55">
        <v>98192.88</v>
      </c>
      <c r="G55">
        <v>2020</v>
      </c>
      <c r="H55" t="s">
        <v>759</v>
      </c>
      <c r="I55">
        <v>1</v>
      </c>
    </row>
    <row r="56" spans="2:9">
      <c r="B56">
        <v>37</v>
      </c>
      <c r="C56" t="s">
        <v>258</v>
      </c>
      <c r="D56">
        <v>2003</v>
      </c>
      <c r="E56">
        <v>117678.13</v>
      </c>
      <c r="G56">
        <v>2020</v>
      </c>
      <c r="H56" t="s">
        <v>759</v>
      </c>
      <c r="I56">
        <v>1</v>
      </c>
    </row>
    <row r="57" spans="2:9">
      <c r="B57">
        <v>38</v>
      </c>
      <c r="C57" t="s">
        <v>258</v>
      </c>
      <c r="D57">
        <v>2004</v>
      </c>
      <c r="E57">
        <v>26579.37</v>
      </c>
      <c r="G57">
        <v>2020</v>
      </c>
      <c r="H57" t="s">
        <v>759</v>
      </c>
      <c r="I57">
        <v>1</v>
      </c>
    </row>
    <row r="58" spans="2:9">
      <c r="B58">
        <v>39</v>
      </c>
      <c r="C58" t="s">
        <v>258</v>
      </c>
      <c r="D58">
        <v>2005</v>
      </c>
      <c r="E58">
        <v>2763.58</v>
      </c>
      <c r="G58">
        <v>2020</v>
      </c>
      <c r="H58" t="s">
        <v>759</v>
      </c>
      <c r="I58">
        <v>1</v>
      </c>
    </row>
    <row r="59" spans="2:9">
      <c r="B59">
        <v>40</v>
      </c>
      <c r="C59" t="s">
        <v>258</v>
      </c>
      <c r="D59">
        <v>2011</v>
      </c>
      <c r="E59">
        <v>6196.9935750000004</v>
      </c>
      <c r="G59">
        <v>2020</v>
      </c>
      <c r="H59" t="s">
        <v>759</v>
      </c>
      <c r="I59">
        <v>1</v>
      </c>
    </row>
    <row r="60" spans="2:9">
      <c r="B60">
        <v>41</v>
      </c>
      <c r="C60" t="s">
        <v>258</v>
      </c>
      <c r="D60">
        <v>2013</v>
      </c>
      <c r="E60">
        <v>800675.63015999994</v>
      </c>
      <c r="G60">
        <v>2020</v>
      </c>
      <c r="H60" t="s">
        <v>759</v>
      </c>
      <c r="I60">
        <v>1</v>
      </c>
    </row>
    <row r="61" spans="2:9">
      <c r="B61">
        <v>42</v>
      </c>
      <c r="C61" t="s">
        <v>262</v>
      </c>
      <c r="D61">
        <v>1965</v>
      </c>
      <c r="E61">
        <v>162736.70000000001</v>
      </c>
      <c r="G61">
        <v>2020</v>
      </c>
      <c r="H61" t="s">
        <v>759</v>
      </c>
      <c r="I61">
        <v>1</v>
      </c>
    </row>
    <row r="62" spans="2:9">
      <c r="B62">
        <v>43</v>
      </c>
      <c r="C62" t="s">
        <v>262</v>
      </c>
      <c r="D62">
        <v>1966</v>
      </c>
      <c r="E62">
        <v>282042.34000000003</v>
      </c>
      <c r="G62">
        <v>2020</v>
      </c>
      <c r="H62" t="s">
        <v>759</v>
      </c>
      <c r="I62">
        <v>1</v>
      </c>
    </row>
    <row r="63" spans="2:9">
      <c r="B63">
        <v>44</v>
      </c>
      <c r="C63" t="s">
        <v>262</v>
      </c>
      <c r="D63">
        <v>1967</v>
      </c>
      <c r="E63">
        <v>390313.68</v>
      </c>
      <c r="G63">
        <v>2020</v>
      </c>
      <c r="H63" t="s">
        <v>759</v>
      </c>
      <c r="I63">
        <v>1</v>
      </c>
    </row>
    <row r="64" spans="2:9">
      <c r="B64">
        <v>45</v>
      </c>
      <c r="C64" t="s">
        <v>262</v>
      </c>
      <c r="D64">
        <v>1968</v>
      </c>
      <c r="E64">
        <v>337925.75</v>
      </c>
      <c r="G64">
        <v>2020</v>
      </c>
      <c r="H64" t="s">
        <v>759</v>
      </c>
      <c r="I64">
        <v>1</v>
      </c>
    </row>
    <row r="65" spans="2:9">
      <c r="B65">
        <v>46</v>
      </c>
      <c r="C65" t="s">
        <v>262</v>
      </c>
      <c r="D65">
        <v>1969</v>
      </c>
      <c r="E65">
        <v>19730</v>
      </c>
      <c r="G65">
        <v>2020</v>
      </c>
      <c r="H65" t="s">
        <v>759</v>
      </c>
      <c r="I65">
        <v>1</v>
      </c>
    </row>
    <row r="66" spans="2:9">
      <c r="B66">
        <v>47</v>
      </c>
      <c r="C66" t="s">
        <v>262</v>
      </c>
      <c r="D66">
        <v>1970</v>
      </c>
      <c r="E66">
        <v>169357.15</v>
      </c>
      <c r="G66">
        <v>2020</v>
      </c>
      <c r="H66" t="s">
        <v>759</v>
      </c>
      <c r="I66">
        <v>1</v>
      </c>
    </row>
    <row r="67" spans="2:9">
      <c r="B67">
        <v>48</v>
      </c>
      <c r="C67" t="s">
        <v>262</v>
      </c>
      <c r="D67">
        <v>1971</v>
      </c>
      <c r="E67">
        <v>201451.64</v>
      </c>
      <c r="G67">
        <v>2020</v>
      </c>
      <c r="H67" t="s">
        <v>759</v>
      </c>
      <c r="I67">
        <v>1</v>
      </c>
    </row>
    <row r="68" spans="2:9">
      <c r="B68">
        <v>49</v>
      </c>
      <c r="C68" t="s">
        <v>262</v>
      </c>
      <c r="D68">
        <v>1972</v>
      </c>
      <c r="E68">
        <v>147669.32</v>
      </c>
      <c r="G68">
        <v>2020</v>
      </c>
      <c r="H68" t="s">
        <v>759</v>
      </c>
      <c r="I68">
        <v>1</v>
      </c>
    </row>
    <row r="69" spans="2:9">
      <c r="B69">
        <v>50</v>
      </c>
      <c r="C69" t="s">
        <v>262</v>
      </c>
      <c r="D69">
        <v>1974</v>
      </c>
      <c r="E69">
        <v>27434.639999999999</v>
      </c>
      <c r="G69">
        <v>2020</v>
      </c>
      <c r="H69" t="s">
        <v>759</v>
      </c>
      <c r="I69">
        <v>1</v>
      </c>
    </row>
    <row r="70" spans="2:9">
      <c r="B70">
        <v>51</v>
      </c>
      <c r="C70" t="s">
        <v>262</v>
      </c>
      <c r="D70">
        <v>1975</v>
      </c>
      <c r="E70">
        <v>30000</v>
      </c>
      <c r="G70">
        <v>2020</v>
      </c>
      <c r="H70" t="s">
        <v>759</v>
      </c>
      <c r="I70">
        <v>1</v>
      </c>
    </row>
    <row r="71" spans="2:9">
      <c r="B71">
        <v>52</v>
      </c>
      <c r="C71" t="s">
        <v>262</v>
      </c>
      <c r="D71">
        <v>1976</v>
      </c>
      <c r="E71">
        <v>72000</v>
      </c>
      <c r="G71">
        <v>2020</v>
      </c>
      <c r="H71" t="s">
        <v>759</v>
      </c>
      <c r="I71">
        <v>1</v>
      </c>
    </row>
    <row r="72" spans="2:9">
      <c r="B72">
        <v>53</v>
      </c>
      <c r="C72" t="s">
        <v>262</v>
      </c>
      <c r="D72">
        <v>1977</v>
      </c>
      <c r="E72">
        <v>104527.46</v>
      </c>
      <c r="G72">
        <v>2020</v>
      </c>
      <c r="H72" t="s">
        <v>759</v>
      </c>
      <c r="I72">
        <v>1</v>
      </c>
    </row>
    <row r="73" spans="2:9">
      <c r="B73">
        <v>54</v>
      </c>
      <c r="C73" t="s">
        <v>262</v>
      </c>
      <c r="D73">
        <v>1979</v>
      </c>
      <c r="E73">
        <v>102180.41</v>
      </c>
      <c r="G73">
        <v>2020</v>
      </c>
      <c r="H73" t="s">
        <v>759</v>
      </c>
      <c r="I73">
        <v>1</v>
      </c>
    </row>
    <row r="74" spans="2:9">
      <c r="B74">
        <v>55</v>
      </c>
      <c r="C74" t="s">
        <v>262</v>
      </c>
      <c r="D74">
        <v>1982</v>
      </c>
      <c r="E74">
        <v>87225.38</v>
      </c>
      <c r="G74">
        <v>2020</v>
      </c>
      <c r="H74" t="s">
        <v>759</v>
      </c>
      <c r="I74">
        <v>1</v>
      </c>
    </row>
    <row r="75" spans="2:9">
      <c r="B75">
        <v>56</v>
      </c>
      <c r="C75" t="s">
        <v>262</v>
      </c>
      <c r="D75">
        <v>1983</v>
      </c>
      <c r="E75">
        <v>30000</v>
      </c>
      <c r="G75">
        <v>2020</v>
      </c>
      <c r="H75" t="s">
        <v>759</v>
      </c>
      <c r="I75">
        <v>1</v>
      </c>
    </row>
    <row r="76" spans="2:9">
      <c r="B76">
        <v>57</v>
      </c>
      <c r="C76" t="s">
        <v>262</v>
      </c>
      <c r="D76">
        <v>1985</v>
      </c>
      <c r="E76">
        <v>38613.07</v>
      </c>
      <c r="G76">
        <v>2020</v>
      </c>
      <c r="H76" t="s">
        <v>759</v>
      </c>
      <c r="I76">
        <v>1</v>
      </c>
    </row>
    <row r="77" spans="2:9">
      <c r="B77">
        <v>58</v>
      </c>
      <c r="C77" t="s">
        <v>262</v>
      </c>
      <c r="D77">
        <v>1987</v>
      </c>
      <c r="E77">
        <v>8154.43</v>
      </c>
      <c r="G77">
        <v>2020</v>
      </c>
      <c r="H77" t="s">
        <v>759</v>
      </c>
      <c r="I77">
        <v>1</v>
      </c>
    </row>
    <row r="78" spans="2:9">
      <c r="B78">
        <v>59</v>
      </c>
      <c r="C78" t="s">
        <v>262</v>
      </c>
      <c r="D78">
        <v>1992</v>
      </c>
      <c r="E78">
        <v>79800.429999999993</v>
      </c>
      <c r="G78">
        <v>2020</v>
      </c>
      <c r="H78" t="s">
        <v>759</v>
      </c>
      <c r="I78">
        <v>1</v>
      </c>
    </row>
    <row r="79" spans="2:9">
      <c r="B79">
        <v>60</v>
      </c>
      <c r="C79" t="s">
        <v>262</v>
      </c>
      <c r="D79">
        <v>1995</v>
      </c>
      <c r="E79">
        <v>121494.29</v>
      </c>
      <c r="G79">
        <v>2020</v>
      </c>
      <c r="H79" t="s">
        <v>759</v>
      </c>
      <c r="I79">
        <v>1</v>
      </c>
    </row>
    <row r="80" spans="2:9">
      <c r="B80">
        <v>61</v>
      </c>
      <c r="C80" t="s">
        <v>262</v>
      </c>
      <c r="D80">
        <v>1998</v>
      </c>
      <c r="E80">
        <v>45471.44</v>
      </c>
      <c r="G80">
        <v>2020</v>
      </c>
      <c r="H80" t="s">
        <v>759</v>
      </c>
      <c r="I80">
        <v>1</v>
      </c>
    </row>
    <row r="81" spans="2:9">
      <c r="B81">
        <v>62</v>
      </c>
      <c r="C81" t="s">
        <v>262</v>
      </c>
      <c r="D81">
        <v>2002</v>
      </c>
      <c r="E81">
        <v>10346.200000000001</v>
      </c>
      <c r="G81">
        <v>2020</v>
      </c>
      <c r="H81" t="s">
        <v>759</v>
      </c>
      <c r="I81">
        <v>1</v>
      </c>
    </row>
    <row r="82" spans="2:9">
      <c r="B82">
        <v>63</v>
      </c>
      <c r="C82" t="s">
        <v>262</v>
      </c>
      <c r="D82">
        <v>2003</v>
      </c>
      <c r="E82">
        <v>10560.43</v>
      </c>
      <c r="G82">
        <v>2020</v>
      </c>
      <c r="H82" t="s">
        <v>759</v>
      </c>
      <c r="I82">
        <v>1</v>
      </c>
    </row>
    <row r="83" spans="2:9">
      <c r="B83">
        <v>64</v>
      </c>
      <c r="C83" t="s">
        <v>262</v>
      </c>
      <c r="D83">
        <v>2004</v>
      </c>
      <c r="E83">
        <v>65494.31</v>
      </c>
      <c r="G83">
        <v>2020</v>
      </c>
      <c r="H83" t="s">
        <v>759</v>
      </c>
      <c r="I83">
        <v>1</v>
      </c>
    </row>
    <row r="84" spans="2:9">
      <c r="B84">
        <v>65</v>
      </c>
      <c r="C84" t="s">
        <v>262</v>
      </c>
      <c r="D84">
        <v>2006</v>
      </c>
      <c r="E84">
        <v>28786.400000000001</v>
      </c>
      <c r="G84">
        <v>2020</v>
      </c>
      <c r="H84" t="s">
        <v>759</v>
      </c>
      <c r="I84">
        <v>1</v>
      </c>
    </row>
    <row r="85" spans="2:9">
      <c r="B85">
        <v>66</v>
      </c>
      <c r="C85" t="s">
        <v>262</v>
      </c>
      <c r="D85">
        <v>2008</v>
      </c>
      <c r="E85">
        <v>159796.69</v>
      </c>
      <c r="G85">
        <v>2020</v>
      </c>
      <c r="H85" t="s">
        <v>759</v>
      </c>
      <c r="I85">
        <v>1</v>
      </c>
    </row>
    <row r="86" spans="2:9">
      <c r="B86">
        <v>67</v>
      </c>
      <c r="C86" t="s">
        <v>262</v>
      </c>
      <c r="D86">
        <v>2011</v>
      </c>
      <c r="E86">
        <v>54172.756048000003</v>
      </c>
      <c r="G86">
        <v>2020</v>
      </c>
      <c r="H86" t="s">
        <v>759</v>
      </c>
      <c r="I86">
        <v>1</v>
      </c>
    </row>
    <row r="87" spans="2:9">
      <c r="B87">
        <v>68</v>
      </c>
      <c r="C87" t="s">
        <v>262</v>
      </c>
      <c r="D87">
        <v>2012</v>
      </c>
      <c r="E87">
        <v>16860.795606</v>
      </c>
      <c r="G87">
        <v>2020</v>
      </c>
      <c r="H87" t="s">
        <v>759</v>
      </c>
      <c r="I87">
        <v>1</v>
      </c>
    </row>
    <row r="88" spans="2:9">
      <c r="B88">
        <v>69</v>
      </c>
      <c r="C88" t="s">
        <v>262</v>
      </c>
      <c r="D88">
        <v>2015</v>
      </c>
      <c r="E88">
        <v>15275.23848</v>
      </c>
      <c r="G88">
        <v>2020</v>
      </c>
      <c r="H88" t="s">
        <v>759</v>
      </c>
      <c r="I88">
        <v>1</v>
      </c>
    </row>
    <row r="89" spans="2:9">
      <c r="B89">
        <v>70</v>
      </c>
      <c r="C89" t="s">
        <v>265</v>
      </c>
      <c r="D89">
        <v>1967</v>
      </c>
      <c r="E89">
        <v>74013.37</v>
      </c>
      <c r="F89">
        <v>439857.3081783966</v>
      </c>
      <c r="G89">
        <v>2020</v>
      </c>
      <c r="H89" t="s">
        <v>759</v>
      </c>
      <c r="I89">
        <v>1</v>
      </c>
    </row>
    <row r="90" spans="2:9">
      <c r="B90">
        <v>71</v>
      </c>
      <c r="C90" t="s">
        <v>269</v>
      </c>
      <c r="D90">
        <v>1961</v>
      </c>
      <c r="E90">
        <v>92634.240000000005</v>
      </c>
      <c r="G90">
        <v>2020</v>
      </c>
      <c r="H90" t="s">
        <v>759</v>
      </c>
      <c r="I90">
        <v>1</v>
      </c>
    </row>
    <row r="91" spans="2:9">
      <c r="B91">
        <v>72</v>
      </c>
      <c r="C91" t="s">
        <v>269</v>
      </c>
      <c r="D91">
        <v>1968</v>
      </c>
      <c r="E91">
        <v>153440.79</v>
      </c>
      <c r="G91">
        <v>2020</v>
      </c>
      <c r="H91" t="s">
        <v>759</v>
      </c>
      <c r="I91">
        <v>1</v>
      </c>
    </row>
    <row r="92" spans="2:9">
      <c r="B92">
        <v>73</v>
      </c>
      <c r="C92" t="s">
        <v>269</v>
      </c>
      <c r="D92">
        <v>1992</v>
      </c>
      <c r="E92">
        <v>267309.21999999997</v>
      </c>
      <c r="G92">
        <v>2020</v>
      </c>
      <c r="H92" t="s">
        <v>759</v>
      </c>
      <c r="I92">
        <v>1</v>
      </c>
    </row>
    <row r="93" spans="2:9">
      <c r="B93">
        <v>74</v>
      </c>
      <c r="C93" t="s">
        <v>269</v>
      </c>
      <c r="D93">
        <v>2003</v>
      </c>
      <c r="E93">
        <v>40177</v>
      </c>
      <c r="F93">
        <v>238769.65838311971</v>
      </c>
      <c r="G93">
        <v>2020</v>
      </c>
      <c r="H93" t="s">
        <v>759</v>
      </c>
      <c r="I93">
        <v>1</v>
      </c>
    </row>
    <row r="94" spans="2:9">
      <c r="B94">
        <v>75</v>
      </c>
      <c r="C94" t="s">
        <v>269</v>
      </c>
      <c r="D94">
        <v>2005</v>
      </c>
      <c r="E94">
        <v>186030.7</v>
      </c>
      <c r="F94">
        <v>1105570.0198564508</v>
      </c>
      <c r="G94">
        <v>2020</v>
      </c>
      <c r="H94" t="s">
        <v>759</v>
      </c>
      <c r="I94">
        <v>1</v>
      </c>
    </row>
    <row r="95" spans="2:9">
      <c r="B95">
        <v>76</v>
      </c>
      <c r="C95" t="s">
        <v>269</v>
      </c>
      <c r="D95">
        <v>2010</v>
      </c>
      <c r="E95">
        <v>242998.14437600001</v>
      </c>
      <c r="G95">
        <v>2020</v>
      </c>
      <c r="H95" t="s">
        <v>759</v>
      </c>
      <c r="I95">
        <v>1</v>
      </c>
    </row>
    <row r="96" spans="2:9">
      <c r="B96">
        <v>77</v>
      </c>
      <c r="C96" t="s">
        <v>269</v>
      </c>
      <c r="D96">
        <v>2012</v>
      </c>
      <c r="E96">
        <v>156496.05558799999</v>
      </c>
      <c r="G96">
        <v>2020</v>
      </c>
      <c r="H96" t="s">
        <v>759</v>
      </c>
      <c r="I96">
        <v>1</v>
      </c>
    </row>
    <row r="97" spans="2:9">
      <c r="B97">
        <v>78</v>
      </c>
      <c r="C97" t="s">
        <v>273</v>
      </c>
      <c r="D97">
        <v>2017</v>
      </c>
      <c r="E97">
        <v>41550.210188999998</v>
      </c>
      <c r="F97">
        <v>240508.97978389595</v>
      </c>
      <c r="G97">
        <v>2020</v>
      </c>
      <c r="H97" t="s">
        <v>759</v>
      </c>
      <c r="I97">
        <v>1</v>
      </c>
    </row>
    <row r="98" spans="2:9">
      <c r="B98">
        <v>79</v>
      </c>
      <c r="C98" t="s">
        <v>274</v>
      </c>
      <c r="D98">
        <v>2003</v>
      </c>
      <c r="E98">
        <v>5549.99</v>
      </c>
      <c r="F98">
        <v>32983.279396911923</v>
      </c>
      <c r="G98">
        <v>2020</v>
      </c>
      <c r="H98" t="s">
        <v>759</v>
      </c>
      <c r="I98">
        <v>1</v>
      </c>
    </row>
    <row r="99" spans="2:9">
      <c r="B99">
        <v>80</v>
      </c>
      <c r="C99" t="s">
        <v>275</v>
      </c>
      <c r="D99">
        <v>1998</v>
      </c>
      <c r="E99">
        <v>366600.87</v>
      </c>
      <c r="G99">
        <v>2020</v>
      </c>
      <c r="H99" t="s">
        <v>759</v>
      </c>
      <c r="I99">
        <v>1</v>
      </c>
    </row>
    <row r="100" spans="2:9">
      <c r="B100">
        <v>81</v>
      </c>
      <c r="C100" t="s">
        <v>275</v>
      </c>
      <c r="D100">
        <v>1999</v>
      </c>
      <c r="E100">
        <v>268665.56</v>
      </c>
      <c r="G100">
        <v>2020</v>
      </c>
      <c r="H100" t="s">
        <v>759</v>
      </c>
      <c r="I100">
        <v>1</v>
      </c>
    </row>
    <row r="101" spans="2:9">
      <c r="B101">
        <v>82</v>
      </c>
      <c r="C101" t="s">
        <v>275</v>
      </c>
      <c r="D101">
        <v>2000</v>
      </c>
      <c r="E101">
        <v>92489.12</v>
      </c>
      <c r="G101">
        <v>2020</v>
      </c>
      <c r="H101" t="s">
        <v>759</v>
      </c>
      <c r="I101">
        <v>1</v>
      </c>
    </row>
    <row r="102" spans="2:9">
      <c r="B102">
        <v>83</v>
      </c>
      <c r="C102" t="s">
        <v>289</v>
      </c>
      <c r="D102">
        <v>1971</v>
      </c>
      <c r="E102">
        <v>739448.2</v>
      </c>
      <c r="G102">
        <v>2020</v>
      </c>
      <c r="H102" t="s">
        <v>759</v>
      </c>
      <c r="I102">
        <v>1</v>
      </c>
    </row>
    <row r="103" spans="2:9">
      <c r="B103">
        <v>84</v>
      </c>
      <c r="C103" t="s">
        <v>289</v>
      </c>
      <c r="D103">
        <v>1977</v>
      </c>
      <c r="E103">
        <v>68166.3</v>
      </c>
      <c r="G103">
        <v>2020</v>
      </c>
      <c r="H103" t="s">
        <v>759</v>
      </c>
      <c r="I103">
        <v>1</v>
      </c>
    </row>
    <row r="104" spans="2:9">
      <c r="B104">
        <v>85</v>
      </c>
      <c r="C104" t="s">
        <v>289</v>
      </c>
      <c r="D104">
        <v>1994</v>
      </c>
      <c r="E104">
        <v>376175.8</v>
      </c>
      <c r="G104">
        <v>2020</v>
      </c>
      <c r="H104" t="s">
        <v>759</v>
      </c>
      <c r="I104">
        <v>1</v>
      </c>
    </row>
    <row r="105" spans="2:9">
      <c r="B105">
        <v>86</v>
      </c>
      <c r="C105" t="s">
        <v>289</v>
      </c>
      <c r="D105">
        <v>1995</v>
      </c>
      <c r="E105">
        <v>1191241.1299999999</v>
      </c>
      <c r="G105">
        <v>2020</v>
      </c>
      <c r="H105" t="s">
        <v>759</v>
      </c>
      <c r="I105">
        <v>1</v>
      </c>
    </row>
    <row r="106" spans="2:9">
      <c r="B106">
        <v>87</v>
      </c>
      <c r="C106" t="s">
        <v>289</v>
      </c>
      <c r="D106">
        <v>1996</v>
      </c>
      <c r="E106">
        <v>60266.55</v>
      </c>
      <c r="G106">
        <v>2020</v>
      </c>
      <c r="H106" t="s">
        <v>759</v>
      </c>
      <c r="I106">
        <v>1</v>
      </c>
    </row>
    <row r="107" spans="2:9">
      <c r="B107">
        <v>88</v>
      </c>
      <c r="C107" t="s">
        <v>289</v>
      </c>
      <c r="D107">
        <v>1998</v>
      </c>
      <c r="E107">
        <v>117092.84999999999</v>
      </c>
      <c r="G107">
        <v>2020</v>
      </c>
      <c r="H107" t="s">
        <v>759</v>
      </c>
      <c r="I107">
        <v>1</v>
      </c>
    </row>
    <row r="108" spans="2:9">
      <c r="B108">
        <v>89</v>
      </c>
      <c r="C108" t="s">
        <v>290</v>
      </c>
      <c r="D108">
        <v>1998</v>
      </c>
      <c r="E108">
        <v>127735.64</v>
      </c>
      <c r="G108">
        <v>2020</v>
      </c>
      <c r="H108" t="s">
        <v>759</v>
      </c>
      <c r="I108">
        <v>1</v>
      </c>
    </row>
    <row r="109" spans="2:9">
      <c r="B109">
        <v>90</v>
      </c>
      <c r="C109" t="s">
        <v>289</v>
      </c>
      <c r="D109">
        <v>2008</v>
      </c>
      <c r="E109">
        <v>526456.12101200002</v>
      </c>
      <c r="G109">
        <v>2020</v>
      </c>
      <c r="H109" t="s">
        <v>759</v>
      </c>
      <c r="I109">
        <v>1</v>
      </c>
    </row>
    <row r="110" spans="2:9">
      <c r="B110">
        <v>91</v>
      </c>
      <c r="C110" t="s">
        <v>289</v>
      </c>
      <c r="D110">
        <v>2010</v>
      </c>
      <c r="E110">
        <v>488182.154064</v>
      </c>
      <c r="G110">
        <v>2020</v>
      </c>
      <c r="H110" t="s">
        <v>759</v>
      </c>
      <c r="I110">
        <v>1</v>
      </c>
    </row>
    <row r="111" spans="2:9">
      <c r="B111">
        <v>92</v>
      </c>
      <c r="C111" t="s">
        <v>289</v>
      </c>
      <c r="D111">
        <v>2015</v>
      </c>
      <c r="E111">
        <v>95260.246860999992</v>
      </c>
      <c r="G111">
        <v>2020</v>
      </c>
      <c r="H111" t="s">
        <v>759</v>
      </c>
      <c r="I111">
        <v>1</v>
      </c>
    </row>
    <row r="112" spans="2:9">
      <c r="B112">
        <v>93</v>
      </c>
      <c r="C112" t="s">
        <v>292</v>
      </c>
      <c r="D112">
        <v>1977</v>
      </c>
      <c r="E112">
        <v>146130.37</v>
      </c>
      <c r="G112">
        <v>2020</v>
      </c>
      <c r="H112" t="s">
        <v>759</v>
      </c>
      <c r="I112">
        <v>1</v>
      </c>
    </row>
    <row r="113" spans="2:9">
      <c r="B113">
        <v>94</v>
      </c>
      <c r="C113" t="s">
        <v>293</v>
      </c>
      <c r="D113">
        <v>1993</v>
      </c>
      <c r="E113">
        <v>2269257</v>
      </c>
      <c r="G113">
        <v>2020</v>
      </c>
      <c r="H113" t="s">
        <v>759</v>
      </c>
      <c r="I113">
        <v>1</v>
      </c>
    </row>
    <row r="114" spans="2:9">
      <c r="B114">
        <v>95</v>
      </c>
      <c r="C114" t="s">
        <v>296</v>
      </c>
      <c r="D114">
        <v>1997</v>
      </c>
      <c r="E114">
        <v>4810.9799999999996</v>
      </c>
      <c r="F114">
        <v>28591.384401225107</v>
      </c>
      <c r="G114">
        <v>2020</v>
      </c>
      <c r="H114" t="s">
        <v>759</v>
      </c>
      <c r="I114">
        <v>1</v>
      </c>
    </row>
    <row r="115" spans="2:9">
      <c r="B115">
        <v>96</v>
      </c>
      <c r="C115" t="s">
        <v>297</v>
      </c>
      <c r="D115">
        <v>1964</v>
      </c>
      <c r="E115">
        <v>109225.21</v>
      </c>
      <c r="G115">
        <v>2020</v>
      </c>
      <c r="H115" t="s">
        <v>759</v>
      </c>
      <c r="I115">
        <v>1</v>
      </c>
    </row>
    <row r="116" spans="2:9">
      <c r="B116">
        <v>97</v>
      </c>
      <c r="C116" t="s">
        <v>297</v>
      </c>
      <c r="D116">
        <v>1965</v>
      </c>
      <c r="E116">
        <v>79354.039999999994</v>
      </c>
      <c r="G116">
        <v>2020</v>
      </c>
      <c r="H116" t="s">
        <v>759</v>
      </c>
      <c r="I116">
        <v>1</v>
      </c>
    </row>
    <row r="117" spans="2:9">
      <c r="B117">
        <v>98</v>
      </c>
      <c r="C117" t="s">
        <v>297</v>
      </c>
      <c r="D117">
        <v>1969</v>
      </c>
      <c r="E117">
        <v>160000</v>
      </c>
      <c r="G117">
        <v>2020</v>
      </c>
      <c r="H117" t="s">
        <v>759</v>
      </c>
      <c r="I117">
        <v>1</v>
      </c>
    </row>
    <row r="118" spans="2:9">
      <c r="B118">
        <v>99</v>
      </c>
      <c r="C118" t="s">
        <v>297</v>
      </c>
      <c r="D118">
        <v>1970</v>
      </c>
      <c r="E118">
        <v>1644.48</v>
      </c>
      <c r="G118">
        <v>2020</v>
      </c>
      <c r="H118" t="s">
        <v>759</v>
      </c>
      <c r="I118">
        <v>1</v>
      </c>
    </row>
    <row r="119" spans="2:9">
      <c r="B119">
        <v>100</v>
      </c>
      <c r="C119" t="s">
        <v>297</v>
      </c>
      <c r="D119">
        <v>1971</v>
      </c>
      <c r="E119">
        <v>104672.38</v>
      </c>
      <c r="G119">
        <v>2020</v>
      </c>
      <c r="H119" t="s">
        <v>759</v>
      </c>
      <c r="I119">
        <v>1</v>
      </c>
    </row>
    <row r="120" spans="2:9">
      <c r="B120">
        <v>101</v>
      </c>
      <c r="C120" t="s">
        <v>298</v>
      </c>
      <c r="D120">
        <v>1971</v>
      </c>
      <c r="E120">
        <v>21999.06</v>
      </c>
      <c r="G120">
        <v>2020</v>
      </c>
      <c r="H120" t="s">
        <v>759</v>
      </c>
      <c r="I120">
        <v>1</v>
      </c>
    </row>
    <row r="121" spans="2:9">
      <c r="B121">
        <v>102</v>
      </c>
      <c r="C121" t="s">
        <v>297</v>
      </c>
      <c r="D121">
        <v>1972</v>
      </c>
      <c r="E121">
        <v>6833.93</v>
      </c>
      <c r="G121">
        <v>2020</v>
      </c>
      <c r="H121" t="s">
        <v>759</v>
      </c>
      <c r="I121">
        <v>1</v>
      </c>
    </row>
    <row r="122" spans="2:9">
      <c r="B122">
        <v>103</v>
      </c>
      <c r="C122" t="s">
        <v>297</v>
      </c>
      <c r="D122">
        <v>1974</v>
      </c>
      <c r="E122">
        <v>78733.03</v>
      </c>
      <c r="G122">
        <v>2020</v>
      </c>
      <c r="H122" t="s">
        <v>759</v>
      </c>
      <c r="I122">
        <v>1</v>
      </c>
    </row>
    <row r="123" spans="2:9">
      <c r="B123">
        <v>104</v>
      </c>
      <c r="C123" t="s">
        <v>297</v>
      </c>
      <c r="D123">
        <v>1975</v>
      </c>
      <c r="E123">
        <v>8893.32</v>
      </c>
      <c r="G123">
        <v>2020</v>
      </c>
      <c r="H123" t="s">
        <v>759</v>
      </c>
      <c r="I123">
        <v>1</v>
      </c>
    </row>
    <row r="124" spans="2:9">
      <c r="B124">
        <v>105</v>
      </c>
      <c r="C124" t="s">
        <v>297</v>
      </c>
      <c r="D124">
        <v>1978</v>
      </c>
      <c r="E124">
        <v>174538.66</v>
      </c>
      <c r="G124">
        <v>2020</v>
      </c>
      <c r="H124" t="s">
        <v>759</v>
      </c>
      <c r="I124">
        <v>1</v>
      </c>
    </row>
    <row r="125" spans="2:9">
      <c r="B125">
        <v>106</v>
      </c>
      <c r="C125" t="s">
        <v>297</v>
      </c>
      <c r="D125">
        <v>1983</v>
      </c>
      <c r="E125">
        <v>14249.66</v>
      </c>
      <c r="G125">
        <v>2020</v>
      </c>
      <c r="H125" t="s">
        <v>759</v>
      </c>
      <c r="I125">
        <v>1</v>
      </c>
    </row>
    <row r="126" spans="2:9">
      <c r="B126">
        <v>107</v>
      </c>
      <c r="C126" t="s">
        <v>297</v>
      </c>
      <c r="D126">
        <v>1988</v>
      </c>
      <c r="E126">
        <v>44968.09</v>
      </c>
      <c r="G126">
        <v>2020</v>
      </c>
      <c r="H126" t="s">
        <v>759</v>
      </c>
      <c r="I126">
        <v>1</v>
      </c>
    </row>
    <row r="127" spans="2:9">
      <c r="B127">
        <v>108</v>
      </c>
      <c r="C127" t="s">
        <v>297</v>
      </c>
      <c r="D127">
        <v>1995</v>
      </c>
      <c r="E127">
        <v>7512.54</v>
      </c>
      <c r="G127">
        <v>2020</v>
      </c>
      <c r="H127" t="s">
        <v>759</v>
      </c>
      <c r="I127">
        <v>1</v>
      </c>
    </row>
    <row r="128" spans="2:9">
      <c r="B128">
        <v>109</v>
      </c>
      <c r="C128" t="s">
        <v>297</v>
      </c>
      <c r="D128">
        <v>2004</v>
      </c>
      <c r="E128">
        <v>187756.39</v>
      </c>
      <c r="G128">
        <v>2020</v>
      </c>
      <c r="H128" t="s">
        <v>759</v>
      </c>
      <c r="I128">
        <v>1</v>
      </c>
    </row>
    <row r="129" spans="2:9">
      <c r="B129">
        <v>110</v>
      </c>
      <c r="C129" t="s">
        <v>323</v>
      </c>
      <c r="D129">
        <v>2012</v>
      </c>
      <c r="E129">
        <v>2282230.9217790002</v>
      </c>
      <c r="G129">
        <v>2020</v>
      </c>
      <c r="H129" t="s">
        <v>759</v>
      </c>
      <c r="I129">
        <v>1</v>
      </c>
    </row>
    <row r="130" spans="2:9">
      <c r="B130">
        <v>111</v>
      </c>
      <c r="C130" t="s">
        <v>306</v>
      </c>
      <c r="D130">
        <v>2004</v>
      </c>
      <c r="E130">
        <v>2028.6</v>
      </c>
      <c r="G130">
        <v>2020</v>
      </c>
      <c r="H130" t="s">
        <v>759</v>
      </c>
      <c r="I130">
        <v>1</v>
      </c>
    </row>
    <row r="131" spans="2:9">
      <c r="B131">
        <v>112</v>
      </c>
      <c r="C131" t="s">
        <v>306</v>
      </c>
      <c r="D131">
        <v>2011</v>
      </c>
      <c r="E131">
        <v>603616.46129999997</v>
      </c>
      <c r="G131">
        <v>2020</v>
      </c>
      <c r="H131" t="s">
        <v>759</v>
      </c>
      <c r="I131">
        <v>1</v>
      </c>
    </row>
    <row r="132" spans="2:9">
      <c r="B132">
        <v>113</v>
      </c>
      <c r="C132" t="s">
        <v>308</v>
      </c>
      <c r="D132">
        <v>1998</v>
      </c>
      <c r="E132">
        <v>500000</v>
      </c>
      <c r="G132">
        <v>2020</v>
      </c>
      <c r="H132" t="s">
        <v>759</v>
      </c>
      <c r="I132">
        <v>1</v>
      </c>
    </row>
    <row r="133" spans="2:9">
      <c r="B133">
        <v>114</v>
      </c>
      <c r="C133" t="s">
        <v>308</v>
      </c>
      <c r="D133">
        <v>2004</v>
      </c>
      <c r="E133">
        <v>45527.519999999997</v>
      </c>
      <c r="G133">
        <v>2020</v>
      </c>
      <c r="H133" t="s">
        <v>759</v>
      </c>
      <c r="I133">
        <v>1</v>
      </c>
    </row>
    <row r="134" spans="2:9">
      <c r="B134">
        <v>115</v>
      </c>
      <c r="C134" t="s">
        <v>308</v>
      </c>
      <c r="D134">
        <v>2005</v>
      </c>
      <c r="E134">
        <v>9959.0400000000009</v>
      </c>
      <c r="G134">
        <v>2020</v>
      </c>
      <c r="H134" t="s">
        <v>759</v>
      </c>
      <c r="I134">
        <v>1</v>
      </c>
    </row>
    <row r="135" spans="2:9">
      <c r="B135">
        <v>116</v>
      </c>
      <c r="C135" t="s">
        <v>308</v>
      </c>
      <c r="D135">
        <v>2016</v>
      </c>
      <c r="E135">
        <v>855977.36259199993</v>
      </c>
      <c r="G135">
        <v>2020</v>
      </c>
      <c r="H135" t="s">
        <v>759</v>
      </c>
      <c r="I135">
        <v>1</v>
      </c>
    </row>
    <row r="136" spans="2:9">
      <c r="B136">
        <v>117</v>
      </c>
      <c r="C136" t="s">
        <v>311</v>
      </c>
      <c r="D136">
        <v>2016</v>
      </c>
      <c r="E136">
        <v>778785.35750399996</v>
      </c>
      <c r="G136">
        <v>2020</v>
      </c>
      <c r="H136" t="s">
        <v>759</v>
      </c>
      <c r="I136">
        <v>1</v>
      </c>
    </row>
    <row r="137" spans="2:9">
      <c r="B137">
        <v>118</v>
      </c>
      <c r="C137" t="s">
        <v>312</v>
      </c>
      <c r="D137">
        <v>1988</v>
      </c>
      <c r="E137">
        <v>2894954.5</v>
      </c>
      <c r="G137">
        <v>2020</v>
      </c>
      <c r="H137" t="s">
        <v>759</v>
      </c>
      <c r="I137">
        <v>1</v>
      </c>
    </row>
    <row r="138" spans="2:9">
      <c r="B138">
        <v>119</v>
      </c>
      <c r="C138" t="s">
        <v>313</v>
      </c>
      <c r="D138">
        <v>2016</v>
      </c>
      <c r="E138">
        <v>362355.80583999999</v>
      </c>
      <c r="G138">
        <v>2020</v>
      </c>
      <c r="H138" t="s">
        <v>759</v>
      </c>
      <c r="I138">
        <v>1</v>
      </c>
    </row>
    <row r="139" spans="2:9">
      <c r="B139">
        <v>120</v>
      </c>
      <c r="C139" t="s">
        <v>262</v>
      </c>
      <c r="D139">
        <v>1992</v>
      </c>
      <c r="E139">
        <v>876626.98</v>
      </c>
      <c r="G139">
        <v>2021</v>
      </c>
      <c r="H139" t="s">
        <v>761</v>
      </c>
      <c r="I139">
        <v>1</v>
      </c>
    </row>
    <row r="140" spans="2:9">
      <c r="B140">
        <v>121</v>
      </c>
      <c r="C140" t="s">
        <v>262</v>
      </c>
      <c r="D140">
        <v>1993</v>
      </c>
      <c r="E140">
        <v>6193.19</v>
      </c>
      <c r="G140">
        <v>2021</v>
      </c>
      <c r="H140" t="s">
        <v>761</v>
      </c>
      <c r="I140">
        <v>1</v>
      </c>
    </row>
    <row r="141" spans="2:9">
      <c r="B141">
        <v>122</v>
      </c>
      <c r="C141" t="s">
        <v>262</v>
      </c>
      <c r="D141">
        <v>1995</v>
      </c>
      <c r="E141">
        <v>8440.31</v>
      </c>
      <c r="G141">
        <v>2021</v>
      </c>
      <c r="H141" t="s">
        <v>761</v>
      </c>
      <c r="I141">
        <v>1</v>
      </c>
    </row>
    <row r="142" spans="2:9">
      <c r="B142">
        <v>123</v>
      </c>
      <c r="C142" t="s">
        <v>262</v>
      </c>
      <c r="D142">
        <v>1996</v>
      </c>
      <c r="E142">
        <v>6633.93</v>
      </c>
      <c r="G142">
        <v>2021</v>
      </c>
      <c r="H142" t="s">
        <v>761</v>
      </c>
      <c r="I142">
        <v>1</v>
      </c>
    </row>
    <row r="143" spans="2:9">
      <c r="B143">
        <v>124</v>
      </c>
      <c r="C143" t="s">
        <v>262</v>
      </c>
      <c r="D143">
        <v>1998</v>
      </c>
      <c r="E143">
        <v>10371.369999999999</v>
      </c>
      <c r="G143">
        <v>2021</v>
      </c>
      <c r="H143" t="s">
        <v>761</v>
      </c>
      <c r="I143">
        <v>1</v>
      </c>
    </row>
    <row r="144" spans="2:9">
      <c r="B144">
        <v>125</v>
      </c>
      <c r="C144" t="s">
        <v>262</v>
      </c>
      <c r="D144">
        <v>1999</v>
      </c>
      <c r="E144">
        <v>4737.3</v>
      </c>
      <c r="G144">
        <v>2021</v>
      </c>
      <c r="H144" t="s">
        <v>761</v>
      </c>
      <c r="I144">
        <v>1</v>
      </c>
    </row>
    <row r="145" spans="2:9">
      <c r="B145">
        <v>126</v>
      </c>
      <c r="C145" t="s">
        <v>262</v>
      </c>
      <c r="D145">
        <v>2002</v>
      </c>
      <c r="E145">
        <v>49679.41</v>
      </c>
      <c r="G145">
        <v>2021</v>
      </c>
      <c r="H145" t="s">
        <v>761</v>
      </c>
      <c r="I145">
        <v>1</v>
      </c>
    </row>
    <row r="146" spans="2:9">
      <c r="B146">
        <v>127</v>
      </c>
      <c r="C146" t="s">
        <v>262</v>
      </c>
      <c r="D146">
        <v>2003</v>
      </c>
      <c r="E146">
        <v>42948.94</v>
      </c>
      <c r="G146">
        <v>2021</v>
      </c>
      <c r="H146" t="s">
        <v>761</v>
      </c>
      <c r="I146">
        <v>1</v>
      </c>
    </row>
    <row r="147" spans="2:9">
      <c r="B147">
        <v>128</v>
      </c>
      <c r="C147" t="s">
        <v>262</v>
      </c>
      <c r="D147">
        <v>2005</v>
      </c>
      <c r="E147">
        <v>108188.81</v>
      </c>
      <c r="G147">
        <v>2021</v>
      </c>
      <c r="H147" t="s">
        <v>761</v>
      </c>
      <c r="I147">
        <v>1</v>
      </c>
    </row>
    <row r="148" spans="2:9">
      <c r="B148">
        <v>129</v>
      </c>
      <c r="C148" t="s">
        <v>292</v>
      </c>
      <c r="D148">
        <v>2010</v>
      </c>
      <c r="E148">
        <v>1044433.3749015761</v>
      </c>
      <c r="G148">
        <v>2021</v>
      </c>
      <c r="H148" t="s">
        <v>761</v>
      </c>
      <c r="I148">
        <v>1</v>
      </c>
    </row>
    <row r="149" spans="2:9">
      <c r="B149">
        <v>130</v>
      </c>
      <c r="C149" t="s">
        <v>292</v>
      </c>
      <c r="D149">
        <v>2011</v>
      </c>
      <c r="E149">
        <v>55479.276483167145</v>
      </c>
      <c r="G149">
        <v>2021</v>
      </c>
      <c r="H149" t="s">
        <v>761</v>
      </c>
      <c r="I149">
        <v>1</v>
      </c>
    </row>
    <row r="150" spans="2:9">
      <c r="B150">
        <v>131</v>
      </c>
      <c r="C150" t="s">
        <v>292</v>
      </c>
      <c r="D150">
        <v>2012</v>
      </c>
      <c r="E150">
        <v>3622072.4393920866</v>
      </c>
      <c r="G150">
        <v>2021</v>
      </c>
      <c r="H150" t="s">
        <v>761</v>
      </c>
      <c r="I150">
        <v>1</v>
      </c>
    </row>
    <row r="151" spans="2:9">
      <c r="B151">
        <v>132</v>
      </c>
      <c r="C151" t="s">
        <v>262</v>
      </c>
      <c r="D151">
        <v>2007</v>
      </c>
      <c r="E151">
        <v>209399.48</v>
      </c>
      <c r="G151">
        <v>2021</v>
      </c>
      <c r="H151" t="s">
        <v>761</v>
      </c>
      <c r="I151">
        <v>1</v>
      </c>
    </row>
    <row r="152" spans="2:9">
      <c r="B152">
        <v>133</v>
      </c>
      <c r="C152" t="s">
        <v>262</v>
      </c>
      <c r="D152">
        <v>2011</v>
      </c>
      <c r="E152">
        <v>326231.77348609408</v>
      </c>
      <c r="G152">
        <v>2021</v>
      </c>
      <c r="H152" t="s">
        <v>761</v>
      </c>
      <c r="I152">
        <v>1</v>
      </c>
    </row>
    <row r="153" spans="2:9">
      <c r="B153">
        <v>134</v>
      </c>
      <c r="C153" t="s">
        <v>262</v>
      </c>
      <c r="D153">
        <v>2012</v>
      </c>
      <c r="E153">
        <v>304764.16110630898</v>
      </c>
      <c r="G153">
        <v>2021</v>
      </c>
      <c r="H153" t="s">
        <v>761</v>
      </c>
      <c r="I153">
        <v>1</v>
      </c>
    </row>
    <row r="154" spans="2:9">
      <c r="B154">
        <v>135</v>
      </c>
      <c r="C154" t="s">
        <v>262</v>
      </c>
      <c r="D154">
        <v>2013</v>
      </c>
      <c r="E154">
        <v>38943.678871327982</v>
      </c>
      <c r="G154">
        <v>2021</v>
      </c>
      <c r="H154" t="s">
        <v>761</v>
      </c>
      <c r="I154">
        <v>1</v>
      </c>
    </row>
    <row r="155" spans="2:9">
      <c r="B155">
        <v>136</v>
      </c>
      <c r="C155" t="s">
        <v>262</v>
      </c>
      <c r="D155">
        <v>2018</v>
      </c>
      <c r="E155">
        <v>24781.746230975445</v>
      </c>
      <c r="G155">
        <v>2021</v>
      </c>
      <c r="H155" t="s">
        <v>761</v>
      </c>
      <c r="I155">
        <v>1</v>
      </c>
    </row>
    <row r="156" spans="2:9">
      <c r="B156">
        <v>137</v>
      </c>
      <c r="C156" t="s">
        <v>267</v>
      </c>
      <c r="D156">
        <v>1998</v>
      </c>
      <c r="E156">
        <v>95295.21</v>
      </c>
      <c r="G156">
        <v>2021</v>
      </c>
      <c r="H156" t="s">
        <v>761</v>
      </c>
      <c r="I156">
        <v>1</v>
      </c>
    </row>
    <row r="157" spans="2:9">
      <c r="B157">
        <v>138</v>
      </c>
      <c r="C157" t="s">
        <v>267</v>
      </c>
      <c r="D157">
        <v>2007</v>
      </c>
      <c r="E157">
        <v>13693.71</v>
      </c>
      <c r="G157">
        <v>2021</v>
      </c>
      <c r="H157" t="s">
        <v>761</v>
      </c>
      <c r="I157">
        <v>1</v>
      </c>
    </row>
    <row r="158" spans="2:9">
      <c r="B158">
        <v>139</v>
      </c>
      <c r="C158" t="s">
        <v>267</v>
      </c>
      <c r="D158">
        <v>2016</v>
      </c>
      <c r="E158">
        <v>32624.757655515543</v>
      </c>
      <c r="G158">
        <v>2021</v>
      </c>
      <c r="H158" t="s">
        <v>761</v>
      </c>
      <c r="I158">
        <v>1</v>
      </c>
    </row>
    <row r="159" spans="2:9">
      <c r="B159">
        <v>140</v>
      </c>
      <c r="C159" t="s">
        <v>267</v>
      </c>
      <c r="D159">
        <v>2018</v>
      </c>
      <c r="E159">
        <v>538732.54828671971</v>
      </c>
      <c r="F159">
        <v>167251.98597930631</v>
      </c>
      <c r="G159">
        <v>2021</v>
      </c>
      <c r="H159" t="s">
        <v>761</v>
      </c>
      <c r="I159">
        <v>1</v>
      </c>
    </row>
    <row r="160" spans="2:9">
      <c r="B160">
        <v>141</v>
      </c>
      <c r="C160" t="s">
        <v>269</v>
      </c>
      <c r="D160">
        <v>1980</v>
      </c>
      <c r="E160">
        <v>15535.76</v>
      </c>
      <c r="G160">
        <v>2021</v>
      </c>
      <c r="H160" t="s">
        <v>761</v>
      </c>
      <c r="I160">
        <v>1</v>
      </c>
    </row>
    <row r="161" spans="2:9">
      <c r="B161">
        <v>142</v>
      </c>
      <c r="C161" t="s">
        <v>269</v>
      </c>
      <c r="D161">
        <v>2005</v>
      </c>
      <c r="E161">
        <v>95475</v>
      </c>
      <c r="G161">
        <v>2021</v>
      </c>
      <c r="H161" t="s">
        <v>761</v>
      </c>
      <c r="I161">
        <v>1</v>
      </c>
    </row>
    <row r="162" spans="2:9">
      <c r="B162">
        <v>143</v>
      </c>
      <c r="C162" t="s">
        <v>269</v>
      </c>
      <c r="D162">
        <v>2006</v>
      </c>
      <c r="E162">
        <v>43750.75</v>
      </c>
      <c r="G162">
        <v>2021</v>
      </c>
      <c r="H162" t="s">
        <v>761</v>
      </c>
      <c r="I162">
        <v>1</v>
      </c>
    </row>
    <row r="163" spans="2:9">
      <c r="B163">
        <v>144</v>
      </c>
      <c r="C163" t="s">
        <v>271</v>
      </c>
      <c r="D163">
        <v>2006</v>
      </c>
      <c r="E163">
        <v>213008.69</v>
      </c>
      <c r="G163">
        <v>2021</v>
      </c>
      <c r="H163" t="s">
        <v>761</v>
      </c>
      <c r="I163">
        <v>1</v>
      </c>
    </row>
    <row r="164" spans="2:9">
      <c r="B164">
        <v>145</v>
      </c>
      <c r="C164" t="s">
        <v>269</v>
      </c>
      <c r="D164">
        <v>2010</v>
      </c>
      <c r="E164">
        <v>8444.43</v>
      </c>
      <c r="G164">
        <v>2021</v>
      </c>
      <c r="H164" t="s">
        <v>761</v>
      </c>
      <c r="I164">
        <v>1</v>
      </c>
    </row>
    <row r="165" spans="2:9">
      <c r="B165">
        <v>146</v>
      </c>
      <c r="C165" t="s">
        <v>273</v>
      </c>
      <c r="D165">
        <v>1995</v>
      </c>
      <c r="E165">
        <v>21404.81</v>
      </c>
      <c r="F165">
        <v>6796.1261099520652</v>
      </c>
      <c r="G165">
        <v>2021</v>
      </c>
      <c r="H165" t="s">
        <v>761</v>
      </c>
      <c r="I165">
        <v>1</v>
      </c>
    </row>
    <row r="166" spans="2:9">
      <c r="B166">
        <v>147</v>
      </c>
      <c r="C166" t="s">
        <v>273</v>
      </c>
      <c r="D166">
        <v>1999</v>
      </c>
      <c r="E166">
        <v>41263.57</v>
      </c>
      <c r="G166">
        <v>2021</v>
      </c>
      <c r="H166" t="s">
        <v>761</v>
      </c>
      <c r="I166">
        <v>1</v>
      </c>
    </row>
    <row r="167" spans="2:9">
      <c r="B167">
        <v>148</v>
      </c>
      <c r="C167" t="s">
        <v>292</v>
      </c>
      <c r="D167">
        <v>2013</v>
      </c>
      <c r="E167">
        <v>3696661.0956130447</v>
      </c>
      <c r="G167">
        <v>2021</v>
      </c>
      <c r="H167" t="s">
        <v>761</v>
      </c>
      <c r="I167">
        <v>1</v>
      </c>
    </row>
    <row r="168" spans="2:9">
      <c r="B168">
        <v>149</v>
      </c>
      <c r="C168" t="s">
        <v>292</v>
      </c>
      <c r="D168">
        <v>2014</v>
      </c>
      <c r="E168">
        <v>-211261.47377242689</v>
      </c>
      <c r="G168">
        <v>2021</v>
      </c>
      <c r="H168" t="s">
        <v>761</v>
      </c>
      <c r="I168">
        <v>1</v>
      </c>
    </row>
    <row r="169" spans="2:9">
      <c r="B169">
        <v>150</v>
      </c>
      <c r="C169" t="s">
        <v>292</v>
      </c>
      <c r="D169">
        <v>2015</v>
      </c>
      <c r="E169">
        <v>1410348.6255901323</v>
      </c>
      <c r="G169">
        <v>2021</v>
      </c>
      <c r="H169" t="s">
        <v>761</v>
      </c>
      <c r="I169">
        <v>1</v>
      </c>
    </row>
    <row r="170" spans="2:9">
      <c r="B170">
        <v>151</v>
      </c>
      <c r="C170" t="s">
        <v>273</v>
      </c>
      <c r="D170">
        <v>2004</v>
      </c>
      <c r="E170">
        <v>25586.77</v>
      </c>
      <c r="G170">
        <v>2021</v>
      </c>
      <c r="H170" t="s">
        <v>761</v>
      </c>
      <c r="I170">
        <v>1</v>
      </c>
    </row>
    <row r="171" spans="2:9">
      <c r="B171">
        <v>152</v>
      </c>
      <c r="C171" t="s">
        <v>273</v>
      </c>
      <c r="D171">
        <v>2007</v>
      </c>
      <c r="E171">
        <v>72524.09</v>
      </c>
      <c r="G171">
        <v>2021</v>
      </c>
      <c r="H171" t="s">
        <v>761</v>
      </c>
      <c r="I171">
        <v>1</v>
      </c>
    </row>
    <row r="172" spans="2:9">
      <c r="B172">
        <v>153</v>
      </c>
      <c r="C172" t="s">
        <v>273</v>
      </c>
      <c r="D172">
        <v>2009</v>
      </c>
      <c r="E172">
        <v>43757.98</v>
      </c>
      <c r="G172">
        <v>2021</v>
      </c>
      <c r="H172" t="s">
        <v>761</v>
      </c>
      <c r="I172">
        <v>1</v>
      </c>
    </row>
    <row r="173" spans="2:9">
      <c r="B173">
        <v>154</v>
      </c>
      <c r="C173" t="s">
        <v>273</v>
      </c>
      <c r="D173">
        <v>2018</v>
      </c>
      <c r="E173">
        <v>92063.762018898677</v>
      </c>
      <c r="F173">
        <v>28518.401683085332</v>
      </c>
      <c r="G173">
        <v>2021</v>
      </c>
      <c r="H173" t="s">
        <v>761</v>
      </c>
      <c r="I173">
        <v>1</v>
      </c>
    </row>
    <row r="174" spans="2:9">
      <c r="B174">
        <v>155</v>
      </c>
      <c r="C174" t="s">
        <v>274</v>
      </c>
      <c r="D174">
        <v>1999</v>
      </c>
      <c r="E174">
        <v>23628.5</v>
      </c>
      <c r="G174">
        <v>2021</v>
      </c>
      <c r="H174" t="s">
        <v>761</v>
      </c>
      <c r="I174">
        <v>1</v>
      </c>
    </row>
    <row r="175" spans="2:9">
      <c r="B175">
        <v>156</v>
      </c>
      <c r="C175" t="s">
        <v>274</v>
      </c>
      <c r="D175">
        <v>2003</v>
      </c>
      <c r="E175">
        <v>5549.99</v>
      </c>
      <c r="F175">
        <v>1762.1474775516747</v>
      </c>
      <c r="G175">
        <v>2021</v>
      </c>
      <c r="H175" t="s">
        <v>761</v>
      </c>
      <c r="I175">
        <v>1</v>
      </c>
    </row>
    <row r="176" spans="2:9">
      <c r="B176">
        <v>157</v>
      </c>
      <c r="C176" t="s">
        <v>274</v>
      </c>
      <c r="D176">
        <v>2004</v>
      </c>
      <c r="E176">
        <v>7075.25</v>
      </c>
      <c r="F176">
        <v>2246.424577440227</v>
      </c>
      <c r="G176">
        <v>2021</v>
      </c>
      <c r="H176" t="s">
        <v>761</v>
      </c>
      <c r="I176">
        <v>1</v>
      </c>
    </row>
    <row r="177" spans="2:9">
      <c r="B177">
        <v>158</v>
      </c>
      <c r="C177" t="s">
        <v>274</v>
      </c>
      <c r="D177">
        <v>2011</v>
      </c>
      <c r="E177">
        <v>32592.1</v>
      </c>
      <c r="F177">
        <v>2890.2096493742083</v>
      </c>
      <c r="G177">
        <v>2021</v>
      </c>
      <c r="H177" t="s">
        <v>761</v>
      </c>
      <c r="I177">
        <v>1</v>
      </c>
    </row>
    <row r="178" spans="2:9">
      <c r="B178">
        <v>159</v>
      </c>
      <c r="C178" t="s">
        <v>274</v>
      </c>
      <c r="D178">
        <v>2012</v>
      </c>
      <c r="E178">
        <v>47594.894530059231</v>
      </c>
      <c r="F178">
        <v>14768.206788922676</v>
      </c>
      <c r="G178">
        <v>2021</v>
      </c>
      <c r="H178" t="s">
        <v>761</v>
      </c>
      <c r="I178">
        <v>1</v>
      </c>
    </row>
    <row r="179" spans="2:9">
      <c r="B179">
        <v>160</v>
      </c>
      <c r="C179" t="s">
        <v>274</v>
      </c>
      <c r="D179">
        <v>2017</v>
      </c>
      <c r="E179">
        <v>30787.351220734221</v>
      </c>
      <c r="F179">
        <v>9644.7204285089756</v>
      </c>
      <c r="G179">
        <v>2021</v>
      </c>
      <c r="H179" t="s">
        <v>761</v>
      </c>
      <c r="I179">
        <v>1</v>
      </c>
    </row>
    <row r="180" spans="2:9">
      <c r="B180">
        <v>161</v>
      </c>
      <c r="C180" t="s">
        <v>274</v>
      </c>
      <c r="D180">
        <v>2018</v>
      </c>
      <c r="E180">
        <v>15158.814286337998</v>
      </c>
      <c r="F180">
        <v>4645.9117830974619</v>
      </c>
      <c r="G180">
        <v>2021</v>
      </c>
      <c r="H180" t="s">
        <v>761</v>
      </c>
      <c r="I180">
        <v>1</v>
      </c>
    </row>
    <row r="181" spans="2:9">
      <c r="B181">
        <v>162</v>
      </c>
      <c r="C181" t="s">
        <v>275</v>
      </c>
      <c r="D181">
        <v>2011</v>
      </c>
      <c r="E181">
        <v>327059.9632444483</v>
      </c>
      <c r="G181">
        <v>2021</v>
      </c>
      <c r="H181" t="s">
        <v>761</v>
      </c>
      <c r="I181">
        <v>1</v>
      </c>
    </row>
    <row r="182" spans="2:9">
      <c r="B182">
        <v>163</v>
      </c>
      <c r="C182" t="s">
        <v>275</v>
      </c>
      <c r="D182">
        <v>2011</v>
      </c>
      <c r="E182">
        <v>204205.26050762061</v>
      </c>
      <c r="G182">
        <v>2021</v>
      </c>
      <c r="H182" t="s">
        <v>761</v>
      </c>
      <c r="I182">
        <v>1</v>
      </c>
    </row>
    <row r="183" spans="2:9">
      <c r="B183">
        <v>164</v>
      </c>
      <c r="C183" t="s">
        <v>289</v>
      </c>
      <c r="D183">
        <v>1970</v>
      </c>
      <c r="E183">
        <v>200671.11000000002</v>
      </c>
      <c r="G183">
        <v>2021</v>
      </c>
      <c r="H183" t="s">
        <v>761</v>
      </c>
      <c r="I183">
        <v>1</v>
      </c>
    </row>
    <row r="184" spans="2:9">
      <c r="B184">
        <v>165</v>
      </c>
      <c r="C184" t="s">
        <v>289</v>
      </c>
      <c r="D184">
        <v>1971</v>
      </c>
      <c r="E184">
        <v>31459.45</v>
      </c>
      <c r="G184">
        <v>2021</v>
      </c>
      <c r="H184" t="s">
        <v>761</v>
      </c>
      <c r="I184">
        <v>1</v>
      </c>
    </row>
    <row r="185" spans="2:9">
      <c r="B185">
        <v>166</v>
      </c>
      <c r="C185" t="s">
        <v>289</v>
      </c>
      <c r="D185">
        <v>1974</v>
      </c>
      <c r="E185">
        <v>37307.01</v>
      </c>
      <c r="G185">
        <v>2021</v>
      </c>
      <c r="H185" t="s">
        <v>761</v>
      </c>
      <c r="I185">
        <v>1</v>
      </c>
    </row>
    <row r="186" spans="2:9">
      <c r="B186">
        <v>167</v>
      </c>
      <c r="C186" t="s">
        <v>292</v>
      </c>
      <c r="D186">
        <v>1977</v>
      </c>
      <c r="E186">
        <v>35828970.149999999</v>
      </c>
      <c r="G186">
        <v>2021</v>
      </c>
      <c r="H186" t="s">
        <v>761</v>
      </c>
      <c r="I186">
        <v>1</v>
      </c>
    </row>
    <row r="187" spans="2:9">
      <c r="B187">
        <v>168</v>
      </c>
      <c r="C187" t="s">
        <v>292</v>
      </c>
      <c r="D187">
        <v>1998</v>
      </c>
      <c r="E187">
        <v>75833.259999999995</v>
      </c>
      <c r="G187">
        <v>2021</v>
      </c>
      <c r="H187" t="s">
        <v>761</v>
      </c>
      <c r="I187">
        <v>1</v>
      </c>
    </row>
    <row r="188" spans="2:9">
      <c r="B188">
        <v>169</v>
      </c>
      <c r="C188" t="s">
        <v>292</v>
      </c>
      <c r="D188">
        <v>2004</v>
      </c>
      <c r="E188">
        <v>698617.72</v>
      </c>
      <c r="G188">
        <v>2021</v>
      </c>
      <c r="H188" t="s">
        <v>761</v>
      </c>
      <c r="I188">
        <v>1</v>
      </c>
    </row>
    <row r="189" spans="2:9">
      <c r="B189">
        <v>170</v>
      </c>
      <c r="C189" t="s">
        <v>289</v>
      </c>
      <c r="D189">
        <v>1977</v>
      </c>
      <c r="E189">
        <v>56993.78</v>
      </c>
      <c r="G189">
        <v>2021</v>
      </c>
      <c r="H189" t="s">
        <v>761</v>
      </c>
      <c r="I189">
        <v>1</v>
      </c>
    </row>
    <row r="190" spans="2:9">
      <c r="B190">
        <v>171</v>
      </c>
      <c r="C190" t="s">
        <v>289</v>
      </c>
      <c r="D190">
        <v>1987</v>
      </c>
      <c r="E190">
        <v>30140.38</v>
      </c>
      <c r="G190">
        <v>2021</v>
      </c>
      <c r="H190" t="s">
        <v>761</v>
      </c>
      <c r="I190">
        <v>1</v>
      </c>
    </row>
    <row r="191" spans="2:9">
      <c r="B191">
        <v>172</v>
      </c>
      <c r="C191" t="s">
        <v>289</v>
      </c>
      <c r="D191">
        <v>2006</v>
      </c>
      <c r="E191">
        <v>220824.52000000002</v>
      </c>
      <c r="G191">
        <v>2021</v>
      </c>
      <c r="H191" t="s">
        <v>761</v>
      </c>
      <c r="I191">
        <v>1</v>
      </c>
    </row>
    <row r="192" spans="2:9">
      <c r="B192">
        <v>173</v>
      </c>
      <c r="C192" t="s">
        <v>289</v>
      </c>
      <c r="D192">
        <v>2007</v>
      </c>
      <c r="E192">
        <v>118615.11181912628</v>
      </c>
      <c r="G192">
        <v>2021</v>
      </c>
      <c r="H192" t="s">
        <v>761</v>
      </c>
      <c r="I192">
        <v>1</v>
      </c>
    </row>
    <row r="193" spans="2:9">
      <c r="B193">
        <v>174</v>
      </c>
      <c r="C193" t="s">
        <v>289</v>
      </c>
      <c r="D193">
        <v>2009</v>
      </c>
      <c r="E193">
        <v>36749.480000000003</v>
      </c>
      <c r="G193">
        <v>2021</v>
      </c>
      <c r="H193" t="s">
        <v>761</v>
      </c>
      <c r="I193">
        <v>1</v>
      </c>
    </row>
    <row r="194" spans="2:9">
      <c r="B194">
        <v>175</v>
      </c>
      <c r="C194" t="s">
        <v>289</v>
      </c>
      <c r="D194">
        <v>2010</v>
      </c>
      <c r="E194">
        <v>16852.444769673708</v>
      </c>
      <c r="G194">
        <v>2021</v>
      </c>
      <c r="H194" t="s">
        <v>761</v>
      </c>
      <c r="I194">
        <v>1</v>
      </c>
    </row>
    <row r="195" spans="2:9">
      <c r="B195">
        <v>176</v>
      </c>
      <c r="C195" t="s">
        <v>289</v>
      </c>
      <c r="D195">
        <v>2011</v>
      </c>
      <c r="E195">
        <v>161240.22989045532</v>
      </c>
      <c r="G195">
        <v>2021</v>
      </c>
      <c r="H195" t="s">
        <v>761</v>
      </c>
      <c r="I195">
        <v>1</v>
      </c>
    </row>
    <row r="196" spans="2:9">
      <c r="B196">
        <v>177</v>
      </c>
      <c r="C196" t="s">
        <v>292</v>
      </c>
      <c r="D196">
        <v>2016</v>
      </c>
      <c r="E196">
        <v>1210083.3299999998</v>
      </c>
      <c r="G196">
        <v>2021</v>
      </c>
      <c r="H196" t="s">
        <v>761</v>
      </c>
      <c r="I196">
        <v>1</v>
      </c>
    </row>
    <row r="197" spans="2:9">
      <c r="B197">
        <v>178</v>
      </c>
      <c r="C197" t="s">
        <v>292</v>
      </c>
      <c r="D197">
        <v>2016</v>
      </c>
      <c r="E197">
        <v>4463010.1800000006</v>
      </c>
      <c r="G197">
        <v>2021</v>
      </c>
      <c r="H197" t="s">
        <v>761</v>
      </c>
      <c r="I197">
        <v>1</v>
      </c>
    </row>
    <row r="198" spans="2:9">
      <c r="B198">
        <v>179</v>
      </c>
      <c r="C198" t="s">
        <v>293</v>
      </c>
      <c r="D198">
        <v>1993</v>
      </c>
      <c r="E198">
        <v>7214.43</v>
      </c>
      <c r="G198">
        <v>2021</v>
      </c>
      <c r="H198" t="s">
        <v>761</v>
      </c>
      <c r="I198">
        <v>1</v>
      </c>
    </row>
    <row r="199" spans="2:9">
      <c r="B199">
        <v>180</v>
      </c>
      <c r="C199" t="s">
        <v>293</v>
      </c>
      <c r="D199">
        <v>2006</v>
      </c>
      <c r="E199">
        <v>90670.522605892213</v>
      </c>
      <c r="G199">
        <v>2021</v>
      </c>
      <c r="H199" t="s">
        <v>761</v>
      </c>
      <c r="I199">
        <v>1</v>
      </c>
    </row>
    <row r="200" spans="2:9">
      <c r="B200">
        <v>181</v>
      </c>
      <c r="C200" t="s">
        <v>293</v>
      </c>
      <c r="D200">
        <v>2007</v>
      </c>
      <c r="E200">
        <v>15457.31</v>
      </c>
      <c r="G200">
        <v>2021</v>
      </c>
      <c r="H200" t="s">
        <v>761</v>
      </c>
      <c r="I200">
        <v>1</v>
      </c>
    </row>
    <row r="201" spans="2:9">
      <c r="B201">
        <v>182</v>
      </c>
      <c r="C201" t="s">
        <v>293</v>
      </c>
      <c r="D201">
        <v>2011</v>
      </c>
      <c r="E201">
        <v>17709.499967104181</v>
      </c>
      <c r="G201">
        <v>2021</v>
      </c>
      <c r="H201" t="s">
        <v>761</v>
      </c>
      <c r="I201">
        <v>1</v>
      </c>
    </row>
    <row r="202" spans="2:9">
      <c r="B202">
        <v>183</v>
      </c>
      <c r="C202" t="s">
        <v>296</v>
      </c>
      <c r="D202">
        <v>1998</v>
      </c>
      <c r="E202">
        <v>1145228.3699999999</v>
      </c>
      <c r="F202">
        <v>83006.322393766895</v>
      </c>
      <c r="G202">
        <v>2021</v>
      </c>
      <c r="H202" t="s">
        <v>761</v>
      </c>
      <c r="I202">
        <v>1</v>
      </c>
    </row>
    <row r="203" spans="2:9">
      <c r="B203">
        <v>184</v>
      </c>
      <c r="C203" t="s">
        <v>296</v>
      </c>
      <c r="D203">
        <v>2002</v>
      </c>
      <c r="E203">
        <v>207275.81</v>
      </c>
      <c r="F203">
        <v>65811.027722388724</v>
      </c>
      <c r="G203">
        <v>2021</v>
      </c>
      <c r="H203" t="s">
        <v>761</v>
      </c>
      <c r="I203">
        <v>1</v>
      </c>
    </row>
    <row r="204" spans="2:9">
      <c r="B204">
        <v>185</v>
      </c>
      <c r="C204" t="s">
        <v>296</v>
      </c>
      <c r="D204">
        <v>2004</v>
      </c>
      <c r="E204">
        <v>114452.9</v>
      </c>
      <c r="F204">
        <v>36339.324761571472</v>
      </c>
      <c r="G204">
        <v>2021</v>
      </c>
      <c r="H204" t="s">
        <v>761</v>
      </c>
      <c r="I204">
        <v>1</v>
      </c>
    </row>
    <row r="205" spans="2:9">
      <c r="B205">
        <v>186</v>
      </c>
      <c r="C205" t="s">
        <v>296</v>
      </c>
      <c r="D205">
        <v>2005</v>
      </c>
      <c r="E205">
        <v>188996.13</v>
      </c>
      <c r="F205">
        <v>60007.144832067876</v>
      </c>
      <c r="G205">
        <v>2021</v>
      </c>
      <c r="H205" t="s">
        <v>761</v>
      </c>
      <c r="I205">
        <v>1</v>
      </c>
    </row>
    <row r="206" spans="2:9">
      <c r="B206">
        <v>187</v>
      </c>
      <c r="C206" t="s">
        <v>296</v>
      </c>
      <c r="D206">
        <v>2008</v>
      </c>
      <c r="E206">
        <v>84567.28</v>
      </c>
      <c r="F206">
        <v>9973.4837644979889</v>
      </c>
      <c r="G206">
        <v>2021</v>
      </c>
      <c r="H206" t="s">
        <v>761</v>
      </c>
      <c r="I206">
        <v>1</v>
      </c>
    </row>
    <row r="207" spans="2:9">
      <c r="B207">
        <v>188</v>
      </c>
      <c r="C207" t="s">
        <v>296</v>
      </c>
      <c r="D207">
        <v>2009</v>
      </c>
      <c r="E207">
        <v>163009.45000000001</v>
      </c>
      <c r="F207">
        <v>39430.787890703461</v>
      </c>
      <c r="G207">
        <v>2021</v>
      </c>
      <c r="H207" t="s">
        <v>761</v>
      </c>
      <c r="I207">
        <v>1</v>
      </c>
    </row>
    <row r="208" spans="2:9">
      <c r="B208">
        <v>189</v>
      </c>
      <c r="C208" t="s">
        <v>296</v>
      </c>
      <c r="D208">
        <v>2010</v>
      </c>
      <c r="E208">
        <v>137160.34344793225</v>
      </c>
      <c r="G208">
        <v>2021</v>
      </c>
      <c r="H208" t="s">
        <v>761</v>
      </c>
      <c r="I208">
        <v>1</v>
      </c>
    </row>
    <row r="209" spans="2:9">
      <c r="B209">
        <v>190</v>
      </c>
      <c r="C209" t="s">
        <v>296</v>
      </c>
      <c r="D209">
        <v>2011</v>
      </c>
      <c r="E209">
        <v>28002.195226489926</v>
      </c>
      <c r="F209">
        <v>957.54631452925457</v>
      </c>
      <c r="G209">
        <v>2021</v>
      </c>
      <c r="H209" t="s">
        <v>761</v>
      </c>
      <c r="I209">
        <v>1</v>
      </c>
    </row>
    <row r="210" spans="2:9">
      <c r="B210">
        <v>191</v>
      </c>
      <c r="C210" t="s">
        <v>296</v>
      </c>
      <c r="D210">
        <v>2012</v>
      </c>
      <c r="E210">
        <v>418308.90169201128</v>
      </c>
      <c r="F210">
        <v>85794.147042817931</v>
      </c>
      <c r="G210">
        <v>2021</v>
      </c>
      <c r="H210" t="s">
        <v>761</v>
      </c>
      <c r="I210">
        <v>1</v>
      </c>
    </row>
    <row r="211" spans="2:9">
      <c r="B211">
        <v>192</v>
      </c>
      <c r="C211" t="s">
        <v>296</v>
      </c>
      <c r="D211">
        <v>2012</v>
      </c>
      <c r="E211">
        <v>34493.89</v>
      </c>
      <c r="G211">
        <v>2021</v>
      </c>
      <c r="H211" t="s">
        <v>761</v>
      </c>
      <c r="I211">
        <v>1</v>
      </c>
    </row>
    <row r="212" spans="2:9">
      <c r="B212">
        <v>193</v>
      </c>
      <c r="C212" t="s">
        <v>296</v>
      </c>
      <c r="D212">
        <v>2014</v>
      </c>
      <c r="E212">
        <v>119209.70383364368</v>
      </c>
      <c r="F212">
        <v>36450.838734941819</v>
      </c>
      <c r="G212">
        <v>2021</v>
      </c>
      <c r="H212" t="s">
        <v>761</v>
      </c>
      <c r="I212">
        <v>1</v>
      </c>
    </row>
    <row r="213" spans="2:9">
      <c r="B213">
        <v>194</v>
      </c>
      <c r="C213" t="s">
        <v>296</v>
      </c>
      <c r="D213">
        <v>2015</v>
      </c>
      <c r="E213">
        <v>86744.489646918475</v>
      </c>
      <c r="F213">
        <v>26901.214115794937</v>
      </c>
      <c r="G213">
        <v>2021</v>
      </c>
      <c r="H213" t="s">
        <v>761</v>
      </c>
      <c r="I213">
        <v>1</v>
      </c>
    </row>
    <row r="214" spans="2:9">
      <c r="B214">
        <v>195</v>
      </c>
      <c r="C214" t="s">
        <v>296</v>
      </c>
      <c r="D214">
        <v>2016</v>
      </c>
      <c r="E214">
        <v>872938.23153047287</v>
      </c>
      <c r="F214">
        <v>100866.50984435556</v>
      </c>
      <c r="G214">
        <v>2021</v>
      </c>
      <c r="H214" t="s">
        <v>761</v>
      </c>
      <c r="I214">
        <v>1</v>
      </c>
    </row>
    <row r="215" spans="2:9">
      <c r="B215">
        <v>196</v>
      </c>
      <c r="C215" t="s">
        <v>296</v>
      </c>
      <c r="D215">
        <v>2018</v>
      </c>
      <c r="E215">
        <v>318444.09968867822</v>
      </c>
      <c r="F215">
        <v>83174.482366764263</v>
      </c>
      <c r="G215">
        <v>2021</v>
      </c>
      <c r="H215" t="s">
        <v>761</v>
      </c>
      <c r="I215">
        <v>1</v>
      </c>
    </row>
    <row r="216" spans="2:9">
      <c r="B216">
        <v>197</v>
      </c>
      <c r="C216" t="s">
        <v>296</v>
      </c>
      <c r="D216">
        <v>2019</v>
      </c>
      <c r="E216">
        <v>470203.71904289688</v>
      </c>
      <c r="F216">
        <v>152911.40394055273</v>
      </c>
      <c r="G216">
        <v>2021</v>
      </c>
      <c r="H216" t="s">
        <v>761</v>
      </c>
      <c r="I216">
        <v>1</v>
      </c>
    </row>
    <row r="217" spans="2:9">
      <c r="B217">
        <v>198</v>
      </c>
      <c r="C217" t="s">
        <v>297</v>
      </c>
      <c r="D217">
        <v>1964</v>
      </c>
      <c r="E217">
        <v>1904</v>
      </c>
      <c r="G217">
        <v>2021</v>
      </c>
      <c r="H217" t="s">
        <v>761</v>
      </c>
      <c r="I217">
        <v>1</v>
      </c>
    </row>
    <row r="218" spans="2:9">
      <c r="B218">
        <v>199</v>
      </c>
      <c r="C218" t="s">
        <v>297</v>
      </c>
      <c r="D218">
        <v>1966</v>
      </c>
      <c r="E218">
        <v>360</v>
      </c>
      <c r="G218">
        <v>2021</v>
      </c>
      <c r="H218" t="s">
        <v>761</v>
      </c>
      <c r="I218">
        <v>1</v>
      </c>
    </row>
    <row r="219" spans="2:9">
      <c r="B219">
        <v>200</v>
      </c>
      <c r="C219" t="s">
        <v>297</v>
      </c>
      <c r="D219">
        <v>1967</v>
      </c>
      <c r="E219">
        <v>168</v>
      </c>
      <c r="G219">
        <v>2021</v>
      </c>
      <c r="H219" t="s">
        <v>761</v>
      </c>
      <c r="I219">
        <v>1</v>
      </c>
    </row>
    <row r="220" spans="2:9">
      <c r="B220">
        <v>201</v>
      </c>
      <c r="C220" t="s">
        <v>297</v>
      </c>
      <c r="D220">
        <v>1968</v>
      </c>
      <c r="E220">
        <v>10784</v>
      </c>
      <c r="G220">
        <v>2021</v>
      </c>
      <c r="H220" t="s">
        <v>761</v>
      </c>
      <c r="I220">
        <v>1</v>
      </c>
    </row>
    <row r="221" spans="2:9">
      <c r="B221">
        <v>202</v>
      </c>
      <c r="C221" t="s">
        <v>303</v>
      </c>
      <c r="D221">
        <v>1964</v>
      </c>
      <c r="E221">
        <v>6186.9699999999993</v>
      </c>
      <c r="G221">
        <v>2021</v>
      </c>
      <c r="H221" t="s">
        <v>761</v>
      </c>
      <c r="I221">
        <v>1</v>
      </c>
    </row>
    <row r="222" spans="2:9">
      <c r="B222">
        <v>203</v>
      </c>
      <c r="C222" t="s">
        <v>303</v>
      </c>
      <c r="D222">
        <v>1966</v>
      </c>
      <c r="E222">
        <v>944.59</v>
      </c>
      <c r="G222">
        <v>2021</v>
      </c>
      <c r="H222" t="s">
        <v>761</v>
      </c>
      <c r="I222">
        <v>1</v>
      </c>
    </row>
    <row r="223" spans="2:9">
      <c r="B223">
        <v>204</v>
      </c>
      <c r="C223" t="s">
        <v>303</v>
      </c>
      <c r="D223">
        <v>1967</v>
      </c>
      <c r="E223">
        <v>5645.93</v>
      </c>
      <c r="G223">
        <v>2021</v>
      </c>
      <c r="H223" t="s">
        <v>761</v>
      </c>
      <c r="I223">
        <v>1</v>
      </c>
    </row>
    <row r="224" spans="2:9">
      <c r="B224">
        <v>205</v>
      </c>
      <c r="C224" t="s">
        <v>297</v>
      </c>
      <c r="D224">
        <v>1969</v>
      </c>
      <c r="E224">
        <v>528</v>
      </c>
      <c r="G224">
        <v>2021</v>
      </c>
      <c r="H224" t="s">
        <v>761</v>
      </c>
      <c r="I224">
        <v>1</v>
      </c>
    </row>
    <row r="225" spans="2:9">
      <c r="B225">
        <v>206</v>
      </c>
      <c r="C225" t="s">
        <v>297</v>
      </c>
      <c r="D225">
        <v>1970</v>
      </c>
      <c r="E225">
        <v>126766.11</v>
      </c>
      <c r="G225">
        <v>2021</v>
      </c>
      <c r="H225" t="s">
        <v>761</v>
      </c>
      <c r="I225">
        <v>1</v>
      </c>
    </row>
    <row r="226" spans="2:9">
      <c r="B226">
        <v>207</v>
      </c>
      <c r="C226" t="s">
        <v>297</v>
      </c>
      <c r="D226">
        <v>1971</v>
      </c>
      <c r="E226">
        <v>13448</v>
      </c>
      <c r="G226">
        <v>2021</v>
      </c>
      <c r="H226" t="s">
        <v>761</v>
      </c>
      <c r="I226">
        <v>1</v>
      </c>
    </row>
    <row r="227" spans="2:9">
      <c r="B227">
        <v>208</v>
      </c>
      <c r="C227" t="s">
        <v>297</v>
      </c>
      <c r="D227">
        <v>1972</v>
      </c>
      <c r="E227">
        <v>3048</v>
      </c>
      <c r="G227">
        <v>2021</v>
      </c>
      <c r="H227" t="s">
        <v>761</v>
      </c>
      <c r="I227">
        <v>1</v>
      </c>
    </row>
    <row r="228" spans="2:9">
      <c r="B228">
        <v>209</v>
      </c>
      <c r="C228" t="s">
        <v>297</v>
      </c>
      <c r="D228">
        <v>1973</v>
      </c>
      <c r="E228">
        <v>216</v>
      </c>
      <c r="G228">
        <v>2021</v>
      </c>
      <c r="H228" t="s">
        <v>761</v>
      </c>
      <c r="I228">
        <v>1</v>
      </c>
    </row>
    <row r="229" spans="2:9">
      <c r="B229">
        <v>210</v>
      </c>
      <c r="C229" t="s">
        <v>297</v>
      </c>
      <c r="D229">
        <v>1974</v>
      </c>
      <c r="E229">
        <v>3688</v>
      </c>
      <c r="G229">
        <v>2021</v>
      </c>
      <c r="H229" t="s">
        <v>761</v>
      </c>
      <c r="I229">
        <v>1</v>
      </c>
    </row>
    <row r="230" spans="2:9">
      <c r="B230">
        <v>211</v>
      </c>
      <c r="C230" t="s">
        <v>297</v>
      </c>
      <c r="D230">
        <v>1975</v>
      </c>
      <c r="E230">
        <v>4480.3200000000006</v>
      </c>
      <c r="G230">
        <v>2021</v>
      </c>
      <c r="H230" t="s">
        <v>761</v>
      </c>
      <c r="I230">
        <v>1</v>
      </c>
    </row>
    <row r="231" spans="2:9">
      <c r="B231">
        <v>212</v>
      </c>
      <c r="C231" t="s">
        <v>297</v>
      </c>
      <c r="D231">
        <v>1977</v>
      </c>
      <c r="E231">
        <v>745.37</v>
      </c>
      <c r="G231">
        <v>2021</v>
      </c>
      <c r="H231" t="s">
        <v>761</v>
      </c>
      <c r="I231">
        <v>1</v>
      </c>
    </row>
    <row r="232" spans="2:9">
      <c r="B232">
        <v>213</v>
      </c>
      <c r="C232" t="s">
        <v>297</v>
      </c>
      <c r="D232">
        <v>1978</v>
      </c>
      <c r="E232">
        <v>25825.9</v>
      </c>
      <c r="G232">
        <v>2021</v>
      </c>
      <c r="H232" t="s">
        <v>761</v>
      </c>
      <c r="I232">
        <v>1</v>
      </c>
    </row>
    <row r="233" spans="2:9">
      <c r="B233">
        <v>214</v>
      </c>
      <c r="C233" t="s">
        <v>297</v>
      </c>
      <c r="D233">
        <v>1980</v>
      </c>
      <c r="E233">
        <v>1675.53</v>
      </c>
      <c r="G233">
        <v>2021</v>
      </c>
      <c r="H233" t="s">
        <v>761</v>
      </c>
      <c r="I233">
        <v>1</v>
      </c>
    </row>
    <row r="234" spans="2:9">
      <c r="B234">
        <v>215</v>
      </c>
      <c r="C234" t="s">
        <v>297</v>
      </c>
      <c r="D234">
        <v>1981</v>
      </c>
      <c r="E234">
        <v>2145.67</v>
      </c>
      <c r="G234">
        <v>2021</v>
      </c>
      <c r="H234" t="s">
        <v>761</v>
      </c>
      <c r="I234">
        <v>1</v>
      </c>
    </row>
    <row r="235" spans="2:9">
      <c r="B235">
        <v>216</v>
      </c>
      <c r="C235" t="s">
        <v>297</v>
      </c>
      <c r="D235">
        <v>1983</v>
      </c>
      <c r="E235">
        <v>47940.21</v>
      </c>
      <c r="F235">
        <v>45847.293506604889</v>
      </c>
      <c r="G235">
        <v>2021</v>
      </c>
      <c r="H235" t="s">
        <v>761</v>
      </c>
      <c r="I235">
        <v>1</v>
      </c>
    </row>
    <row r="236" spans="2:9">
      <c r="B236">
        <v>217</v>
      </c>
      <c r="C236" t="s">
        <v>297</v>
      </c>
      <c r="D236">
        <v>1984</v>
      </c>
      <c r="E236">
        <v>3028.66</v>
      </c>
      <c r="G236">
        <v>2021</v>
      </c>
      <c r="H236" t="s">
        <v>761</v>
      </c>
      <c r="I236">
        <v>1</v>
      </c>
    </row>
    <row r="237" spans="2:9">
      <c r="B237">
        <v>218</v>
      </c>
      <c r="C237" t="s">
        <v>297</v>
      </c>
      <c r="D237">
        <v>1985</v>
      </c>
      <c r="E237">
        <v>5162.49</v>
      </c>
      <c r="G237">
        <v>2021</v>
      </c>
      <c r="H237" t="s">
        <v>761</v>
      </c>
      <c r="I237">
        <v>1</v>
      </c>
    </row>
    <row r="238" spans="2:9">
      <c r="B238">
        <v>219</v>
      </c>
      <c r="C238" t="s">
        <v>297</v>
      </c>
      <c r="D238">
        <v>1986</v>
      </c>
      <c r="E238">
        <v>6123683.1800000006</v>
      </c>
      <c r="F238">
        <v>5843585.9202481788</v>
      </c>
      <c r="G238">
        <v>2021</v>
      </c>
      <c r="H238" t="s">
        <v>761</v>
      </c>
      <c r="I238">
        <v>1</v>
      </c>
    </row>
    <row r="239" spans="2:9">
      <c r="B239">
        <v>220</v>
      </c>
      <c r="C239" t="s">
        <v>297</v>
      </c>
      <c r="D239">
        <v>1987</v>
      </c>
      <c r="E239">
        <v>5769.73</v>
      </c>
      <c r="G239">
        <v>2021</v>
      </c>
      <c r="H239" t="s">
        <v>761</v>
      </c>
      <c r="I239">
        <v>1</v>
      </c>
    </row>
    <row r="240" spans="2:9">
      <c r="B240">
        <v>221</v>
      </c>
      <c r="C240" t="s">
        <v>303</v>
      </c>
      <c r="D240">
        <v>1972</v>
      </c>
      <c r="E240">
        <v>33239.620000000003</v>
      </c>
      <c r="G240">
        <v>2021</v>
      </c>
      <c r="H240" t="s">
        <v>761</v>
      </c>
      <c r="I240">
        <v>1</v>
      </c>
    </row>
    <row r="241" spans="2:9">
      <c r="B241">
        <v>222</v>
      </c>
      <c r="C241" t="s">
        <v>303</v>
      </c>
      <c r="D241">
        <v>1973</v>
      </c>
      <c r="E241">
        <v>126124.84</v>
      </c>
      <c r="G241">
        <v>2021</v>
      </c>
      <c r="H241" t="s">
        <v>761</v>
      </c>
      <c r="I241">
        <v>1</v>
      </c>
    </row>
    <row r="242" spans="2:9">
      <c r="B242">
        <v>223</v>
      </c>
      <c r="C242" t="s">
        <v>303</v>
      </c>
      <c r="D242">
        <v>1974</v>
      </c>
      <c r="E242">
        <v>12379.830000000002</v>
      </c>
      <c r="G242">
        <v>2021</v>
      </c>
      <c r="H242" t="s">
        <v>761</v>
      </c>
      <c r="I242">
        <v>1</v>
      </c>
    </row>
    <row r="243" spans="2:9">
      <c r="B243">
        <v>224</v>
      </c>
      <c r="C243" t="s">
        <v>297</v>
      </c>
      <c r="D243">
        <v>1988</v>
      </c>
      <c r="E243">
        <v>2251.5500000000002</v>
      </c>
      <c r="G243">
        <v>2021</v>
      </c>
      <c r="H243" t="s">
        <v>761</v>
      </c>
      <c r="I243">
        <v>1</v>
      </c>
    </row>
    <row r="244" spans="2:9">
      <c r="B244">
        <v>225</v>
      </c>
      <c r="C244" t="s">
        <v>297</v>
      </c>
      <c r="D244">
        <v>1990</v>
      </c>
      <c r="E244">
        <v>2264.98</v>
      </c>
      <c r="G244">
        <v>2021</v>
      </c>
      <c r="H244" t="s">
        <v>761</v>
      </c>
      <c r="I244">
        <v>1</v>
      </c>
    </row>
    <row r="245" spans="2:9">
      <c r="B245">
        <v>226</v>
      </c>
      <c r="C245" t="s">
        <v>297</v>
      </c>
      <c r="D245">
        <v>1991</v>
      </c>
      <c r="E245">
        <v>212044.27000000002</v>
      </c>
      <c r="G245">
        <v>2021</v>
      </c>
      <c r="H245" t="s">
        <v>761</v>
      </c>
      <c r="I245">
        <v>1</v>
      </c>
    </row>
    <row r="246" spans="2:9">
      <c r="B246">
        <v>227</v>
      </c>
      <c r="C246" t="s">
        <v>297</v>
      </c>
      <c r="D246">
        <v>1992</v>
      </c>
      <c r="E246">
        <v>17214.810000000001</v>
      </c>
      <c r="G246">
        <v>2021</v>
      </c>
      <c r="H246" t="s">
        <v>761</v>
      </c>
      <c r="I246">
        <v>1</v>
      </c>
    </row>
    <row r="247" spans="2:9">
      <c r="B247">
        <v>228</v>
      </c>
      <c r="C247" t="s">
        <v>297</v>
      </c>
      <c r="D247">
        <v>1993</v>
      </c>
      <c r="E247">
        <v>955.02</v>
      </c>
      <c r="G247">
        <v>2021</v>
      </c>
      <c r="H247" t="s">
        <v>761</v>
      </c>
      <c r="I247">
        <v>1</v>
      </c>
    </row>
    <row r="248" spans="2:9">
      <c r="B248">
        <v>229</v>
      </c>
      <c r="C248" t="s">
        <v>297</v>
      </c>
      <c r="D248">
        <v>1994</v>
      </c>
      <c r="E248">
        <v>2215.4899999999998</v>
      </c>
      <c r="G248">
        <v>2021</v>
      </c>
      <c r="H248" t="s">
        <v>761</v>
      </c>
      <c r="I248">
        <v>1</v>
      </c>
    </row>
    <row r="249" spans="2:9">
      <c r="B249">
        <v>230</v>
      </c>
      <c r="C249" t="s">
        <v>297</v>
      </c>
      <c r="D249">
        <v>1995</v>
      </c>
      <c r="E249">
        <v>2202.9899999999998</v>
      </c>
      <c r="G249">
        <v>2021</v>
      </c>
      <c r="H249" t="s">
        <v>761</v>
      </c>
      <c r="I249">
        <v>1</v>
      </c>
    </row>
    <row r="250" spans="2:9">
      <c r="B250">
        <v>231</v>
      </c>
      <c r="C250" t="s">
        <v>297</v>
      </c>
      <c r="D250">
        <v>1996</v>
      </c>
      <c r="E250">
        <v>25933.81</v>
      </c>
      <c r="G250">
        <v>2021</v>
      </c>
      <c r="H250" t="s">
        <v>761</v>
      </c>
      <c r="I250">
        <v>1</v>
      </c>
    </row>
    <row r="251" spans="2:9">
      <c r="B251">
        <v>232</v>
      </c>
      <c r="C251" t="s">
        <v>297</v>
      </c>
      <c r="D251">
        <v>1998</v>
      </c>
      <c r="E251">
        <v>218.17</v>
      </c>
      <c r="G251">
        <v>2021</v>
      </c>
      <c r="H251" t="s">
        <v>761</v>
      </c>
      <c r="I251">
        <v>1</v>
      </c>
    </row>
    <row r="252" spans="2:9">
      <c r="B252">
        <v>233</v>
      </c>
      <c r="C252" t="s">
        <v>297</v>
      </c>
      <c r="D252">
        <v>2000</v>
      </c>
      <c r="E252">
        <v>3336.46</v>
      </c>
      <c r="G252">
        <v>2021</v>
      </c>
      <c r="H252" t="s">
        <v>761</v>
      </c>
      <c r="I252">
        <v>1</v>
      </c>
    </row>
    <row r="253" spans="2:9">
      <c r="B253">
        <v>234</v>
      </c>
      <c r="C253" t="s">
        <v>297</v>
      </c>
      <c r="D253">
        <v>2001</v>
      </c>
      <c r="E253">
        <v>7332.67</v>
      </c>
      <c r="G253">
        <v>2021</v>
      </c>
      <c r="H253" t="s">
        <v>761</v>
      </c>
      <c r="I253">
        <v>1</v>
      </c>
    </row>
    <row r="254" spans="2:9">
      <c r="B254">
        <v>235</v>
      </c>
      <c r="C254" t="s">
        <v>297</v>
      </c>
      <c r="D254">
        <v>2004</v>
      </c>
      <c r="E254">
        <v>32470.219999999998</v>
      </c>
      <c r="G254">
        <v>2021</v>
      </c>
      <c r="H254" t="s">
        <v>761</v>
      </c>
      <c r="I254">
        <v>1</v>
      </c>
    </row>
    <row r="255" spans="2:9">
      <c r="B255">
        <v>236</v>
      </c>
      <c r="C255" t="s">
        <v>297</v>
      </c>
      <c r="D255">
        <v>2007</v>
      </c>
      <c r="E255">
        <v>36698.050000000003</v>
      </c>
      <c r="G255">
        <v>2021</v>
      </c>
      <c r="H255" t="s">
        <v>761</v>
      </c>
      <c r="I255">
        <v>1</v>
      </c>
    </row>
    <row r="256" spans="2:9">
      <c r="B256">
        <v>237</v>
      </c>
      <c r="C256" t="s">
        <v>297</v>
      </c>
      <c r="D256">
        <v>2007</v>
      </c>
      <c r="E256">
        <v>814.86374062264201</v>
      </c>
      <c r="G256">
        <v>2021</v>
      </c>
      <c r="H256" t="s">
        <v>761</v>
      </c>
      <c r="I256">
        <v>1</v>
      </c>
    </row>
    <row r="257" spans="2:9">
      <c r="B257">
        <v>238</v>
      </c>
      <c r="C257" t="s">
        <v>297</v>
      </c>
      <c r="D257">
        <v>2008</v>
      </c>
      <c r="E257">
        <v>1697.82</v>
      </c>
      <c r="G257">
        <v>2021</v>
      </c>
      <c r="H257" t="s">
        <v>761</v>
      </c>
      <c r="I257">
        <v>1</v>
      </c>
    </row>
    <row r="258" spans="2:9">
      <c r="B258">
        <v>239</v>
      </c>
      <c r="C258" t="s">
        <v>297</v>
      </c>
      <c r="D258">
        <v>2009</v>
      </c>
      <c r="E258">
        <v>306.17</v>
      </c>
      <c r="G258">
        <v>2021</v>
      </c>
      <c r="H258" t="s">
        <v>761</v>
      </c>
      <c r="I258">
        <v>1</v>
      </c>
    </row>
    <row r="259" spans="2:9">
      <c r="B259">
        <v>240</v>
      </c>
      <c r="C259" t="s">
        <v>303</v>
      </c>
      <c r="D259">
        <v>1996</v>
      </c>
      <c r="E259">
        <v>4334.99</v>
      </c>
      <c r="G259">
        <v>2021</v>
      </c>
      <c r="H259" t="s">
        <v>761</v>
      </c>
      <c r="I259">
        <v>1</v>
      </c>
    </row>
    <row r="260" spans="2:9">
      <c r="B260">
        <v>241</v>
      </c>
      <c r="C260" t="s">
        <v>303</v>
      </c>
      <c r="D260">
        <v>2004</v>
      </c>
      <c r="E260">
        <v>3261.03</v>
      </c>
      <c r="G260">
        <v>2021</v>
      </c>
      <c r="H260" t="s">
        <v>761</v>
      </c>
      <c r="I260">
        <v>1</v>
      </c>
    </row>
    <row r="261" spans="2:9">
      <c r="B261">
        <v>242</v>
      </c>
      <c r="C261" t="s">
        <v>303</v>
      </c>
      <c r="D261">
        <v>2005</v>
      </c>
      <c r="E261">
        <v>6498.35</v>
      </c>
      <c r="G261">
        <v>2021</v>
      </c>
      <c r="H261" t="s">
        <v>761</v>
      </c>
      <c r="I261">
        <v>1</v>
      </c>
    </row>
    <row r="262" spans="2:9">
      <c r="B262">
        <v>243</v>
      </c>
      <c r="C262" t="s">
        <v>297</v>
      </c>
      <c r="D262">
        <v>2013</v>
      </c>
      <c r="E262">
        <v>111081.36098285067</v>
      </c>
      <c r="F262">
        <v>100715.06465923195</v>
      </c>
      <c r="G262">
        <v>2021</v>
      </c>
      <c r="H262" t="s">
        <v>761</v>
      </c>
      <c r="I262">
        <v>1</v>
      </c>
    </row>
    <row r="263" spans="2:9">
      <c r="B263">
        <v>244</v>
      </c>
      <c r="C263" t="s">
        <v>297</v>
      </c>
      <c r="D263">
        <v>2015</v>
      </c>
      <c r="E263">
        <v>10546.74451914087</v>
      </c>
      <c r="F263">
        <v>9851.7215859841872</v>
      </c>
      <c r="G263">
        <v>2021</v>
      </c>
      <c r="H263" t="s">
        <v>761</v>
      </c>
      <c r="I263">
        <v>1</v>
      </c>
    </row>
    <row r="264" spans="2:9">
      <c r="B264">
        <v>245</v>
      </c>
      <c r="C264" t="s">
        <v>297</v>
      </c>
      <c r="D264">
        <v>2016</v>
      </c>
      <c r="E264">
        <v>23513.843749704858</v>
      </c>
      <c r="G264">
        <v>2021</v>
      </c>
      <c r="H264" t="s">
        <v>761</v>
      </c>
      <c r="I264">
        <v>1</v>
      </c>
    </row>
    <row r="265" spans="2:9">
      <c r="B265">
        <v>246</v>
      </c>
      <c r="C265" t="s">
        <v>302</v>
      </c>
      <c r="D265">
        <v>1980</v>
      </c>
      <c r="E265">
        <v>634.20000000000005</v>
      </c>
      <c r="G265">
        <v>2021</v>
      </c>
      <c r="H265" t="s">
        <v>761</v>
      </c>
      <c r="I265">
        <v>1</v>
      </c>
    </row>
    <row r="266" spans="2:9">
      <c r="B266">
        <v>247</v>
      </c>
      <c r="C266" t="s">
        <v>302</v>
      </c>
      <c r="D266">
        <v>1995</v>
      </c>
      <c r="E266">
        <v>3276.15</v>
      </c>
      <c r="G266">
        <v>2021</v>
      </c>
      <c r="H266" t="s">
        <v>761</v>
      </c>
      <c r="I266">
        <v>1</v>
      </c>
    </row>
    <row r="267" spans="2:9">
      <c r="B267">
        <v>248</v>
      </c>
      <c r="C267" t="s">
        <v>306</v>
      </c>
      <c r="D267">
        <v>1966</v>
      </c>
      <c r="E267">
        <v>9693.7099999999991</v>
      </c>
      <c r="G267">
        <v>2021</v>
      </c>
      <c r="H267" t="s">
        <v>761</v>
      </c>
      <c r="I267">
        <v>1</v>
      </c>
    </row>
    <row r="268" spans="2:9">
      <c r="B268">
        <v>249</v>
      </c>
      <c r="C268" t="s">
        <v>306</v>
      </c>
      <c r="D268">
        <v>1975</v>
      </c>
      <c r="E268">
        <v>41515.949999999997</v>
      </c>
      <c r="G268">
        <v>2021</v>
      </c>
      <c r="H268" t="s">
        <v>761</v>
      </c>
      <c r="I268">
        <v>1</v>
      </c>
    </row>
    <row r="269" spans="2:9">
      <c r="B269">
        <v>250</v>
      </c>
      <c r="C269" t="s">
        <v>306</v>
      </c>
      <c r="D269">
        <v>1998</v>
      </c>
      <c r="E269">
        <v>15977.01</v>
      </c>
      <c r="G269">
        <v>2021</v>
      </c>
      <c r="H269" t="s">
        <v>761</v>
      </c>
      <c r="I269">
        <v>1</v>
      </c>
    </row>
    <row r="270" spans="2:9">
      <c r="B270">
        <v>251</v>
      </c>
      <c r="C270" t="s">
        <v>306</v>
      </c>
      <c r="D270">
        <v>2006</v>
      </c>
      <c r="E270">
        <v>102233.51999999999</v>
      </c>
      <c r="G270">
        <v>2021</v>
      </c>
      <c r="H270" t="s">
        <v>761</v>
      </c>
      <c r="I270">
        <v>1</v>
      </c>
    </row>
    <row r="271" spans="2:9">
      <c r="B271">
        <v>252</v>
      </c>
      <c r="C271" t="s">
        <v>308</v>
      </c>
      <c r="D271">
        <v>1986</v>
      </c>
      <c r="E271">
        <v>11474.46</v>
      </c>
      <c r="G271">
        <v>2021</v>
      </c>
      <c r="H271" t="s">
        <v>761</v>
      </c>
      <c r="I271">
        <v>1</v>
      </c>
    </row>
    <row r="272" spans="2:9">
      <c r="B272">
        <v>253</v>
      </c>
      <c r="C272" t="s">
        <v>308</v>
      </c>
      <c r="D272">
        <v>1996</v>
      </c>
      <c r="E272">
        <v>3094.13</v>
      </c>
      <c r="G272">
        <v>2021</v>
      </c>
      <c r="H272" t="s">
        <v>761</v>
      </c>
      <c r="I272">
        <v>1</v>
      </c>
    </row>
    <row r="273" spans="2:9">
      <c r="B273">
        <v>254</v>
      </c>
      <c r="C273" t="s">
        <v>308</v>
      </c>
      <c r="D273">
        <v>1997</v>
      </c>
      <c r="E273">
        <v>31484.79</v>
      </c>
      <c r="G273">
        <v>2021</v>
      </c>
      <c r="H273" t="s">
        <v>761</v>
      </c>
      <c r="I273">
        <v>1</v>
      </c>
    </row>
    <row r="274" spans="2:9">
      <c r="B274">
        <v>255</v>
      </c>
      <c r="C274" t="s">
        <v>308</v>
      </c>
      <c r="D274">
        <v>1998</v>
      </c>
      <c r="E274">
        <v>1479.93</v>
      </c>
      <c r="G274">
        <v>2021</v>
      </c>
      <c r="H274" t="s">
        <v>761</v>
      </c>
      <c r="I274">
        <v>1</v>
      </c>
    </row>
    <row r="275" spans="2:9">
      <c r="B275">
        <v>256</v>
      </c>
      <c r="C275" t="s">
        <v>313</v>
      </c>
      <c r="D275">
        <v>2014</v>
      </c>
      <c r="E275">
        <v>389821.72686058586</v>
      </c>
      <c r="G275">
        <v>2021</v>
      </c>
      <c r="H275" t="s">
        <v>761</v>
      </c>
      <c r="I275">
        <v>1</v>
      </c>
    </row>
    <row r="276" spans="2:9">
      <c r="B276">
        <v>257</v>
      </c>
      <c r="C276" t="s">
        <v>313</v>
      </c>
      <c r="D276">
        <v>2016</v>
      </c>
      <c r="E276">
        <v>6703956.690605375</v>
      </c>
      <c r="G276">
        <v>2021</v>
      </c>
      <c r="H276" t="s">
        <v>761</v>
      </c>
      <c r="I276">
        <v>1</v>
      </c>
    </row>
    <row r="277" spans="2:9">
      <c r="B277">
        <v>258</v>
      </c>
      <c r="C277" t="s">
        <v>313</v>
      </c>
      <c r="D277">
        <v>2017</v>
      </c>
      <c r="E277">
        <v>684727.21448209102</v>
      </c>
      <c r="G277">
        <v>2021</v>
      </c>
      <c r="H277" t="s">
        <v>761</v>
      </c>
      <c r="I277">
        <v>1</v>
      </c>
    </row>
    <row r="278" spans="2:9">
      <c r="B278">
        <v>259</v>
      </c>
      <c r="C278" t="s">
        <v>313</v>
      </c>
      <c r="D278">
        <v>2018</v>
      </c>
      <c r="E278">
        <v>493959.41966385196</v>
      </c>
      <c r="G278">
        <v>2021</v>
      </c>
      <c r="H278" t="s">
        <v>761</v>
      </c>
      <c r="I278">
        <v>1</v>
      </c>
    </row>
    <row r="279" spans="2:9">
      <c r="B279">
        <v>260</v>
      </c>
      <c r="C279" t="s">
        <v>313</v>
      </c>
      <c r="D279">
        <v>2019</v>
      </c>
      <c r="E279">
        <v>890860.60513630731</v>
      </c>
      <c r="G279">
        <v>2021</v>
      </c>
      <c r="H279" t="s">
        <v>761</v>
      </c>
      <c r="I279">
        <v>1</v>
      </c>
    </row>
    <row r="280" spans="2:9">
      <c r="B280">
        <v>261</v>
      </c>
      <c r="C280" t="s">
        <v>318</v>
      </c>
      <c r="D280">
        <v>2019</v>
      </c>
      <c r="E280">
        <v>211448.77498552162</v>
      </c>
      <c r="G280">
        <v>2021</v>
      </c>
      <c r="H280" t="s">
        <v>761</v>
      </c>
      <c r="I280">
        <v>1</v>
      </c>
    </row>
    <row r="281" spans="2:9">
      <c r="B281">
        <v>262</v>
      </c>
      <c r="C281" t="s">
        <v>258</v>
      </c>
      <c r="D281">
        <v>1950</v>
      </c>
      <c r="E281">
        <v>107805.84</v>
      </c>
      <c r="G281">
        <v>2021</v>
      </c>
      <c r="H281" t="s">
        <v>761</v>
      </c>
      <c r="I281">
        <v>1</v>
      </c>
    </row>
    <row r="282" spans="2:9">
      <c r="B282">
        <v>263</v>
      </c>
      <c r="C282" t="s">
        <v>258</v>
      </c>
      <c r="D282">
        <v>1953</v>
      </c>
      <c r="E282">
        <v>55835.41</v>
      </c>
      <c r="G282">
        <v>2021</v>
      </c>
      <c r="H282" t="s">
        <v>761</v>
      </c>
      <c r="I282">
        <v>1</v>
      </c>
    </row>
    <row r="283" spans="2:9">
      <c r="B283">
        <v>264</v>
      </c>
      <c r="C283" t="s">
        <v>258</v>
      </c>
      <c r="D283">
        <v>1962</v>
      </c>
      <c r="E283">
        <v>40000</v>
      </c>
      <c r="G283">
        <v>2021</v>
      </c>
      <c r="H283" t="s">
        <v>761</v>
      </c>
      <c r="I283">
        <v>1</v>
      </c>
    </row>
    <row r="284" spans="2:9">
      <c r="B284">
        <v>265</v>
      </c>
      <c r="C284" t="s">
        <v>258</v>
      </c>
      <c r="D284">
        <v>1965</v>
      </c>
      <c r="E284">
        <v>25702.75</v>
      </c>
      <c r="G284">
        <v>2021</v>
      </c>
      <c r="H284" t="s">
        <v>761</v>
      </c>
      <c r="I284">
        <v>1</v>
      </c>
    </row>
    <row r="285" spans="2:9">
      <c r="B285">
        <v>266</v>
      </c>
      <c r="C285" t="s">
        <v>258</v>
      </c>
      <c r="D285">
        <v>1966</v>
      </c>
      <c r="E285">
        <v>109434.39</v>
      </c>
      <c r="G285">
        <v>2021</v>
      </c>
      <c r="H285" t="s">
        <v>761</v>
      </c>
      <c r="I285">
        <v>1</v>
      </c>
    </row>
    <row r="286" spans="2:9">
      <c r="B286">
        <v>267</v>
      </c>
      <c r="C286" t="s">
        <v>258</v>
      </c>
      <c r="D286">
        <v>1967</v>
      </c>
      <c r="E286">
        <v>190675.34999999998</v>
      </c>
      <c r="G286">
        <v>2021</v>
      </c>
      <c r="H286" t="s">
        <v>761</v>
      </c>
      <c r="I286">
        <v>1</v>
      </c>
    </row>
    <row r="287" spans="2:9">
      <c r="B287">
        <v>268</v>
      </c>
      <c r="C287" t="s">
        <v>258</v>
      </c>
      <c r="D287">
        <v>1968</v>
      </c>
      <c r="E287">
        <v>99063.760000000009</v>
      </c>
      <c r="G287">
        <v>2021</v>
      </c>
      <c r="H287" t="s">
        <v>761</v>
      </c>
      <c r="I287">
        <v>1</v>
      </c>
    </row>
    <row r="288" spans="2:9">
      <c r="B288">
        <v>269</v>
      </c>
      <c r="C288" t="s">
        <v>258</v>
      </c>
      <c r="D288">
        <v>1969</v>
      </c>
      <c r="E288">
        <v>91756</v>
      </c>
      <c r="G288">
        <v>2021</v>
      </c>
      <c r="H288" t="s">
        <v>761</v>
      </c>
      <c r="I288">
        <v>1</v>
      </c>
    </row>
    <row r="289" spans="2:9">
      <c r="B289">
        <v>270</v>
      </c>
      <c r="C289" t="s">
        <v>258</v>
      </c>
      <c r="D289">
        <v>1970</v>
      </c>
      <c r="E289">
        <v>226775.59999999998</v>
      </c>
      <c r="G289">
        <v>2021</v>
      </c>
      <c r="H289" t="s">
        <v>761</v>
      </c>
      <c r="I289">
        <v>1</v>
      </c>
    </row>
    <row r="290" spans="2:9">
      <c r="B290">
        <v>271</v>
      </c>
      <c r="C290" t="s">
        <v>258</v>
      </c>
      <c r="D290">
        <v>1971</v>
      </c>
      <c r="E290">
        <v>280880.57</v>
      </c>
      <c r="G290">
        <v>2021</v>
      </c>
      <c r="H290" t="s">
        <v>761</v>
      </c>
      <c r="I290">
        <v>1</v>
      </c>
    </row>
    <row r="291" spans="2:9">
      <c r="B291">
        <v>272</v>
      </c>
      <c r="C291" t="s">
        <v>258</v>
      </c>
      <c r="D291">
        <v>1972</v>
      </c>
      <c r="E291">
        <v>113518.65</v>
      </c>
      <c r="G291">
        <v>2021</v>
      </c>
      <c r="H291" t="s">
        <v>761</v>
      </c>
      <c r="I291">
        <v>1</v>
      </c>
    </row>
    <row r="292" spans="2:9">
      <c r="B292">
        <v>273</v>
      </c>
      <c r="C292" t="s">
        <v>258</v>
      </c>
      <c r="D292">
        <v>1973</v>
      </c>
      <c r="E292">
        <v>71403.600000000006</v>
      </c>
      <c r="G292">
        <v>2021</v>
      </c>
      <c r="H292" t="s">
        <v>761</v>
      </c>
      <c r="I292">
        <v>1</v>
      </c>
    </row>
    <row r="293" spans="2:9">
      <c r="B293">
        <v>274</v>
      </c>
      <c r="C293" t="s">
        <v>258</v>
      </c>
      <c r="D293">
        <v>1975</v>
      </c>
      <c r="E293">
        <v>19198.080000000002</v>
      </c>
      <c r="G293">
        <v>2021</v>
      </c>
      <c r="H293" t="s">
        <v>761</v>
      </c>
      <c r="I293">
        <v>1</v>
      </c>
    </row>
    <row r="294" spans="2:9">
      <c r="B294">
        <v>275</v>
      </c>
      <c r="C294" t="s">
        <v>258</v>
      </c>
      <c r="D294">
        <v>1979</v>
      </c>
      <c r="E294">
        <v>42081.31</v>
      </c>
      <c r="G294">
        <v>2021</v>
      </c>
      <c r="H294" t="s">
        <v>761</v>
      </c>
      <c r="I294">
        <v>1</v>
      </c>
    </row>
    <row r="295" spans="2:9">
      <c r="B295">
        <v>276</v>
      </c>
      <c r="C295" t="s">
        <v>258</v>
      </c>
      <c r="D295">
        <v>1991</v>
      </c>
      <c r="E295">
        <v>38721.65</v>
      </c>
      <c r="G295">
        <v>2021</v>
      </c>
      <c r="H295" t="s">
        <v>761</v>
      </c>
      <c r="I295">
        <v>1</v>
      </c>
    </row>
    <row r="296" spans="2:9">
      <c r="B296">
        <v>277</v>
      </c>
      <c r="C296" t="s">
        <v>265</v>
      </c>
      <c r="D296">
        <v>1956</v>
      </c>
      <c r="E296">
        <v>10811.2</v>
      </c>
      <c r="F296">
        <v>3432.605970336283</v>
      </c>
      <c r="G296">
        <v>2021</v>
      </c>
      <c r="H296" t="s">
        <v>761</v>
      </c>
      <c r="I296">
        <v>1</v>
      </c>
    </row>
    <row r="297" spans="2:9">
      <c r="B297">
        <v>278</v>
      </c>
      <c r="C297" t="s">
        <v>265</v>
      </c>
      <c r="D297">
        <v>1968</v>
      </c>
      <c r="E297">
        <v>73172.06</v>
      </c>
      <c r="F297">
        <v>23232.46725782565</v>
      </c>
      <c r="G297">
        <v>2021</v>
      </c>
      <c r="H297" t="s">
        <v>761</v>
      </c>
      <c r="I297">
        <v>1</v>
      </c>
    </row>
    <row r="298" spans="2:9">
      <c r="B298">
        <v>279</v>
      </c>
      <c r="C298" t="s">
        <v>265</v>
      </c>
      <c r="D298">
        <v>1979</v>
      </c>
      <c r="E298">
        <v>1664.95</v>
      </c>
      <c r="G298">
        <v>2021</v>
      </c>
      <c r="H298" t="s">
        <v>761</v>
      </c>
      <c r="I298">
        <v>1</v>
      </c>
    </row>
    <row r="299" spans="2:9">
      <c r="B299">
        <v>280</v>
      </c>
      <c r="C299" t="s">
        <v>258</v>
      </c>
      <c r="D299">
        <v>1992</v>
      </c>
      <c r="E299">
        <v>55514.82</v>
      </c>
      <c r="G299">
        <v>2021</v>
      </c>
      <c r="H299" t="s">
        <v>761</v>
      </c>
      <c r="I299">
        <v>1</v>
      </c>
    </row>
    <row r="300" spans="2:9">
      <c r="B300">
        <v>281</v>
      </c>
      <c r="C300" t="s">
        <v>258</v>
      </c>
      <c r="D300">
        <v>1994</v>
      </c>
      <c r="E300">
        <v>23050.77</v>
      </c>
      <c r="G300">
        <v>2021</v>
      </c>
      <c r="H300" t="s">
        <v>761</v>
      </c>
      <c r="I300">
        <v>1</v>
      </c>
    </row>
    <row r="301" spans="2:9">
      <c r="B301">
        <v>282</v>
      </c>
      <c r="C301" t="s">
        <v>258</v>
      </c>
      <c r="D301">
        <v>1997</v>
      </c>
      <c r="E301">
        <v>27362.14</v>
      </c>
      <c r="G301">
        <v>2021</v>
      </c>
      <c r="H301" t="s">
        <v>761</v>
      </c>
      <c r="I301">
        <v>1</v>
      </c>
    </row>
    <row r="302" spans="2:9">
      <c r="B302">
        <v>283</v>
      </c>
      <c r="C302" t="s">
        <v>258</v>
      </c>
      <c r="D302">
        <v>2004</v>
      </c>
      <c r="E302">
        <v>151657.73000000001</v>
      </c>
      <c r="G302">
        <v>2021</v>
      </c>
      <c r="H302" t="s">
        <v>761</v>
      </c>
      <c r="I302">
        <v>1</v>
      </c>
    </row>
    <row r="303" spans="2:9">
      <c r="B303">
        <v>284</v>
      </c>
      <c r="C303" t="s">
        <v>258</v>
      </c>
      <c r="D303">
        <v>2007</v>
      </c>
      <c r="E303">
        <v>2827.55</v>
      </c>
      <c r="G303">
        <v>2021</v>
      </c>
      <c r="H303" t="s">
        <v>761</v>
      </c>
      <c r="I303">
        <v>1</v>
      </c>
    </row>
    <row r="304" spans="2:9">
      <c r="B304">
        <v>285</v>
      </c>
      <c r="C304" t="s">
        <v>258</v>
      </c>
      <c r="D304">
        <v>2009</v>
      </c>
      <c r="E304">
        <v>124313.99</v>
      </c>
      <c r="G304">
        <v>2021</v>
      </c>
      <c r="H304" t="s">
        <v>761</v>
      </c>
      <c r="I304">
        <v>1</v>
      </c>
    </row>
    <row r="305" spans="2:9">
      <c r="B305">
        <v>286</v>
      </c>
      <c r="C305" t="s">
        <v>258</v>
      </c>
      <c r="D305">
        <v>2010</v>
      </c>
      <c r="E305">
        <v>268395.78855748021</v>
      </c>
      <c r="G305">
        <v>2021</v>
      </c>
      <c r="H305" t="s">
        <v>761</v>
      </c>
      <c r="I305">
        <v>1</v>
      </c>
    </row>
    <row r="306" spans="2:9">
      <c r="B306">
        <v>287</v>
      </c>
      <c r="C306" t="s">
        <v>258</v>
      </c>
      <c r="D306">
        <v>2011</v>
      </c>
      <c r="E306">
        <v>64375.815051532467</v>
      </c>
      <c r="G306">
        <v>2021</v>
      </c>
      <c r="H306" t="s">
        <v>761</v>
      </c>
      <c r="I306">
        <v>1</v>
      </c>
    </row>
    <row r="307" spans="2:9">
      <c r="B307">
        <v>288</v>
      </c>
      <c r="C307" t="s">
        <v>258</v>
      </c>
      <c r="D307">
        <v>2013</v>
      </c>
      <c r="E307">
        <v>398931.4021603408</v>
      </c>
      <c r="G307">
        <v>2021</v>
      </c>
      <c r="H307" t="s">
        <v>761</v>
      </c>
      <c r="I307">
        <v>1</v>
      </c>
    </row>
    <row r="308" spans="2:9">
      <c r="B308">
        <v>289</v>
      </c>
      <c r="C308" t="s">
        <v>258</v>
      </c>
      <c r="D308">
        <v>2014</v>
      </c>
      <c r="E308">
        <v>536.92166709422554</v>
      </c>
      <c r="G308">
        <v>2021</v>
      </c>
      <c r="H308" t="s">
        <v>761</v>
      </c>
      <c r="I308">
        <v>1</v>
      </c>
    </row>
    <row r="309" spans="2:9">
      <c r="B309">
        <v>290</v>
      </c>
      <c r="C309" t="s">
        <v>258</v>
      </c>
      <c r="D309">
        <v>2018</v>
      </c>
      <c r="E309">
        <v>1020326.7510328252</v>
      </c>
      <c r="G309">
        <v>2021</v>
      </c>
      <c r="H309" t="s">
        <v>761</v>
      </c>
      <c r="I309">
        <v>1</v>
      </c>
    </row>
    <row r="310" spans="2:9">
      <c r="B310">
        <v>291</v>
      </c>
      <c r="C310" t="s">
        <v>258</v>
      </c>
      <c r="D310">
        <v>2019</v>
      </c>
      <c r="E310">
        <v>11951.372469743606</v>
      </c>
      <c r="G310">
        <v>2021</v>
      </c>
      <c r="H310" t="s">
        <v>761</v>
      </c>
      <c r="I310">
        <v>1</v>
      </c>
    </row>
    <row r="311" spans="2:9">
      <c r="B311">
        <v>292</v>
      </c>
      <c r="C311" t="s">
        <v>262</v>
      </c>
      <c r="D311">
        <v>1965</v>
      </c>
      <c r="E311">
        <v>37085.920000000006</v>
      </c>
      <c r="G311">
        <v>2021</v>
      </c>
      <c r="H311" t="s">
        <v>761</v>
      </c>
      <c r="I311">
        <v>1</v>
      </c>
    </row>
    <row r="312" spans="2:9">
      <c r="B312">
        <v>293</v>
      </c>
      <c r="C312" t="s">
        <v>262</v>
      </c>
      <c r="D312">
        <v>1966</v>
      </c>
      <c r="E312">
        <v>191229.55</v>
      </c>
      <c r="G312">
        <v>2021</v>
      </c>
      <c r="H312" t="s">
        <v>761</v>
      </c>
      <c r="I312">
        <v>1</v>
      </c>
    </row>
    <row r="313" spans="2:9">
      <c r="B313">
        <v>294</v>
      </c>
      <c r="C313" t="s">
        <v>262</v>
      </c>
      <c r="D313">
        <v>1967</v>
      </c>
      <c r="E313">
        <v>221505.32</v>
      </c>
      <c r="G313">
        <v>2021</v>
      </c>
      <c r="H313" t="s">
        <v>761</v>
      </c>
      <c r="I313">
        <v>1</v>
      </c>
    </row>
    <row r="314" spans="2:9">
      <c r="B314">
        <v>295</v>
      </c>
      <c r="C314" t="s">
        <v>265</v>
      </c>
      <c r="D314">
        <v>1986</v>
      </c>
      <c r="E314">
        <v>216560.83000000002</v>
      </c>
      <c r="F314">
        <v>560508.72</v>
      </c>
      <c r="G314">
        <v>2021</v>
      </c>
      <c r="H314" t="s">
        <v>761</v>
      </c>
      <c r="I314">
        <v>1</v>
      </c>
    </row>
    <row r="315" spans="2:9">
      <c r="B315">
        <v>296</v>
      </c>
      <c r="C315" t="s">
        <v>265</v>
      </c>
      <c r="D315">
        <v>2012</v>
      </c>
      <c r="E315">
        <v>492468.36169150769</v>
      </c>
      <c r="F315">
        <v>649090.35856984626</v>
      </c>
      <c r="G315">
        <v>2021</v>
      </c>
      <c r="H315" t="s">
        <v>761</v>
      </c>
      <c r="I315">
        <v>1</v>
      </c>
    </row>
    <row r="316" spans="2:9">
      <c r="B316">
        <v>297</v>
      </c>
      <c r="C316" t="s">
        <v>292</v>
      </c>
      <c r="D316">
        <v>2006</v>
      </c>
      <c r="E316">
        <v>134414.63</v>
      </c>
      <c r="G316">
        <v>2021</v>
      </c>
      <c r="H316" t="s">
        <v>761</v>
      </c>
      <c r="I316">
        <v>1</v>
      </c>
    </row>
    <row r="317" spans="2:9">
      <c r="B317">
        <v>298</v>
      </c>
      <c r="C317" t="s">
        <v>262</v>
      </c>
      <c r="D317">
        <v>1968</v>
      </c>
      <c r="E317">
        <v>138671.18999999997</v>
      </c>
      <c r="G317">
        <v>2021</v>
      </c>
      <c r="H317" t="s">
        <v>761</v>
      </c>
      <c r="I317">
        <v>1</v>
      </c>
    </row>
    <row r="318" spans="2:9">
      <c r="B318">
        <v>299</v>
      </c>
      <c r="C318" t="s">
        <v>262</v>
      </c>
      <c r="D318">
        <v>1969</v>
      </c>
      <c r="E318">
        <v>252663.02</v>
      </c>
      <c r="G318">
        <v>2021</v>
      </c>
      <c r="H318" t="s">
        <v>761</v>
      </c>
      <c r="I318">
        <v>1</v>
      </c>
    </row>
    <row r="319" spans="2:9">
      <c r="B319">
        <v>300</v>
      </c>
      <c r="C319" t="s">
        <v>262</v>
      </c>
      <c r="D319">
        <v>1970</v>
      </c>
      <c r="E319">
        <v>111949.98</v>
      </c>
      <c r="G319">
        <v>2021</v>
      </c>
      <c r="H319" t="s">
        <v>761</v>
      </c>
      <c r="I319">
        <v>1</v>
      </c>
    </row>
    <row r="320" spans="2:9">
      <c r="B320">
        <v>301</v>
      </c>
      <c r="C320" t="s">
        <v>262</v>
      </c>
      <c r="D320">
        <v>1971</v>
      </c>
      <c r="E320">
        <v>158788.27000000002</v>
      </c>
      <c r="G320">
        <v>2021</v>
      </c>
      <c r="H320" t="s">
        <v>761</v>
      </c>
      <c r="I320">
        <v>1</v>
      </c>
    </row>
    <row r="321" spans="2:9">
      <c r="B321">
        <v>302</v>
      </c>
      <c r="C321" t="s">
        <v>262</v>
      </c>
      <c r="D321">
        <v>1972</v>
      </c>
      <c r="E321">
        <v>241793.13</v>
      </c>
      <c r="G321">
        <v>2021</v>
      </c>
      <c r="H321" t="s">
        <v>761</v>
      </c>
      <c r="I321">
        <v>1</v>
      </c>
    </row>
    <row r="322" spans="2:9">
      <c r="B322">
        <v>303</v>
      </c>
      <c r="C322" t="s">
        <v>262</v>
      </c>
      <c r="D322">
        <v>1973</v>
      </c>
      <c r="E322">
        <v>16917.16</v>
      </c>
      <c r="G322">
        <v>2021</v>
      </c>
      <c r="H322" t="s">
        <v>761</v>
      </c>
      <c r="I322">
        <v>1</v>
      </c>
    </row>
    <row r="323" spans="2:9">
      <c r="B323">
        <v>304</v>
      </c>
      <c r="C323" t="s">
        <v>262</v>
      </c>
      <c r="D323">
        <v>1974</v>
      </c>
      <c r="E323">
        <v>19498.32</v>
      </c>
      <c r="G323">
        <v>2021</v>
      </c>
      <c r="H323" t="s">
        <v>761</v>
      </c>
      <c r="I323">
        <v>1</v>
      </c>
    </row>
    <row r="324" spans="2:9">
      <c r="B324">
        <v>305</v>
      </c>
      <c r="C324" t="s">
        <v>262</v>
      </c>
      <c r="D324">
        <v>1975</v>
      </c>
      <c r="E324">
        <v>136362.09</v>
      </c>
      <c r="G324">
        <v>2021</v>
      </c>
      <c r="H324" t="s">
        <v>761</v>
      </c>
      <c r="I324">
        <v>1</v>
      </c>
    </row>
    <row r="325" spans="2:9">
      <c r="B325">
        <v>306</v>
      </c>
      <c r="C325" t="s">
        <v>262</v>
      </c>
      <c r="D325">
        <v>1976</v>
      </c>
      <c r="E325">
        <v>95438.5</v>
      </c>
      <c r="G325">
        <v>2021</v>
      </c>
      <c r="H325" t="s">
        <v>761</v>
      </c>
      <c r="I325">
        <v>1</v>
      </c>
    </row>
    <row r="326" spans="2:9">
      <c r="B326">
        <v>307</v>
      </c>
      <c r="C326" t="s">
        <v>262</v>
      </c>
      <c r="D326">
        <v>1977</v>
      </c>
      <c r="E326">
        <v>60014.03</v>
      </c>
      <c r="G326">
        <v>2021</v>
      </c>
      <c r="H326" t="s">
        <v>761</v>
      </c>
      <c r="I326">
        <v>1</v>
      </c>
    </row>
    <row r="327" spans="2:9">
      <c r="B327">
        <v>308</v>
      </c>
      <c r="C327" t="s">
        <v>262</v>
      </c>
      <c r="D327">
        <v>1978</v>
      </c>
      <c r="E327">
        <v>16510.61</v>
      </c>
      <c r="G327">
        <v>2021</v>
      </c>
      <c r="H327" t="s">
        <v>761</v>
      </c>
      <c r="I327">
        <v>1</v>
      </c>
    </row>
    <row r="328" spans="2:9">
      <c r="B328">
        <v>309</v>
      </c>
      <c r="C328" t="s">
        <v>262</v>
      </c>
      <c r="D328">
        <v>1979</v>
      </c>
      <c r="E328">
        <v>38157.51</v>
      </c>
      <c r="G328">
        <v>2021</v>
      </c>
      <c r="H328" t="s">
        <v>761</v>
      </c>
      <c r="I328">
        <v>1</v>
      </c>
    </row>
    <row r="329" spans="2:9">
      <c r="B329">
        <v>310</v>
      </c>
      <c r="C329" t="s">
        <v>262</v>
      </c>
      <c r="D329">
        <v>1986</v>
      </c>
      <c r="E329">
        <v>109742.65</v>
      </c>
      <c r="G329">
        <v>2021</v>
      </c>
      <c r="H329" t="s">
        <v>761</v>
      </c>
      <c r="I329">
        <v>1</v>
      </c>
    </row>
    <row r="330" spans="2:9">
      <c r="B330">
        <v>311</v>
      </c>
      <c r="C330" t="s">
        <v>262</v>
      </c>
      <c r="D330">
        <v>1989</v>
      </c>
      <c r="E330">
        <v>13251.86</v>
      </c>
      <c r="G330">
        <v>2021</v>
      </c>
      <c r="H330" t="s">
        <v>761</v>
      </c>
      <c r="I330">
        <v>1</v>
      </c>
    </row>
    <row r="331" spans="2:9">
      <c r="B331">
        <v>312</v>
      </c>
      <c r="C331" t="s">
        <v>262</v>
      </c>
      <c r="D331">
        <v>1991</v>
      </c>
      <c r="E331">
        <v>8107.24</v>
      </c>
      <c r="G331">
        <v>2021</v>
      </c>
      <c r="H331" t="s">
        <v>761</v>
      </c>
      <c r="I331">
        <v>1</v>
      </c>
    </row>
    <row r="332" spans="2:9">
      <c r="B332">
        <v>313</v>
      </c>
      <c r="C332" t="s">
        <v>292</v>
      </c>
      <c r="D332">
        <v>2007</v>
      </c>
      <c r="E332">
        <v>295840.56</v>
      </c>
      <c r="G332">
        <v>2021</v>
      </c>
      <c r="H332" t="s">
        <v>761</v>
      </c>
      <c r="I332">
        <v>1</v>
      </c>
    </row>
    <row r="333" spans="2:9">
      <c r="B333">
        <v>314</v>
      </c>
      <c r="C333" t="s">
        <v>292</v>
      </c>
      <c r="D333">
        <v>2008</v>
      </c>
      <c r="E333">
        <v>422693.60000000003</v>
      </c>
      <c r="G333">
        <v>2021</v>
      </c>
      <c r="H333" t="s">
        <v>761</v>
      </c>
      <c r="I333">
        <v>1</v>
      </c>
    </row>
    <row r="334" spans="2:9">
      <c r="B334">
        <v>315</v>
      </c>
      <c r="C334" t="s">
        <v>292</v>
      </c>
      <c r="D334">
        <v>2009</v>
      </c>
      <c r="E334">
        <v>7501964.5199999996</v>
      </c>
      <c r="G334">
        <v>2021</v>
      </c>
      <c r="H334" t="s">
        <v>761</v>
      </c>
      <c r="I334">
        <v>1</v>
      </c>
    </row>
    <row r="335" spans="2:9">
      <c r="B335">
        <v>316</v>
      </c>
      <c r="C335" t="s">
        <v>258</v>
      </c>
      <c r="D335">
        <v>1949</v>
      </c>
      <c r="E335">
        <v>160877.82</v>
      </c>
      <c r="G335">
        <v>2022</v>
      </c>
      <c r="H335" t="s">
        <v>1060</v>
      </c>
      <c r="I335">
        <v>1</v>
      </c>
    </row>
    <row r="336" spans="2:9">
      <c r="B336">
        <v>317</v>
      </c>
      <c r="C336" t="s">
        <v>258</v>
      </c>
      <c r="D336">
        <v>1951</v>
      </c>
      <c r="E336">
        <v>84605.79</v>
      </c>
      <c r="G336">
        <v>2022</v>
      </c>
      <c r="H336" t="s">
        <v>1060</v>
      </c>
      <c r="I336">
        <v>1</v>
      </c>
    </row>
    <row r="337" spans="2:9">
      <c r="B337">
        <v>318</v>
      </c>
      <c r="C337" t="s">
        <v>258</v>
      </c>
      <c r="D337">
        <v>1955</v>
      </c>
      <c r="E337">
        <v>144.74</v>
      </c>
      <c r="G337">
        <v>2022</v>
      </c>
      <c r="H337" t="s">
        <v>1060</v>
      </c>
      <c r="I337">
        <v>1</v>
      </c>
    </row>
    <row r="338" spans="2:9">
      <c r="B338">
        <v>319</v>
      </c>
      <c r="C338" t="s">
        <v>258</v>
      </c>
      <c r="D338">
        <v>1960</v>
      </c>
      <c r="E338">
        <v>0.01</v>
      </c>
      <c r="G338">
        <v>2022</v>
      </c>
      <c r="H338" t="s">
        <v>1060</v>
      </c>
      <c r="I338">
        <v>1</v>
      </c>
    </row>
    <row r="339" spans="2:9">
      <c r="B339">
        <v>320</v>
      </c>
      <c r="C339" t="s">
        <v>258</v>
      </c>
      <c r="D339">
        <v>1964</v>
      </c>
      <c r="E339">
        <v>30000</v>
      </c>
      <c r="G339">
        <v>2022</v>
      </c>
      <c r="H339" t="s">
        <v>1060</v>
      </c>
      <c r="I339">
        <v>1</v>
      </c>
    </row>
    <row r="340" spans="2:9">
      <c r="B340">
        <v>321</v>
      </c>
      <c r="C340" t="s">
        <v>258</v>
      </c>
      <c r="D340">
        <v>1965</v>
      </c>
      <c r="E340">
        <v>138426.70000000001</v>
      </c>
      <c r="G340">
        <v>2022</v>
      </c>
      <c r="H340" t="s">
        <v>1060</v>
      </c>
      <c r="I340">
        <v>1</v>
      </c>
    </row>
    <row r="341" spans="2:9">
      <c r="B341">
        <v>322</v>
      </c>
      <c r="C341" t="s">
        <v>258</v>
      </c>
      <c r="D341">
        <v>1966</v>
      </c>
      <c r="E341">
        <v>234290.08</v>
      </c>
      <c r="G341">
        <v>2022</v>
      </c>
      <c r="H341" t="s">
        <v>1060</v>
      </c>
      <c r="I341">
        <v>1</v>
      </c>
    </row>
    <row r="342" spans="2:9">
      <c r="B342">
        <v>323</v>
      </c>
      <c r="C342" t="s">
        <v>258</v>
      </c>
      <c r="D342">
        <v>1967</v>
      </c>
      <c r="E342">
        <v>91461.86</v>
      </c>
      <c r="G342">
        <v>2022</v>
      </c>
      <c r="H342" t="s">
        <v>1060</v>
      </c>
      <c r="I342">
        <v>1</v>
      </c>
    </row>
    <row r="343" spans="2:9">
      <c r="B343">
        <v>324</v>
      </c>
      <c r="C343" t="s">
        <v>258</v>
      </c>
      <c r="D343">
        <v>1968</v>
      </c>
      <c r="E343">
        <v>48585.87</v>
      </c>
      <c r="G343">
        <v>2022</v>
      </c>
      <c r="H343" t="s">
        <v>1060</v>
      </c>
      <c r="I343">
        <v>1</v>
      </c>
    </row>
    <row r="344" spans="2:9">
      <c r="B344">
        <v>325</v>
      </c>
      <c r="C344" t="s">
        <v>258</v>
      </c>
      <c r="D344">
        <v>1969</v>
      </c>
      <c r="E344">
        <v>78148.28</v>
      </c>
      <c r="G344">
        <v>2022</v>
      </c>
      <c r="H344" t="s">
        <v>1060</v>
      </c>
      <c r="I344">
        <v>1</v>
      </c>
    </row>
    <row r="345" spans="2:9">
      <c r="B345">
        <v>326</v>
      </c>
      <c r="C345" t="s">
        <v>258</v>
      </c>
      <c r="D345">
        <v>1970</v>
      </c>
      <c r="E345">
        <v>107313.68999999999</v>
      </c>
      <c r="G345">
        <v>2022</v>
      </c>
      <c r="H345" t="s">
        <v>1060</v>
      </c>
      <c r="I345">
        <v>1</v>
      </c>
    </row>
    <row r="346" spans="2:9">
      <c r="B346">
        <v>327</v>
      </c>
      <c r="C346" t="s">
        <v>258</v>
      </c>
      <c r="D346">
        <v>1971</v>
      </c>
      <c r="E346">
        <v>63212.38</v>
      </c>
      <c r="G346">
        <v>2022</v>
      </c>
      <c r="H346" t="s">
        <v>1060</v>
      </c>
      <c r="I346">
        <v>1</v>
      </c>
    </row>
    <row r="347" spans="2:9">
      <c r="B347">
        <v>328</v>
      </c>
      <c r="C347" t="s">
        <v>258</v>
      </c>
      <c r="D347">
        <v>1972</v>
      </c>
      <c r="E347">
        <v>191127.04000000001</v>
      </c>
      <c r="G347">
        <v>2022</v>
      </c>
      <c r="H347" t="s">
        <v>1060</v>
      </c>
      <c r="I347">
        <v>1</v>
      </c>
    </row>
    <row r="348" spans="2:9">
      <c r="B348">
        <v>329</v>
      </c>
      <c r="C348" t="s">
        <v>258</v>
      </c>
      <c r="D348">
        <v>1973</v>
      </c>
      <c r="E348">
        <v>149822.34</v>
      </c>
      <c r="G348">
        <v>2022</v>
      </c>
      <c r="H348" t="s">
        <v>1060</v>
      </c>
      <c r="I348">
        <v>1</v>
      </c>
    </row>
    <row r="349" spans="2:9">
      <c r="B349">
        <v>330</v>
      </c>
      <c r="C349" t="s">
        <v>258</v>
      </c>
      <c r="D349">
        <v>1974</v>
      </c>
      <c r="E349">
        <v>54981.1</v>
      </c>
      <c r="G349">
        <v>2022</v>
      </c>
      <c r="H349" t="s">
        <v>1060</v>
      </c>
      <c r="I349">
        <v>1</v>
      </c>
    </row>
    <row r="350" spans="2:9">
      <c r="B350">
        <v>331</v>
      </c>
      <c r="C350" t="s">
        <v>258</v>
      </c>
      <c r="D350">
        <v>1975</v>
      </c>
      <c r="E350">
        <v>42603.9</v>
      </c>
      <c r="G350">
        <v>2022</v>
      </c>
      <c r="H350" t="s">
        <v>1060</v>
      </c>
      <c r="I350">
        <v>1</v>
      </c>
    </row>
    <row r="351" spans="2:9">
      <c r="B351">
        <v>332</v>
      </c>
      <c r="C351" t="s">
        <v>258</v>
      </c>
      <c r="D351">
        <v>1976</v>
      </c>
      <c r="E351">
        <v>96350.659999999989</v>
      </c>
      <c r="G351">
        <v>2022</v>
      </c>
      <c r="H351" t="s">
        <v>1060</v>
      </c>
      <c r="I351">
        <v>1</v>
      </c>
    </row>
    <row r="352" spans="2:9">
      <c r="B352">
        <v>333</v>
      </c>
      <c r="C352" t="s">
        <v>258</v>
      </c>
      <c r="D352">
        <v>1977</v>
      </c>
      <c r="E352">
        <v>40000</v>
      </c>
      <c r="G352">
        <v>2022</v>
      </c>
      <c r="H352" t="s">
        <v>1060</v>
      </c>
      <c r="I352">
        <v>1</v>
      </c>
    </row>
    <row r="353" spans="2:9">
      <c r="B353">
        <v>334</v>
      </c>
      <c r="C353" t="s">
        <v>258</v>
      </c>
      <c r="D353">
        <v>1980</v>
      </c>
      <c r="E353">
        <v>120440.92</v>
      </c>
      <c r="G353">
        <v>2022</v>
      </c>
      <c r="H353" t="s">
        <v>1060</v>
      </c>
      <c r="I353">
        <v>1</v>
      </c>
    </row>
    <row r="354" spans="2:9">
      <c r="B354">
        <v>335</v>
      </c>
      <c r="C354" t="s">
        <v>258</v>
      </c>
      <c r="D354">
        <v>1986</v>
      </c>
      <c r="E354">
        <v>522.41999999999996</v>
      </c>
      <c r="G354">
        <v>2022</v>
      </c>
      <c r="H354" t="s">
        <v>1060</v>
      </c>
      <c r="I354">
        <v>1</v>
      </c>
    </row>
    <row r="355" spans="2:9">
      <c r="B355">
        <v>336</v>
      </c>
      <c r="C355" t="s">
        <v>258</v>
      </c>
      <c r="D355">
        <v>1987</v>
      </c>
      <c r="E355">
        <v>53825.87</v>
      </c>
      <c r="G355">
        <v>2022</v>
      </c>
      <c r="H355" t="s">
        <v>1060</v>
      </c>
      <c r="I355">
        <v>1</v>
      </c>
    </row>
    <row r="356" spans="2:9">
      <c r="B356">
        <v>337</v>
      </c>
      <c r="C356" t="s">
        <v>258</v>
      </c>
      <c r="D356">
        <v>1991</v>
      </c>
      <c r="E356">
        <v>27309.98</v>
      </c>
      <c r="G356">
        <v>2022</v>
      </c>
      <c r="H356" t="s">
        <v>1060</v>
      </c>
      <c r="I356">
        <v>1</v>
      </c>
    </row>
    <row r="357" spans="2:9">
      <c r="B357">
        <v>338</v>
      </c>
      <c r="C357" t="s">
        <v>258</v>
      </c>
      <c r="D357">
        <v>1994</v>
      </c>
      <c r="E357">
        <v>108598.45</v>
      </c>
      <c r="G357">
        <v>2022</v>
      </c>
      <c r="H357" t="s">
        <v>1060</v>
      </c>
      <c r="I357">
        <v>1</v>
      </c>
    </row>
    <row r="358" spans="2:9">
      <c r="B358">
        <v>339</v>
      </c>
      <c r="C358" t="s">
        <v>258</v>
      </c>
      <c r="D358">
        <v>1995</v>
      </c>
      <c r="E358">
        <v>22977.040000000001</v>
      </c>
      <c r="G358">
        <v>2022</v>
      </c>
      <c r="H358" t="s">
        <v>1060</v>
      </c>
      <c r="I358">
        <v>1</v>
      </c>
    </row>
    <row r="359" spans="2:9">
      <c r="B359">
        <v>340</v>
      </c>
      <c r="C359" t="s">
        <v>258</v>
      </c>
      <c r="D359">
        <v>1997</v>
      </c>
      <c r="E359">
        <v>4863.96</v>
      </c>
      <c r="G359">
        <v>2022</v>
      </c>
      <c r="H359" t="s">
        <v>1060</v>
      </c>
      <c r="I359">
        <v>1</v>
      </c>
    </row>
    <row r="360" spans="2:9">
      <c r="B360">
        <v>341</v>
      </c>
      <c r="C360" t="s">
        <v>258</v>
      </c>
      <c r="D360">
        <v>2001</v>
      </c>
      <c r="E360">
        <v>6708.79</v>
      </c>
      <c r="G360">
        <v>2022</v>
      </c>
      <c r="H360" t="s">
        <v>1060</v>
      </c>
      <c r="I360">
        <v>1</v>
      </c>
    </row>
    <row r="361" spans="2:9">
      <c r="B361">
        <v>342</v>
      </c>
      <c r="C361" t="s">
        <v>258</v>
      </c>
      <c r="D361">
        <v>2002</v>
      </c>
      <c r="E361">
        <v>4460.3999999999996</v>
      </c>
      <c r="G361">
        <v>2022</v>
      </c>
      <c r="H361" t="s">
        <v>1060</v>
      </c>
      <c r="I361">
        <v>1</v>
      </c>
    </row>
    <row r="362" spans="2:9">
      <c r="B362">
        <v>343</v>
      </c>
      <c r="C362" t="s">
        <v>258</v>
      </c>
      <c r="D362">
        <v>2004</v>
      </c>
      <c r="E362">
        <v>111686.38999999998</v>
      </c>
      <c r="G362">
        <v>2022</v>
      </c>
      <c r="H362" t="s">
        <v>1060</v>
      </c>
      <c r="I362">
        <v>1</v>
      </c>
    </row>
    <row r="363" spans="2:9">
      <c r="B363">
        <v>344</v>
      </c>
      <c r="C363" t="s">
        <v>258</v>
      </c>
      <c r="D363">
        <v>2005</v>
      </c>
      <c r="E363">
        <v>24040.95</v>
      </c>
      <c r="G363">
        <v>2022</v>
      </c>
      <c r="H363" t="s">
        <v>1060</v>
      </c>
      <c r="I363">
        <v>1</v>
      </c>
    </row>
    <row r="364" spans="2:9">
      <c r="B364">
        <v>345</v>
      </c>
      <c r="C364" t="s">
        <v>258</v>
      </c>
      <c r="D364">
        <v>2009</v>
      </c>
      <c r="E364">
        <v>382357.44</v>
      </c>
      <c r="G364">
        <v>2022</v>
      </c>
      <c r="H364" t="s">
        <v>1060</v>
      </c>
      <c r="I364">
        <v>1</v>
      </c>
    </row>
    <row r="365" spans="2:9">
      <c r="B365">
        <v>346</v>
      </c>
      <c r="C365" t="s">
        <v>258</v>
      </c>
      <c r="D365">
        <v>2010</v>
      </c>
      <c r="E365">
        <v>161319.04441174126</v>
      </c>
      <c r="G365">
        <v>2022</v>
      </c>
      <c r="H365" t="s">
        <v>1060</v>
      </c>
      <c r="I365">
        <v>1</v>
      </c>
    </row>
    <row r="366" spans="2:9">
      <c r="B366">
        <v>347</v>
      </c>
      <c r="C366" t="s">
        <v>258</v>
      </c>
      <c r="D366">
        <v>2011</v>
      </c>
      <c r="E366">
        <v>58878.280274353092</v>
      </c>
      <c r="G366">
        <v>2022</v>
      </c>
      <c r="H366" t="s">
        <v>1060</v>
      </c>
      <c r="I366">
        <v>1</v>
      </c>
    </row>
    <row r="367" spans="2:9">
      <c r="B367">
        <v>348</v>
      </c>
      <c r="C367" t="s">
        <v>258</v>
      </c>
      <c r="D367">
        <v>2012</v>
      </c>
      <c r="E367">
        <v>93953.985920705352</v>
      </c>
      <c r="G367">
        <v>2022</v>
      </c>
      <c r="H367" t="s">
        <v>1060</v>
      </c>
      <c r="I367">
        <v>1</v>
      </c>
    </row>
    <row r="368" spans="2:9">
      <c r="B368">
        <v>349</v>
      </c>
      <c r="C368" t="s">
        <v>258</v>
      </c>
      <c r="D368">
        <v>2013</v>
      </c>
      <c r="E368">
        <v>168956.89717004116</v>
      </c>
      <c r="G368">
        <v>2022</v>
      </c>
      <c r="H368" t="s">
        <v>1060</v>
      </c>
      <c r="I368">
        <v>1</v>
      </c>
    </row>
    <row r="369" spans="2:9">
      <c r="B369">
        <v>350</v>
      </c>
      <c r="C369" t="s">
        <v>262</v>
      </c>
      <c r="D369">
        <v>1965</v>
      </c>
      <c r="E369">
        <v>59962.48</v>
      </c>
      <c r="G369">
        <v>2022</v>
      </c>
      <c r="H369" t="s">
        <v>1060</v>
      </c>
      <c r="I369">
        <v>1</v>
      </c>
    </row>
    <row r="370" spans="2:9">
      <c r="B370">
        <v>351</v>
      </c>
      <c r="C370" t="s">
        <v>262</v>
      </c>
      <c r="D370">
        <v>1966</v>
      </c>
      <c r="E370">
        <v>318047.64</v>
      </c>
      <c r="G370">
        <v>2022</v>
      </c>
      <c r="H370" t="s">
        <v>1060</v>
      </c>
      <c r="I370">
        <v>1</v>
      </c>
    </row>
    <row r="371" spans="2:9">
      <c r="B371">
        <v>352</v>
      </c>
      <c r="C371" t="s">
        <v>262</v>
      </c>
      <c r="D371">
        <v>1967</v>
      </c>
      <c r="E371">
        <v>109472.13</v>
      </c>
      <c r="G371">
        <v>2022</v>
      </c>
      <c r="H371" t="s">
        <v>1060</v>
      </c>
      <c r="I371">
        <v>1</v>
      </c>
    </row>
    <row r="372" spans="2:9">
      <c r="B372">
        <v>353</v>
      </c>
      <c r="C372" t="s">
        <v>262</v>
      </c>
      <c r="D372">
        <v>1968</v>
      </c>
      <c r="E372">
        <v>205157.75</v>
      </c>
      <c r="G372">
        <v>2022</v>
      </c>
      <c r="H372" t="s">
        <v>1060</v>
      </c>
      <c r="I372">
        <v>1</v>
      </c>
    </row>
    <row r="373" spans="2:9">
      <c r="B373">
        <v>354</v>
      </c>
      <c r="C373" t="s">
        <v>262</v>
      </c>
      <c r="D373">
        <v>1969</v>
      </c>
      <c r="E373">
        <v>384223.42</v>
      </c>
      <c r="G373">
        <v>2022</v>
      </c>
      <c r="H373" t="s">
        <v>1060</v>
      </c>
      <c r="I373">
        <v>1</v>
      </c>
    </row>
    <row r="374" spans="2:9">
      <c r="B374">
        <v>355</v>
      </c>
      <c r="C374" t="s">
        <v>262</v>
      </c>
      <c r="D374">
        <v>1970</v>
      </c>
      <c r="E374">
        <v>158864.33000000002</v>
      </c>
      <c r="G374">
        <v>2022</v>
      </c>
      <c r="H374" t="s">
        <v>1060</v>
      </c>
      <c r="I374">
        <v>1</v>
      </c>
    </row>
    <row r="375" spans="2:9">
      <c r="B375">
        <v>356</v>
      </c>
      <c r="C375" t="s">
        <v>262</v>
      </c>
      <c r="D375">
        <v>1971</v>
      </c>
      <c r="E375">
        <v>262805.23</v>
      </c>
      <c r="G375">
        <v>2022</v>
      </c>
      <c r="H375" t="s">
        <v>1060</v>
      </c>
      <c r="I375">
        <v>1</v>
      </c>
    </row>
    <row r="376" spans="2:9">
      <c r="B376">
        <v>357</v>
      </c>
      <c r="C376" t="s">
        <v>262</v>
      </c>
      <c r="D376">
        <v>1972</v>
      </c>
      <c r="E376">
        <v>114985.86000000002</v>
      </c>
      <c r="G376">
        <v>2022</v>
      </c>
      <c r="H376" t="s">
        <v>1060</v>
      </c>
      <c r="I376">
        <v>1</v>
      </c>
    </row>
    <row r="377" spans="2:9">
      <c r="B377">
        <v>358</v>
      </c>
      <c r="C377" t="s">
        <v>262</v>
      </c>
      <c r="D377">
        <v>1973</v>
      </c>
      <c r="E377">
        <v>120091.87999999999</v>
      </c>
      <c r="G377">
        <v>2022</v>
      </c>
      <c r="H377" t="s">
        <v>1060</v>
      </c>
      <c r="I377">
        <v>1</v>
      </c>
    </row>
    <row r="378" spans="2:9">
      <c r="B378">
        <v>359</v>
      </c>
      <c r="C378" t="s">
        <v>262</v>
      </c>
      <c r="D378">
        <v>1974</v>
      </c>
      <c r="E378">
        <v>93174.06</v>
      </c>
      <c r="G378">
        <v>2022</v>
      </c>
      <c r="H378" t="s">
        <v>1060</v>
      </c>
      <c r="I378">
        <v>1</v>
      </c>
    </row>
    <row r="379" spans="2:9">
      <c r="B379">
        <v>360</v>
      </c>
      <c r="C379" t="s">
        <v>262</v>
      </c>
      <c r="D379">
        <v>1975</v>
      </c>
      <c r="E379">
        <v>4893.67</v>
      </c>
      <c r="G379">
        <v>2022</v>
      </c>
      <c r="H379" t="s">
        <v>1060</v>
      </c>
      <c r="I379">
        <v>1</v>
      </c>
    </row>
    <row r="380" spans="2:9">
      <c r="B380">
        <v>361</v>
      </c>
      <c r="C380" t="s">
        <v>262</v>
      </c>
      <c r="D380">
        <v>1976</v>
      </c>
      <c r="E380">
        <v>22029.58</v>
      </c>
      <c r="G380">
        <v>2022</v>
      </c>
      <c r="H380" t="s">
        <v>1060</v>
      </c>
      <c r="I380">
        <v>1</v>
      </c>
    </row>
    <row r="381" spans="2:9">
      <c r="B381">
        <v>362</v>
      </c>
      <c r="C381" t="s">
        <v>262</v>
      </c>
      <c r="D381">
        <v>1977</v>
      </c>
      <c r="E381">
        <v>46858.65</v>
      </c>
      <c r="G381">
        <v>2022</v>
      </c>
      <c r="H381" t="s">
        <v>1060</v>
      </c>
      <c r="I381">
        <v>1</v>
      </c>
    </row>
    <row r="382" spans="2:9">
      <c r="B382">
        <v>363</v>
      </c>
      <c r="C382" t="s">
        <v>262</v>
      </c>
      <c r="D382">
        <v>1979</v>
      </c>
      <c r="E382">
        <v>5905.65</v>
      </c>
      <c r="G382">
        <v>2022</v>
      </c>
      <c r="H382" t="s">
        <v>1060</v>
      </c>
      <c r="I382">
        <v>1</v>
      </c>
    </row>
    <row r="383" spans="2:9">
      <c r="B383">
        <v>364</v>
      </c>
      <c r="C383" t="s">
        <v>262</v>
      </c>
      <c r="D383">
        <v>1980</v>
      </c>
      <c r="E383">
        <v>150815.79</v>
      </c>
      <c r="G383">
        <v>2022</v>
      </c>
      <c r="H383" t="s">
        <v>1060</v>
      </c>
      <c r="I383">
        <v>1</v>
      </c>
    </row>
    <row r="384" spans="2:9">
      <c r="B384">
        <v>365</v>
      </c>
      <c r="C384" t="s">
        <v>262</v>
      </c>
      <c r="D384">
        <v>1981</v>
      </c>
      <c r="E384">
        <v>32315.9</v>
      </c>
      <c r="G384">
        <v>2022</v>
      </c>
      <c r="H384" t="s">
        <v>1060</v>
      </c>
      <c r="I384">
        <v>1</v>
      </c>
    </row>
    <row r="385" spans="2:9">
      <c r="B385">
        <v>366</v>
      </c>
      <c r="C385" t="s">
        <v>262</v>
      </c>
      <c r="D385">
        <v>1982</v>
      </c>
      <c r="E385">
        <v>8847.35</v>
      </c>
      <c r="G385">
        <v>2022</v>
      </c>
      <c r="H385" t="s">
        <v>1060</v>
      </c>
      <c r="I385">
        <v>1</v>
      </c>
    </row>
    <row r="386" spans="2:9">
      <c r="B386">
        <v>367</v>
      </c>
      <c r="C386" t="s">
        <v>262</v>
      </c>
      <c r="D386">
        <v>1984</v>
      </c>
      <c r="E386">
        <v>4950.9399999999996</v>
      </c>
      <c r="G386">
        <v>2022</v>
      </c>
      <c r="H386" t="s">
        <v>1060</v>
      </c>
      <c r="I386">
        <v>1</v>
      </c>
    </row>
    <row r="387" spans="2:9">
      <c r="B387">
        <v>368</v>
      </c>
      <c r="C387" t="s">
        <v>262</v>
      </c>
      <c r="D387">
        <v>1989</v>
      </c>
      <c r="E387">
        <v>51009.69</v>
      </c>
      <c r="G387">
        <v>2022</v>
      </c>
      <c r="H387" t="s">
        <v>1060</v>
      </c>
      <c r="I387">
        <v>1</v>
      </c>
    </row>
    <row r="388" spans="2:9">
      <c r="B388">
        <v>369</v>
      </c>
      <c r="C388" t="s">
        <v>262</v>
      </c>
      <c r="D388">
        <v>1990</v>
      </c>
      <c r="E388">
        <v>160044.32</v>
      </c>
      <c r="G388">
        <v>2022</v>
      </c>
      <c r="H388" t="s">
        <v>1060</v>
      </c>
      <c r="I388">
        <v>1</v>
      </c>
    </row>
    <row r="389" spans="2:9">
      <c r="B389">
        <v>370</v>
      </c>
      <c r="C389" t="s">
        <v>262</v>
      </c>
      <c r="D389">
        <v>1991</v>
      </c>
      <c r="E389">
        <v>8034.15</v>
      </c>
      <c r="G389">
        <v>2022</v>
      </c>
      <c r="H389" t="s">
        <v>1060</v>
      </c>
      <c r="I389">
        <v>1</v>
      </c>
    </row>
    <row r="390" spans="2:9">
      <c r="B390">
        <v>371</v>
      </c>
      <c r="C390" t="s">
        <v>262</v>
      </c>
      <c r="D390">
        <v>1992</v>
      </c>
      <c r="E390">
        <v>21906.92</v>
      </c>
      <c r="G390">
        <v>2022</v>
      </c>
      <c r="H390" t="s">
        <v>1060</v>
      </c>
      <c r="I390">
        <v>1</v>
      </c>
    </row>
    <row r="391" spans="2:9">
      <c r="B391">
        <v>372</v>
      </c>
      <c r="C391" t="s">
        <v>262</v>
      </c>
      <c r="D391">
        <v>1993</v>
      </c>
      <c r="E391">
        <v>15863.25</v>
      </c>
      <c r="G391">
        <v>2022</v>
      </c>
      <c r="H391" t="s">
        <v>1060</v>
      </c>
      <c r="I391">
        <v>1</v>
      </c>
    </row>
    <row r="392" spans="2:9">
      <c r="B392">
        <v>373</v>
      </c>
      <c r="C392" t="s">
        <v>262</v>
      </c>
      <c r="D392">
        <v>1994</v>
      </c>
      <c r="E392">
        <v>51450.05</v>
      </c>
      <c r="G392">
        <v>2022</v>
      </c>
      <c r="H392" t="s">
        <v>1060</v>
      </c>
      <c r="I392">
        <v>1</v>
      </c>
    </row>
    <row r="393" spans="2:9">
      <c r="B393">
        <v>374</v>
      </c>
      <c r="C393" t="s">
        <v>262</v>
      </c>
      <c r="D393">
        <v>1995</v>
      </c>
      <c r="E393">
        <v>62522.97</v>
      </c>
      <c r="G393">
        <v>2022</v>
      </c>
      <c r="H393" t="s">
        <v>1060</v>
      </c>
      <c r="I393">
        <v>1</v>
      </c>
    </row>
    <row r="394" spans="2:9">
      <c r="B394">
        <v>375</v>
      </c>
      <c r="C394" t="s">
        <v>262</v>
      </c>
      <c r="D394">
        <v>1996</v>
      </c>
      <c r="E394">
        <v>16582.84</v>
      </c>
      <c r="G394">
        <v>2022</v>
      </c>
      <c r="H394" t="s">
        <v>1060</v>
      </c>
      <c r="I394">
        <v>1</v>
      </c>
    </row>
    <row r="395" spans="2:9">
      <c r="B395">
        <v>376</v>
      </c>
      <c r="C395" t="s">
        <v>262</v>
      </c>
      <c r="D395">
        <v>1997</v>
      </c>
      <c r="E395">
        <v>16150.88</v>
      </c>
      <c r="G395">
        <v>2022</v>
      </c>
      <c r="H395" t="s">
        <v>1060</v>
      </c>
      <c r="I395">
        <v>1</v>
      </c>
    </row>
    <row r="396" spans="2:9">
      <c r="B396">
        <v>377</v>
      </c>
      <c r="C396" t="s">
        <v>262</v>
      </c>
      <c r="D396">
        <v>2000</v>
      </c>
      <c r="E396">
        <v>11054.31</v>
      </c>
      <c r="G396">
        <v>2022</v>
      </c>
      <c r="H396" t="s">
        <v>1060</v>
      </c>
      <c r="I396">
        <v>1</v>
      </c>
    </row>
    <row r="397" spans="2:9">
      <c r="B397">
        <v>378</v>
      </c>
      <c r="C397" t="s">
        <v>262</v>
      </c>
      <c r="D397">
        <v>2002</v>
      </c>
      <c r="E397">
        <v>9572.0400000000009</v>
      </c>
      <c r="G397">
        <v>2022</v>
      </c>
      <c r="H397" t="s">
        <v>1060</v>
      </c>
      <c r="I397">
        <v>1</v>
      </c>
    </row>
    <row r="398" spans="2:9">
      <c r="B398">
        <v>379</v>
      </c>
      <c r="C398" t="s">
        <v>262</v>
      </c>
      <c r="D398">
        <v>2003</v>
      </c>
      <c r="E398">
        <v>37361.589999999997</v>
      </c>
      <c r="G398">
        <v>2022</v>
      </c>
      <c r="H398" t="s">
        <v>1060</v>
      </c>
      <c r="I398">
        <v>1</v>
      </c>
    </row>
    <row r="399" spans="2:9">
      <c r="B399">
        <v>380</v>
      </c>
      <c r="C399" t="s">
        <v>262</v>
      </c>
      <c r="D399">
        <v>2005</v>
      </c>
      <c r="E399">
        <v>13619.77</v>
      </c>
      <c r="G399">
        <v>2022</v>
      </c>
      <c r="H399" t="s">
        <v>1060</v>
      </c>
      <c r="I399">
        <v>1</v>
      </c>
    </row>
    <row r="400" spans="2:9">
      <c r="B400">
        <v>381</v>
      </c>
      <c r="C400" t="s">
        <v>262</v>
      </c>
      <c r="D400">
        <v>2007</v>
      </c>
      <c r="E400">
        <v>316887.66000000003</v>
      </c>
      <c r="G400">
        <v>2022</v>
      </c>
      <c r="H400" t="s">
        <v>1060</v>
      </c>
      <c r="I400">
        <v>1</v>
      </c>
    </row>
    <row r="401" spans="2:9">
      <c r="B401">
        <v>382</v>
      </c>
      <c r="C401" t="s">
        <v>262</v>
      </c>
      <c r="D401">
        <v>2010</v>
      </c>
      <c r="E401">
        <v>154710.54390000002</v>
      </c>
      <c r="G401">
        <v>2022</v>
      </c>
      <c r="H401" t="s">
        <v>1060</v>
      </c>
      <c r="I401">
        <v>1</v>
      </c>
    </row>
    <row r="402" spans="2:9">
      <c r="B402">
        <v>383</v>
      </c>
      <c r="C402" t="s">
        <v>262</v>
      </c>
      <c r="D402">
        <v>2012</v>
      </c>
      <c r="E402">
        <v>41792.986548232657</v>
      </c>
      <c r="G402">
        <v>2022</v>
      </c>
      <c r="H402" t="s">
        <v>1060</v>
      </c>
      <c r="I402">
        <v>1</v>
      </c>
    </row>
    <row r="403" spans="2:9">
      <c r="B403">
        <v>384</v>
      </c>
      <c r="C403" t="s">
        <v>269</v>
      </c>
      <c r="D403">
        <v>1980</v>
      </c>
      <c r="E403">
        <v>47081.56</v>
      </c>
      <c r="G403">
        <v>2022</v>
      </c>
      <c r="H403" t="s">
        <v>1060</v>
      </c>
      <c r="I403">
        <v>1</v>
      </c>
    </row>
    <row r="404" spans="2:9">
      <c r="B404">
        <v>385</v>
      </c>
      <c r="C404" t="s">
        <v>289</v>
      </c>
      <c r="D404">
        <v>1970</v>
      </c>
      <c r="E404">
        <v>81298.009999999995</v>
      </c>
      <c r="G404">
        <v>2022</v>
      </c>
      <c r="H404" t="s">
        <v>1060</v>
      </c>
      <c r="I404">
        <v>1</v>
      </c>
    </row>
    <row r="405" spans="2:9">
      <c r="B405">
        <v>386</v>
      </c>
      <c r="C405" t="s">
        <v>289</v>
      </c>
      <c r="D405">
        <v>1971</v>
      </c>
      <c r="E405">
        <v>86713.88</v>
      </c>
      <c r="G405">
        <v>2022</v>
      </c>
      <c r="H405" t="s">
        <v>1060</v>
      </c>
      <c r="I405">
        <v>1</v>
      </c>
    </row>
    <row r="406" spans="2:9">
      <c r="B406">
        <v>387</v>
      </c>
      <c r="C406" t="s">
        <v>289</v>
      </c>
      <c r="D406">
        <v>1974</v>
      </c>
      <c r="E406">
        <v>177923.75</v>
      </c>
      <c r="G406">
        <v>2022</v>
      </c>
      <c r="H406" t="s">
        <v>1060</v>
      </c>
      <c r="I406">
        <v>1</v>
      </c>
    </row>
    <row r="407" spans="2:9">
      <c r="B407">
        <v>388</v>
      </c>
      <c r="C407" t="s">
        <v>289</v>
      </c>
      <c r="D407">
        <v>1997</v>
      </c>
      <c r="E407">
        <v>15658.35</v>
      </c>
      <c r="G407">
        <v>2022</v>
      </c>
      <c r="H407" t="s">
        <v>1060</v>
      </c>
      <c r="I407">
        <v>1</v>
      </c>
    </row>
    <row r="408" spans="2:9">
      <c r="B408">
        <v>389</v>
      </c>
      <c r="C408" t="s">
        <v>289</v>
      </c>
      <c r="D408">
        <v>2011</v>
      </c>
      <c r="E408">
        <v>117399.27471035083</v>
      </c>
      <c r="G408">
        <v>2022</v>
      </c>
      <c r="H408" t="s">
        <v>1060</v>
      </c>
      <c r="I408">
        <v>1</v>
      </c>
    </row>
    <row r="409" spans="2:9">
      <c r="B409">
        <v>390</v>
      </c>
      <c r="C409" t="s">
        <v>292</v>
      </c>
      <c r="D409">
        <v>1977</v>
      </c>
      <c r="E409">
        <v>1111944.56</v>
      </c>
      <c r="G409">
        <v>2022</v>
      </c>
      <c r="H409" t="s">
        <v>1060</v>
      </c>
      <c r="I409">
        <v>1</v>
      </c>
    </row>
    <row r="410" spans="2:9">
      <c r="B410">
        <v>391</v>
      </c>
      <c r="C410" t="s">
        <v>292</v>
      </c>
      <c r="D410">
        <v>1998</v>
      </c>
      <c r="E410">
        <v>1841303.44</v>
      </c>
      <c r="G410">
        <v>2022</v>
      </c>
      <c r="H410" t="s">
        <v>1060</v>
      </c>
      <c r="I410">
        <v>1</v>
      </c>
    </row>
    <row r="411" spans="2:9">
      <c r="B411">
        <v>392</v>
      </c>
      <c r="C411" t="s">
        <v>293</v>
      </c>
      <c r="D411">
        <v>2019</v>
      </c>
      <c r="E411">
        <v>64295.18960042399</v>
      </c>
      <c r="G411">
        <v>2022</v>
      </c>
      <c r="H411" t="s">
        <v>1060</v>
      </c>
      <c r="I411">
        <v>1</v>
      </c>
    </row>
    <row r="412" spans="2:9">
      <c r="B412">
        <v>393</v>
      </c>
      <c r="C412" t="s">
        <v>297</v>
      </c>
      <c r="D412">
        <v>1964</v>
      </c>
      <c r="E412">
        <v>1445.34</v>
      </c>
      <c r="G412">
        <v>2022</v>
      </c>
      <c r="H412" t="s">
        <v>1060</v>
      </c>
      <c r="I412">
        <v>1</v>
      </c>
    </row>
    <row r="413" spans="2:9">
      <c r="B413">
        <v>394</v>
      </c>
      <c r="C413" t="s">
        <v>297</v>
      </c>
      <c r="D413">
        <v>1977</v>
      </c>
      <c r="E413">
        <v>50000</v>
      </c>
      <c r="G413">
        <v>2022</v>
      </c>
      <c r="H413" t="s">
        <v>1060</v>
      </c>
      <c r="I413">
        <v>1</v>
      </c>
    </row>
    <row r="414" spans="2:9">
      <c r="B414">
        <v>395</v>
      </c>
      <c r="C414" t="s">
        <v>297</v>
      </c>
      <c r="D414">
        <v>1978</v>
      </c>
      <c r="E414">
        <v>16458.09</v>
      </c>
      <c r="G414">
        <v>2022</v>
      </c>
      <c r="H414" t="s">
        <v>1060</v>
      </c>
      <c r="I414">
        <v>1</v>
      </c>
    </row>
    <row r="415" spans="2:9">
      <c r="B415">
        <v>396</v>
      </c>
      <c r="C415" t="s">
        <v>297</v>
      </c>
      <c r="D415">
        <v>1983</v>
      </c>
      <c r="E415">
        <v>44290.400000000001</v>
      </c>
      <c r="G415">
        <v>2022</v>
      </c>
      <c r="H415" t="s">
        <v>1060</v>
      </c>
      <c r="I415">
        <v>1</v>
      </c>
    </row>
    <row r="416" spans="2:9">
      <c r="B416">
        <v>397</v>
      </c>
      <c r="C416" t="s">
        <v>297</v>
      </c>
      <c r="D416">
        <v>1987</v>
      </c>
      <c r="E416">
        <v>90000</v>
      </c>
      <c r="G416">
        <v>2022</v>
      </c>
      <c r="H416" t="s">
        <v>1060</v>
      </c>
      <c r="I416">
        <v>1</v>
      </c>
    </row>
    <row r="417" spans="2:9">
      <c r="B417">
        <v>398</v>
      </c>
      <c r="C417" t="s">
        <v>303</v>
      </c>
      <c r="D417">
        <v>1964</v>
      </c>
      <c r="E417">
        <v>184143.09</v>
      </c>
      <c r="G417">
        <v>2022</v>
      </c>
      <c r="H417" t="s">
        <v>1060</v>
      </c>
      <c r="I417">
        <v>1</v>
      </c>
    </row>
    <row r="418" spans="2:9">
      <c r="B418">
        <v>399</v>
      </c>
      <c r="C418" t="s">
        <v>303</v>
      </c>
      <c r="D418">
        <v>1967</v>
      </c>
      <c r="E418">
        <v>477869.69</v>
      </c>
      <c r="G418">
        <v>2022</v>
      </c>
      <c r="H418" t="s">
        <v>1060</v>
      </c>
      <c r="I418">
        <v>1</v>
      </c>
    </row>
    <row r="419" spans="2:9">
      <c r="B419">
        <v>400</v>
      </c>
      <c r="C419" t="s">
        <v>303</v>
      </c>
      <c r="D419">
        <v>1968</v>
      </c>
      <c r="E419">
        <v>7990.16</v>
      </c>
      <c r="G419">
        <v>2022</v>
      </c>
      <c r="H419" t="s">
        <v>1060</v>
      </c>
      <c r="I419">
        <v>1</v>
      </c>
    </row>
    <row r="420" spans="2:9">
      <c r="B420">
        <v>401</v>
      </c>
      <c r="C420" t="s">
        <v>303</v>
      </c>
      <c r="D420">
        <v>1969</v>
      </c>
      <c r="E420">
        <v>64322.44</v>
      </c>
      <c r="G420">
        <v>2022</v>
      </c>
      <c r="H420" t="s">
        <v>1060</v>
      </c>
      <c r="I420">
        <v>1</v>
      </c>
    </row>
    <row r="421" spans="2:9">
      <c r="B421">
        <v>402</v>
      </c>
      <c r="C421" t="s">
        <v>303</v>
      </c>
      <c r="D421">
        <v>1972</v>
      </c>
      <c r="E421">
        <v>58241.78</v>
      </c>
      <c r="G421">
        <v>2022</v>
      </c>
      <c r="H421" t="s">
        <v>1060</v>
      </c>
      <c r="I421">
        <v>1</v>
      </c>
    </row>
    <row r="422" spans="2:9">
      <c r="B422">
        <v>403</v>
      </c>
      <c r="C422" t="s">
        <v>303</v>
      </c>
      <c r="D422">
        <v>1974</v>
      </c>
      <c r="E422">
        <v>117946.1</v>
      </c>
      <c r="G422">
        <v>2022</v>
      </c>
      <c r="H422" t="s">
        <v>1060</v>
      </c>
      <c r="I422">
        <v>1</v>
      </c>
    </row>
    <row r="423" spans="2:9">
      <c r="B423">
        <v>404</v>
      </c>
      <c r="C423" t="s">
        <v>303</v>
      </c>
      <c r="D423">
        <v>1978</v>
      </c>
      <c r="E423">
        <v>1289616.6000000001</v>
      </c>
      <c r="G423">
        <v>2022</v>
      </c>
      <c r="H423" t="s">
        <v>1060</v>
      </c>
      <c r="I423">
        <v>1</v>
      </c>
    </row>
    <row r="424" spans="2:9">
      <c r="B424">
        <v>405</v>
      </c>
      <c r="C424" t="s">
        <v>303</v>
      </c>
      <c r="D424">
        <v>1995</v>
      </c>
      <c r="E424">
        <v>15754.34</v>
      </c>
      <c r="G424">
        <v>2022</v>
      </c>
      <c r="H424" t="s">
        <v>1060</v>
      </c>
      <c r="I424">
        <v>1</v>
      </c>
    </row>
    <row r="425" spans="2:9">
      <c r="B425">
        <v>406</v>
      </c>
      <c r="C425" t="s">
        <v>303</v>
      </c>
      <c r="D425">
        <v>2012</v>
      </c>
      <c r="E425">
        <v>386956.48760918935</v>
      </c>
      <c r="G425">
        <v>2022</v>
      </c>
      <c r="H425" t="s">
        <v>1060</v>
      </c>
      <c r="I425">
        <v>1</v>
      </c>
    </row>
    <row r="426" spans="2:9">
      <c r="B426">
        <v>407</v>
      </c>
      <c r="C426" t="s">
        <v>308</v>
      </c>
      <c r="D426">
        <v>1986</v>
      </c>
      <c r="E426">
        <v>29497.66</v>
      </c>
      <c r="G426">
        <v>2022</v>
      </c>
      <c r="H426" t="s">
        <v>1060</v>
      </c>
      <c r="I426">
        <v>1</v>
      </c>
    </row>
  </sheetData>
  <mergeCells count="3">
    <mergeCell ref="B8:M8"/>
    <mergeCell ref="B11:D11"/>
    <mergeCell ref="B14:D14"/>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2"/>
  <sheetViews>
    <sheetView showGridLines="0" zoomScale="90" zoomScaleNormal="90" workbookViewId="0">
      <selection activeCell="B19" sqref="B19:J22"/>
    </sheetView>
  </sheetViews>
  <sheetFormatPr defaultRowHeight="12.75"/>
  <cols>
    <col min="1" max="1" width="2.5703125" customWidth="1"/>
    <col min="2" max="2" width="55.140625" bestFit="1" customWidth="1"/>
    <col min="3" max="3" width="60.28515625" bestFit="1" customWidth="1"/>
    <col min="4" max="4" width="6.7109375" bestFit="1" customWidth="1"/>
    <col min="5" max="5" width="33.28515625" bestFit="1" customWidth="1"/>
    <col min="6" max="6" width="31.5703125" bestFit="1" customWidth="1"/>
    <col min="7" max="7" width="16.5703125" bestFit="1" customWidth="1"/>
    <col min="8" max="8" width="30.42578125" bestFit="1" customWidth="1"/>
    <col min="9" max="9" width="69.42578125" bestFit="1" customWidth="1"/>
    <col min="10" max="10" width="8.42578125" bestFit="1" customWidth="1"/>
  </cols>
  <sheetData>
    <row r="1" spans="2:14" s="3" customFormat="1"/>
    <row r="2" spans="2:14" s="12" customFormat="1" ht="18">
      <c r="B2" s="12" t="s">
        <v>767</v>
      </c>
    </row>
    <row r="3" spans="2:14" s="3" customFormat="1"/>
    <row r="4" spans="2:14" s="3" customFormat="1">
      <c r="B4" s="2" t="s">
        <v>173</v>
      </c>
    </row>
    <row r="5" spans="2:14" s="3" customFormat="1" ht="38.25" customHeight="1">
      <c r="B5" s="322" t="s">
        <v>768</v>
      </c>
      <c r="C5" s="322"/>
      <c r="D5" s="322"/>
    </row>
    <row r="6" spans="2:14" s="3" customFormat="1"/>
    <row r="7" spans="2:14" s="3" customFormat="1">
      <c r="B7" s="16" t="s">
        <v>747</v>
      </c>
      <c r="C7" s="194"/>
      <c r="D7" s="2"/>
    </row>
    <row r="8" spans="2:14" s="3" customFormat="1" ht="16.5" customHeight="1">
      <c r="B8" s="327" t="s">
        <v>1090</v>
      </c>
      <c r="C8" s="327"/>
      <c r="D8" s="327"/>
      <c r="E8" s="327"/>
      <c r="F8" s="327"/>
      <c r="G8" s="327"/>
      <c r="H8" s="327"/>
      <c r="I8" s="327"/>
      <c r="J8" s="327"/>
      <c r="K8" s="327"/>
      <c r="L8" s="327"/>
      <c r="M8" s="327"/>
    </row>
    <row r="9" spans="2:14" s="3" customFormat="1">
      <c r="B9" s="4"/>
      <c r="C9" s="194"/>
    </row>
    <row r="10" spans="2:14" s="3" customFormat="1">
      <c r="B10" s="189" t="s">
        <v>748</v>
      </c>
      <c r="C10" s="194"/>
    </row>
    <row r="11" spans="2:14" s="3" customFormat="1">
      <c r="B11" s="329">
        <v>45050</v>
      </c>
      <c r="C11" s="329"/>
      <c r="D11" s="329"/>
      <c r="E11" s="128"/>
    </row>
    <row r="13" spans="2:14">
      <c r="B13" s="189" t="s">
        <v>749</v>
      </c>
      <c r="C13" s="3"/>
      <c r="D13" s="3"/>
      <c r="E13" s="3"/>
      <c r="F13" s="3"/>
      <c r="G13" s="3"/>
      <c r="H13" s="3"/>
      <c r="I13" s="3"/>
      <c r="J13" s="3"/>
      <c r="K13" s="3"/>
      <c r="L13" s="3"/>
      <c r="M13" s="3"/>
      <c r="N13" s="3"/>
    </row>
    <row r="14" spans="2:14" ht="25.5" customHeight="1">
      <c r="B14" s="329" t="s">
        <v>769</v>
      </c>
      <c r="C14" s="322"/>
      <c r="D14" s="322"/>
      <c r="E14" s="1"/>
      <c r="F14" s="1"/>
      <c r="G14" s="1"/>
      <c r="H14" s="1"/>
      <c r="I14" s="1"/>
      <c r="J14" s="1"/>
      <c r="K14" s="1"/>
      <c r="L14" s="1"/>
      <c r="M14" s="1"/>
      <c r="N14" s="1"/>
    </row>
    <row r="16" spans="2:14">
      <c r="B16" s="190" t="s">
        <v>751</v>
      </c>
    </row>
    <row r="17" spans="2:10">
      <c r="B17" s="135">
        <f>SUBTOTAL(103,B20:B460)</f>
        <v>3</v>
      </c>
    </row>
    <row r="18" spans="2:10" ht="14.25" customHeight="1"/>
    <row r="19" spans="2:10" s="8" customFormat="1">
      <c r="B19" s="8" t="s">
        <v>770</v>
      </c>
      <c r="C19" s="8" t="s">
        <v>771</v>
      </c>
      <c r="D19" s="8" t="s">
        <v>139</v>
      </c>
      <c r="E19" s="8" t="s">
        <v>772</v>
      </c>
      <c r="F19" s="8" t="s">
        <v>773</v>
      </c>
      <c r="G19" s="8" t="s">
        <v>774</v>
      </c>
      <c r="H19" s="8" t="s">
        <v>775</v>
      </c>
      <c r="I19" s="8" t="s">
        <v>757</v>
      </c>
      <c r="J19" s="8" t="s">
        <v>758</v>
      </c>
    </row>
    <row r="20" spans="2:10">
      <c r="B20" t="s">
        <v>776</v>
      </c>
      <c r="C20" t="s">
        <v>777</v>
      </c>
      <c r="D20">
        <v>2020</v>
      </c>
      <c r="E20" s="191">
        <v>909823616.24000001</v>
      </c>
      <c r="F20" s="191">
        <v>7382022.1000000006</v>
      </c>
      <c r="G20" s="191">
        <v>1408616.89</v>
      </c>
      <c r="H20" s="191">
        <v>-7141324.5900000008</v>
      </c>
      <c r="I20" t="s">
        <v>759</v>
      </c>
      <c r="J20">
        <v>1</v>
      </c>
    </row>
    <row r="21" spans="2:10">
      <c r="B21" t="s">
        <v>776</v>
      </c>
      <c r="C21" t="s">
        <v>777</v>
      </c>
      <c r="D21">
        <v>2021</v>
      </c>
      <c r="E21" s="191">
        <v>922405562.78000021</v>
      </c>
      <c r="F21" s="191">
        <v>13494084.869999999</v>
      </c>
      <c r="G21" s="191">
        <v>1093413.33</v>
      </c>
      <c r="H21" s="191">
        <v>-21856587.380000003</v>
      </c>
      <c r="I21" t="s">
        <v>761</v>
      </c>
      <c r="J21">
        <v>1</v>
      </c>
    </row>
    <row r="22" spans="2:10">
      <c r="B22" t="s">
        <v>776</v>
      </c>
      <c r="C22" t="s">
        <v>777</v>
      </c>
      <c r="D22">
        <v>2022</v>
      </c>
      <c r="E22" s="191">
        <v>1354081798.3900001</v>
      </c>
      <c r="F22" s="191">
        <v>33326739.559999999</v>
      </c>
      <c r="G22" s="191">
        <v>221359938.30000001</v>
      </c>
      <c r="H22" s="191">
        <v>-2234578.129999999</v>
      </c>
      <c r="I22" t="s">
        <v>1060</v>
      </c>
      <c r="J22">
        <v>1</v>
      </c>
    </row>
  </sheetData>
  <mergeCells count="4">
    <mergeCell ref="B5:D5"/>
    <mergeCell ref="B8:M8"/>
    <mergeCell ref="B11:D11"/>
    <mergeCell ref="B14:D14"/>
  </mergeCell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2"/>
  <sheetViews>
    <sheetView showGridLines="0" zoomScale="90" zoomScaleNormal="90" workbookViewId="0">
      <selection activeCell="B1" sqref="B1"/>
    </sheetView>
  </sheetViews>
  <sheetFormatPr defaultRowHeight="12.75"/>
  <cols>
    <col min="1" max="1" width="2.5703125" customWidth="1"/>
    <col min="2" max="2" width="68.28515625" bestFit="1" customWidth="1"/>
    <col min="3" max="3" width="33.5703125" bestFit="1" customWidth="1"/>
    <col min="4" max="4" width="6.7109375" bestFit="1" customWidth="1"/>
    <col min="5" max="6" width="13" bestFit="1" customWidth="1"/>
    <col min="7" max="7" width="37.85546875" bestFit="1" customWidth="1"/>
    <col min="8" max="8" width="8.42578125" bestFit="1" customWidth="1"/>
    <col min="9" max="9" width="10.85546875" bestFit="1" customWidth="1"/>
    <col min="10" max="10" width="19.5703125" bestFit="1" customWidth="1"/>
    <col min="11" max="11" width="31" bestFit="1" customWidth="1"/>
    <col min="12" max="12" width="8.7109375" bestFit="1" customWidth="1"/>
    <col min="13" max="13" width="39" bestFit="1" customWidth="1"/>
    <col min="14" max="14" width="42.140625" bestFit="1" customWidth="1"/>
    <col min="15" max="15" width="28.42578125" bestFit="1" customWidth="1"/>
    <col min="16" max="16" width="80.7109375" bestFit="1" customWidth="1"/>
    <col min="17" max="17" width="66.5703125" bestFit="1" customWidth="1"/>
    <col min="18" max="18" width="37.85546875" bestFit="1" customWidth="1"/>
    <col min="19" max="19" width="8.42578125" bestFit="1" customWidth="1"/>
    <col min="20" max="20" width="13.28515625" bestFit="1" customWidth="1"/>
  </cols>
  <sheetData>
    <row r="1" spans="2:19" s="3" customFormat="1"/>
    <row r="2" spans="2:19" s="12" customFormat="1" ht="18">
      <c r="B2" s="12" t="s">
        <v>778</v>
      </c>
    </row>
    <row r="3" spans="2:19" s="3" customFormat="1"/>
    <row r="4" spans="2:19" s="3" customFormat="1">
      <c r="B4" s="2" t="s">
        <v>173</v>
      </c>
    </row>
    <row r="5" spans="2:19" s="3" customFormat="1">
      <c r="B5" s="3" t="s">
        <v>1073</v>
      </c>
    </row>
    <row r="6" spans="2:19" s="3" customFormat="1"/>
    <row r="7" spans="2:19" s="3" customFormat="1">
      <c r="B7" s="16" t="s">
        <v>747</v>
      </c>
      <c r="C7" s="194"/>
      <c r="D7" s="2"/>
    </row>
    <row r="8" spans="2:19" s="3" customFormat="1" ht="16.5" customHeight="1">
      <c r="B8" s="327" t="s">
        <v>1090</v>
      </c>
      <c r="C8" s="327"/>
      <c r="D8" s="327"/>
      <c r="E8" s="327"/>
      <c r="F8" s="327"/>
      <c r="G8" s="327"/>
      <c r="H8" s="327"/>
      <c r="I8" s="327"/>
      <c r="J8" s="327"/>
      <c r="K8" s="327"/>
      <c r="L8" s="327"/>
      <c r="M8" s="327"/>
    </row>
    <row r="9" spans="2:19" s="3" customFormat="1">
      <c r="B9" s="4"/>
      <c r="C9" s="194"/>
    </row>
    <row r="10" spans="2:19" s="3" customFormat="1">
      <c r="B10" s="189" t="s">
        <v>748</v>
      </c>
      <c r="C10" s="194"/>
    </row>
    <row r="11" spans="2:19" s="3" customFormat="1">
      <c r="B11" s="329">
        <v>45050</v>
      </c>
      <c r="C11" s="329"/>
      <c r="D11" s="329"/>
      <c r="E11" s="128"/>
    </row>
    <row r="13" spans="2:19">
      <c r="B13" s="189" t="s">
        <v>749</v>
      </c>
      <c r="C13" s="3"/>
      <c r="D13" s="3"/>
      <c r="E13" s="3"/>
      <c r="F13" s="3"/>
      <c r="G13" s="3"/>
      <c r="H13" s="3"/>
      <c r="I13" s="3"/>
      <c r="J13" s="3"/>
      <c r="K13" s="3"/>
      <c r="L13" s="3"/>
      <c r="M13" s="3"/>
      <c r="N13" s="3"/>
      <c r="O13" s="3"/>
      <c r="P13" s="3"/>
      <c r="Q13" s="3"/>
      <c r="R13" s="3"/>
      <c r="S13" s="3"/>
    </row>
    <row r="14" spans="2:19" ht="12.75" customHeight="1">
      <c r="B14" s="329" t="s">
        <v>1076</v>
      </c>
      <c r="C14" s="329"/>
      <c r="D14" s="329"/>
      <c r="E14" s="329"/>
      <c r="F14" s="329"/>
      <c r="G14" s="1"/>
      <c r="H14" s="1"/>
      <c r="I14" s="1"/>
      <c r="J14" s="1"/>
      <c r="K14" s="1"/>
      <c r="L14" s="1"/>
      <c r="M14" s="1"/>
      <c r="N14" s="1"/>
      <c r="O14" s="1"/>
      <c r="P14" s="1"/>
      <c r="Q14" s="1"/>
      <c r="R14" s="1"/>
      <c r="S14" s="1"/>
    </row>
    <row r="16" spans="2:19">
      <c r="B16" s="190" t="s">
        <v>751</v>
      </c>
    </row>
    <row r="17" spans="2:8">
      <c r="B17" s="135">
        <f>SUBTOTAL(103,B20:B461)</f>
        <v>3</v>
      </c>
    </row>
    <row r="18" spans="2:8" ht="14.25" customHeight="1"/>
    <row r="19" spans="2:8" s="8" customFormat="1">
      <c r="B19" s="8" t="s">
        <v>770</v>
      </c>
      <c r="C19" s="8" t="s">
        <v>771</v>
      </c>
      <c r="D19" s="8" t="s">
        <v>139</v>
      </c>
      <c r="E19" s="8" t="s">
        <v>779</v>
      </c>
      <c r="F19" s="8" t="s">
        <v>780</v>
      </c>
      <c r="G19" s="8" t="s">
        <v>757</v>
      </c>
      <c r="H19" s="8" t="s">
        <v>758</v>
      </c>
    </row>
    <row r="20" spans="2:8">
      <c r="B20" t="s">
        <v>464</v>
      </c>
      <c r="C20" t="s">
        <v>1070</v>
      </c>
      <c r="D20">
        <v>2022</v>
      </c>
      <c r="E20" s="191">
        <v>117613906.59917724</v>
      </c>
      <c r="F20" s="191">
        <v>255375350.92082277</v>
      </c>
      <c r="G20" t="s">
        <v>1060</v>
      </c>
      <c r="H20">
        <v>1</v>
      </c>
    </row>
    <row r="21" spans="2:8">
      <c r="B21" t="s">
        <v>464</v>
      </c>
      <c r="C21" t="s">
        <v>1083</v>
      </c>
      <c r="D21">
        <v>2022</v>
      </c>
      <c r="E21" s="191"/>
      <c r="F21" s="191">
        <v>4045629</v>
      </c>
      <c r="G21" t="s">
        <v>1060</v>
      </c>
      <c r="H21">
        <v>1</v>
      </c>
    </row>
    <row r="22" spans="2:8">
      <c r="B22" t="s">
        <v>1071</v>
      </c>
      <c r="C22" t="s">
        <v>1072</v>
      </c>
      <c r="D22">
        <v>2022</v>
      </c>
      <c r="E22" s="191">
        <v>15909724.839999994</v>
      </c>
      <c r="F22" s="191">
        <v>194686.33000000002</v>
      </c>
      <c r="G22" t="s">
        <v>1060</v>
      </c>
      <c r="H22">
        <v>1</v>
      </c>
    </row>
  </sheetData>
  <mergeCells count="3">
    <mergeCell ref="B8:M8"/>
    <mergeCell ref="B11:D11"/>
    <mergeCell ref="B14:F14"/>
  </mergeCell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0D760-A2E6-42A1-B9E9-4F53EDF58710}">
  <sheetPr>
    <tabColor rgb="FFCCCCFF"/>
  </sheetPr>
  <dimension ref="B1:AE25"/>
  <sheetViews>
    <sheetView showGridLines="0" zoomScale="90" zoomScaleNormal="90" workbookViewId="0">
      <selection activeCell="Q22" sqref="Q22"/>
    </sheetView>
  </sheetViews>
  <sheetFormatPr defaultRowHeight="12.75"/>
  <cols>
    <col min="1" max="1" width="2.5703125" customWidth="1"/>
    <col min="2" max="2" width="12.28515625" bestFit="1" customWidth="1"/>
    <col min="3" max="3" width="21.140625" bestFit="1" customWidth="1"/>
    <col min="5" max="5" width="14.28515625" customWidth="1"/>
  </cols>
  <sheetData>
    <row r="1" spans="2:31" s="3" customFormat="1"/>
    <row r="2" spans="2:31" s="12" customFormat="1" ht="18">
      <c r="B2" s="12" t="s">
        <v>782</v>
      </c>
    </row>
    <row r="3" spans="2:31" s="3" customFormat="1"/>
    <row r="4" spans="2:31" s="3" customFormat="1">
      <c r="B4" s="2" t="s">
        <v>173</v>
      </c>
    </row>
    <row r="5" spans="2:31" s="3" customFormat="1">
      <c r="B5" s="3" t="s">
        <v>783</v>
      </c>
    </row>
    <row r="6" spans="2:31" s="3" customFormat="1"/>
    <row r="7" spans="2:31" s="3" customFormat="1">
      <c r="B7" s="16" t="s">
        <v>747</v>
      </c>
      <c r="C7" s="2"/>
    </row>
    <row r="8" spans="2:31" s="3" customFormat="1">
      <c r="B8" s="329" t="s">
        <v>1077</v>
      </c>
      <c r="C8" s="329"/>
      <c r="D8" s="329"/>
      <c r="E8" s="329"/>
      <c r="F8" s="329"/>
      <c r="G8" s="1"/>
      <c r="H8" s="1"/>
      <c r="I8" s="1"/>
      <c r="J8" s="1"/>
      <c r="K8" s="1"/>
      <c r="L8" s="1"/>
      <c r="M8" s="1"/>
      <c r="N8" s="1"/>
      <c r="O8" s="1"/>
      <c r="P8" s="1"/>
      <c r="Q8" s="1"/>
      <c r="S8" s="13"/>
      <c r="T8" s="13"/>
      <c r="U8" s="13"/>
      <c r="V8" s="13"/>
      <c r="W8" s="13"/>
      <c r="X8" s="13"/>
      <c r="Y8" s="13"/>
      <c r="Z8" s="13"/>
      <c r="AA8" s="13"/>
      <c r="AB8" s="13"/>
      <c r="AC8" s="13"/>
      <c r="AD8" s="13"/>
      <c r="AE8" s="13"/>
    </row>
    <row r="9" spans="2:31" s="3" customFormat="1">
      <c r="B9" s="4"/>
    </row>
    <row r="10" spans="2:31" s="3" customFormat="1">
      <c r="B10" s="189" t="s">
        <v>748</v>
      </c>
    </row>
    <row r="11" spans="2:31" s="3" customFormat="1">
      <c r="B11" s="329">
        <v>45050</v>
      </c>
      <c r="C11" s="329"/>
      <c r="D11" s="329"/>
      <c r="E11" s="1"/>
      <c r="F11" s="1"/>
      <c r="G11" s="1"/>
      <c r="H11" s="1"/>
      <c r="I11" s="1"/>
      <c r="J11" s="1"/>
      <c r="K11" s="1"/>
      <c r="L11" s="1"/>
      <c r="M11" s="1"/>
      <c r="N11" s="1"/>
      <c r="O11" s="1"/>
      <c r="P11" s="1"/>
      <c r="Q11" s="1"/>
    </row>
    <row r="13" spans="2:31">
      <c r="B13" s="189" t="s">
        <v>749</v>
      </c>
      <c r="C13" s="3"/>
      <c r="D13" s="3"/>
      <c r="E13" s="3"/>
      <c r="F13" s="3"/>
      <c r="G13" s="3"/>
      <c r="H13" s="3"/>
      <c r="I13" s="3"/>
      <c r="J13" s="3"/>
      <c r="K13" s="3"/>
      <c r="L13" s="3"/>
      <c r="M13" s="3"/>
      <c r="N13" s="3"/>
      <c r="O13" s="3"/>
      <c r="P13" s="3"/>
      <c r="Q13" s="3"/>
    </row>
    <row r="14" spans="2:31" ht="25.5" customHeight="1">
      <c r="B14" s="329" t="s">
        <v>1078</v>
      </c>
      <c r="C14" s="329"/>
      <c r="D14" s="329"/>
      <c r="E14" s="329"/>
      <c r="F14" s="329"/>
      <c r="G14" s="1"/>
      <c r="H14" s="1"/>
      <c r="I14" s="1"/>
      <c r="J14" s="1"/>
      <c r="K14" s="1"/>
      <c r="L14" s="1"/>
      <c r="M14" s="1"/>
      <c r="N14" s="1"/>
      <c r="O14" s="1"/>
      <c r="P14" s="1"/>
      <c r="Q14" s="1"/>
    </row>
    <row r="16" spans="2:31">
      <c r="B16" s="190" t="s">
        <v>751</v>
      </c>
    </row>
    <row r="17" spans="2:7">
      <c r="B17" s="135">
        <f>SUBTOTAL(103,B20:B457)</f>
        <v>6</v>
      </c>
    </row>
    <row r="18" spans="2:7" ht="14.25" customHeight="1"/>
    <row r="19" spans="2:7" s="8" customFormat="1">
      <c r="B19" s="8" t="s">
        <v>784</v>
      </c>
      <c r="C19" s="8" t="s">
        <v>1063</v>
      </c>
    </row>
    <row r="20" spans="2:7">
      <c r="B20" s="284">
        <v>2017</v>
      </c>
      <c r="C20" s="285">
        <v>1850890428.33167</v>
      </c>
      <c r="G20" s="283"/>
    </row>
    <row r="21" spans="2:7">
      <c r="B21" s="284">
        <v>2018</v>
      </c>
      <c r="C21" s="285">
        <v>2529311394.9239049</v>
      </c>
      <c r="G21" s="283"/>
    </row>
    <row r="22" spans="2:7">
      <c r="B22" s="284">
        <v>2019</v>
      </c>
      <c r="C22" s="285">
        <v>2727624245.4175649</v>
      </c>
      <c r="G22" s="283"/>
    </row>
    <row r="23" spans="2:7">
      <c r="B23" s="284">
        <v>2020</v>
      </c>
      <c r="C23" s="285">
        <v>3412516033.6170282</v>
      </c>
      <c r="G23" s="283"/>
    </row>
    <row r="24" spans="2:7">
      <c r="B24" s="284">
        <v>2021</v>
      </c>
      <c r="C24" s="285">
        <v>3546251103.5187502</v>
      </c>
      <c r="G24" s="283"/>
    </row>
    <row r="25" spans="2:7">
      <c r="B25" s="284">
        <v>2022</v>
      </c>
      <c r="C25" s="285">
        <v>3355255469.7886958</v>
      </c>
      <c r="G25" s="283"/>
    </row>
  </sheetData>
  <mergeCells count="3">
    <mergeCell ref="B8:F8"/>
    <mergeCell ref="B11:D11"/>
    <mergeCell ref="B14:F14"/>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09"/>
  <sheetViews>
    <sheetView showGridLines="0" zoomScale="90" zoomScaleNormal="90" workbookViewId="0">
      <pane ySplit="3" topLeftCell="A4" activePane="bottomLeft" state="frozen"/>
      <selection activeCell="C40" sqref="C40"/>
      <selection pane="bottomLeft"/>
    </sheetView>
  </sheetViews>
  <sheetFormatPr defaultColWidth="9.140625" defaultRowHeight="12.75"/>
  <cols>
    <col min="1" max="1" width="2.7109375" style="3" customWidth="1"/>
    <col min="2" max="2" width="19.140625" style="3" customWidth="1"/>
    <col min="3" max="3" width="2.7109375" style="3" customWidth="1"/>
    <col min="4" max="4" width="35.7109375" style="3" customWidth="1"/>
    <col min="5" max="5" width="2.7109375" style="3" customWidth="1"/>
    <col min="6" max="6" width="10.7109375" style="3" customWidth="1"/>
    <col min="7" max="7" width="2.7109375" style="3" customWidth="1"/>
    <col min="8" max="8" width="37.85546875" style="3" customWidth="1"/>
    <col min="9" max="9" width="2.7109375" style="3" customWidth="1"/>
    <col min="10" max="10" width="10.7109375" style="3" customWidth="1"/>
    <col min="11" max="11" width="2.7109375" style="3" customWidth="1"/>
    <col min="12" max="12" width="25.7109375" style="3" customWidth="1"/>
    <col min="13" max="13" width="2.7109375" style="3" customWidth="1"/>
    <col min="14" max="14" width="10.7109375" style="3" customWidth="1"/>
    <col min="15" max="15" width="2.7109375" style="3" customWidth="1"/>
    <col min="16" max="16" width="25.7109375" style="3" customWidth="1"/>
    <col min="17" max="17" width="2.7109375" style="3" customWidth="1"/>
    <col min="18" max="18" width="10.7109375" style="3" customWidth="1"/>
    <col min="19" max="19" width="2.7109375" style="3" customWidth="1"/>
    <col min="20" max="20" width="25.7109375" style="3" customWidth="1"/>
    <col min="21" max="21" width="2.7109375" style="3" customWidth="1"/>
    <col min="22" max="22" width="10.7109375" style="3" customWidth="1"/>
    <col min="23" max="23" width="2.7109375" style="3" customWidth="1"/>
    <col min="24" max="24" width="25.7109375" style="3" customWidth="1"/>
    <col min="25" max="25" width="2.7109375" style="3" customWidth="1"/>
    <col min="26" max="16384" width="9.140625" style="3"/>
  </cols>
  <sheetData>
    <row r="2" spans="2:26" s="7" customFormat="1" ht="18">
      <c r="B2" s="7" t="s">
        <v>27</v>
      </c>
    </row>
    <row r="4" spans="2:26" s="8" customFormat="1">
      <c r="B4" s="8" t="s">
        <v>28</v>
      </c>
    </row>
    <row r="6" spans="2:26">
      <c r="B6" s="3" t="s">
        <v>29</v>
      </c>
    </row>
    <row r="7" spans="2:26">
      <c r="B7" s="3" t="s">
        <v>30</v>
      </c>
      <c r="H7" s="19"/>
    </row>
    <row r="9" spans="2:26" s="8" customFormat="1">
      <c r="B9" s="8" t="s">
        <v>31</v>
      </c>
    </row>
    <row r="11" spans="2:26" s="66" customFormat="1">
      <c r="B11" s="66" t="s">
        <v>32</v>
      </c>
    </row>
    <row r="12" spans="2:26" s="66" customFormat="1"/>
    <row r="13" spans="2:26" s="66" customFormat="1">
      <c r="B13" s="83"/>
      <c r="C13" s="83"/>
      <c r="D13" s="84" t="s">
        <v>33</v>
      </c>
      <c r="E13" s="83"/>
      <c r="F13" s="83"/>
      <c r="G13" s="83"/>
      <c r="H13" s="84" t="s">
        <v>34</v>
      </c>
      <c r="I13" s="83"/>
      <c r="J13" s="83"/>
      <c r="K13" s="83"/>
      <c r="L13" s="83"/>
      <c r="M13" s="83"/>
      <c r="N13" s="83"/>
      <c r="O13" s="83"/>
      <c r="P13" s="83"/>
      <c r="Q13" s="83"/>
      <c r="R13" s="83"/>
      <c r="S13" s="83"/>
      <c r="T13" s="84"/>
      <c r="U13" s="83"/>
      <c r="V13" s="83"/>
      <c r="W13" s="83"/>
      <c r="X13" s="84" t="s">
        <v>35</v>
      </c>
      <c r="Y13" s="83"/>
      <c r="Z13" s="83"/>
    </row>
    <row r="14" spans="2:26" s="66" customFormat="1" ht="14.25">
      <c r="B14" s="67"/>
      <c r="C14" s="67"/>
      <c r="D14" s="67"/>
      <c r="E14" s="67"/>
      <c r="F14" s="67"/>
      <c r="G14" s="67"/>
      <c r="H14" s="67"/>
      <c r="I14" s="67"/>
      <c r="J14" s="67"/>
      <c r="K14" s="67"/>
      <c r="L14" s="67"/>
      <c r="M14" s="67"/>
      <c r="N14" s="67"/>
      <c r="O14" s="67"/>
      <c r="P14" s="67"/>
      <c r="Q14" s="67"/>
      <c r="R14" s="67"/>
      <c r="S14" s="67"/>
      <c r="T14" s="67"/>
      <c r="V14" s="67"/>
      <c r="W14" s="67"/>
      <c r="X14" s="67"/>
      <c r="Z14" s="67"/>
    </row>
    <row r="15" spans="2:26" s="66" customFormat="1" ht="14.25">
      <c r="B15" s="67"/>
      <c r="C15" s="68"/>
      <c r="D15" s="69"/>
      <c r="E15" s="70"/>
      <c r="F15" s="71"/>
      <c r="G15" s="68"/>
      <c r="H15" s="69"/>
      <c r="I15" s="70"/>
      <c r="J15" s="71"/>
      <c r="K15" s="71"/>
      <c r="M15" s="71"/>
      <c r="N15" s="71"/>
      <c r="O15" s="71"/>
      <c r="Q15" s="71"/>
      <c r="R15" s="71"/>
      <c r="S15" s="67"/>
      <c r="V15" s="71"/>
      <c r="W15" s="67"/>
      <c r="Z15" s="71"/>
    </row>
    <row r="16" spans="2:26" s="66" customFormat="1" ht="14.25">
      <c r="B16" s="67"/>
      <c r="C16" s="72"/>
      <c r="D16" s="73" t="s">
        <v>36</v>
      </c>
      <c r="E16" s="74"/>
      <c r="F16" s="71"/>
      <c r="G16" s="72"/>
      <c r="H16" s="80" t="s">
        <v>37</v>
      </c>
      <c r="I16" s="74"/>
      <c r="J16" s="71"/>
      <c r="S16" s="67"/>
      <c r="W16" s="67"/>
    </row>
    <row r="17" spans="2:28" s="66" customFormat="1" ht="14.25">
      <c r="B17" s="67"/>
      <c r="C17" s="75"/>
      <c r="D17" s="76"/>
      <c r="E17" s="77"/>
      <c r="F17" s="71"/>
      <c r="G17" s="75"/>
      <c r="H17" s="76"/>
      <c r="I17" s="77"/>
      <c r="J17" s="71"/>
      <c r="S17" s="67"/>
      <c r="W17" s="67"/>
      <c r="AB17" s="78"/>
    </row>
    <row r="18" spans="2:28" s="66" customFormat="1" ht="14.25">
      <c r="B18" s="67"/>
      <c r="F18" s="71"/>
      <c r="J18" s="71"/>
      <c r="S18" s="67"/>
      <c r="W18" s="67"/>
    </row>
    <row r="19" spans="2:28" s="66" customFormat="1" ht="14.25">
      <c r="B19" s="67"/>
      <c r="F19" s="71"/>
      <c r="J19" s="71"/>
      <c r="S19" s="67"/>
      <c r="W19" s="67"/>
    </row>
    <row r="20" spans="2:28" s="66" customFormat="1" ht="14.25">
      <c r="B20" s="67"/>
      <c r="C20" s="68"/>
      <c r="D20" s="69"/>
      <c r="E20" s="70"/>
      <c r="F20" s="71"/>
      <c r="J20" s="71"/>
      <c r="S20" s="67"/>
      <c r="W20" s="67"/>
    </row>
    <row r="21" spans="2:28" s="66" customFormat="1" ht="14.25">
      <c r="B21" s="67"/>
      <c r="C21" s="72"/>
      <c r="D21" s="73" t="s">
        <v>38</v>
      </c>
      <c r="E21" s="74"/>
      <c r="F21" s="71"/>
      <c r="J21" s="71"/>
      <c r="S21" s="67"/>
      <c r="W21" s="67"/>
    </row>
    <row r="22" spans="2:28" s="66" customFormat="1" ht="14.25">
      <c r="B22" s="67"/>
      <c r="C22" s="75"/>
      <c r="D22" s="76"/>
      <c r="E22" s="77"/>
      <c r="F22" s="71"/>
      <c r="J22" s="71"/>
      <c r="S22" s="67"/>
      <c r="W22" s="67"/>
    </row>
    <row r="23" spans="2:28" s="66" customFormat="1" ht="14.25">
      <c r="B23" s="67"/>
      <c r="C23" s="71"/>
      <c r="D23" s="71"/>
      <c r="E23" s="71"/>
      <c r="F23" s="71"/>
      <c r="J23" s="71"/>
      <c r="S23" s="67"/>
      <c r="W23" s="67"/>
    </row>
    <row r="24" spans="2:28" s="66" customFormat="1" ht="14.25">
      <c r="B24" s="67"/>
      <c r="C24" s="68"/>
      <c r="D24" s="69"/>
      <c r="E24" s="70"/>
      <c r="F24" s="71"/>
      <c r="G24" s="68"/>
      <c r="H24" s="69"/>
      <c r="I24" s="70"/>
      <c r="J24" s="71"/>
      <c r="S24" s="67"/>
      <c r="W24" s="67"/>
    </row>
    <row r="25" spans="2:28" s="66" customFormat="1" ht="14.25">
      <c r="B25" s="67"/>
      <c r="C25" s="72"/>
      <c r="D25" s="73" t="s">
        <v>39</v>
      </c>
      <c r="E25" s="74"/>
      <c r="F25" s="71"/>
      <c r="G25" s="72"/>
      <c r="H25" s="92" t="s">
        <v>40</v>
      </c>
      <c r="I25" s="74"/>
      <c r="J25" s="71"/>
      <c r="S25" s="67"/>
      <c r="W25" s="67"/>
    </row>
    <row r="26" spans="2:28" s="66" customFormat="1" ht="14.25">
      <c r="B26" s="67"/>
      <c r="C26" s="75"/>
      <c r="D26" s="76"/>
      <c r="E26" s="77"/>
      <c r="F26" s="71"/>
      <c r="G26" s="75"/>
      <c r="H26" s="76"/>
      <c r="I26" s="77"/>
      <c r="J26" s="71"/>
      <c r="S26" s="67"/>
      <c r="W26" s="67"/>
    </row>
    <row r="27" spans="2:28" s="66" customFormat="1" ht="14.25">
      <c r="B27" s="67"/>
      <c r="C27" s="71"/>
      <c r="D27" s="71"/>
      <c r="E27" s="71"/>
      <c r="F27" s="71"/>
      <c r="J27" s="71"/>
      <c r="S27" s="67"/>
      <c r="W27" s="67"/>
    </row>
    <row r="28" spans="2:28" s="66" customFormat="1" ht="14.25">
      <c r="B28" s="67"/>
      <c r="C28" s="68"/>
      <c r="D28" s="69"/>
      <c r="E28" s="70"/>
      <c r="F28" s="71"/>
      <c r="G28" s="68"/>
      <c r="H28" s="69"/>
      <c r="I28" s="70"/>
      <c r="J28" s="71"/>
      <c r="S28" s="67"/>
      <c r="W28" s="67"/>
    </row>
    <row r="29" spans="2:28" s="66" customFormat="1" ht="14.25">
      <c r="B29" s="67"/>
      <c r="C29" s="72"/>
      <c r="D29" s="73" t="s">
        <v>41</v>
      </c>
      <c r="E29" s="74"/>
      <c r="F29" s="71"/>
      <c r="G29" s="72"/>
      <c r="H29" s="92" t="s">
        <v>42</v>
      </c>
      <c r="I29" s="74"/>
      <c r="J29" s="71"/>
      <c r="S29" s="67"/>
      <c r="W29" s="67"/>
    </row>
    <row r="30" spans="2:28" s="66" customFormat="1" ht="14.25">
      <c r="B30" s="67"/>
      <c r="C30" s="75"/>
      <c r="D30" s="76"/>
      <c r="E30" s="77"/>
      <c r="F30" s="71"/>
      <c r="G30" s="75"/>
      <c r="H30" s="76"/>
      <c r="I30" s="77"/>
      <c r="J30" s="71"/>
      <c r="S30" s="67"/>
      <c r="W30" s="67"/>
    </row>
    <row r="31" spans="2:28" s="66" customFormat="1" ht="14.25">
      <c r="B31" s="67"/>
      <c r="C31" s="71"/>
      <c r="D31" s="71"/>
      <c r="E31" s="71"/>
      <c r="F31" s="71"/>
      <c r="G31" s="67"/>
      <c r="H31" s="67"/>
      <c r="J31" s="71"/>
      <c r="S31" s="67"/>
      <c r="W31" s="67"/>
    </row>
    <row r="32" spans="2:28" s="66" customFormat="1" ht="14.25">
      <c r="B32" s="67"/>
      <c r="C32" s="68"/>
      <c r="D32" s="69"/>
      <c r="E32" s="70"/>
      <c r="F32" s="71"/>
      <c r="G32" s="68"/>
      <c r="H32" s="69"/>
      <c r="I32" s="70"/>
      <c r="J32" s="71"/>
      <c r="S32" s="67"/>
      <c r="W32" s="67"/>
    </row>
    <row r="33" spans="2:25" s="66" customFormat="1" ht="14.25">
      <c r="B33" s="67"/>
      <c r="C33" s="72"/>
      <c r="D33" s="73" t="s">
        <v>43</v>
      </c>
      <c r="E33" s="74"/>
      <c r="F33" s="71"/>
      <c r="G33" s="72"/>
      <c r="H33" s="92" t="s">
        <v>44</v>
      </c>
      <c r="I33" s="74"/>
      <c r="J33" s="71"/>
    </row>
    <row r="34" spans="2:25" s="66" customFormat="1" ht="14.25">
      <c r="B34" s="67"/>
      <c r="C34" s="75"/>
      <c r="D34" s="76"/>
      <c r="E34" s="77"/>
      <c r="F34" s="71"/>
      <c r="G34" s="75"/>
      <c r="H34" s="76"/>
      <c r="I34" s="77"/>
      <c r="J34" s="71"/>
      <c r="K34" s="68"/>
      <c r="L34" s="69"/>
      <c r="M34" s="70"/>
      <c r="O34" s="68"/>
      <c r="P34" s="69"/>
      <c r="Q34" s="70"/>
      <c r="S34" s="68"/>
      <c r="T34" s="69"/>
      <c r="U34" s="70"/>
      <c r="W34" s="68"/>
      <c r="X34" s="69"/>
      <c r="Y34" s="70"/>
    </row>
    <row r="35" spans="2:25" s="66" customFormat="1" ht="14.25">
      <c r="B35" s="67"/>
      <c r="F35" s="71"/>
      <c r="J35" s="71"/>
      <c r="K35" s="72"/>
      <c r="L35" s="92" t="s">
        <v>45</v>
      </c>
      <c r="M35" s="74"/>
      <c r="O35" s="72"/>
      <c r="P35" s="92" t="s">
        <v>46</v>
      </c>
      <c r="Q35" s="74"/>
      <c r="S35" s="72"/>
      <c r="T35" s="92" t="s">
        <v>47</v>
      </c>
      <c r="U35" s="74"/>
      <c r="W35" s="72"/>
      <c r="X35" s="79" t="s">
        <v>48</v>
      </c>
      <c r="Y35" s="74"/>
    </row>
    <row r="36" spans="2:25" s="66" customFormat="1" ht="14.25">
      <c r="B36" s="67"/>
      <c r="C36" s="68"/>
      <c r="D36" s="69"/>
      <c r="E36" s="70"/>
      <c r="F36" s="71"/>
      <c r="G36" s="68"/>
      <c r="H36" s="69"/>
      <c r="I36" s="70"/>
      <c r="J36" s="71"/>
      <c r="K36" s="75"/>
      <c r="L36" s="76"/>
      <c r="M36" s="77"/>
      <c r="O36" s="75"/>
      <c r="P36" s="76"/>
      <c r="Q36" s="77"/>
      <c r="S36" s="75"/>
      <c r="T36" s="76"/>
      <c r="U36" s="77"/>
      <c r="W36" s="75"/>
      <c r="X36" s="76"/>
      <c r="Y36" s="77"/>
    </row>
    <row r="37" spans="2:25" s="66" customFormat="1" ht="14.25">
      <c r="B37" s="67"/>
      <c r="C37" s="72"/>
      <c r="D37" s="73" t="s">
        <v>49</v>
      </c>
      <c r="E37" s="74"/>
      <c r="F37" s="71"/>
      <c r="G37" s="72"/>
      <c r="H37" s="92" t="s">
        <v>50</v>
      </c>
      <c r="I37" s="74"/>
      <c r="J37" s="71"/>
      <c r="K37" s="81"/>
      <c r="L37" s="82"/>
      <c r="M37" s="81"/>
      <c r="O37" s="81"/>
      <c r="P37" s="82"/>
      <c r="Q37" s="81"/>
      <c r="S37" s="67"/>
      <c r="W37" s="67"/>
    </row>
    <row r="38" spans="2:25" s="66" customFormat="1" ht="14.25">
      <c r="B38" s="67"/>
      <c r="C38" s="75"/>
      <c r="D38" s="76"/>
      <c r="E38" s="77"/>
      <c r="F38" s="71"/>
      <c r="G38" s="75"/>
      <c r="H38" s="76"/>
      <c r="I38" s="77"/>
      <c r="J38" s="71"/>
      <c r="K38" s="81"/>
      <c r="L38" s="81"/>
      <c r="M38" s="81"/>
      <c r="O38" s="81"/>
      <c r="P38" s="81"/>
      <c r="Q38" s="81"/>
      <c r="S38" s="67"/>
      <c r="W38" s="67"/>
    </row>
    <row r="39" spans="2:25" s="66" customFormat="1" ht="14.25">
      <c r="B39" s="67"/>
      <c r="C39" s="71"/>
      <c r="D39" s="71"/>
      <c r="E39" s="71"/>
      <c r="F39" s="71"/>
      <c r="J39" s="71"/>
      <c r="S39" s="67"/>
      <c r="W39" s="67"/>
    </row>
    <row r="40" spans="2:25" s="66" customFormat="1" ht="14.25">
      <c r="B40" s="67"/>
      <c r="C40" s="68"/>
      <c r="D40" s="69"/>
      <c r="E40" s="70"/>
      <c r="F40" s="71"/>
      <c r="G40" s="68"/>
      <c r="H40" s="69"/>
      <c r="I40" s="70"/>
      <c r="J40" s="71"/>
      <c r="K40" s="81"/>
      <c r="L40" s="81"/>
      <c r="M40" s="81"/>
      <c r="O40" s="81"/>
      <c r="P40" s="81"/>
      <c r="Q40" s="81"/>
    </row>
    <row r="41" spans="2:25" s="66" customFormat="1" ht="14.25">
      <c r="B41" s="67"/>
      <c r="C41" s="72"/>
      <c r="D41" s="73" t="s">
        <v>51</v>
      </c>
      <c r="E41" s="74"/>
      <c r="F41" s="71"/>
      <c r="G41" s="72"/>
      <c r="H41" s="92" t="s">
        <v>52</v>
      </c>
      <c r="I41" s="74"/>
      <c r="J41" s="71"/>
      <c r="K41" s="81"/>
      <c r="L41" s="82"/>
      <c r="M41" s="81"/>
      <c r="O41" s="81"/>
      <c r="P41" s="82"/>
      <c r="Q41" s="81"/>
    </row>
    <row r="42" spans="2:25" s="66" customFormat="1" ht="14.25">
      <c r="B42" s="67"/>
      <c r="C42" s="75"/>
      <c r="D42" s="76"/>
      <c r="E42" s="77"/>
      <c r="F42" s="71"/>
      <c r="G42" s="75"/>
      <c r="H42" s="76"/>
      <c r="I42" s="77"/>
      <c r="J42" s="71"/>
      <c r="K42" s="81"/>
      <c r="L42" s="81"/>
      <c r="M42" s="81"/>
      <c r="O42" s="81"/>
      <c r="P42" s="81"/>
      <c r="Q42" s="81"/>
    </row>
    <row r="43" spans="2:25" s="66" customFormat="1" ht="14.25">
      <c r="B43" s="67"/>
      <c r="F43" s="71"/>
      <c r="J43" s="71"/>
      <c r="S43" s="67"/>
      <c r="W43" s="67"/>
    </row>
    <row r="44" spans="2:25" s="66" customFormat="1" ht="14.25">
      <c r="B44" s="67"/>
      <c r="C44" s="68"/>
      <c r="D44" s="69"/>
      <c r="E44" s="70"/>
      <c r="G44" s="68"/>
      <c r="H44" s="69"/>
      <c r="I44" s="70"/>
      <c r="K44" s="81"/>
      <c r="L44" s="81"/>
      <c r="M44" s="81"/>
      <c r="O44" s="81"/>
    </row>
    <row r="45" spans="2:25" s="66" customFormat="1" ht="14.25">
      <c r="B45" s="67"/>
      <c r="C45" s="72"/>
      <c r="D45" s="202" t="s">
        <v>53</v>
      </c>
      <c r="E45" s="74"/>
      <c r="G45" s="72"/>
      <c r="H45" s="92" t="s">
        <v>54</v>
      </c>
      <c r="I45" s="74"/>
      <c r="K45" s="81"/>
      <c r="L45" s="82"/>
      <c r="M45" s="81"/>
      <c r="O45" s="81"/>
    </row>
    <row r="46" spans="2:25" s="66" customFormat="1" ht="14.25">
      <c r="B46" s="67"/>
      <c r="C46" s="75"/>
      <c r="D46" s="76"/>
      <c r="E46" s="77"/>
      <c r="G46" s="75"/>
      <c r="H46" s="76"/>
      <c r="I46" s="77"/>
      <c r="K46" s="81"/>
      <c r="L46" s="81"/>
      <c r="M46" s="81"/>
      <c r="N46" s="81"/>
      <c r="O46" s="81"/>
    </row>
    <row r="47" spans="2:25" s="66" customFormat="1" ht="14.25">
      <c r="C47" s="71"/>
      <c r="D47" s="71"/>
      <c r="E47" s="71"/>
      <c r="F47" s="67"/>
      <c r="J47" s="67"/>
      <c r="N47" s="82"/>
      <c r="O47" s="81"/>
      <c r="Y47" s="81"/>
    </row>
    <row r="48" spans="2:25" s="66" customFormat="1" ht="14.25">
      <c r="B48" s="67"/>
      <c r="C48" s="68"/>
      <c r="D48" s="69"/>
      <c r="E48" s="70"/>
      <c r="G48" s="68"/>
      <c r="H48" s="69"/>
      <c r="I48" s="70"/>
      <c r="N48" s="81"/>
      <c r="O48" s="81"/>
      <c r="Y48" s="81"/>
    </row>
    <row r="49" spans="2:25" s="66" customFormat="1" ht="14.25">
      <c r="B49" s="67"/>
      <c r="C49" s="72"/>
      <c r="D49" s="202" t="s">
        <v>55</v>
      </c>
      <c r="E49" s="74"/>
      <c r="G49" s="72"/>
      <c r="H49" s="92" t="s">
        <v>56</v>
      </c>
      <c r="I49" s="74"/>
      <c r="S49" s="81"/>
      <c r="U49" s="81"/>
      <c r="V49" s="81"/>
      <c r="Y49" s="81"/>
    </row>
    <row r="50" spans="2:25" s="66" customFormat="1" ht="14.25">
      <c r="B50" s="67"/>
      <c r="C50" s="75"/>
      <c r="D50" s="76"/>
      <c r="E50" s="77"/>
      <c r="G50" s="75"/>
      <c r="H50" s="76"/>
      <c r="I50" s="77"/>
      <c r="S50" s="81"/>
      <c r="U50" s="81"/>
      <c r="V50" s="81"/>
      <c r="W50" s="81"/>
      <c r="X50" s="82"/>
      <c r="Y50" s="81"/>
    </row>
    <row r="51" spans="2:25" s="66" customFormat="1" ht="14.25">
      <c r="B51" s="67"/>
      <c r="E51" s="67"/>
      <c r="S51" s="81"/>
      <c r="U51" s="81"/>
      <c r="V51" s="81"/>
      <c r="W51" s="81"/>
      <c r="X51" s="81"/>
      <c r="Y51" s="81"/>
    </row>
    <row r="52" spans="2:25" s="66" customFormat="1" ht="14.25">
      <c r="B52" s="67"/>
      <c r="C52" s="68"/>
      <c r="D52" s="69"/>
      <c r="E52" s="70"/>
      <c r="G52" s="68"/>
      <c r="H52" s="69"/>
      <c r="I52" s="70"/>
      <c r="S52" s="81"/>
      <c r="T52" s="81"/>
      <c r="U52" s="81"/>
      <c r="W52" s="81"/>
      <c r="X52" s="81"/>
      <c r="Y52" s="81"/>
    </row>
    <row r="53" spans="2:25" s="66" customFormat="1" ht="14.25">
      <c r="B53" s="67"/>
      <c r="C53" s="72"/>
      <c r="D53" s="202" t="s">
        <v>57</v>
      </c>
      <c r="E53" s="74"/>
      <c r="G53" s="72"/>
      <c r="H53" s="92" t="s">
        <v>58</v>
      </c>
      <c r="I53" s="74"/>
      <c r="Q53" s="81"/>
      <c r="R53" s="81"/>
      <c r="S53" s="81"/>
      <c r="T53" s="81"/>
      <c r="U53" s="81"/>
      <c r="W53" s="81"/>
      <c r="X53" s="81"/>
      <c r="Y53" s="81"/>
    </row>
    <row r="54" spans="2:25" s="66" customFormat="1" ht="14.25">
      <c r="B54" s="67"/>
      <c r="C54" s="75"/>
      <c r="D54" s="76"/>
      <c r="E54" s="77"/>
      <c r="G54" s="75"/>
      <c r="H54" s="76"/>
      <c r="I54" s="77"/>
      <c r="Q54" s="81"/>
      <c r="R54" s="81"/>
      <c r="S54" s="81"/>
      <c r="T54" s="81"/>
      <c r="U54" s="81"/>
      <c r="W54" s="81"/>
      <c r="X54" s="81"/>
      <c r="Y54" s="81"/>
    </row>
    <row r="55" spans="2:25" s="66" customFormat="1" ht="14.25">
      <c r="B55" s="67"/>
      <c r="S55" s="81"/>
      <c r="T55" s="81"/>
      <c r="U55" s="81"/>
      <c r="W55" s="81"/>
      <c r="X55" s="81"/>
      <c r="Y55" s="81"/>
    </row>
    <row r="56" spans="2:25" s="66" customFormat="1" ht="14.25">
      <c r="B56" s="67"/>
      <c r="C56" s="68"/>
      <c r="D56" s="69"/>
      <c r="E56" s="70"/>
      <c r="G56" s="68"/>
      <c r="H56" s="69"/>
      <c r="I56" s="70"/>
      <c r="S56" s="81"/>
      <c r="T56" s="81"/>
      <c r="U56" s="81"/>
      <c r="W56" s="81"/>
      <c r="X56" s="81"/>
      <c r="Y56" s="81"/>
    </row>
    <row r="57" spans="2:25" s="66" customFormat="1" ht="14.25">
      <c r="B57" s="67"/>
      <c r="C57" s="72"/>
      <c r="D57" s="202" t="s">
        <v>59</v>
      </c>
      <c r="E57" s="74"/>
      <c r="G57" s="72"/>
      <c r="H57" s="92" t="s">
        <v>60</v>
      </c>
      <c r="I57" s="74"/>
      <c r="S57" s="81"/>
      <c r="T57" s="81"/>
      <c r="U57" s="81"/>
      <c r="W57" s="81"/>
      <c r="X57" s="81"/>
      <c r="Y57" s="81"/>
    </row>
    <row r="58" spans="2:25" s="66" customFormat="1" ht="14.25">
      <c r="B58" s="67"/>
      <c r="C58" s="75"/>
      <c r="D58" s="76"/>
      <c r="E58" s="77"/>
      <c r="G58" s="75"/>
      <c r="H58" s="76"/>
      <c r="I58" s="77"/>
      <c r="S58" s="81"/>
      <c r="T58" s="81"/>
      <c r="U58" s="81"/>
      <c r="W58" s="81"/>
      <c r="X58" s="81"/>
      <c r="Y58" s="81"/>
    </row>
    <row r="59" spans="2:25" s="66" customFormat="1" ht="14.25">
      <c r="B59" s="67"/>
      <c r="S59" s="81"/>
      <c r="T59" s="81"/>
      <c r="U59" s="81"/>
      <c r="W59" s="81"/>
      <c r="X59" s="81"/>
      <c r="Y59" s="81"/>
    </row>
    <row r="60" spans="2:25" s="66" customFormat="1" ht="14.25">
      <c r="B60" s="67"/>
      <c r="C60" s="68"/>
      <c r="D60" s="69"/>
      <c r="E60" s="70"/>
      <c r="S60" s="81"/>
      <c r="T60" s="81"/>
      <c r="U60" s="81"/>
      <c r="W60" s="81"/>
      <c r="X60" s="81"/>
      <c r="Y60" s="81"/>
    </row>
    <row r="61" spans="2:25" s="66" customFormat="1" ht="14.25">
      <c r="B61" s="67"/>
      <c r="C61" s="72"/>
      <c r="D61" s="202" t="s">
        <v>61</v>
      </c>
      <c r="E61" s="74"/>
      <c r="S61" s="81"/>
      <c r="T61" s="81"/>
      <c r="U61" s="81"/>
      <c r="W61" s="81"/>
      <c r="X61" s="81"/>
      <c r="Y61" s="81"/>
    </row>
    <row r="62" spans="2:25" s="66" customFormat="1" ht="14.25">
      <c r="B62" s="67"/>
      <c r="C62" s="75"/>
      <c r="D62" s="76"/>
      <c r="E62" s="77"/>
      <c r="S62" s="81"/>
      <c r="T62" s="81"/>
      <c r="U62" s="81"/>
      <c r="W62" s="81"/>
      <c r="X62" s="81"/>
      <c r="Y62" s="81"/>
    </row>
    <row r="63" spans="2:25" s="66" customFormat="1" ht="14.25">
      <c r="B63" s="67"/>
      <c r="S63" s="81"/>
      <c r="T63" s="81"/>
      <c r="U63" s="81"/>
      <c r="W63" s="81"/>
      <c r="X63" s="81"/>
      <c r="Y63" s="81"/>
    </row>
    <row r="64" spans="2:25" s="66" customFormat="1" ht="14.25">
      <c r="B64" s="67"/>
      <c r="C64" s="68"/>
      <c r="D64" s="69"/>
      <c r="E64" s="70"/>
      <c r="S64" s="81"/>
      <c r="T64" s="81"/>
      <c r="U64" s="81"/>
      <c r="W64" s="81"/>
      <c r="X64" s="81"/>
      <c r="Y64" s="81"/>
    </row>
    <row r="65" spans="2:25" s="66" customFormat="1" ht="14.25">
      <c r="B65" s="67"/>
      <c r="C65" s="72"/>
      <c r="D65" s="202" t="s">
        <v>62</v>
      </c>
      <c r="E65" s="74"/>
      <c r="S65" s="81"/>
      <c r="T65" s="81"/>
      <c r="U65" s="81"/>
      <c r="W65" s="81"/>
      <c r="X65" s="81"/>
      <c r="Y65" s="81"/>
    </row>
    <row r="66" spans="2:25" s="66" customFormat="1" ht="14.25">
      <c r="B66" s="67"/>
      <c r="C66" s="75"/>
      <c r="D66" s="76"/>
      <c r="E66" s="77"/>
      <c r="S66" s="81"/>
      <c r="T66" s="81"/>
      <c r="U66" s="81"/>
      <c r="W66" s="81"/>
      <c r="X66" s="81"/>
      <c r="Y66" s="81"/>
    </row>
    <row r="67" spans="2:25" s="66" customFormat="1" ht="14.25">
      <c r="B67" s="67"/>
      <c r="C67" s="71"/>
      <c r="D67" s="71"/>
      <c r="E67" s="71"/>
      <c r="S67" s="81"/>
      <c r="T67" s="81"/>
      <c r="U67" s="81"/>
      <c r="W67" s="81"/>
      <c r="X67" s="81"/>
      <c r="Y67" s="81"/>
    </row>
    <row r="68" spans="2:25" s="66" customFormat="1" ht="14.25">
      <c r="B68" s="67"/>
      <c r="C68" s="71"/>
      <c r="D68" s="71"/>
      <c r="E68" s="71"/>
      <c r="S68" s="81"/>
      <c r="T68" s="81"/>
      <c r="U68" s="81"/>
      <c r="W68" s="81"/>
      <c r="X68" s="81"/>
      <c r="Y68" s="81"/>
    </row>
    <row r="69" spans="2:25" s="66" customFormat="1" ht="14.25">
      <c r="B69" s="67"/>
      <c r="C69" s="71"/>
      <c r="D69" s="71"/>
      <c r="E69" s="71"/>
      <c r="S69" s="81"/>
      <c r="T69" s="81"/>
      <c r="U69" s="81"/>
      <c r="W69" s="81"/>
      <c r="X69" s="81"/>
      <c r="Y69" s="81"/>
    </row>
    <row r="70" spans="2:25" s="66" customFormat="1" ht="14.25">
      <c r="B70" s="67"/>
      <c r="C70" s="71"/>
      <c r="D70" s="71"/>
      <c r="E70" s="71"/>
      <c r="S70" s="81"/>
      <c r="T70" s="81"/>
      <c r="U70" s="81"/>
      <c r="W70" s="81"/>
      <c r="X70" s="81"/>
      <c r="Y70" s="81"/>
    </row>
    <row r="71" spans="2:25" s="66" customFormat="1" ht="14.25">
      <c r="B71" s="67"/>
      <c r="C71" s="71"/>
      <c r="D71" s="71"/>
      <c r="E71" s="71"/>
      <c r="S71" s="81"/>
      <c r="T71" s="81"/>
      <c r="U71" s="81"/>
      <c r="W71" s="81"/>
      <c r="X71" s="81"/>
      <c r="Y71" s="81"/>
    </row>
    <row r="72" spans="2:25" s="66" customFormat="1" ht="14.25">
      <c r="B72" s="67"/>
      <c r="C72" s="71"/>
      <c r="D72" s="71"/>
      <c r="E72" s="71"/>
      <c r="S72" s="81"/>
      <c r="T72" s="81"/>
      <c r="U72" s="81"/>
      <c r="W72" s="81"/>
      <c r="X72" s="81"/>
      <c r="Y72" s="81"/>
    </row>
    <row r="73" spans="2:25" s="66" customFormat="1" ht="14.25">
      <c r="B73" s="67"/>
      <c r="C73" s="71"/>
      <c r="D73" s="71"/>
      <c r="E73" s="71"/>
      <c r="S73" s="81"/>
      <c r="T73" s="81"/>
      <c r="U73" s="81"/>
      <c r="W73" s="81"/>
      <c r="X73" s="81"/>
      <c r="Y73" s="81"/>
    </row>
    <row r="74" spans="2:25" s="66" customFormat="1" ht="14.25">
      <c r="B74" s="67"/>
      <c r="C74" s="67"/>
      <c r="D74" s="67"/>
      <c r="E74" s="67"/>
      <c r="F74" s="67"/>
      <c r="G74" s="67"/>
      <c r="S74" s="81"/>
      <c r="T74" s="81"/>
      <c r="U74" s="81"/>
      <c r="W74" s="81"/>
      <c r="X74" s="81"/>
      <c r="Y74" s="81"/>
    </row>
    <row r="75" spans="2:25" s="66" customFormat="1" ht="14.25">
      <c r="B75" s="67"/>
      <c r="S75" s="81"/>
      <c r="T75" s="81"/>
      <c r="U75" s="81"/>
      <c r="W75" s="81"/>
      <c r="X75" s="81"/>
      <c r="Y75" s="81"/>
    </row>
    <row r="76" spans="2:25" s="8" customFormat="1">
      <c r="B76" s="8" t="s">
        <v>63</v>
      </c>
    </row>
    <row r="78" spans="2:25">
      <c r="B78" s="16" t="s">
        <v>64</v>
      </c>
      <c r="D78" s="16" t="s">
        <v>65</v>
      </c>
      <c r="F78" s="5"/>
      <c r="J78" s="5"/>
    </row>
    <row r="79" spans="2:25">
      <c r="F79" s="5"/>
      <c r="J79" s="5"/>
    </row>
    <row r="80" spans="2:25">
      <c r="B80" s="167">
        <v>123</v>
      </c>
      <c r="D80" s="3" t="s">
        <v>66</v>
      </c>
    </row>
    <row r="81" spans="2:10">
      <c r="B81" s="168">
        <f>B80</f>
        <v>123</v>
      </c>
      <c r="D81" s="3" t="s">
        <v>67</v>
      </c>
    </row>
    <row r="82" spans="2:10">
      <c r="B82" s="169">
        <f>B81+B80</f>
        <v>246</v>
      </c>
      <c r="D82" s="3" t="s">
        <v>68</v>
      </c>
    </row>
    <row r="83" spans="2:10">
      <c r="B83" s="18">
        <f>B81+B82</f>
        <v>369</v>
      </c>
      <c r="D83" s="3" t="s">
        <v>69</v>
      </c>
    </row>
    <row r="84" spans="2:10">
      <c r="B84" s="203">
        <v>123</v>
      </c>
      <c r="D84" s="3" t="s">
        <v>70</v>
      </c>
    </row>
    <row r="85" spans="2:10">
      <c r="B85" s="170"/>
      <c r="D85" s="3" t="s">
        <v>71</v>
      </c>
      <c r="E85" s="5"/>
      <c r="F85" s="5"/>
      <c r="J85" s="5"/>
    </row>
    <row r="86" spans="2:10">
      <c r="E86" s="5"/>
    </row>
    <row r="87" spans="2:10">
      <c r="B87" s="17" t="s">
        <v>72</v>
      </c>
      <c r="E87" s="5"/>
    </row>
    <row r="88" spans="2:10">
      <c r="B88" s="20">
        <f>B83+16</f>
        <v>385</v>
      </c>
      <c r="D88" s="3" t="s">
        <v>73</v>
      </c>
    </row>
    <row r="89" spans="2:10">
      <c r="B89" s="256">
        <v>385</v>
      </c>
      <c r="D89" t="s">
        <v>74</v>
      </c>
    </row>
    <row r="90" spans="2:10">
      <c r="B90" s="171"/>
      <c r="C90" s="171"/>
    </row>
    <row r="91" spans="2:10">
      <c r="B91" s="17" t="s">
        <v>75</v>
      </c>
      <c r="C91" s="172"/>
    </row>
    <row r="92" spans="2:10">
      <c r="B92" s="173">
        <v>123</v>
      </c>
      <c r="C92" s="172"/>
      <c r="D92" s="3" t="s">
        <v>76</v>
      </c>
    </row>
    <row r="93" spans="2:10">
      <c r="B93" s="21">
        <v>124</v>
      </c>
      <c r="C93" s="172"/>
      <c r="D93" s="3" t="s">
        <v>77</v>
      </c>
    </row>
    <row r="94" spans="2:10">
      <c r="B94" s="22">
        <f>B92-B93</f>
        <v>-1</v>
      </c>
      <c r="C94" s="174"/>
      <c r="D94" s="3" t="s">
        <v>78</v>
      </c>
      <c r="G94" s="5"/>
    </row>
    <row r="97" spans="2:4">
      <c r="B97" s="16" t="s">
        <v>79</v>
      </c>
    </row>
    <row r="98" spans="2:4">
      <c r="B98" s="2"/>
    </row>
    <row r="99" spans="2:4">
      <c r="B99" s="17" t="s">
        <v>80</v>
      </c>
    </row>
    <row r="100" spans="2:4">
      <c r="B100" s="18" t="s">
        <v>81</v>
      </c>
      <c r="D100" s="3" t="s">
        <v>82</v>
      </c>
    </row>
    <row r="101" spans="2:4">
      <c r="B101" s="167" t="s">
        <v>83</v>
      </c>
      <c r="D101" s="3" t="s">
        <v>84</v>
      </c>
    </row>
    <row r="102" spans="2:4">
      <c r="B102" s="204" t="s">
        <v>85</v>
      </c>
      <c r="D102" s="3" t="s">
        <v>86</v>
      </c>
    </row>
    <row r="103" spans="2:4">
      <c r="B103" s="169" t="s">
        <v>87</v>
      </c>
      <c r="D103" s="3" t="s">
        <v>88</v>
      </c>
    </row>
    <row r="105" spans="2:4">
      <c r="B105" s="17" t="s">
        <v>89</v>
      </c>
    </row>
    <row r="106" spans="2:4">
      <c r="B106" s="14" t="s">
        <v>90</v>
      </c>
      <c r="D106" s="3" t="s">
        <v>91</v>
      </c>
    </row>
    <row r="107" spans="2:4">
      <c r="B107" s="87" t="s">
        <v>92</v>
      </c>
      <c r="D107" s="3" t="s">
        <v>93</v>
      </c>
    </row>
    <row r="109" spans="2:4">
      <c r="B109" s="175"/>
    </row>
  </sheetData>
  <pageMargins left="0.75" right="0.75" top="1" bottom="1" header="0.5" footer="0.5"/>
  <pageSetup paperSize="9" scale="2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71"/>
  <sheetViews>
    <sheetView showGridLines="0" zoomScale="90" zoomScaleNormal="90" workbookViewId="0">
      <selection activeCell="B1" sqref="B1"/>
    </sheetView>
  </sheetViews>
  <sheetFormatPr defaultColWidth="13.7109375" defaultRowHeight="12.75"/>
  <cols>
    <col min="1" max="1" width="2.7109375" style="3" customWidth="1"/>
    <col min="2" max="2" width="63.28515625" style="3" customWidth="1"/>
    <col min="3" max="3" width="2.7109375" style="3" customWidth="1"/>
    <col min="4" max="4" width="54.7109375" style="3" customWidth="1"/>
    <col min="5" max="5" width="2.7109375" style="3" customWidth="1"/>
    <col min="6" max="6" width="15.7109375" style="3" customWidth="1"/>
    <col min="7" max="7" width="2.7109375" style="3" customWidth="1"/>
    <col min="8" max="8" width="15.7109375" style="3" customWidth="1"/>
    <col min="9" max="9" width="22" style="3" bestFit="1" customWidth="1"/>
    <col min="10" max="10" width="24.140625" style="3" bestFit="1" customWidth="1"/>
    <col min="11" max="11" width="27.42578125" style="3" bestFit="1" customWidth="1"/>
    <col min="12" max="12" width="24.85546875" style="3" customWidth="1"/>
    <col min="13" max="18" width="15.7109375" style="3" customWidth="1"/>
    <col min="19" max="19" width="18" style="3" bestFit="1" customWidth="1"/>
    <col min="20" max="20" width="13.7109375" style="3" customWidth="1"/>
    <col min="21" max="21" width="30.42578125" style="3" customWidth="1"/>
    <col min="22" max="22" width="40.140625" style="3" bestFit="1" customWidth="1"/>
    <col min="23" max="23" width="2.7109375" style="3" customWidth="1"/>
    <col min="24" max="24" width="25" style="3" bestFit="1" customWidth="1"/>
    <col min="25" max="28" width="15.7109375" style="3" customWidth="1"/>
    <col min="29" max="29" width="2.7109375" style="3" customWidth="1"/>
    <col min="30" max="30" width="25" style="3" bestFit="1" customWidth="1"/>
    <col min="31" max="34" width="15.7109375" style="3" customWidth="1"/>
    <col min="35" max="35" width="2.7109375" style="3" customWidth="1"/>
    <col min="36" max="36" width="25" style="3" bestFit="1" customWidth="1"/>
    <col min="37" max="40" width="15.7109375" style="3" customWidth="1"/>
    <col min="41" max="41" width="2.7109375" style="3" customWidth="1"/>
    <col min="42" max="42" width="22.42578125" style="3" bestFit="1" customWidth="1"/>
    <col min="43" max="46" width="15.7109375" style="3" customWidth="1"/>
    <col min="47" max="47" width="15.85546875" style="3" customWidth="1"/>
    <col min="48" max="48" width="15" style="3" bestFit="1" customWidth="1"/>
    <col min="49" max="54" width="13.7109375" style="3" customWidth="1"/>
    <col min="55" max="55" width="2.7109375" style="3" customWidth="1"/>
    <col min="56" max="56" width="20.42578125" style="3" bestFit="1" customWidth="1"/>
    <col min="57" max="62" width="13.7109375" style="3" customWidth="1"/>
    <col min="63" max="63" width="2.7109375" style="3" customWidth="1"/>
    <col min="64" max="64" width="14.140625" style="3" bestFit="1" customWidth="1"/>
    <col min="65" max="68" width="13.7109375" style="3" customWidth="1"/>
    <col min="69" max="70" width="13.7109375" style="3"/>
    <col min="71" max="71" width="2.7109375" style="3" customWidth="1"/>
    <col min="72" max="72" width="12.28515625" style="3" bestFit="1" customWidth="1"/>
    <col min="73" max="79" width="13.7109375" style="3"/>
    <col min="80" max="80" width="15.7109375" style="3" customWidth="1"/>
    <col min="81" max="16384" width="13.7109375" style="3"/>
  </cols>
  <sheetData>
    <row r="2" spans="1:37" s="12" customFormat="1" ht="18">
      <c r="B2" s="12" t="s">
        <v>785</v>
      </c>
    </row>
    <row r="4" spans="1:37">
      <c r="B4" s="16" t="s">
        <v>786</v>
      </c>
    </row>
    <row r="5" spans="1:37" ht="27.75" customHeight="1">
      <c r="B5" s="322" t="s">
        <v>787</v>
      </c>
      <c r="C5" s="322"/>
      <c r="D5" s="322"/>
      <c r="F5" s="13"/>
    </row>
    <row r="6" spans="1:37">
      <c r="B6" s="1"/>
      <c r="C6" s="1"/>
      <c r="D6" s="1"/>
      <c r="F6" s="13"/>
    </row>
    <row r="7" spans="1:37">
      <c r="B7" s="330" t="s">
        <v>788</v>
      </c>
      <c r="C7" s="331"/>
      <c r="D7" s="331"/>
      <c r="F7" s="13"/>
    </row>
    <row r="8" spans="1:37" ht="27.75" customHeight="1">
      <c r="B8" s="322" t="s">
        <v>789</v>
      </c>
      <c r="C8" s="322"/>
      <c r="D8" s="322"/>
      <c r="F8" s="13"/>
    </row>
    <row r="10" spans="1:37" s="8" customFormat="1">
      <c r="B10" s="8" t="s">
        <v>134</v>
      </c>
      <c r="H10" s="59"/>
      <c r="I10" s="52"/>
      <c r="J10" s="59"/>
      <c r="K10" s="52"/>
      <c r="L10" s="59"/>
      <c r="M10" s="52"/>
      <c r="N10" s="52"/>
      <c r="O10" s="52"/>
      <c r="P10" s="52"/>
      <c r="Q10" s="52"/>
      <c r="R10" s="52"/>
      <c r="S10" s="52"/>
      <c r="T10" s="52"/>
    </row>
    <row r="12" spans="1:37" s="39" customFormat="1">
      <c r="A12" s="106"/>
      <c r="B12" s="39" t="s">
        <v>790</v>
      </c>
    </row>
    <row r="13" spans="1:37" s="40" customFormat="1">
      <c r="A13" s="107"/>
      <c r="B13" s="40" t="s">
        <v>134</v>
      </c>
      <c r="D13" s="40" t="s">
        <v>175</v>
      </c>
      <c r="F13" s="40" t="s">
        <v>176</v>
      </c>
      <c r="H13" s="108">
        <v>2020</v>
      </c>
      <c r="I13" s="109">
        <v>2021</v>
      </c>
      <c r="J13" s="109">
        <v>2022</v>
      </c>
      <c r="K13" s="109">
        <v>2023</v>
      </c>
      <c r="L13" s="109">
        <v>2024</v>
      </c>
      <c r="M13" s="109">
        <v>2025</v>
      </c>
      <c r="N13" s="109">
        <v>2026</v>
      </c>
    </row>
    <row r="14" spans="1:37" s="110" customFormat="1">
      <c r="H14" s="111"/>
      <c r="I14" s="112"/>
      <c r="J14" s="111"/>
      <c r="K14" s="112"/>
      <c r="L14" s="111"/>
      <c r="M14" s="112"/>
      <c r="N14" s="112"/>
      <c r="S14" s="112"/>
      <c r="T14" s="112"/>
      <c r="U14" s="112"/>
      <c r="V14" s="112"/>
      <c r="W14" s="112"/>
      <c r="X14" s="112"/>
      <c r="Y14" s="112"/>
      <c r="AC14" s="112"/>
      <c r="AD14" s="112"/>
      <c r="AE14" s="112"/>
      <c r="AI14" s="112"/>
      <c r="AJ14" s="112"/>
      <c r="AK14" s="112"/>
    </row>
    <row r="15" spans="1:37">
      <c r="B15" s="16" t="s">
        <v>184</v>
      </c>
    </row>
    <row r="16" spans="1:37">
      <c r="B16" s="158" t="s">
        <v>186</v>
      </c>
      <c r="D16" s="3" t="s">
        <v>180</v>
      </c>
      <c r="H16" s="149">
        <f>'2. Parameters'!K20</f>
        <v>3.3000000000000002E-2</v>
      </c>
      <c r="I16" s="149">
        <f>'2. Parameters'!L20</f>
        <v>0.03</v>
      </c>
      <c r="J16" s="10"/>
      <c r="K16" s="10"/>
      <c r="L16" s="10"/>
      <c r="M16" s="10"/>
      <c r="N16" s="10"/>
    </row>
    <row r="17" spans="1:14">
      <c r="B17" s="158" t="s">
        <v>791</v>
      </c>
      <c r="D17" s="3" t="s">
        <v>180</v>
      </c>
      <c r="H17" s="10"/>
      <c r="I17" s="10"/>
      <c r="J17" s="149">
        <f>'2. Parameters'!M22</f>
        <v>3.1E-2</v>
      </c>
      <c r="K17" s="149">
        <f>'2. Parameters'!N22</f>
        <v>0.03</v>
      </c>
      <c r="L17" s="149">
        <f>'2. Parameters'!O22</f>
        <v>0.03</v>
      </c>
      <c r="M17" s="149">
        <f>'2. Parameters'!P22</f>
        <v>0.03</v>
      </c>
      <c r="N17" s="149">
        <f>'2. Parameters'!Q22</f>
        <v>0.03</v>
      </c>
    </row>
    <row r="19" spans="1:14">
      <c r="B19" s="16" t="s">
        <v>193</v>
      </c>
    </row>
    <row r="20" spans="1:14">
      <c r="B20" s="3" t="s">
        <v>193</v>
      </c>
      <c r="D20" s="3" t="s">
        <v>180</v>
      </c>
      <c r="F20" s="85">
        <f>'2. Parameters'!F30</f>
        <v>0.01</v>
      </c>
    </row>
    <row r="21" spans="1:14" s="98" customFormat="1">
      <c r="A21" s="3"/>
      <c r="F21" s="114"/>
    </row>
    <row r="22" spans="1:14" s="98" customFormat="1">
      <c r="A22" s="3"/>
      <c r="B22" s="115" t="s">
        <v>218</v>
      </c>
      <c r="F22" s="114"/>
    </row>
    <row r="23" spans="1:14">
      <c r="B23" s="3" t="s">
        <v>218</v>
      </c>
      <c r="F23" s="116">
        <f>'2. Parameters'!F86</f>
        <v>1.3</v>
      </c>
    </row>
    <row r="25" spans="1:14">
      <c r="B25" s="2" t="s">
        <v>219</v>
      </c>
    </row>
    <row r="26" spans="1:14">
      <c r="B26" s="3" t="s">
        <v>219</v>
      </c>
      <c r="D26" s="3" t="s">
        <v>180</v>
      </c>
      <c r="F26" s="86">
        <f>'2. Parameters'!F90</f>
        <v>0.1</v>
      </c>
    </row>
    <row r="28" spans="1:14">
      <c r="B28" s="16" t="s">
        <v>214</v>
      </c>
    </row>
    <row r="29" spans="1:14">
      <c r="B29" s="32" t="s">
        <v>202</v>
      </c>
      <c r="D29" s="3" t="s">
        <v>792</v>
      </c>
      <c r="H29" s="38">
        <f>'2. Parameters'!K72</f>
        <v>1</v>
      </c>
      <c r="I29" s="38">
        <f>'2. Parameters'!L72</f>
        <v>1.02</v>
      </c>
      <c r="J29" s="38">
        <f>'2. Parameters'!M72</f>
        <v>1.0404</v>
      </c>
      <c r="K29" s="38">
        <f>'2. Parameters'!N72</f>
        <v>1.0612079999999999</v>
      </c>
      <c r="L29" s="38">
        <f>'2. Parameters'!O72</f>
        <v>1.10365632</v>
      </c>
      <c r="M29" s="38">
        <f>'2. Parameters'!P72</f>
        <v>1.1478025728000001</v>
      </c>
      <c r="N29" s="38">
        <f>'2. Parameters'!Q72</f>
        <v>1.1937146757120001</v>
      </c>
    </row>
    <row r="30" spans="1:14">
      <c r="B30" s="32" t="s">
        <v>203</v>
      </c>
      <c r="D30" s="3" t="s">
        <v>792</v>
      </c>
      <c r="H30" s="10"/>
      <c r="I30" s="38">
        <f>'2. Parameters'!L73</f>
        <v>1</v>
      </c>
      <c r="J30" s="38">
        <f>'2. Parameters'!M73</f>
        <v>1.02</v>
      </c>
      <c r="K30" s="38">
        <f>'2. Parameters'!N73</f>
        <v>1.0404</v>
      </c>
      <c r="L30" s="38">
        <f>'2. Parameters'!O73</f>
        <v>1.0820160000000001</v>
      </c>
      <c r="M30" s="38">
        <f>'2. Parameters'!P73</f>
        <v>1.1252966400000002</v>
      </c>
      <c r="N30" s="38">
        <f>'2. Parameters'!Q73</f>
        <v>1.1703085056000002</v>
      </c>
    </row>
    <row r="31" spans="1:14">
      <c r="B31" s="32" t="s">
        <v>204</v>
      </c>
      <c r="D31" s="3" t="s">
        <v>792</v>
      </c>
      <c r="H31" s="10"/>
      <c r="I31" s="10"/>
      <c r="J31" s="38">
        <f>'2. Parameters'!M74</f>
        <v>1</v>
      </c>
      <c r="K31" s="38">
        <f>'2. Parameters'!N74</f>
        <v>1.02</v>
      </c>
      <c r="L31" s="38">
        <f>'2. Parameters'!O74</f>
        <v>1.0608</v>
      </c>
      <c r="M31" s="38">
        <f>'2. Parameters'!P74</f>
        <v>1.103232</v>
      </c>
      <c r="N31" s="38">
        <f>'2. Parameters'!Q74</f>
        <v>1.1473612799999999</v>
      </c>
    </row>
    <row r="32" spans="1:14">
      <c r="B32" s="32" t="s">
        <v>205</v>
      </c>
      <c r="D32" s="3" t="s">
        <v>792</v>
      </c>
      <c r="H32" s="10"/>
      <c r="I32" s="10"/>
      <c r="J32" s="10"/>
      <c r="K32" s="38">
        <f>'2. Parameters'!N75</f>
        <v>1</v>
      </c>
      <c r="L32" s="38">
        <f>'2. Parameters'!O75</f>
        <v>1.04</v>
      </c>
      <c r="M32" s="38">
        <f>'2. Parameters'!P75</f>
        <v>1.0816000000000001</v>
      </c>
      <c r="N32" s="38">
        <f>'2. Parameters'!Q75</f>
        <v>1.1248640000000001</v>
      </c>
    </row>
    <row r="33" spans="2:14">
      <c r="B33" s="32" t="s">
        <v>206</v>
      </c>
      <c r="D33" s="3" t="s">
        <v>792</v>
      </c>
      <c r="H33" s="10"/>
      <c r="I33" s="10"/>
      <c r="J33" s="10"/>
      <c r="K33" s="10"/>
      <c r="L33" s="38">
        <f>'2. Parameters'!O76</f>
        <v>1</v>
      </c>
      <c r="M33" s="38">
        <f>'2. Parameters'!P76</f>
        <v>1.04</v>
      </c>
      <c r="N33" s="38">
        <f>'2. Parameters'!Q76</f>
        <v>1.0816000000000001</v>
      </c>
    </row>
    <row r="34" spans="2:14">
      <c r="B34" s="32" t="s">
        <v>207</v>
      </c>
      <c r="D34" s="3" t="s">
        <v>792</v>
      </c>
      <c r="H34" s="10"/>
      <c r="I34" s="10"/>
      <c r="J34" s="10"/>
      <c r="K34" s="10"/>
      <c r="L34" s="10"/>
      <c r="M34" s="38">
        <f>'2. Parameters'!P77</f>
        <v>1</v>
      </c>
      <c r="N34" s="38">
        <f>'2. Parameters'!Q77</f>
        <v>1.04</v>
      </c>
    </row>
    <row r="35" spans="2:14">
      <c r="B35" s="32" t="s">
        <v>208</v>
      </c>
      <c r="D35" s="3" t="s">
        <v>792</v>
      </c>
      <c r="H35" s="10"/>
      <c r="I35" s="10"/>
      <c r="J35" s="10"/>
      <c r="K35" s="10"/>
      <c r="L35" s="10"/>
      <c r="M35" s="10"/>
      <c r="N35" s="38">
        <f>'2. Parameters'!Q78</f>
        <v>1</v>
      </c>
    </row>
    <row r="37" spans="2:14">
      <c r="B37" s="2" t="s">
        <v>194</v>
      </c>
    </row>
    <row r="38" spans="2:14">
      <c r="B38" s="3" t="s">
        <v>793</v>
      </c>
      <c r="D38" s="3" t="s">
        <v>199</v>
      </c>
      <c r="H38" s="38">
        <f>'2. Parameters'!K41</f>
        <v>1</v>
      </c>
      <c r="I38" s="38">
        <f>'2. Parameters'!L41</f>
        <v>1.016</v>
      </c>
      <c r="J38" s="38">
        <f>'2. Parameters'!M41</f>
        <v>1.0342880000000001</v>
      </c>
      <c r="K38" s="38">
        <f>'2. Parameters'!N41</f>
        <v>1.0984138560000001</v>
      </c>
      <c r="L38" s="38">
        <f>'2. Parameters'!O41</f>
        <v>1.1862869644800003</v>
      </c>
      <c r="M38" s="38">
        <f>'2. Parameters'!P41</f>
        <v>1.2064538428761602</v>
      </c>
      <c r="N38" s="38">
        <f>'2. Parameters'!Q41</f>
        <v>1.2269635582050549</v>
      </c>
    </row>
    <row r="39" spans="2:14">
      <c r="B39" s="3" t="s">
        <v>794</v>
      </c>
      <c r="D39" s="3" t="s">
        <v>199</v>
      </c>
      <c r="H39" s="10"/>
      <c r="I39" s="38">
        <f>'2. Parameters'!L42</f>
        <v>1</v>
      </c>
      <c r="J39" s="38">
        <f>'2. Parameters'!M42</f>
        <v>1.018</v>
      </c>
      <c r="K39" s="38">
        <f>'2. Parameters'!N42</f>
        <v>1.081116</v>
      </c>
      <c r="L39" s="38">
        <f>'2. Parameters'!O42</f>
        <v>1.1676052800000001</v>
      </c>
      <c r="M39" s="38">
        <f>'2. Parameters'!P42</f>
        <v>1.1874545697600001</v>
      </c>
      <c r="N39" s="38">
        <f>'2. Parameters'!Q42</f>
        <v>1.2076412974459199</v>
      </c>
    </row>
    <row r="40" spans="2:14">
      <c r="B40" s="3" t="s">
        <v>795</v>
      </c>
      <c r="D40" s="3" t="s">
        <v>199</v>
      </c>
      <c r="H40" s="10"/>
      <c r="I40" s="10"/>
      <c r="J40" s="38">
        <f>'2. Parameters'!M43</f>
        <v>1</v>
      </c>
      <c r="K40" s="38">
        <f>'2. Parameters'!N43</f>
        <v>1.0620000000000001</v>
      </c>
      <c r="L40" s="38">
        <f>'2. Parameters'!O43</f>
        <v>1.1469600000000002</v>
      </c>
      <c r="M40" s="38">
        <f>'2. Parameters'!P43</f>
        <v>1.16645832</v>
      </c>
      <c r="N40" s="38">
        <f>'2. Parameters'!Q43</f>
        <v>1.1862881114399999</v>
      </c>
    </row>
    <row r="41" spans="2:14">
      <c r="B41" s="3" t="s">
        <v>796</v>
      </c>
      <c r="D41" s="3" t="s">
        <v>199</v>
      </c>
      <c r="H41" s="10"/>
      <c r="I41" s="10"/>
      <c r="J41" s="10"/>
      <c r="K41" s="38">
        <f>'2. Parameters'!N44</f>
        <v>1</v>
      </c>
      <c r="L41" s="38">
        <f>'2. Parameters'!O44</f>
        <v>1.08</v>
      </c>
      <c r="M41" s="38">
        <f>'2. Parameters'!P44</f>
        <v>1.09836</v>
      </c>
      <c r="N41" s="38">
        <f>'2. Parameters'!Q44</f>
        <v>1.11703212</v>
      </c>
    </row>
    <row r="42" spans="2:14">
      <c r="B42" s="3" t="s">
        <v>797</v>
      </c>
      <c r="D42" s="3" t="s">
        <v>199</v>
      </c>
      <c r="H42" s="10"/>
      <c r="I42" s="10"/>
      <c r="J42" s="10"/>
      <c r="K42" s="10"/>
      <c r="L42" s="38">
        <f>'2. Parameters'!O45</f>
        <v>1</v>
      </c>
      <c r="M42" s="38">
        <f>'2. Parameters'!P45</f>
        <v>1.0169999999999999</v>
      </c>
      <c r="N42" s="38">
        <f>'2. Parameters'!Q45</f>
        <v>1.0342889999999998</v>
      </c>
    </row>
    <row r="43" spans="2:14">
      <c r="B43" s="3" t="s">
        <v>798</v>
      </c>
      <c r="D43" s="3" t="s">
        <v>199</v>
      </c>
      <c r="H43" s="10"/>
      <c r="I43" s="10"/>
      <c r="J43" s="10"/>
      <c r="K43" s="10"/>
      <c r="L43" s="10"/>
      <c r="M43" s="38">
        <f>'2. Parameters'!P46</f>
        <v>1</v>
      </c>
      <c r="N43" s="38">
        <f>'2. Parameters'!Q46</f>
        <v>1.0169999999999999</v>
      </c>
    </row>
    <row r="44" spans="2:14">
      <c r="B44" s="3" t="s">
        <v>799</v>
      </c>
      <c r="D44" s="3" t="s">
        <v>199</v>
      </c>
      <c r="H44" s="10"/>
      <c r="I44" s="10"/>
      <c r="J44" s="10"/>
      <c r="K44" s="10"/>
      <c r="L44" s="10"/>
      <c r="M44" s="10"/>
      <c r="N44" s="38">
        <f>'2. Parameters'!Q47</f>
        <v>1</v>
      </c>
    </row>
    <row r="46" spans="2:14">
      <c r="B46" s="2" t="s">
        <v>209</v>
      </c>
    </row>
    <row r="47" spans="2:14">
      <c r="B47" s="32" t="s">
        <v>202</v>
      </c>
      <c r="D47" s="3" t="s">
        <v>213</v>
      </c>
      <c r="H47" s="38">
        <f>'2. Parameters'!K58</f>
        <v>1</v>
      </c>
      <c r="I47" s="38">
        <f>'2. Parameters'!L58</f>
        <v>0.999</v>
      </c>
      <c r="J47" s="38">
        <f>'2. Parameters'!M58</f>
        <v>0.995004</v>
      </c>
      <c r="K47" s="38">
        <f>'2. Parameters'!N58</f>
        <v>0.99102398400000002</v>
      </c>
      <c r="L47" s="38">
        <f>'2. Parameters'!O58</f>
        <v>0.98705988806400002</v>
      </c>
      <c r="M47" s="38">
        <f>'2. Parameters'!P58</f>
        <v>0.98311164851174404</v>
      </c>
      <c r="N47" s="38">
        <f>'2. Parameters'!Q58</f>
        <v>0.97917920191769703</v>
      </c>
    </row>
    <row r="48" spans="2:14">
      <c r="B48" s="32" t="s">
        <v>203</v>
      </c>
      <c r="D48" s="3" t="s">
        <v>213</v>
      </c>
      <c r="H48" s="10"/>
      <c r="I48" s="38">
        <f>'2. Parameters'!L59</f>
        <v>1</v>
      </c>
      <c r="J48" s="38">
        <f>'2. Parameters'!M59</f>
        <v>0.996</v>
      </c>
      <c r="K48" s="38">
        <f>'2. Parameters'!N59</f>
        <v>0.99201600000000001</v>
      </c>
      <c r="L48" s="38">
        <f>'2. Parameters'!O59</f>
        <v>0.98804793599999996</v>
      </c>
      <c r="M48" s="38">
        <f>'2. Parameters'!P59</f>
        <v>0.98409574425599999</v>
      </c>
      <c r="N48" s="38">
        <f>'2. Parameters'!Q59</f>
        <v>0.98015936127897596</v>
      </c>
    </row>
    <row r="49" spans="1:78">
      <c r="B49" s="32" t="s">
        <v>204</v>
      </c>
      <c r="D49" s="3" t="s">
        <v>213</v>
      </c>
      <c r="H49" s="10"/>
      <c r="I49" s="10"/>
      <c r="J49" s="38">
        <f>'2. Parameters'!M60</f>
        <v>1</v>
      </c>
      <c r="K49" s="38">
        <f>'2. Parameters'!N60</f>
        <v>0.996</v>
      </c>
      <c r="L49" s="38">
        <f>'2. Parameters'!O60</f>
        <v>0.99201600000000001</v>
      </c>
      <c r="M49" s="38">
        <f>'2. Parameters'!P60</f>
        <v>0.98804793599999996</v>
      </c>
      <c r="N49" s="38">
        <f>'2. Parameters'!Q60</f>
        <v>0.98409574425599999</v>
      </c>
    </row>
    <row r="50" spans="1:78">
      <c r="B50" s="32" t="s">
        <v>205</v>
      </c>
      <c r="D50" s="3" t="s">
        <v>213</v>
      </c>
      <c r="H50" s="10"/>
      <c r="I50" s="10"/>
      <c r="J50" s="10"/>
      <c r="K50" s="38">
        <f>'2. Parameters'!N61</f>
        <v>1</v>
      </c>
      <c r="L50" s="38">
        <f>'2. Parameters'!O61</f>
        <v>0.996</v>
      </c>
      <c r="M50" s="38">
        <f>'2. Parameters'!P61</f>
        <v>0.99201600000000001</v>
      </c>
      <c r="N50" s="38">
        <f>'2. Parameters'!Q61</f>
        <v>0.98804793599999996</v>
      </c>
    </row>
    <row r="51" spans="1:78">
      <c r="B51" s="32" t="s">
        <v>206</v>
      </c>
      <c r="D51" s="3" t="s">
        <v>213</v>
      </c>
      <c r="H51" s="10"/>
      <c r="I51" s="10"/>
      <c r="J51" s="10"/>
      <c r="K51" s="10"/>
      <c r="L51" s="38">
        <f>'2. Parameters'!O62</f>
        <v>1</v>
      </c>
      <c r="M51" s="38">
        <f>'2. Parameters'!P62</f>
        <v>0.996</v>
      </c>
      <c r="N51" s="38">
        <f>'2. Parameters'!Q62</f>
        <v>0.99201600000000001</v>
      </c>
    </row>
    <row r="52" spans="1:78">
      <c r="B52" s="32" t="s">
        <v>207</v>
      </c>
      <c r="D52" s="3" t="s">
        <v>213</v>
      </c>
      <c r="H52" s="10"/>
      <c r="I52" s="10"/>
      <c r="J52" s="10"/>
      <c r="K52" s="10"/>
      <c r="L52" s="10"/>
      <c r="M52" s="38">
        <f>'2. Parameters'!P63</f>
        <v>1</v>
      </c>
      <c r="N52" s="38">
        <f>'2. Parameters'!Q63</f>
        <v>0.996</v>
      </c>
    </row>
    <row r="53" spans="1:78" ht="15.75" customHeight="1">
      <c r="B53" s="32" t="s">
        <v>208</v>
      </c>
      <c r="D53" s="3" t="s">
        <v>213</v>
      </c>
      <c r="H53" s="10"/>
      <c r="I53" s="10"/>
      <c r="J53" s="10"/>
      <c r="K53" s="10"/>
      <c r="L53" s="10"/>
      <c r="M53" s="10"/>
      <c r="N53" s="38">
        <f>'2. Parameters'!Q64</f>
        <v>1</v>
      </c>
    </row>
    <row r="55" spans="1:78" s="39" customFormat="1">
      <c r="B55" s="39" t="s">
        <v>800</v>
      </c>
    </row>
    <row r="56" spans="1:78" s="42" customFormat="1">
      <c r="B56" s="117"/>
    </row>
    <row r="57" spans="1:78" s="42" customFormat="1">
      <c r="O57" s="42" t="s">
        <v>801</v>
      </c>
      <c r="R57" s="42" t="s">
        <v>802</v>
      </c>
      <c r="U57" s="42" t="s">
        <v>803</v>
      </c>
      <c r="X57" s="42" t="s">
        <v>804</v>
      </c>
      <c r="AD57" s="42" t="s">
        <v>805</v>
      </c>
      <c r="AJ57" s="42" t="s">
        <v>806</v>
      </c>
      <c r="AP57" s="42" t="s">
        <v>807</v>
      </c>
      <c r="AV57" s="42" t="s">
        <v>808</v>
      </c>
      <c r="BD57" s="42" t="s">
        <v>464</v>
      </c>
      <c r="BL57" s="42" t="s">
        <v>809</v>
      </c>
      <c r="BT57" s="42" t="s">
        <v>810</v>
      </c>
    </row>
    <row r="58" spans="1:78" s="45" customFormat="1">
      <c r="B58" s="45" t="s">
        <v>811</v>
      </c>
      <c r="F58" s="45" t="s">
        <v>331</v>
      </c>
      <c r="H58" s="46" t="s">
        <v>812</v>
      </c>
      <c r="I58" s="46" t="s">
        <v>813</v>
      </c>
      <c r="J58" s="46" t="s">
        <v>755</v>
      </c>
      <c r="K58" s="46" t="s">
        <v>756</v>
      </c>
      <c r="L58" s="45" t="s">
        <v>814</v>
      </c>
      <c r="M58" s="45" t="s">
        <v>815</v>
      </c>
      <c r="O58" s="51">
        <v>2020</v>
      </c>
      <c r="P58" s="51">
        <v>2021</v>
      </c>
      <c r="R58" s="51">
        <v>2020</v>
      </c>
      <c r="S58" s="51">
        <v>2021</v>
      </c>
      <c r="U58" s="45" t="s">
        <v>816</v>
      </c>
      <c r="V58" s="45" t="s">
        <v>817</v>
      </c>
      <c r="X58" s="51">
        <v>2022</v>
      </c>
      <c r="Y58" s="51">
        <v>2023</v>
      </c>
      <c r="Z58" s="51">
        <v>2024</v>
      </c>
      <c r="AA58" s="51">
        <v>2025</v>
      </c>
      <c r="AB58" s="51">
        <v>2026</v>
      </c>
      <c r="AD58" s="51">
        <v>2022</v>
      </c>
      <c r="AE58" s="51">
        <v>2023</v>
      </c>
      <c r="AF58" s="51">
        <v>2024</v>
      </c>
      <c r="AG58" s="51">
        <v>2025</v>
      </c>
      <c r="AH58" s="51">
        <v>2026</v>
      </c>
      <c r="AJ58" s="51">
        <v>2022</v>
      </c>
      <c r="AK58" s="51">
        <v>2023</v>
      </c>
      <c r="AL58" s="51">
        <v>2024</v>
      </c>
      <c r="AM58" s="51">
        <v>2025</v>
      </c>
      <c r="AN58" s="51">
        <v>2026</v>
      </c>
      <c r="AP58" s="51">
        <v>2022</v>
      </c>
      <c r="AQ58" s="51">
        <v>2023</v>
      </c>
      <c r="AR58" s="51">
        <v>2024</v>
      </c>
      <c r="AS58" s="51">
        <v>2025</v>
      </c>
      <c r="AT58" s="51">
        <v>2026</v>
      </c>
      <c r="AV58" s="51">
        <v>2020</v>
      </c>
      <c r="AW58" s="51">
        <v>2021</v>
      </c>
      <c r="AX58" s="51">
        <v>2022</v>
      </c>
      <c r="AY58" s="51">
        <v>2023</v>
      </c>
      <c r="AZ58" s="51">
        <v>2024</v>
      </c>
      <c r="BA58" s="51">
        <v>2025</v>
      </c>
      <c r="BB58" s="51">
        <v>2026</v>
      </c>
      <c r="BD58" s="51">
        <v>2020</v>
      </c>
      <c r="BE58" s="51">
        <v>2021</v>
      </c>
      <c r="BF58" s="51">
        <v>2022</v>
      </c>
      <c r="BG58" s="51">
        <v>2023</v>
      </c>
      <c r="BH58" s="51">
        <v>2024</v>
      </c>
      <c r="BI58" s="51">
        <v>2025</v>
      </c>
      <c r="BJ58" s="51">
        <v>2026</v>
      </c>
      <c r="BL58" s="51">
        <v>2020</v>
      </c>
      <c r="BM58" s="51">
        <v>2021</v>
      </c>
      <c r="BN58" s="51">
        <v>2022</v>
      </c>
      <c r="BO58" s="51">
        <v>2023</v>
      </c>
      <c r="BP58" s="51">
        <v>2024</v>
      </c>
      <c r="BQ58" s="51">
        <v>2025</v>
      </c>
      <c r="BR58" s="51">
        <v>2026</v>
      </c>
      <c r="BT58" s="51">
        <v>2020</v>
      </c>
      <c r="BU58" s="51">
        <v>2021</v>
      </c>
      <c r="BV58" s="51">
        <v>2022</v>
      </c>
      <c r="BW58" s="51">
        <v>2023</v>
      </c>
      <c r="BX58" s="51">
        <v>2024</v>
      </c>
      <c r="BY58" s="51">
        <v>2025</v>
      </c>
      <c r="BZ58" s="51">
        <v>2026</v>
      </c>
    </row>
    <row r="59" spans="1:78" s="54" customFormat="1">
      <c r="H59" s="55"/>
      <c r="I59" s="55"/>
    </row>
    <row r="60" spans="1:78">
      <c r="A60" s="54"/>
      <c r="B60" s="43">
        <f>'9. Investeringen (WUI &amp; ombouw)'!B20</f>
        <v>1</v>
      </c>
      <c r="C60" s="54"/>
      <c r="D60" s="54"/>
      <c r="E60" s="54"/>
      <c r="F60" s="48">
        <f>'9. Investeringen (WUI &amp; ombouw)'!C20</f>
        <v>560010.50868726079</v>
      </c>
      <c r="G60" s="54"/>
      <c r="H60" s="43">
        <f>'9. Investeringen (WUI &amp; ombouw)'!D20</f>
        <v>2020</v>
      </c>
      <c r="I60" s="43" t="str">
        <f>'9. Investeringen (WUI &amp; ombouw)'!E20</f>
        <v>02 Gasontvangststations</v>
      </c>
      <c r="J60" s="43" t="str">
        <f>'9. Investeringen (WUI &amp; ombouw)'!F20</f>
        <v>VVI</v>
      </c>
      <c r="K60" s="43" t="str">
        <f>'9. Investeringen (WUI &amp; ombouw)'!G20</f>
        <v>Ja</v>
      </c>
      <c r="L60" s="44">
        <f>H60+2</f>
        <v>2022</v>
      </c>
      <c r="M60" s="44">
        <f>_xlfn.XLOOKUP(I60,'3. Input (des)investeringen '!$B$11:$B$80,'3. Input (des)investeringen '!$D$11:$D$80,0)</f>
        <v>30</v>
      </c>
      <c r="O60" s="49">
        <f>IF($M60&gt;0, IF($H60&lt;=O$58, VDB($F60,0,$M60,MAX(0,O$58-$H60-0.5),MIN($M60,O$58-$H60+0.5),1)*INDEX(H$38:H$44,$H60-2019,1),0),0)</f>
        <v>9333.5084781210135</v>
      </c>
      <c r="P60" s="49">
        <f>IF($M60&gt;0, IF($H60&lt;=P$58, VDB($F60,0,$M60,MAX(0,P$58-$H60-0.5),MIN($M60,P$58-$H60+0.5),1)*INDEX(I$38:I$44,$H60-2019,1),0),0)</f>
        <v>18965.689227541901</v>
      </c>
      <c r="R60" s="49">
        <f>IF($M60&gt;0, IF(OR($H60&gt;R$58,$H60+$M60&lt;=R$58),0,F60-O60), F60)</f>
        <v>550677.00020913978</v>
      </c>
      <c r="S60" s="49">
        <f>IF($M60&gt;0,IF(OR($H60&gt;S$58,$H60+$M60&lt;=S$58),0,IF(H60=S$58,F60-P60,R60*$I$38-P60)), R60*$I$38)</f>
        <v>540522.14298494416</v>
      </c>
      <c r="U60" s="49">
        <f>IF(H60&lt;=2021,S60,F60)</f>
        <v>540522.14298494416</v>
      </c>
      <c r="V60" s="44">
        <f>IF($M60&gt;0,IF(H60&lt;2022,M60-2021+H60-0.5,M60),0)</f>
        <v>28.5</v>
      </c>
      <c r="X60" s="49">
        <f>IF($M60&gt;0, IF(OR($H60&gt;X$58,$H60+$M60&lt;X$58),0,IF(OR($H60=2020,$H60=2021),VDB($U60,0,$V60,X$58-2022,MIN($V60,X$58-2021),$F$23,FALSE),
VDB($U60,0,$V60,MAX(0,X$58-$H60-0.5),MIN($V60,X$58-$H60+0.5),$F$23,FALSE)))*(1-$F$26), 0)</f>
        <v>22189.856396224026</v>
      </c>
      <c r="Y60" s="49">
        <f t="shared" ref="Y60:AB65" si="0">IF($M60&gt;0, IF(OR($H60&gt;Y$58,$H60+$M60&lt;Y$58),0,IF(OR($H60=2020,$H60=2021),VDB($U60,0,$V60,Y$58-2022,MIN($V60,Y$58-2021),$F$23,FALSE),
VDB($U60,0,$V60,MAX(0,Y$58-$H60-0.5),MIN($V60,Y$58-$H60+0.5),$F$23,FALSE)))*(1-$F$26), 0)</f>
        <v>21177.68750797521</v>
      </c>
      <c r="Z60" s="49">
        <f>IF($M60&gt;0, IF(OR($H60&gt;Z$58,$H60+$M60&lt;Z$58),0,IF(OR($H60=2020,$H60=2021),VDB($U60,0,$V60,Z$58-2022,MIN($V60,Z$58-2021),$F$23,FALSE),
VDB($U60,0,$V60,MAX(0,Z$58-$H60-0.5),MIN($V60,Z$58-$H60+0.5),$F$23,FALSE)))*(1-$F$26), 0)</f>
        <v>20211.687726909673</v>
      </c>
      <c r="AA60" s="103">
        <f t="shared" si="0"/>
        <v>19289.751093752395</v>
      </c>
      <c r="AB60" s="103">
        <f>IF($M60&gt;0, IF(OR($H60&gt;AB$58,$H60+$M60&lt;AB$58),0,IF(OR($H60=2020,$H60=2021),VDB($U60,0,$V60,AB$58-2022,MIN($V60,AB$58-2021),$F$23,FALSE),
VDB($U60,0,$V60,MAX(0,AB$58-$H60-0.5),MIN($V60,AB$58-$H60+0.5),$F$23,FALSE)))*(1-$F$26), 0)</f>
        <v>18409.867710528601</v>
      </c>
      <c r="AD60" s="49">
        <f>IF($M60&gt;0, IF(OR($H60&gt;AD$58,$H60+$M60&lt;AD$58),0,IF(OR($H60=2020,$H60=2021),VDB($U60,0,$V60,AD$58-2022,MIN($V60,AD$58-2021),1,FALSE),
VDB($U60,0,$V60,MAX(0,AD$58-$H60-0.5),MIN($V60,AD$58-$H60+0.5),1,FALSE)))*$F$26,0)</f>
        <v>1896.5689227541902</v>
      </c>
      <c r="AE60" s="49">
        <f t="shared" ref="AE60:AH65" si="1">IF($M60&gt;0, IF(OR($H60&gt;AE$58,$H60+$M60&lt;AE$58),0,IF(OR($H60=2020,$H60=2021),VDB($U60,0,$V60,AE$58-2022,MIN($V60,AE$58-2021),1,FALSE),
VDB($U60,0,$V60,MAX(0,AE$58-$H60-0.5),MIN($V60,AE$58-$H60+0.5),1,FALSE)))*$F$26,0)</f>
        <v>1896.5689227541902</v>
      </c>
      <c r="AF60" s="49">
        <f t="shared" si="1"/>
        <v>1896.5689227541902</v>
      </c>
      <c r="AG60" s="103">
        <f t="shared" si="1"/>
        <v>1896.5689227541902</v>
      </c>
      <c r="AH60" s="103">
        <f t="shared" si="1"/>
        <v>1896.5689227541902</v>
      </c>
      <c r="AJ60" s="49">
        <f>X60+AD60</f>
        <v>24086.425318978218</v>
      </c>
      <c r="AK60" s="49">
        <f>Y60+AE60</f>
        <v>23074.256430729401</v>
      </c>
      <c r="AL60" s="49">
        <f>Z60+AF60</f>
        <v>22108.256649663865</v>
      </c>
      <c r="AM60" s="103">
        <f t="shared" ref="AM60:AN60" si="2">AA60+AG60</f>
        <v>21186.320016506586</v>
      </c>
      <c r="AN60" s="103">
        <f t="shared" si="2"/>
        <v>20306.436633282792</v>
      </c>
      <c r="AP60" s="49">
        <f>IF($M60&gt;0,IF(OR($H60&gt;AP$58,$H60+$M60&lt;=AP$58),0,IF($H60=AP$58,$U60-AJ60,$U60-AJ60)), U60)</f>
        <v>516435.71766596596</v>
      </c>
      <c r="AQ60" s="49">
        <f>IF($M60&gt;0,IF(OR($H60&gt;AQ$58,$H60+$M60&lt;=AQ$58),0,IF($H60=AQ$58,$U60-AK60,AP60-AK60)),AP60)</f>
        <v>493361.46123523655</v>
      </c>
      <c r="AR60" s="49">
        <f t="shared" ref="AR60:AT60" si="3">IF($M60&gt;0,IF(OR($H60&gt;AR$58,$H60+$M60&lt;=AR$58),0,IF($H60=AR$58,$U60-AL60,AQ60-AL60)),AQ60)</f>
        <v>471253.2045855727</v>
      </c>
      <c r="AS60" s="103">
        <f t="shared" si="3"/>
        <v>450066.88456906611</v>
      </c>
      <c r="AT60" s="103">
        <f t="shared" si="3"/>
        <v>429760.4479357833</v>
      </c>
      <c r="AV60" s="53">
        <f>O60+R60*H$16</f>
        <v>27505.849485022627</v>
      </c>
      <c r="AW60" s="53">
        <f>P60+S60*I$16</f>
        <v>35181.353517090225</v>
      </c>
      <c r="AX60" s="53">
        <f>AJ60+AP60*J$17</f>
        <v>40095.93256662316</v>
      </c>
      <c r="AY60" s="53">
        <f>AK60+AQ60*K$17</f>
        <v>37875.100267786496</v>
      </c>
      <c r="AZ60" s="53">
        <f>AL60+AR60*L$17</f>
        <v>36245.852787231044</v>
      </c>
      <c r="BA60" s="103">
        <f>AM60+AS60*M$17</f>
        <v>34688.326553578569</v>
      </c>
      <c r="BB60" s="103">
        <f>AN60+AT60*N$17</f>
        <v>33199.250071356291</v>
      </c>
      <c r="BD60" s="49">
        <f>IF(O60&gt;0,$F60*$F$20*INDEX($H$38:$N$44,$H60-2019,BD$58-2019)*INDEX($H$47:$N$53,$H60-2019,BD$58-2019)* IF(OR(BD$58=$H60,BD$58=$H60+$M60),0.5,1),0)</f>
        <v>2800.0525434363039</v>
      </c>
      <c r="BE60" s="49">
        <f>IF(P60&gt;0,$F60*$F$20*INDEX($H$38:$N$44,$H60-2019,BE$58-2019)*INDEX($H$47:$N$53,$H60-2019,BE$58-2019)*
 IF(OR(BE$58=$H60,BE$58=$H60+$M60),0.5,1),0)</f>
        <v>5684.0170614943063</v>
      </c>
      <c r="BF60" s="49">
        <f>IF(AJ60&gt;0,
$F60*$F$20*INDEX($H$38:$N$44,$H60-2019,BF$58-2019)*INDEX($H$47:$N$53,$H60-2019,BF$58-2019)*
 IF(OR(BF$58=$H60,BF$58=$H60+$M60),0.5,1),0)</f>
        <v>5763.1840511268001</v>
      </c>
      <c r="BG60" s="49">
        <f>IF(AK60&gt;0,
$F60*$F$20*INDEX($H$38:$N$44,$H60-2019,BG$58-2019)*INDEX($H$47:$N$53,$H60-2019,BG$58-2019)*
 IF(OR(BG$58=$H60,BG$58=$H60+$M60),0.5,1),0)</f>
        <v>6096.019456447475</v>
      </c>
      <c r="BH60" s="49">
        <f>IF(AL60&gt;0,
$F60*$F$20*INDEX($H$38:$N$44,$H60-2019,BH$58-2019)*INDEX($H$47:$N$53,$H60-2019,BH$58-2019)*
 IF(OR(BH$58=$H60,BH$58=$H60+$M60),0.5,1),0)</f>
        <v>6557.3662089114214</v>
      </c>
      <c r="BI60" s="103">
        <f>IF(AM60&gt;0,
$F60*$F$20*INDEX($H$38:$N$44,$H60-2019,BI$58-2019)*INDEX($H$47:$N$53,$H60-2019,BI$58-2019)*
 IF(OR(BI$58=$H60,BI$58=$H60+$M60),0.5,1),0)</f>
        <v>6642.1660687250633</v>
      </c>
      <c r="BJ60" s="103">
        <f>IF(AN60&gt;0,
$F60*$F$20*INDEX($H$38:$N$44,$H60-2019,BJ$58-2019)*INDEX($H$47:$N$53,$H60-2019,BJ$58-2019)*
 IF(OR(BJ$58=$H60,BJ$58=$H60+$M60),0.5,1),0)</f>
        <v>6728.0625603258159</v>
      </c>
      <c r="BL60" s="49">
        <f>AV60+BD60</f>
        <v>30305.902028458931</v>
      </c>
      <c r="BM60" s="49">
        <f t="shared" ref="BM60:BR60" si="4">AW60+BE60</f>
        <v>40865.37057858453</v>
      </c>
      <c r="BN60" s="49">
        <f t="shared" si="4"/>
        <v>45859.116617749962</v>
      </c>
      <c r="BO60" s="49">
        <f t="shared" si="4"/>
        <v>43971.119724233969</v>
      </c>
      <c r="BP60" s="49">
        <f t="shared" si="4"/>
        <v>42803.218996142466</v>
      </c>
      <c r="BQ60" s="103">
        <f t="shared" si="4"/>
        <v>41330.492622303631</v>
      </c>
      <c r="BR60" s="103">
        <f t="shared" si="4"/>
        <v>39927.312631682107</v>
      </c>
      <c r="BT60" s="10"/>
      <c r="BU60" s="10"/>
      <c r="BV60" s="57">
        <f>IF($L60&gt;BV$58,0,
IF($L60=BV$58,BL60*INDEX(J$29:J$35,BV$58-2021)+BM60*INDEX(J$29:J$35,BV$58-2020)+BN60,BN60))</f>
        <v>119072.05507831485</v>
      </c>
      <c r="BW60" s="57">
        <f>IF($L60&gt;BW$58,0,
IF($L60=BW$58,BM60*INDEX(K$29:K$35,BW$58-2021)+BN60*INDEX(K$29:K$35,BW$58-2020)+BO60,BO60))</f>
        <v>43971.119724233969</v>
      </c>
      <c r="BX60" s="57">
        <f>IF($L60&gt;BX$58,0,
IF($L60=BX$58,BN60*INDEX(L$29:L$35,BX$58-2021)+BO60*INDEX(L$29:L$35,BX$58-2020)+BP60,BP60))</f>
        <v>42803.218996142466</v>
      </c>
      <c r="BY60" s="103">
        <f>IF($L60&gt;BY$58,0,
IF($L60=BY$58,BO60*INDEX(M$29:M$35,BY$58-2021)+BP60*INDEX(M$29:M$35,BY$58-2020)+BQ60,BQ60))</f>
        <v>41330.492622303631</v>
      </c>
      <c r="BZ60" s="103">
        <f>IF($L60&gt;BZ$58,0,
IF($L60=BZ$58,BP60*INDEX(N$29:N$35,BZ$58-2021)+BQ60*INDEX(N$29:N$35,BZ$58-2020)+BR60,BR60))</f>
        <v>39927.312631682107</v>
      </c>
    </row>
    <row r="61" spans="1:78">
      <c r="A61" s="54"/>
      <c r="B61" s="43">
        <f>'9. Investeringen (WUI &amp; ombouw)'!B21</f>
        <v>2</v>
      </c>
      <c r="C61" s="54"/>
      <c r="D61" s="54"/>
      <c r="E61" s="54"/>
      <c r="F61" s="48">
        <f>'9. Investeringen (WUI &amp; ombouw)'!C21</f>
        <v>1887192.5279576036</v>
      </c>
      <c r="G61" s="54"/>
      <c r="H61" s="43">
        <f>'9. Investeringen (WUI &amp; ombouw)'!D21</f>
        <v>2022</v>
      </c>
      <c r="I61" s="43" t="str">
        <f>'9. Investeringen (WUI &amp; ombouw)'!E21</f>
        <v>01 Regionale leidingen</v>
      </c>
      <c r="J61" s="43" t="str">
        <f>'9. Investeringen (WUI &amp; ombouw)'!F21</f>
        <v>VVI</v>
      </c>
      <c r="K61" s="43" t="str">
        <f>'9. Investeringen (WUI &amp; ombouw)'!G21</f>
        <v>Ja</v>
      </c>
      <c r="L61" s="44">
        <f t="shared" ref="L61:L65" si="5">H61+2</f>
        <v>2024</v>
      </c>
      <c r="M61" s="44">
        <f>_xlfn.XLOOKUP(I61,'3. Input (des)investeringen '!$B$11:$B$80,'3. Input (des)investeringen '!$D$11:$D$80,0)</f>
        <v>55</v>
      </c>
      <c r="O61" s="49">
        <f t="shared" ref="O61:O65" si="6">IF($M61&gt;0, IF($H61&lt;=O$58, VDB($F61,0,$M61,MAX(0,O$58-$H61-0.5),MIN($M61,O$58-$H61+0.5),1)*INDEX(H$38:H$44,$H61-2019,1),0),0)</f>
        <v>0</v>
      </c>
      <c r="P61" s="49">
        <f t="shared" ref="P61:P65" si="7">IF($M61&gt;0, IF($H61&lt;=P$58, VDB($F61,0,$M61,MAX(0,P$58-$H61-0.5),MIN($M61,P$58-$H61+0.5),1)*INDEX(I$38:I$44,$H61-2019,1),0),0)</f>
        <v>0</v>
      </c>
      <c r="R61" s="49">
        <f t="shared" ref="R61:R65" si="8">IF($M61&gt;0, IF(OR($H61&gt;R$58,$H61+$M61&lt;=R$58),0,F61-O61), F61)</f>
        <v>0</v>
      </c>
      <c r="S61" s="49">
        <f t="shared" ref="S61:S65" si="9">IF($M61&gt;0,IF(OR($H61&gt;S$58,$H61+$M61&lt;=S$58),0,IF(H61=S$58,F61-P61,R61*$I$38-P61)), R61*$I$38)</f>
        <v>0</v>
      </c>
      <c r="U61" s="49">
        <f t="shared" ref="U61:U65" si="10">IF(H61&lt;=2021,S61,F61)</f>
        <v>1887192.5279576036</v>
      </c>
      <c r="V61" s="44">
        <f t="shared" ref="V61:V65" si="11">IF($M61&gt;0,IF(H61&lt;2022,M61-2021+H61-0.5,M61),0)</f>
        <v>55</v>
      </c>
      <c r="X61" s="49">
        <f t="shared" ref="X61:X65" si="12">IF($M61&gt;0, IF(OR($H61&gt;X$58,$H61+$M61&lt;X$58),0,IF(OR($H61=2020,$H61=2021),VDB($U61,0,$V61,X$58-2022,MIN($V61,X$58-2021),$F$23,FALSE),
VDB($U61,0,$V61,MAX(0,X$58-$H61-0.5),MIN($V61,X$58-$H61+0.5),$F$23,FALSE)))*(1-$F$26), 0)</f>
        <v>20072.865979185419</v>
      </c>
      <c r="Y61" s="49">
        <f t="shared" si="0"/>
        <v>39671.282398862815</v>
      </c>
      <c r="Z61" s="49">
        <f t="shared" si="0"/>
        <v>38733.597542162432</v>
      </c>
      <c r="AA61" s="103">
        <f t="shared" si="0"/>
        <v>37818.076145711311</v>
      </c>
      <c r="AB61" s="103">
        <f t="shared" si="0"/>
        <v>36924.19434590359</v>
      </c>
      <c r="AD61" s="49">
        <f t="shared" ref="AD61:AD65" si="13">IF($M61&gt;0, IF(OR($H61&gt;AD$58,$H61+$M61&lt;AD$58),0,IF(OR($H61=2020,$H61=2021),VDB($U61,0,$V61,AD$58-2022,MIN($V61,AD$58-2021),1,FALSE),
VDB($U61,0,$V61,MAX(0,AD$58-$H61-0.5),MIN($V61,AD$58-$H61+0.5),1,FALSE)))*$F$26,0)</f>
        <v>1715.6295708705486</v>
      </c>
      <c r="AE61" s="49">
        <f t="shared" si="1"/>
        <v>3431.2591417410981</v>
      </c>
      <c r="AF61" s="49">
        <f t="shared" si="1"/>
        <v>3431.2591417410981</v>
      </c>
      <c r="AG61" s="103">
        <f t="shared" si="1"/>
        <v>3431.2591417410981</v>
      </c>
      <c r="AH61" s="103">
        <f t="shared" si="1"/>
        <v>3431.2591417410981</v>
      </c>
      <c r="AJ61" s="49">
        <f t="shared" ref="AJ61:AJ65" si="14">X61+AD61</f>
        <v>21788.495550055966</v>
      </c>
      <c r="AK61" s="49">
        <f t="shared" ref="AK61:AK65" si="15">Y61+AE61</f>
        <v>43102.54154060391</v>
      </c>
      <c r="AL61" s="49">
        <f t="shared" ref="AL61:AL65" si="16">Z61+AF61</f>
        <v>42164.856683903527</v>
      </c>
      <c r="AM61" s="103">
        <f t="shared" ref="AM61:AM65" si="17">AA61+AG61</f>
        <v>41249.335287452406</v>
      </c>
      <c r="AN61" s="103">
        <f t="shared" ref="AN61:AN65" si="18">AB61+AH61</f>
        <v>40355.453487644685</v>
      </c>
      <c r="AP61" s="49">
        <f t="shared" ref="AP61:AP65" si="19">IF($M61&gt;0,IF(OR($H61&gt;AP$58,$H61+$M61&lt;=AP$58),0,IF($H61=AP$58,$U61-AJ61,$U61-AJ61)), U61)</f>
        <v>1865404.0324075476</v>
      </c>
      <c r="AQ61" s="49">
        <f t="shared" ref="AQ61:AQ65" si="20">IF($M61&gt;0,IF(OR($H61&gt;AQ$58,$H61+$M61&lt;=AQ$58),0,IF($H61=AQ$58,$U61-AK61,AP61-AK61)),AP61)</f>
        <v>1822301.4908669437</v>
      </c>
      <c r="AR61" s="49">
        <f t="shared" ref="AR61:AR65" si="21">IF($M61&gt;0,IF(OR($H61&gt;AR$58,$H61+$M61&lt;=AR$58),0,IF($H61=AR$58,$U61-AL61,AQ61-AL61)),AQ61)</f>
        <v>1780136.6341830401</v>
      </c>
      <c r="AS61" s="103">
        <f t="shared" ref="AS61:AS65" si="22">IF($M61&gt;0,IF(OR($H61&gt;AS$58,$H61+$M61&lt;=AS$58),0,IF($H61=AS$58,$U61-AM61,AR61-AM61)),AR61)</f>
        <v>1738887.2988955877</v>
      </c>
      <c r="AT61" s="103">
        <f t="shared" ref="AT61:AT65" si="23">IF($M61&gt;0,IF(OR($H61&gt;AT$58,$H61+$M61&lt;=AT$58),0,IF($H61=AT$58,$U61-AN61,AS61-AN61)),AS61)</f>
        <v>1698531.845407943</v>
      </c>
      <c r="AV61" s="53">
        <f t="shared" ref="AV61:AV65" si="24">O61+R61*H$16</f>
        <v>0</v>
      </c>
      <c r="AW61" s="53">
        <f t="shared" ref="AW61:AW65" si="25">P61+S61*I$16</f>
        <v>0</v>
      </c>
      <c r="AX61" s="53">
        <f t="shared" ref="AX61:AX65" si="26">AJ61+AP61*J$17</f>
        <v>79616.020554689938</v>
      </c>
      <c r="AY61" s="53">
        <f t="shared" ref="AY61:AY65" si="27">AK61+AQ61*K$17</f>
        <v>97771.586266612227</v>
      </c>
      <c r="AZ61" s="53">
        <f t="shared" ref="AZ61:AZ65" si="28">AL61+AR61*L$17</f>
        <v>95568.955709394737</v>
      </c>
      <c r="BA61" s="103">
        <f t="shared" ref="BA61:BA65" si="29">AM61+AS61*M$17</f>
        <v>93415.954254320037</v>
      </c>
      <c r="BB61" s="103">
        <f t="shared" ref="BB61:BB65" si="30">AN61+AT61*N$17</f>
        <v>91311.408849882981</v>
      </c>
      <c r="BD61" s="49">
        <f t="shared" ref="BD61:BD65" si="31">IF(O61&gt;0,$F61*$F$20*INDEX($H$38:$N$44,$H61-2019,BD$58-2019)*INDEX($H$47:$N$53,$H61-2019,BD$58-2019)* IF(OR(BD$58=$H61,BD$58=$H61+$M61),0.5,1),0)</f>
        <v>0</v>
      </c>
      <c r="BE61" s="49">
        <f t="shared" ref="BE61:BE65" si="32">IF(P61&gt;0,$F61*$F$20*INDEX($H$38:$N$44,$H61-2019,BE$58-2019)*INDEX($H$47:$N$53,$H61-2019,BE$58-2019)*
 IF(OR(BE$58=$H61,BE$58=$H61+$M61),0.5,1),0)</f>
        <v>0</v>
      </c>
      <c r="BF61" s="49">
        <f t="shared" ref="BF61:BF65" si="33">IF(AJ61&gt;0,
$F61*$F$20*INDEX($H$38:$N$44,$H61-2019,BF$58-2019)*INDEX($H$47:$N$53,$H61-2019,BF$58-2019)*
 IF(OR(BF$58=$H61,BF$58=$H61+$M61),0.5,1),0)</f>
        <v>9435.9626397880184</v>
      </c>
      <c r="BG61" s="49">
        <f t="shared" ref="BG61:BG65" si="34">IF(AK61&gt;0,
$F61*$F$20*INDEX($H$38:$N$44,$H61-2019,BG$58-2019)*INDEX($H$47:$N$53,$H61-2019,BG$58-2019)*
 IF(OR(BG$58=$H61,BG$58=$H61+$M61),0.5,1),0)</f>
        <v>19961.816708322116</v>
      </c>
      <c r="BH61" s="49">
        <f t="shared" ref="BH61:BH65" si="35">IF(AL61&gt;0,
$F61*$F$20*INDEX($H$38:$N$44,$H61-2019,BH$58-2019)*INDEX($H$47:$N$53,$H61-2019,BH$58-2019)*
 IF(OR(BH$58=$H61,BH$58=$H61+$M61),0.5,1),0)</f>
        <v>21472.526996807934</v>
      </c>
      <c r="BI61" s="103">
        <f t="shared" ref="BI61:BI65" si="36">IF(AM61&gt;0,
$F61*$F$20*INDEX($H$38:$N$44,$H61-2019,BI$58-2019)*INDEX($H$47:$N$53,$H61-2019,BI$58-2019)*
 IF(OR(BI$58=$H61,BI$58=$H61+$M61),0.5,1),0)</f>
        <v>21750.20971593065</v>
      </c>
      <c r="BJ61" s="103">
        <f t="shared" ref="BJ61:BJ65" si="37">IF(AN61&gt;0,
$F61*$F$20*INDEX($H$38:$N$44,$H61-2019,BJ$58-2019)*INDEX($H$47:$N$53,$H61-2019,BJ$58-2019)*
 IF(OR(BJ$58=$H61,BJ$58=$H61+$M61),0.5,1),0)</f>
        <v>22031.483427977062</v>
      </c>
      <c r="BL61" s="49">
        <f t="shared" ref="BL61:BL65" si="38">AV61+BD61</f>
        <v>0</v>
      </c>
      <c r="BM61" s="49">
        <f t="shared" ref="BM61:BM65" si="39">AW61+BE61</f>
        <v>0</v>
      </c>
      <c r="BN61" s="49">
        <f t="shared" ref="BN61:BN65" si="40">AX61+BF61</f>
        <v>89051.983194477958</v>
      </c>
      <c r="BO61" s="49">
        <f t="shared" ref="BO61:BO65" si="41">AY61+BG61</f>
        <v>117733.40297493435</v>
      </c>
      <c r="BP61" s="49">
        <f t="shared" ref="BP61:BP65" si="42">AZ61+BH61</f>
        <v>117041.48270620267</v>
      </c>
      <c r="BQ61" s="103">
        <f t="shared" ref="BQ61:BQ65" si="43">BA61+BI61</f>
        <v>115166.16397025069</v>
      </c>
      <c r="BR61" s="103">
        <f t="shared" ref="BR61:BR65" si="44">BB61+BJ61</f>
        <v>113342.89227786004</v>
      </c>
      <c r="BT61" s="10"/>
      <c r="BU61" s="10"/>
      <c r="BV61" s="57">
        <f t="shared" ref="BV61:BV65" si="45">IF($L61&gt;BV$58,0,
IF($L61=BV$58,BL61*INDEX(J$29:J$35,BV$58-2021)+BM61*INDEX(J$29:J$35,BV$58-2020)+BN61,BN61))</f>
        <v>0</v>
      </c>
      <c r="BW61" s="57">
        <f t="shared" ref="BW61:BW65" si="46">IF($L61&gt;BW$58,0,
IF($L61=BW$58,BM61*INDEX(K$29:K$35,BW$58-2021)+BN61*INDEX(K$29:K$35,BW$58-2020)+BO61,BO61))</f>
        <v>0</v>
      </c>
      <c r="BX61" s="57">
        <f t="shared" ref="BX61:BX65" si="47">IF($L61&gt;BX$58,0,
IF($L61=BX$58,BN61*INDEX(L$29:L$35,BX$58-2021)+BO61*INDEX(L$29:L$35,BX$58-2020)+BP61,BP61))</f>
        <v>333950.56557283661</v>
      </c>
      <c r="BY61" s="103">
        <f t="shared" ref="BY61:BY65" si="48">IF($L61&gt;BY$58,0,
IF($L61=BY$58,BO61*INDEX(M$29:M$35,BY$58-2021)+BP61*INDEX(M$29:M$35,BY$58-2020)+BQ61,BQ61))</f>
        <v>115166.16397025069</v>
      </c>
      <c r="BZ61" s="103">
        <f t="shared" ref="BZ61:BZ65" si="49">IF($L61&gt;BZ$58,0,
IF($L61=BZ$58,BP61*INDEX(N$29:N$35,BZ$58-2021)+BQ61*INDEX(N$29:N$35,BZ$58-2020)+BR61,BR61))</f>
        <v>113342.89227786004</v>
      </c>
    </row>
    <row r="62" spans="1:78">
      <c r="A62" s="54"/>
      <c r="B62" s="43">
        <f>'9. Investeringen (WUI &amp; ombouw)'!B22</f>
        <v>3</v>
      </c>
      <c r="C62" s="54"/>
      <c r="D62" s="54"/>
      <c r="E62" s="54"/>
      <c r="F62" s="48">
        <f>'9. Investeringen (WUI &amp; ombouw)'!C22</f>
        <v>2723263.0314016985</v>
      </c>
      <c r="G62" s="54"/>
      <c r="H62" s="43">
        <f>'9. Investeringen (WUI &amp; ombouw)'!D22</f>
        <v>2022</v>
      </c>
      <c r="I62" s="43" t="str">
        <f>'9. Investeringen (WUI &amp; ombouw)'!E22</f>
        <v>02 Gasontvangststations</v>
      </c>
      <c r="J62" s="43" t="str">
        <f>'9. Investeringen (WUI &amp; ombouw)'!F22</f>
        <v>VVI</v>
      </c>
      <c r="K62" s="43" t="str">
        <f>'9. Investeringen (WUI &amp; ombouw)'!G22</f>
        <v>Ja</v>
      </c>
      <c r="L62" s="44">
        <f t="shared" si="5"/>
        <v>2024</v>
      </c>
      <c r="M62" s="44">
        <f>_xlfn.XLOOKUP(I62,'3. Input (des)investeringen '!$B$11:$B$80,'3. Input (des)investeringen '!$D$11:$D$80,0)</f>
        <v>30</v>
      </c>
      <c r="O62" s="49">
        <f t="shared" si="6"/>
        <v>0</v>
      </c>
      <c r="P62" s="49">
        <f t="shared" si="7"/>
        <v>0</v>
      </c>
      <c r="R62" s="49">
        <f t="shared" si="8"/>
        <v>0</v>
      </c>
      <c r="S62" s="49">
        <f t="shared" si="9"/>
        <v>0</v>
      </c>
      <c r="U62" s="49">
        <f t="shared" si="10"/>
        <v>2723263.0314016985</v>
      </c>
      <c r="V62" s="44">
        <f t="shared" si="11"/>
        <v>30</v>
      </c>
      <c r="X62" s="49">
        <f t="shared" si="12"/>
        <v>53103.629112333125</v>
      </c>
      <c r="Y62" s="49">
        <f t="shared" si="0"/>
        <v>103906.1009631318</v>
      </c>
      <c r="Z62" s="49">
        <f t="shared" si="0"/>
        <v>99403.50325472944</v>
      </c>
      <c r="AA62" s="103">
        <f t="shared" si="0"/>
        <v>95096.018113691156</v>
      </c>
      <c r="AB62" s="103">
        <f t="shared" si="0"/>
        <v>90975.190662097855</v>
      </c>
      <c r="AD62" s="49">
        <f t="shared" si="13"/>
        <v>4538.7717190028307</v>
      </c>
      <c r="AE62" s="49">
        <f t="shared" si="1"/>
        <v>9077.5434380056631</v>
      </c>
      <c r="AF62" s="49">
        <f t="shared" si="1"/>
        <v>9077.5434380056631</v>
      </c>
      <c r="AG62" s="103">
        <f t="shared" si="1"/>
        <v>9077.5434380056631</v>
      </c>
      <c r="AH62" s="103">
        <f t="shared" si="1"/>
        <v>9077.5434380056631</v>
      </c>
      <c r="AJ62" s="49">
        <f t="shared" si="14"/>
        <v>57642.400831335952</v>
      </c>
      <c r="AK62" s="49">
        <f t="shared" si="15"/>
        <v>112983.64440113747</v>
      </c>
      <c r="AL62" s="49">
        <f t="shared" si="16"/>
        <v>108481.04669273511</v>
      </c>
      <c r="AM62" s="103">
        <f t="shared" si="17"/>
        <v>104173.56155169682</v>
      </c>
      <c r="AN62" s="103">
        <f t="shared" si="18"/>
        <v>100052.73410010352</v>
      </c>
      <c r="AP62" s="49">
        <f t="shared" si="19"/>
        <v>2665620.6305703623</v>
      </c>
      <c r="AQ62" s="49">
        <f t="shared" si="20"/>
        <v>2552636.9861692251</v>
      </c>
      <c r="AR62" s="49">
        <f t="shared" si="21"/>
        <v>2444155.93947649</v>
      </c>
      <c r="AS62" s="103">
        <f t="shared" si="22"/>
        <v>2339982.3779247934</v>
      </c>
      <c r="AT62" s="103">
        <f t="shared" si="23"/>
        <v>2239929.64382469</v>
      </c>
      <c r="AV62" s="53">
        <f t="shared" si="24"/>
        <v>0</v>
      </c>
      <c r="AW62" s="53">
        <f t="shared" si="25"/>
        <v>0</v>
      </c>
      <c r="AX62" s="53">
        <f t="shared" si="26"/>
        <v>140276.64037901719</v>
      </c>
      <c r="AY62" s="53">
        <f t="shared" si="27"/>
        <v>189562.75398621423</v>
      </c>
      <c r="AZ62" s="53">
        <f t="shared" si="28"/>
        <v>181805.7248770298</v>
      </c>
      <c r="BA62" s="103">
        <f t="shared" si="29"/>
        <v>174373.03288944063</v>
      </c>
      <c r="BB62" s="103">
        <f t="shared" si="30"/>
        <v>167250.62341484422</v>
      </c>
      <c r="BD62" s="49">
        <f t="shared" si="31"/>
        <v>0</v>
      </c>
      <c r="BE62" s="49">
        <f t="shared" si="32"/>
        <v>0</v>
      </c>
      <c r="BF62" s="49">
        <f t="shared" si="33"/>
        <v>13616.315157008492</v>
      </c>
      <c r="BG62" s="49">
        <f t="shared" si="34"/>
        <v>28805.369179912097</v>
      </c>
      <c r="BH62" s="49">
        <f t="shared" si="35"/>
        <v>30985.359519447848</v>
      </c>
      <c r="BI62" s="103">
        <f t="shared" si="36"/>
        <v>31386.062188753342</v>
      </c>
      <c r="BJ62" s="103">
        <f t="shared" si="37"/>
        <v>31791.946744978297</v>
      </c>
      <c r="BL62" s="49">
        <f t="shared" si="38"/>
        <v>0</v>
      </c>
      <c r="BM62" s="49">
        <f t="shared" si="39"/>
        <v>0</v>
      </c>
      <c r="BN62" s="49">
        <f t="shared" si="40"/>
        <v>153892.95553602569</v>
      </c>
      <c r="BO62" s="49">
        <f t="shared" si="41"/>
        <v>218368.12316612632</v>
      </c>
      <c r="BP62" s="49">
        <f t="shared" si="42"/>
        <v>212791.08439647764</v>
      </c>
      <c r="BQ62" s="103">
        <f t="shared" si="43"/>
        <v>205759.09507819396</v>
      </c>
      <c r="BR62" s="103">
        <f t="shared" si="44"/>
        <v>199042.57015982253</v>
      </c>
      <c r="BT62" s="10"/>
      <c r="BU62" s="10"/>
      <c r="BV62" s="57">
        <f t="shared" si="45"/>
        <v>0</v>
      </c>
      <c r="BW62" s="57">
        <f t="shared" si="46"/>
        <v>0</v>
      </c>
      <c r="BX62" s="57">
        <f t="shared" si="47"/>
        <v>603143.57972186513</v>
      </c>
      <c r="BY62" s="103">
        <f t="shared" si="48"/>
        <v>205759.09507819396</v>
      </c>
      <c r="BZ62" s="103">
        <f t="shared" si="49"/>
        <v>199042.57015982253</v>
      </c>
    </row>
    <row r="63" spans="1:78">
      <c r="A63" s="54"/>
      <c r="B63" s="43">
        <f>'9. Investeringen (WUI &amp; ombouw)'!B23</f>
        <v>4</v>
      </c>
      <c r="C63" s="54"/>
      <c r="D63" s="54"/>
      <c r="E63" s="54"/>
      <c r="F63" s="48">
        <f>'9. Investeringen (WUI &amp; ombouw)'!C23</f>
        <v>226708.44028062467</v>
      </c>
      <c r="G63" s="54"/>
      <c r="H63" s="43">
        <f>'9. Investeringen (WUI &amp; ombouw)'!D23</f>
        <v>2022</v>
      </c>
      <c r="I63" s="43" t="str">
        <f>'9. Investeringen (WUI &amp; ombouw)'!E23</f>
        <v>06 Utiliteitsgebouwen</v>
      </c>
      <c r="J63" s="43" t="str">
        <f>'9. Investeringen (WUI &amp; ombouw)'!F23</f>
        <v>VVI</v>
      </c>
      <c r="K63" s="43" t="str">
        <f>'9. Investeringen (WUI &amp; ombouw)'!G23</f>
        <v>Ja</v>
      </c>
      <c r="L63" s="44">
        <f t="shared" si="5"/>
        <v>2024</v>
      </c>
      <c r="M63" s="44">
        <f>_xlfn.XLOOKUP(I63,'3. Input (des)investeringen '!$B$11:$B$80,'3. Input (des)investeringen '!$D$11:$D$80,0)</f>
        <v>30</v>
      </c>
      <c r="O63" s="49">
        <f t="shared" si="6"/>
        <v>0</v>
      </c>
      <c r="P63" s="49">
        <f t="shared" si="7"/>
        <v>0</v>
      </c>
      <c r="R63" s="49">
        <f t="shared" si="8"/>
        <v>0</v>
      </c>
      <c r="S63" s="49">
        <f t="shared" si="9"/>
        <v>0</v>
      </c>
      <c r="U63" s="49">
        <f t="shared" si="10"/>
        <v>226708.44028062467</v>
      </c>
      <c r="V63" s="44">
        <f t="shared" si="11"/>
        <v>30</v>
      </c>
      <c r="X63" s="49">
        <f t="shared" si="12"/>
        <v>4420.8145854721815</v>
      </c>
      <c r="Y63" s="49">
        <f t="shared" si="0"/>
        <v>8650.0605389072352</v>
      </c>
      <c r="Z63" s="49">
        <f t="shared" si="0"/>
        <v>8275.2245822212553</v>
      </c>
      <c r="AA63" s="103">
        <f t="shared" si="0"/>
        <v>7916.6315169916652</v>
      </c>
      <c r="AB63" s="103">
        <f t="shared" si="0"/>
        <v>7573.5774845886945</v>
      </c>
      <c r="AD63" s="49">
        <f t="shared" si="13"/>
        <v>377.84740046770776</v>
      </c>
      <c r="AE63" s="49">
        <f t="shared" si="1"/>
        <v>755.69480093541551</v>
      </c>
      <c r="AF63" s="49">
        <f t="shared" si="1"/>
        <v>755.69480093541551</v>
      </c>
      <c r="AG63" s="103">
        <f t="shared" si="1"/>
        <v>755.69480093541551</v>
      </c>
      <c r="AH63" s="103">
        <f t="shared" si="1"/>
        <v>755.69480093541551</v>
      </c>
      <c r="AJ63" s="49">
        <f t="shared" si="14"/>
        <v>4798.6619859398888</v>
      </c>
      <c r="AK63" s="49">
        <f t="shared" si="15"/>
        <v>9405.7553398426498</v>
      </c>
      <c r="AL63" s="49">
        <f t="shared" si="16"/>
        <v>9030.9193831566699</v>
      </c>
      <c r="AM63" s="103">
        <f t="shared" si="17"/>
        <v>8672.3263179270798</v>
      </c>
      <c r="AN63" s="103">
        <f t="shared" si="18"/>
        <v>8329.27228552411</v>
      </c>
      <c r="AP63" s="49">
        <f t="shared" si="19"/>
        <v>221909.77829468477</v>
      </c>
      <c r="AQ63" s="49">
        <f t="shared" si="20"/>
        <v>212504.02295484213</v>
      </c>
      <c r="AR63" s="49">
        <f t="shared" si="21"/>
        <v>203473.10357168547</v>
      </c>
      <c r="AS63" s="103">
        <f t="shared" si="22"/>
        <v>194800.7772537584</v>
      </c>
      <c r="AT63" s="103">
        <f t="shared" si="23"/>
        <v>186471.50496823428</v>
      </c>
      <c r="AV63" s="53">
        <f t="shared" si="24"/>
        <v>0</v>
      </c>
      <c r="AW63" s="53">
        <f t="shared" si="25"/>
        <v>0</v>
      </c>
      <c r="AX63" s="53">
        <f t="shared" si="26"/>
        <v>11677.865113075117</v>
      </c>
      <c r="AY63" s="53">
        <f t="shared" si="27"/>
        <v>15780.876028487914</v>
      </c>
      <c r="AZ63" s="53">
        <f t="shared" si="28"/>
        <v>15135.112490307234</v>
      </c>
      <c r="BA63" s="103">
        <f t="shared" si="29"/>
        <v>14516.349635539831</v>
      </c>
      <c r="BB63" s="103">
        <f t="shared" si="30"/>
        <v>13923.417434571138</v>
      </c>
      <c r="BD63" s="49">
        <f t="shared" si="31"/>
        <v>0</v>
      </c>
      <c r="BE63" s="49">
        <f t="shared" si="32"/>
        <v>0</v>
      </c>
      <c r="BF63" s="49">
        <f t="shared" si="33"/>
        <v>1133.5422014031233</v>
      </c>
      <c r="BG63" s="49">
        <f t="shared" si="34"/>
        <v>2398.0130612371131</v>
      </c>
      <c r="BH63" s="49">
        <f t="shared" si="35"/>
        <v>2579.4946897115383</v>
      </c>
      <c r="BI63" s="103">
        <f t="shared" si="36"/>
        <v>2612.8527150388873</v>
      </c>
      <c r="BJ63" s="103">
        <f t="shared" si="37"/>
        <v>2646.64212634977</v>
      </c>
      <c r="BL63" s="49">
        <f t="shared" si="38"/>
        <v>0</v>
      </c>
      <c r="BM63" s="49">
        <f t="shared" si="39"/>
        <v>0</v>
      </c>
      <c r="BN63" s="49">
        <f t="shared" si="40"/>
        <v>12811.40731447824</v>
      </c>
      <c r="BO63" s="49">
        <f t="shared" si="41"/>
        <v>18178.889089725028</v>
      </c>
      <c r="BP63" s="49">
        <f t="shared" si="42"/>
        <v>17714.607180018771</v>
      </c>
      <c r="BQ63" s="103">
        <f t="shared" si="43"/>
        <v>17129.202350578718</v>
      </c>
      <c r="BR63" s="103">
        <f t="shared" si="44"/>
        <v>16570.059560920909</v>
      </c>
      <c r="BT63" s="10"/>
      <c r="BU63" s="10"/>
      <c r="BV63" s="57">
        <f t="shared" si="45"/>
        <v>0</v>
      </c>
      <c r="BW63" s="57">
        <f t="shared" si="46"/>
        <v>0</v>
      </c>
      <c r="BX63" s="57">
        <f t="shared" si="47"/>
        <v>50210.992712531312</v>
      </c>
      <c r="BY63" s="103">
        <f t="shared" si="48"/>
        <v>17129.202350578718</v>
      </c>
      <c r="BZ63" s="103">
        <f t="shared" si="49"/>
        <v>16570.059560920909</v>
      </c>
    </row>
    <row r="64" spans="1:78">
      <c r="A64" s="54"/>
      <c r="B64" s="43">
        <f>'9. Investeringen (WUI &amp; ombouw)'!B24</f>
        <v>5</v>
      </c>
      <c r="C64" s="54"/>
      <c r="D64" s="54"/>
      <c r="E64" s="54"/>
      <c r="F64" s="48">
        <f>'9. Investeringen (WUI &amp; ombouw)'!C24</f>
        <v>3823042.1122861058</v>
      </c>
      <c r="G64" s="54"/>
      <c r="H64" s="43">
        <f>'9. Investeringen (WUI &amp; ombouw)'!D24</f>
        <v>2022</v>
      </c>
      <c r="I64" s="43" t="str">
        <f>'9. Investeringen (WUI &amp; ombouw)'!E24</f>
        <v>21 Hoofdtransportleiding</v>
      </c>
      <c r="J64" s="43" t="str">
        <f>'9. Investeringen (WUI &amp; ombouw)'!F24</f>
        <v>VVI</v>
      </c>
      <c r="K64" s="43" t="str">
        <f>'9. Investeringen (WUI &amp; ombouw)'!G24</f>
        <v>Ja</v>
      </c>
      <c r="L64" s="44">
        <f t="shared" si="5"/>
        <v>2024</v>
      </c>
      <c r="M64" s="44">
        <f>_xlfn.XLOOKUP(I64,'3. Input (des)investeringen '!$B$11:$B$80,'3. Input (des)investeringen '!$D$11:$D$80,0)</f>
        <v>55</v>
      </c>
      <c r="O64" s="49">
        <f t="shared" si="6"/>
        <v>0</v>
      </c>
      <c r="P64" s="49">
        <f t="shared" si="7"/>
        <v>0</v>
      </c>
      <c r="R64" s="49">
        <f t="shared" si="8"/>
        <v>0</v>
      </c>
      <c r="S64" s="49">
        <f t="shared" si="9"/>
        <v>0</v>
      </c>
      <c r="U64" s="49">
        <f t="shared" si="10"/>
        <v>3823042.1122861058</v>
      </c>
      <c r="V64" s="44">
        <f t="shared" si="11"/>
        <v>55</v>
      </c>
      <c r="X64" s="49">
        <f t="shared" si="12"/>
        <v>40663.266103406764</v>
      </c>
      <c r="Y64" s="49">
        <f t="shared" si="0"/>
        <v>80365.400462551173</v>
      </c>
      <c r="Z64" s="49">
        <f t="shared" si="0"/>
        <v>78465.854633436335</v>
      </c>
      <c r="AA64" s="103">
        <f t="shared" si="0"/>
        <v>76611.207160282385</v>
      </c>
      <c r="AB64" s="103">
        <f t="shared" si="0"/>
        <v>74800.396809221173</v>
      </c>
      <c r="AD64" s="49">
        <f t="shared" si="13"/>
        <v>3475.4928293510052</v>
      </c>
      <c r="AE64" s="49">
        <f t="shared" si="1"/>
        <v>6950.9856587020113</v>
      </c>
      <c r="AF64" s="49">
        <f t="shared" si="1"/>
        <v>6950.9856587020113</v>
      </c>
      <c r="AG64" s="103">
        <f t="shared" si="1"/>
        <v>6950.9856587020113</v>
      </c>
      <c r="AH64" s="103">
        <f t="shared" si="1"/>
        <v>6950.9856587020113</v>
      </c>
      <c r="AJ64" s="49">
        <f t="shared" si="14"/>
        <v>44138.758932757766</v>
      </c>
      <c r="AK64" s="49">
        <f t="shared" si="15"/>
        <v>87316.386121253192</v>
      </c>
      <c r="AL64" s="49">
        <f t="shared" si="16"/>
        <v>85416.840292138339</v>
      </c>
      <c r="AM64" s="103">
        <f t="shared" si="17"/>
        <v>83562.192818984389</v>
      </c>
      <c r="AN64" s="103">
        <f t="shared" si="18"/>
        <v>81751.382467923191</v>
      </c>
      <c r="AP64" s="49">
        <f t="shared" si="19"/>
        <v>3778903.3533533481</v>
      </c>
      <c r="AQ64" s="49">
        <f t="shared" si="20"/>
        <v>3691586.9672320951</v>
      </c>
      <c r="AR64" s="49">
        <f t="shared" si="21"/>
        <v>3606170.1269399566</v>
      </c>
      <c r="AS64" s="103">
        <f t="shared" si="22"/>
        <v>3522607.9341209722</v>
      </c>
      <c r="AT64" s="103">
        <f t="shared" si="23"/>
        <v>3440856.551653049</v>
      </c>
      <c r="AV64" s="53">
        <f t="shared" si="24"/>
        <v>0</v>
      </c>
      <c r="AW64" s="53">
        <f t="shared" si="25"/>
        <v>0</v>
      </c>
      <c r="AX64" s="53">
        <f t="shared" si="26"/>
        <v>161284.76288671154</v>
      </c>
      <c r="AY64" s="53">
        <f t="shared" si="27"/>
        <v>198063.99513821604</v>
      </c>
      <c r="AZ64" s="53">
        <f t="shared" si="28"/>
        <v>193601.94410033704</v>
      </c>
      <c r="BA64" s="103">
        <f t="shared" si="29"/>
        <v>189240.43084261357</v>
      </c>
      <c r="BB64" s="103">
        <f t="shared" si="30"/>
        <v>184977.07901751465</v>
      </c>
      <c r="BD64" s="49">
        <f t="shared" si="31"/>
        <v>0</v>
      </c>
      <c r="BE64" s="49">
        <f t="shared" si="32"/>
        <v>0</v>
      </c>
      <c r="BF64" s="49">
        <f t="shared" si="33"/>
        <v>19115.210561430529</v>
      </c>
      <c r="BG64" s="49">
        <f t="shared" si="34"/>
        <v>40438.304403548529</v>
      </c>
      <c r="BH64" s="49">
        <f t="shared" si="35"/>
        <v>43498.67528080909</v>
      </c>
      <c r="BI64" s="103">
        <f t="shared" si="36"/>
        <v>44061.200149540506</v>
      </c>
      <c r="BJ64" s="103">
        <f t="shared" si="37"/>
        <v>44630.999589874358</v>
      </c>
      <c r="BL64" s="49">
        <f t="shared" si="38"/>
        <v>0</v>
      </c>
      <c r="BM64" s="49">
        <f t="shared" si="39"/>
        <v>0</v>
      </c>
      <c r="BN64" s="49">
        <f t="shared" si="40"/>
        <v>180399.97344814206</v>
      </c>
      <c r="BO64" s="49">
        <f t="shared" si="41"/>
        <v>238502.29954176457</v>
      </c>
      <c r="BP64" s="49">
        <f t="shared" si="42"/>
        <v>237100.61938114613</v>
      </c>
      <c r="BQ64" s="103">
        <f t="shared" si="43"/>
        <v>233301.63099215407</v>
      </c>
      <c r="BR64" s="103">
        <f t="shared" si="44"/>
        <v>229608.078607389</v>
      </c>
      <c r="BT64" s="10"/>
      <c r="BU64" s="10"/>
      <c r="BV64" s="57">
        <f t="shared" si="45"/>
        <v>0</v>
      </c>
      <c r="BW64" s="57">
        <f t="shared" si="46"/>
        <v>0</v>
      </c>
      <c r="BX64" s="57">
        <f t="shared" si="47"/>
        <v>676511.30273837037</v>
      </c>
      <c r="BY64" s="103">
        <f t="shared" si="48"/>
        <v>233301.63099215407</v>
      </c>
      <c r="BZ64" s="103">
        <f t="shared" si="49"/>
        <v>229608.078607389</v>
      </c>
    </row>
    <row r="65" spans="1:78">
      <c r="A65" s="54"/>
      <c r="B65" s="43">
        <f>'9. Investeringen (WUI &amp; ombouw)'!B25</f>
        <v>6</v>
      </c>
      <c r="C65" s="54"/>
      <c r="D65" s="54"/>
      <c r="E65" s="54"/>
      <c r="F65" s="48">
        <f>'9. Investeringen (WUI &amp; ombouw)'!C25</f>
        <v>3149406.1431344105</v>
      </c>
      <c r="G65" s="54"/>
      <c r="H65" s="43">
        <f>'9. Investeringen (WUI &amp; ombouw)'!D25</f>
        <v>2022</v>
      </c>
      <c r="I65" s="43" t="str">
        <f>'9. Investeringen (WUI &amp; ombouw)'!E25</f>
        <v>32 M&amp;R stations</v>
      </c>
      <c r="J65" s="43" t="str">
        <f>'9. Investeringen (WUI &amp; ombouw)'!F25</f>
        <v>VVI</v>
      </c>
      <c r="K65" s="43" t="str">
        <f>'9. Investeringen (WUI &amp; ombouw)'!G25</f>
        <v>Ja</v>
      </c>
      <c r="L65" s="44">
        <f t="shared" si="5"/>
        <v>2024</v>
      </c>
      <c r="M65" s="44">
        <f>_xlfn.XLOOKUP(I65,'3. Input (des)investeringen '!$B$11:$B$80,'3. Input (des)investeringen '!$D$11:$D$80,0)</f>
        <v>30</v>
      </c>
      <c r="O65" s="49">
        <f t="shared" si="6"/>
        <v>0</v>
      </c>
      <c r="P65" s="49">
        <f t="shared" si="7"/>
        <v>0</v>
      </c>
      <c r="R65" s="49">
        <f t="shared" si="8"/>
        <v>0</v>
      </c>
      <c r="S65" s="49">
        <f t="shared" si="9"/>
        <v>0</v>
      </c>
      <c r="U65" s="49">
        <f t="shared" si="10"/>
        <v>3149406.1431344105</v>
      </c>
      <c r="V65" s="44">
        <f t="shared" si="11"/>
        <v>30</v>
      </c>
      <c r="X65" s="49">
        <f t="shared" si="12"/>
        <v>61413.419791121007</v>
      </c>
      <c r="Y65" s="49">
        <f t="shared" si="0"/>
        <v>120165.59139129343</v>
      </c>
      <c r="Z65" s="49">
        <f t="shared" si="0"/>
        <v>114958.41576433739</v>
      </c>
      <c r="AA65" s="103">
        <f t="shared" si="0"/>
        <v>109976.88441454944</v>
      </c>
      <c r="AB65" s="103">
        <f t="shared" si="0"/>
        <v>105211.21942325229</v>
      </c>
      <c r="AD65" s="49">
        <f t="shared" si="13"/>
        <v>5249.0102385573518</v>
      </c>
      <c r="AE65" s="49">
        <f t="shared" si="1"/>
        <v>10498.020477114702</v>
      </c>
      <c r="AF65" s="49">
        <f t="shared" si="1"/>
        <v>10498.020477114702</v>
      </c>
      <c r="AG65" s="103">
        <f t="shared" si="1"/>
        <v>10498.020477114702</v>
      </c>
      <c r="AH65" s="103">
        <f t="shared" si="1"/>
        <v>10498.020477114702</v>
      </c>
      <c r="AJ65" s="49">
        <f t="shared" si="14"/>
        <v>66662.430029678362</v>
      </c>
      <c r="AK65" s="49">
        <f t="shared" si="15"/>
        <v>130663.61186840813</v>
      </c>
      <c r="AL65" s="49">
        <f t="shared" si="16"/>
        <v>125456.43624145209</v>
      </c>
      <c r="AM65" s="103">
        <f t="shared" si="17"/>
        <v>120474.90489166413</v>
      </c>
      <c r="AN65" s="103">
        <f t="shared" si="18"/>
        <v>115709.23990036699</v>
      </c>
      <c r="AP65" s="49">
        <f t="shared" si="19"/>
        <v>3082743.7131047323</v>
      </c>
      <c r="AQ65" s="49">
        <f t="shared" si="20"/>
        <v>2952080.1012363243</v>
      </c>
      <c r="AR65" s="49">
        <f t="shared" si="21"/>
        <v>2826623.6649948722</v>
      </c>
      <c r="AS65" s="103">
        <f t="shared" si="22"/>
        <v>2706148.760103208</v>
      </c>
      <c r="AT65" s="103">
        <f t="shared" si="23"/>
        <v>2590439.5202028411</v>
      </c>
      <c r="AV65" s="53">
        <f t="shared" si="24"/>
        <v>0</v>
      </c>
      <c r="AW65" s="53">
        <f t="shared" si="25"/>
        <v>0</v>
      </c>
      <c r="AX65" s="53">
        <f t="shared" si="26"/>
        <v>162227.48513592506</v>
      </c>
      <c r="AY65" s="53">
        <f t="shared" si="27"/>
        <v>219226.01490549784</v>
      </c>
      <c r="AZ65" s="53">
        <f t="shared" si="28"/>
        <v>210255.14619129826</v>
      </c>
      <c r="BA65" s="103">
        <f t="shared" si="29"/>
        <v>201659.36769476038</v>
      </c>
      <c r="BB65" s="103">
        <f t="shared" si="30"/>
        <v>193422.42550645221</v>
      </c>
      <c r="BD65" s="49">
        <f t="shared" si="31"/>
        <v>0</v>
      </c>
      <c r="BE65" s="49">
        <f t="shared" si="32"/>
        <v>0</v>
      </c>
      <c r="BF65" s="49">
        <f t="shared" si="33"/>
        <v>15747.030715672052</v>
      </c>
      <c r="BG65" s="49">
        <f t="shared" si="34"/>
        <v>33312.90646712709</v>
      </c>
      <c r="BH65" s="49">
        <f t="shared" si="35"/>
        <v>35834.027228559273</v>
      </c>
      <c r="BI65" s="103">
        <f t="shared" si="36"/>
        <v>36297.432868678996</v>
      </c>
      <c r="BJ65" s="103">
        <f t="shared" si="37"/>
        <v>36766.83127053675</v>
      </c>
      <c r="BL65" s="49">
        <f t="shared" si="38"/>
        <v>0</v>
      </c>
      <c r="BM65" s="49">
        <f t="shared" si="39"/>
        <v>0</v>
      </c>
      <c r="BN65" s="49">
        <f t="shared" si="40"/>
        <v>177974.51585159713</v>
      </c>
      <c r="BO65" s="49">
        <f t="shared" si="41"/>
        <v>252538.92137262493</v>
      </c>
      <c r="BP65" s="49">
        <f t="shared" si="42"/>
        <v>246089.17341985754</v>
      </c>
      <c r="BQ65" s="103">
        <f t="shared" si="43"/>
        <v>237956.80056343938</v>
      </c>
      <c r="BR65" s="103">
        <f t="shared" si="44"/>
        <v>230189.25677698897</v>
      </c>
      <c r="BT65" s="10"/>
      <c r="BU65" s="10"/>
      <c r="BV65" s="57">
        <f t="shared" si="45"/>
        <v>0</v>
      </c>
      <c r="BW65" s="57">
        <f t="shared" si="46"/>
        <v>0</v>
      </c>
      <c r="BX65" s="57">
        <f t="shared" si="47"/>
        <v>697525.01806276164</v>
      </c>
      <c r="BY65" s="103">
        <f t="shared" si="48"/>
        <v>237956.80056343938</v>
      </c>
      <c r="BZ65" s="103">
        <f t="shared" si="49"/>
        <v>230189.25677698897</v>
      </c>
    </row>
    <row r="66" spans="1:78">
      <c r="C66" s="54"/>
      <c r="E66" s="54"/>
      <c r="G66" s="54"/>
    </row>
    <row r="67" spans="1:78" s="39" customFormat="1">
      <c r="A67" s="106"/>
      <c r="B67" s="39" t="s">
        <v>818</v>
      </c>
    </row>
    <row r="68" spans="1:78" s="40" customFormat="1">
      <c r="A68" s="107"/>
      <c r="B68" s="40" t="s">
        <v>134</v>
      </c>
      <c r="D68" s="40" t="s">
        <v>175</v>
      </c>
      <c r="J68" s="109">
        <v>2022</v>
      </c>
      <c r="K68" s="109">
        <v>2023</v>
      </c>
      <c r="L68" s="109">
        <v>2024</v>
      </c>
      <c r="M68" s="109">
        <v>2025</v>
      </c>
      <c r="N68" s="109">
        <v>2026</v>
      </c>
    </row>
    <row r="70" spans="1:78">
      <c r="B70" s="3" t="s">
        <v>819</v>
      </c>
      <c r="D70" s="3" t="s">
        <v>183</v>
      </c>
      <c r="J70" s="53">
        <f>SUMIF($J60:$J65,"WUI",BV60:BV65)</f>
        <v>0</v>
      </c>
      <c r="K70" s="53">
        <f>SUMIF($J60:$J65,"WUI",BW60:BW65)</f>
        <v>0</v>
      </c>
      <c r="L70" s="104">
        <f>SUMIF($J60:$J65,"WUI",BX60:BX65)</f>
        <v>0</v>
      </c>
      <c r="M70" s="105"/>
      <c r="N70" s="105"/>
      <c r="R70" s="5"/>
    </row>
    <row r="71" spans="1:78">
      <c r="B71" s="3" t="s">
        <v>439</v>
      </c>
      <c r="D71" s="3" t="s">
        <v>183</v>
      </c>
      <c r="J71" s="53">
        <f>SUMIF($K60:$K65,"Ja",BV60:BV65)</f>
        <v>119072.05507831485</v>
      </c>
      <c r="K71" s="53">
        <f>SUMIF($K60:$K65,"Ja",BW60:BW65)</f>
        <v>43971.119724233969</v>
      </c>
      <c r="L71" s="104">
        <f>SUMIF($K60:$K65,"Ja",BX60:BX65)</f>
        <v>2404144.6778045073</v>
      </c>
      <c r="M71" s="105"/>
      <c r="N71" s="105"/>
      <c r="R71" s="5"/>
    </row>
  </sheetData>
  <mergeCells count="3">
    <mergeCell ref="B5:D5"/>
    <mergeCell ref="B7:D7"/>
    <mergeCell ref="B8:D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278"/>
  <sheetViews>
    <sheetView showGridLines="0" zoomScale="90" zoomScaleNormal="90" workbookViewId="0">
      <pane ySplit="13" topLeftCell="A14" activePane="bottomLeft" state="frozen"/>
      <selection pane="bottomLeft"/>
    </sheetView>
  </sheetViews>
  <sheetFormatPr defaultColWidth="13.7109375" defaultRowHeight="12.75"/>
  <cols>
    <col min="1" max="1" width="2.7109375" style="3" customWidth="1"/>
    <col min="2" max="2" width="66.42578125" style="3" customWidth="1"/>
    <col min="3" max="3" width="2.7109375" style="3" customWidth="1"/>
    <col min="4" max="4" width="54.7109375" style="3" customWidth="1"/>
    <col min="5" max="5" width="2.7109375" style="3" customWidth="1"/>
    <col min="6" max="6" width="15.7109375" style="3" customWidth="1"/>
    <col min="7" max="7" width="2.7109375" style="3" customWidth="1"/>
    <col min="8" max="8" width="20" style="3" bestFit="1" customWidth="1"/>
    <col min="9" max="9" width="30.5703125" style="3" bestFit="1" customWidth="1"/>
    <col min="10" max="10" width="20.42578125" style="3" bestFit="1" customWidth="1"/>
    <col min="11" max="11" width="27.42578125" style="3" bestFit="1" customWidth="1"/>
    <col min="12" max="14" width="15.7109375" style="3" customWidth="1"/>
    <col min="15" max="15" width="2.7109375" style="3" customWidth="1"/>
    <col min="16" max="16" width="15.7109375" style="3" customWidth="1"/>
    <col min="17" max="17" width="18" style="3" bestFit="1" customWidth="1"/>
    <col min="18" max="18" width="18.28515625" style="3" customWidth="1"/>
    <col min="19" max="19" width="29.5703125" style="3" customWidth="1"/>
    <col min="20" max="20" width="40.140625" style="3" bestFit="1" customWidth="1"/>
    <col min="21" max="21" width="2.7109375" style="3" customWidth="1"/>
    <col min="22" max="22" width="25" style="3" bestFit="1" customWidth="1"/>
    <col min="23" max="26" width="15.7109375" style="3" customWidth="1"/>
    <col min="27" max="27" width="2.7109375" style="3" customWidth="1"/>
    <col min="28" max="28" width="25" style="3" bestFit="1" customWidth="1"/>
    <col min="29" max="32" width="15.7109375" style="3" customWidth="1"/>
    <col min="33" max="33" width="2.7109375" style="3" customWidth="1"/>
    <col min="34" max="34" width="25" style="3" bestFit="1" customWidth="1"/>
    <col min="35" max="38" width="15.7109375" style="3" customWidth="1"/>
    <col min="39" max="39" width="2.7109375" style="3" customWidth="1"/>
    <col min="40" max="40" width="22.42578125" style="3" bestFit="1" customWidth="1"/>
    <col min="41" max="44" width="15.7109375" style="3" customWidth="1"/>
    <col min="45" max="45" width="2.7109375" style="3" customWidth="1"/>
    <col min="46" max="50" width="15.7109375" style="3" customWidth="1"/>
    <col min="51" max="51" width="2.7109375" style="3" customWidth="1"/>
    <col min="52" max="57" width="13.7109375" style="3"/>
    <col min="58" max="58" width="2.7109375" style="3" customWidth="1"/>
    <col min="59" max="65" width="13.7109375" style="3"/>
    <col min="66" max="66" width="2.7109375" style="3" customWidth="1"/>
    <col min="67" max="73" width="13.7109375" style="3"/>
    <col min="74" max="74" width="2.7109375" style="3" customWidth="1"/>
    <col min="75" max="81" width="13.7109375" style="3"/>
    <col min="82" max="82" width="15.7109375" style="3" customWidth="1"/>
    <col min="83" max="16384" width="13.7109375" style="3"/>
  </cols>
  <sheetData>
    <row r="2" spans="1:39" s="12" customFormat="1" ht="18">
      <c r="B2" s="12" t="s">
        <v>820</v>
      </c>
    </row>
    <row r="4" spans="1:39">
      <c r="B4" s="16" t="s">
        <v>786</v>
      </c>
    </row>
    <row r="5" spans="1:39" ht="39.75" customHeight="1">
      <c r="B5" s="322" t="s">
        <v>821</v>
      </c>
      <c r="C5" s="322"/>
      <c r="D5" s="322"/>
      <c r="F5" s="13"/>
    </row>
    <row r="6" spans="1:39">
      <c r="B6" s="1"/>
      <c r="C6" s="1"/>
      <c r="D6" s="1"/>
      <c r="F6" s="13"/>
    </row>
    <row r="7" spans="1:39">
      <c r="B7" s="330" t="s">
        <v>788</v>
      </c>
      <c r="C7" s="331"/>
      <c r="D7" s="331"/>
      <c r="F7" s="13"/>
    </row>
    <row r="8" spans="1:39" ht="26.25" customHeight="1">
      <c r="B8" s="322" t="s">
        <v>789</v>
      </c>
      <c r="C8" s="322"/>
      <c r="D8" s="322"/>
      <c r="F8" s="13"/>
    </row>
    <row r="10" spans="1:39" s="8" customFormat="1">
      <c r="B10" s="8" t="s">
        <v>134</v>
      </c>
      <c r="H10" s="59"/>
      <c r="I10" s="52"/>
      <c r="J10" s="59"/>
      <c r="K10" s="52"/>
      <c r="L10" s="59"/>
      <c r="M10" s="52"/>
      <c r="N10" s="52"/>
      <c r="O10" s="52"/>
      <c r="P10" s="52"/>
      <c r="Q10" s="52"/>
      <c r="R10" s="52"/>
      <c r="U10" s="52"/>
      <c r="AA10" s="52"/>
      <c r="AG10" s="52"/>
      <c r="AM10" s="52"/>
    </row>
    <row r="12" spans="1:39" s="39" customFormat="1">
      <c r="A12" s="106"/>
      <c r="B12" s="39" t="s">
        <v>790</v>
      </c>
    </row>
    <row r="13" spans="1:39" s="40" customFormat="1">
      <c r="A13" s="107"/>
      <c r="B13" s="40" t="s">
        <v>134</v>
      </c>
      <c r="D13" s="40" t="s">
        <v>175</v>
      </c>
      <c r="F13" s="40" t="s">
        <v>176</v>
      </c>
      <c r="H13" s="108">
        <v>2020</v>
      </c>
      <c r="I13" s="109">
        <v>2021</v>
      </c>
      <c r="J13" s="109">
        <v>2022</v>
      </c>
      <c r="K13" s="109">
        <v>2023</v>
      </c>
      <c r="L13" s="109">
        <v>2024</v>
      </c>
      <c r="M13" s="109">
        <v>2025</v>
      </c>
      <c r="N13" s="109">
        <v>2026</v>
      </c>
    </row>
    <row r="14" spans="1:39" s="110" customFormat="1">
      <c r="H14" s="111"/>
      <c r="I14" s="112"/>
      <c r="J14" s="111"/>
      <c r="K14" s="112"/>
      <c r="L14" s="111"/>
      <c r="M14" s="112"/>
      <c r="N14" s="112"/>
      <c r="Q14" s="112"/>
      <c r="S14" s="112"/>
      <c r="T14" s="112"/>
      <c r="V14" s="112"/>
      <c r="W14" s="112"/>
      <c r="AB14" s="112"/>
      <c r="AC14" s="112"/>
      <c r="AH14" s="112"/>
      <c r="AI14" s="112"/>
    </row>
    <row r="15" spans="1:39">
      <c r="B15" s="16" t="s">
        <v>184</v>
      </c>
    </row>
    <row r="16" spans="1:39">
      <c r="B16" s="156" t="s">
        <v>791</v>
      </c>
      <c r="D16" s="3" t="s">
        <v>180</v>
      </c>
      <c r="H16" s="10"/>
      <c r="I16" s="10"/>
      <c r="J16" s="162">
        <f>'2. Parameters'!M22</f>
        <v>3.1E-2</v>
      </c>
      <c r="K16" s="162">
        <f>'2. Parameters'!N22</f>
        <v>0.03</v>
      </c>
      <c r="L16" s="162">
        <f>'2. Parameters'!O22</f>
        <v>0.03</v>
      </c>
      <c r="M16" s="162">
        <f>'2. Parameters'!P22</f>
        <v>0.03</v>
      </c>
      <c r="N16" s="162">
        <f>'2. Parameters'!Q22</f>
        <v>0.03</v>
      </c>
    </row>
    <row r="18" spans="2:14">
      <c r="B18" s="16" t="s">
        <v>193</v>
      </c>
    </row>
    <row r="19" spans="2:14">
      <c r="B19" s="3" t="s">
        <v>193</v>
      </c>
      <c r="D19" s="3" t="s">
        <v>180</v>
      </c>
      <c r="F19" s="85">
        <f>'2. Parameters'!F30</f>
        <v>0.01</v>
      </c>
    </row>
    <row r="20" spans="2:14" s="98" customFormat="1">
      <c r="F20" s="114"/>
    </row>
    <row r="21" spans="2:14" s="98" customFormat="1">
      <c r="B21" s="115" t="s">
        <v>218</v>
      </c>
      <c r="F21" s="114"/>
    </row>
    <row r="22" spans="2:14">
      <c r="B22" s="3" t="s">
        <v>218</v>
      </c>
      <c r="F22" s="116">
        <f>'2. Parameters'!F86</f>
        <v>1.3</v>
      </c>
    </row>
    <row r="24" spans="2:14">
      <c r="B24" s="2" t="s">
        <v>217</v>
      </c>
    </row>
    <row r="25" spans="2:14">
      <c r="B25" s="3" t="s">
        <v>217</v>
      </c>
      <c r="D25" s="3" t="s">
        <v>180</v>
      </c>
      <c r="F25" s="159">
        <f>'2. Parameters'!F82</f>
        <v>0.93700000000000006</v>
      </c>
    </row>
    <row r="27" spans="2:14">
      <c r="B27" s="2" t="s">
        <v>219</v>
      </c>
    </row>
    <row r="28" spans="2:14">
      <c r="B28" s="3" t="s">
        <v>219</v>
      </c>
      <c r="D28" s="3" t="s">
        <v>180</v>
      </c>
      <c r="F28" s="86">
        <f>'2. Parameters'!F90</f>
        <v>0.1</v>
      </c>
    </row>
    <row r="30" spans="2:14">
      <c r="B30" s="16" t="s">
        <v>214</v>
      </c>
    </row>
    <row r="31" spans="2:14">
      <c r="B31" s="32" t="s">
        <v>202</v>
      </c>
      <c r="D31" s="3" t="s">
        <v>792</v>
      </c>
      <c r="H31" s="38">
        <f>'2. Parameters'!K72</f>
        <v>1</v>
      </c>
      <c r="I31" s="38">
        <f>'2. Parameters'!L72</f>
        <v>1.02</v>
      </c>
      <c r="J31" s="38">
        <f>'2. Parameters'!M72</f>
        <v>1.0404</v>
      </c>
      <c r="K31" s="38">
        <f>'2. Parameters'!N72</f>
        <v>1.0612079999999999</v>
      </c>
      <c r="L31" s="38">
        <f>'2. Parameters'!O72</f>
        <v>1.10365632</v>
      </c>
      <c r="M31" s="38">
        <f>'2. Parameters'!P72</f>
        <v>1.1478025728000001</v>
      </c>
      <c r="N31" s="38">
        <f>'2. Parameters'!Q72</f>
        <v>1.1937146757120001</v>
      </c>
    </row>
    <row r="32" spans="2:14">
      <c r="B32" s="32" t="s">
        <v>203</v>
      </c>
      <c r="D32" s="3" t="s">
        <v>792</v>
      </c>
      <c r="H32" s="10"/>
      <c r="I32" s="38">
        <f>'2. Parameters'!L73</f>
        <v>1</v>
      </c>
      <c r="J32" s="38">
        <f>'2. Parameters'!M73</f>
        <v>1.02</v>
      </c>
      <c r="K32" s="38">
        <f>'2. Parameters'!N73</f>
        <v>1.0404</v>
      </c>
      <c r="L32" s="38">
        <f>'2. Parameters'!O73</f>
        <v>1.0820160000000001</v>
      </c>
      <c r="M32" s="38">
        <f>'2. Parameters'!P73</f>
        <v>1.1252966400000002</v>
      </c>
      <c r="N32" s="38">
        <f>'2. Parameters'!Q73</f>
        <v>1.1703085056000002</v>
      </c>
    </row>
    <row r="33" spans="2:14">
      <c r="B33" s="32" t="s">
        <v>204</v>
      </c>
      <c r="D33" s="3" t="s">
        <v>792</v>
      </c>
      <c r="H33" s="10"/>
      <c r="I33" s="10"/>
      <c r="J33" s="38">
        <f>'2. Parameters'!M74</f>
        <v>1</v>
      </c>
      <c r="K33" s="38">
        <f>'2. Parameters'!N74</f>
        <v>1.02</v>
      </c>
      <c r="L33" s="38">
        <f>'2. Parameters'!O74</f>
        <v>1.0608</v>
      </c>
      <c r="M33" s="38">
        <f>'2. Parameters'!P74</f>
        <v>1.103232</v>
      </c>
      <c r="N33" s="38">
        <f>'2. Parameters'!Q74</f>
        <v>1.1473612799999999</v>
      </c>
    </row>
    <row r="34" spans="2:14">
      <c r="B34" s="32" t="s">
        <v>205</v>
      </c>
      <c r="D34" s="3" t="s">
        <v>792</v>
      </c>
      <c r="H34" s="10"/>
      <c r="I34" s="10"/>
      <c r="J34" s="10"/>
      <c r="K34" s="38">
        <f>'2. Parameters'!N75</f>
        <v>1</v>
      </c>
      <c r="L34" s="38">
        <f>'2. Parameters'!O75</f>
        <v>1.04</v>
      </c>
      <c r="M34" s="38">
        <f>'2. Parameters'!P75</f>
        <v>1.0816000000000001</v>
      </c>
      <c r="N34" s="38">
        <f>'2. Parameters'!Q75</f>
        <v>1.1248640000000001</v>
      </c>
    </row>
    <row r="35" spans="2:14">
      <c r="B35" s="32" t="s">
        <v>206</v>
      </c>
      <c r="D35" s="3" t="s">
        <v>792</v>
      </c>
      <c r="H35" s="10"/>
      <c r="I35" s="10"/>
      <c r="J35" s="10"/>
      <c r="K35" s="10"/>
      <c r="L35" s="38">
        <f>'2. Parameters'!O76</f>
        <v>1</v>
      </c>
      <c r="M35" s="38">
        <f>'2. Parameters'!P76</f>
        <v>1.04</v>
      </c>
      <c r="N35" s="38">
        <f>'2. Parameters'!Q76</f>
        <v>1.0816000000000001</v>
      </c>
    </row>
    <row r="36" spans="2:14">
      <c r="B36" s="32" t="s">
        <v>207</v>
      </c>
      <c r="D36" s="3" t="s">
        <v>792</v>
      </c>
      <c r="H36" s="10"/>
      <c r="I36" s="10"/>
      <c r="J36" s="10"/>
      <c r="K36" s="10"/>
      <c r="L36" s="10"/>
      <c r="M36" s="38">
        <f>'2. Parameters'!P77</f>
        <v>1</v>
      </c>
      <c r="N36" s="38">
        <f>'2. Parameters'!Q77</f>
        <v>1.04</v>
      </c>
    </row>
    <row r="37" spans="2:14">
      <c r="B37" s="32" t="s">
        <v>208</v>
      </c>
      <c r="D37" s="3" t="s">
        <v>792</v>
      </c>
      <c r="H37" s="10"/>
      <c r="I37" s="10"/>
      <c r="J37" s="10"/>
      <c r="K37" s="10"/>
      <c r="L37" s="10"/>
      <c r="M37" s="10"/>
      <c r="N37" s="38">
        <f>'2. Parameters'!Q78</f>
        <v>1</v>
      </c>
    </row>
    <row r="38" spans="2:14">
      <c r="D38" s="3" t="s">
        <v>792</v>
      </c>
    </row>
    <row r="39" spans="2:14">
      <c r="B39" s="2" t="s">
        <v>194</v>
      </c>
    </row>
    <row r="40" spans="2:14">
      <c r="B40" s="3" t="s">
        <v>793</v>
      </c>
      <c r="D40" s="3" t="s">
        <v>199</v>
      </c>
      <c r="H40" s="38">
        <f>'2. Parameters'!K41</f>
        <v>1</v>
      </c>
      <c r="I40" s="38">
        <f>'2. Parameters'!L41</f>
        <v>1.016</v>
      </c>
      <c r="J40" s="38">
        <f>'2. Parameters'!M41</f>
        <v>1.0342880000000001</v>
      </c>
      <c r="K40" s="38">
        <f>'2. Parameters'!N41</f>
        <v>1.0984138560000001</v>
      </c>
      <c r="L40" s="38">
        <f>'2. Parameters'!O41</f>
        <v>1.1862869644800003</v>
      </c>
      <c r="M40" s="38">
        <f>'2. Parameters'!P41</f>
        <v>1.2064538428761602</v>
      </c>
      <c r="N40" s="38">
        <f>'2. Parameters'!Q41</f>
        <v>1.2269635582050549</v>
      </c>
    </row>
    <row r="41" spans="2:14">
      <c r="B41" s="3" t="s">
        <v>794</v>
      </c>
      <c r="D41" s="3" t="s">
        <v>199</v>
      </c>
      <c r="H41" s="10"/>
      <c r="I41" s="38">
        <f>'2. Parameters'!L42</f>
        <v>1</v>
      </c>
      <c r="J41" s="38">
        <f>'2. Parameters'!M42</f>
        <v>1.018</v>
      </c>
      <c r="K41" s="38">
        <f>'2. Parameters'!N42</f>
        <v>1.081116</v>
      </c>
      <c r="L41" s="38">
        <f>'2. Parameters'!O42</f>
        <v>1.1676052800000001</v>
      </c>
      <c r="M41" s="38">
        <f>'2. Parameters'!P42</f>
        <v>1.1874545697600001</v>
      </c>
      <c r="N41" s="38">
        <f>'2. Parameters'!Q42</f>
        <v>1.2076412974459199</v>
      </c>
    </row>
    <row r="42" spans="2:14">
      <c r="B42" s="3" t="s">
        <v>795</v>
      </c>
      <c r="D42" s="3" t="s">
        <v>199</v>
      </c>
      <c r="H42" s="10"/>
      <c r="I42" s="10"/>
      <c r="J42" s="38">
        <f>'2. Parameters'!M43</f>
        <v>1</v>
      </c>
      <c r="K42" s="38">
        <f>'2. Parameters'!N43</f>
        <v>1.0620000000000001</v>
      </c>
      <c r="L42" s="38">
        <f>'2. Parameters'!O43</f>
        <v>1.1469600000000002</v>
      </c>
      <c r="M42" s="38">
        <f>'2. Parameters'!P43</f>
        <v>1.16645832</v>
      </c>
      <c r="N42" s="38">
        <f>'2. Parameters'!Q43</f>
        <v>1.1862881114399999</v>
      </c>
    </row>
    <row r="43" spans="2:14">
      <c r="B43" s="3" t="s">
        <v>796</v>
      </c>
      <c r="D43" s="3" t="s">
        <v>199</v>
      </c>
      <c r="H43" s="10"/>
      <c r="I43" s="10"/>
      <c r="J43" s="10"/>
      <c r="K43" s="38">
        <f>'2. Parameters'!N44</f>
        <v>1</v>
      </c>
      <c r="L43" s="38">
        <f>'2. Parameters'!O44</f>
        <v>1.08</v>
      </c>
      <c r="M43" s="38">
        <f>'2. Parameters'!P44</f>
        <v>1.09836</v>
      </c>
      <c r="N43" s="38">
        <f>'2. Parameters'!Q44</f>
        <v>1.11703212</v>
      </c>
    </row>
    <row r="44" spans="2:14">
      <c r="B44" s="3" t="s">
        <v>797</v>
      </c>
      <c r="D44" s="3" t="s">
        <v>199</v>
      </c>
      <c r="H44" s="10"/>
      <c r="I44" s="10"/>
      <c r="J44" s="10"/>
      <c r="K44" s="10"/>
      <c r="L44" s="38">
        <f>'2. Parameters'!O45</f>
        <v>1</v>
      </c>
      <c r="M44" s="38">
        <f>'2. Parameters'!P45</f>
        <v>1.0169999999999999</v>
      </c>
      <c r="N44" s="38">
        <f>'2. Parameters'!Q45</f>
        <v>1.0342889999999998</v>
      </c>
    </row>
    <row r="45" spans="2:14">
      <c r="B45" s="3" t="s">
        <v>798</v>
      </c>
      <c r="D45" s="3" t="s">
        <v>199</v>
      </c>
      <c r="H45" s="10"/>
      <c r="I45" s="10"/>
      <c r="J45" s="10"/>
      <c r="K45" s="10"/>
      <c r="L45" s="10"/>
      <c r="M45" s="38">
        <f>'2. Parameters'!P46</f>
        <v>1</v>
      </c>
      <c r="N45" s="38">
        <f>'2. Parameters'!Q46</f>
        <v>1.0169999999999999</v>
      </c>
    </row>
    <row r="46" spans="2:14">
      <c r="B46" s="3" t="s">
        <v>799</v>
      </c>
      <c r="D46" s="3" t="s">
        <v>199</v>
      </c>
      <c r="H46" s="10"/>
      <c r="I46" s="10"/>
      <c r="J46" s="10"/>
      <c r="K46" s="10"/>
      <c r="L46" s="10"/>
      <c r="M46" s="10"/>
      <c r="N46" s="38">
        <f>'2. Parameters'!Q47</f>
        <v>1</v>
      </c>
    </row>
    <row r="47" spans="2:14" ht="13.5" customHeight="1"/>
    <row r="48" spans="2:14">
      <c r="B48" s="2" t="s">
        <v>209</v>
      </c>
    </row>
    <row r="49" spans="2:56">
      <c r="B49" s="32" t="s">
        <v>202</v>
      </c>
      <c r="D49" s="3" t="s">
        <v>213</v>
      </c>
      <c r="H49" s="38">
        <f>'2. Parameters'!K58</f>
        <v>1</v>
      </c>
      <c r="I49" s="38">
        <f>'2. Parameters'!L58</f>
        <v>0.999</v>
      </c>
      <c r="J49" s="38">
        <f>'2. Parameters'!M58</f>
        <v>0.995004</v>
      </c>
      <c r="K49" s="38">
        <f>'2. Parameters'!N58</f>
        <v>0.99102398400000002</v>
      </c>
      <c r="L49" s="38">
        <f>'2. Parameters'!O58</f>
        <v>0.98705988806400002</v>
      </c>
      <c r="M49" s="38">
        <f>'2. Parameters'!P58</f>
        <v>0.98311164851174404</v>
      </c>
      <c r="N49" s="38">
        <f>'2. Parameters'!Q58</f>
        <v>0.97917920191769703</v>
      </c>
    </row>
    <row r="50" spans="2:56">
      <c r="B50" s="32" t="s">
        <v>203</v>
      </c>
      <c r="D50" s="3" t="s">
        <v>213</v>
      </c>
      <c r="H50" s="10"/>
      <c r="I50" s="38">
        <f>'2. Parameters'!L59</f>
        <v>1</v>
      </c>
      <c r="J50" s="38">
        <f>'2. Parameters'!M59</f>
        <v>0.996</v>
      </c>
      <c r="K50" s="38">
        <f>'2. Parameters'!N59</f>
        <v>0.99201600000000001</v>
      </c>
      <c r="L50" s="38">
        <f>'2. Parameters'!O59</f>
        <v>0.98804793599999996</v>
      </c>
      <c r="M50" s="38">
        <f>'2. Parameters'!P59</f>
        <v>0.98409574425599999</v>
      </c>
      <c r="N50" s="38">
        <f>'2. Parameters'!Q59</f>
        <v>0.98015936127897596</v>
      </c>
    </row>
    <row r="51" spans="2:56">
      <c r="B51" s="32" t="s">
        <v>204</v>
      </c>
      <c r="D51" s="3" t="s">
        <v>213</v>
      </c>
      <c r="H51" s="10"/>
      <c r="I51" s="10"/>
      <c r="J51" s="38">
        <f>'2. Parameters'!M60</f>
        <v>1</v>
      </c>
      <c r="K51" s="38">
        <f>'2. Parameters'!N60</f>
        <v>0.996</v>
      </c>
      <c r="L51" s="38">
        <f>'2. Parameters'!O60</f>
        <v>0.99201600000000001</v>
      </c>
      <c r="M51" s="38">
        <f>'2. Parameters'!P60</f>
        <v>0.98804793599999996</v>
      </c>
      <c r="N51" s="38">
        <f>'2. Parameters'!Q60</f>
        <v>0.98409574425599999</v>
      </c>
    </row>
    <row r="52" spans="2:56">
      <c r="B52" s="32" t="s">
        <v>205</v>
      </c>
      <c r="D52" s="3" t="s">
        <v>213</v>
      </c>
      <c r="H52" s="10"/>
      <c r="I52" s="10"/>
      <c r="J52" s="10"/>
      <c r="K52" s="38">
        <f>'2. Parameters'!N61</f>
        <v>1</v>
      </c>
      <c r="L52" s="38">
        <f>'2. Parameters'!O61</f>
        <v>0.996</v>
      </c>
      <c r="M52" s="38">
        <f>'2. Parameters'!P61</f>
        <v>0.99201600000000001</v>
      </c>
      <c r="N52" s="38">
        <f>'2. Parameters'!Q61</f>
        <v>0.98804793599999996</v>
      </c>
    </row>
    <row r="53" spans="2:56">
      <c r="B53" s="32" t="s">
        <v>206</v>
      </c>
      <c r="D53" s="3" t="s">
        <v>213</v>
      </c>
      <c r="H53" s="10"/>
      <c r="I53" s="10"/>
      <c r="J53" s="10"/>
      <c r="K53" s="10"/>
      <c r="L53" s="38">
        <f>'2. Parameters'!O62</f>
        <v>1</v>
      </c>
      <c r="M53" s="38">
        <f>'2. Parameters'!P62</f>
        <v>0.996</v>
      </c>
      <c r="N53" s="38">
        <f>'2. Parameters'!Q62</f>
        <v>0.99201600000000001</v>
      </c>
    </row>
    <row r="54" spans="2:56">
      <c r="B54" s="32" t="s">
        <v>207</v>
      </c>
      <c r="D54" s="3" t="s">
        <v>213</v>
      </c>
      <c r="H54" s="10"/>
      <c r="I54" s="10"/>
      <c r="J54" s="10"/>
      <c r="K54" s="10"/>
      <c r="L54" s="10"/>
      <c r="M54" s="38">
        <f>'2. Parameters'!P63</f>
        <v>1</v>
      </c>
      <c r="N54" s="38">
        <f>'2. Parameters'!Q63</f>
        <v>0.996</v>
      </c>
    </row>
    <row r="55" spans="2:56" ht="15.75" customHeight="1">
      <c r="B55" s="32" t="s">
        <v>208</v>
      </c>
      <c r="D55" s="3" t="s">
        <v>213</v>
      </c>
      <c r="H55" s="10"/>
      <c r="I55" s="10"/>
      <c r="J55" s="10"/>
      <c r="K55" s="10"/>
      <c r="L55" s="10"/>
      <c r="M55" s="10"/>
      <c r="N55" s="38">
        <f>'2. Parameters'!Q64</f>
        <v>1</v>
      </c>
    </row>
    <row r="56" spans="2:56" ht="13.5" customHeight="1"/>
    <row r="57" spans="2:56" s="39" customFormat="1">
      <c r="B57" s="39" t="s">
        <v>822</v>
      </c>
    </row>
    <row r="58" spans="2:56" s="42" customFormat="1">
      <c r="M58" s="42" t="s">
        <v>801</v>
      </c>
      <c r="P58" s="42" t="s">
        <v>802</v>
      </c>
      <c r="S58" s="42" t="s">
        <v>803</v>
      </c>
      <c r="V58" s="42" t="s">
        <v>804</v>
      </c>
      <c r="AB58" s="42" t="s">
        <v>805</v>
      </c>
      <c r="AH58" s="42" t="s">
        <v>806</v>
      </c>
      <c r="AN58" s="42" t="s">
        <v>807</v>
      </c>
      <c r="AT58" s="42" t="s">
        <v>823</v>
      </c>
      <c r="AZ58" s="42" t="s">
        <v>824</v>
      </c>
    </row>
    <row r="59" spans="2:56" s="45" customFormat="1">
      <c r="B59" s="45" t="s">
        <v>330</v>
      </c>
      <c r="F59" s="45" t="s">
        <v>331</v>
      </c>
      <c r="H59" s="46" t="s">
        <v>332</v>
      </c>
      <c r="I59" s="45" t="s">
        <v>255</v>
      </c>
      <c r="J59" s="46" t="s">
        <v>256</v>
      </c>
      <c r="K59" s="47" t="s">
        <v>333</v>
      </c>
      <c r="M59" s="51">
        <v>2020</v>
      </c>
      <c r="N59" s="51">
        <v>2021</v>
      </c>
      <c r="P59" s="51">
        <v>2020</v>
      </c>
      <c r="Q59" s="51">
        <v>2021</v>
      </c>
      <c r="S59" s="45" t="s">
        <v>816</v>
      </c>
      <c r="T59" s="45" t="s">
        <v>817</v>
      </c>
      <c r="V59" s="51">
        <v>2022</v>
      </c>
      <c r="W59" s="51">
        <v>2023</v>
      </c>
      <c r="X59" s="51">
        <v>2024</v>
      </c>
      <c r="Y59" s="51">
        <v>2025</v>
      </c>
      <c r="Z59" s="51">
        <v>2026</v>
      </c>
      <c r="AB59" s="51">
        <v>2022</v>
      </c>
      <c r="AC59" s="51">
        <v>2023</v>
      </c>
      <c r="AD59" s="51">
        <v>2024</v>
      </c>
      <c r="AE59" s="51">
        <v>2025</v>
      </c>
      <c r="AF59" s="51">
        <v>2026</v>
      </c>
      <c r="AH59" s="51">
        <v>2022</v>
      </c>
      <c r="AI59" s="51">
        <v>2023</v>
      </c>
      <c r="AJ59" s="51">
        <v>2024</v>
      </c>
      <c r="AK59" s="51">
        <v>2025</v>
      </c>
      <c r="AL59" s="51">
        <v>2026</v>
      </c>
      <c r="AN59" s="51">
        <v>2022</v>
      </c>
      <c r="AO59" s="51">
        <v>2023</v>
      </c>
      <c r="AP59" s="51">
        <v>2024</v>
      </c>
      <c r="AQ59" s="51">
        <v>2025</v>
      </c>
      <c r="AR59" s="51">
        <v>2026</v>
      </c>
      <c r="AT59" s="45" t="s">
        <v>412</v>
      </c>
      <c r="AU59" s="45" t="s">
        <v>413</v>
      </c>
      <c r="AV59" s="45" t="s">
        <v>414</v>
      </c>
      <c r="AW59" s="45" t="s">
        <v>415</v>
      </c>
      <c r="AX59" s="45" t="s">
        <v>416</v>
      </c>
      <c r="AZ59" s="51">
        <v>2022</v>
      </c>
      <c r="BA59" s="51">
        <v>2023</v>
      </c>
      <c r="BB59" s="51">
        <v>2024</v>
      </c>
      <c r="BC59" s="51">
        <v>2025</v>
      </c>
      <c r="BD59" s="51">
        <v>2026</v>
      </c>
    </row>
    <row r="60" spans="2:56" s="54" customFormat="1">
      <c r="H60" s="55"/>
      <c r="I60" s="55"/>
      <c r="J60" s="56"/>
    </row>
    <row r="61" spans="2:56">
      <c r="B61" s="43">
        <f>'3. Input (des)investeringen '!B85</f>
        <v>1532</v>
      </c>
      <c r="C61" s="54"/>
      <c r="D61" s="54"/>
      <c r="E61" s="54"/>
      <c r="F61" s="48">
        <f>'3. Input (des)investeringen '!D85</f>
        <v>23504856.52408703</v>
      </c>
      <c r="G61" s="54"/>
      <c r="H61" s="43">
        <f>'3. Input (des)investeringen '!F85</f>
        <v>2020</v>
      </c>
      <c r="I61" s="48" t="str">
        <f>'3. Input (des)investeringen '!G85</f>
        <v>nvt</v>
      </c>
      <c r="J61" s="48">
        <f>'3. Input (des)investeringen '!H85</f>
        <v>15</v>
      </c>
      <c r="K61" s="48">
        <f>'3. Input (des)investeringen '!I85</f>
        <v>1</v>
      </c>
      <c r="M61" s="49">
        <f>IF($J61=0, 0, IF($H61&lt;=M$59,
VDB($F61,0,$J61,MAX(0,M$59-$H61-0.5),MIN($J61,M$59-$H61+0.5),1)*INDEX(H$40:H$46,$H61-2019,1),
0))</f>
        <v>783495.21746956767</v>
      </c>
      <c r="N61" s="49">
        <f>IF($J61=0, 0, IF($H61&lt;=N$59,
VDB($F61,0,$J61,MAX(0,N$59-$H61-0.5),MIN($J61,N$59-$H61+0.5),1)*INDEX(I$40:I$46,$H61-2019,1),
0))</f>
        <v>1592062.2818981616</v>
      </c>
      <c r="P61" s="147">
        <f>IF($J61=0,IF($H61=M$59,$F61,0),IF(OR($H61&gt;P$59,$H61+$J61&lt;=P$59),0,
F61-M61))</f>
        <v>22721361.306617461</v>
      </c>
      <c r="Q61" s="147">
        <f>IF($J61=0,IF($H61=N$59,$F61,$P61*I$40),IF(OR($H61&gt;Q$59,$H61+$J61&lt;=Q$59),0,
IF($H61=Q$59,F61-N61,P61*I$40-N61)))</f>
        <v>21492840.805625178</v>
      </c>
      <c r="S61" s="49">
        <f>IF($P61=0, IF(H61&lt;=2021, $Q61, IF(H61=2022, $F61,0)), IF(H61&lt;=2021,Q61,F61))</f>
        <v>21492840.805625178</v>
      </c>
      <c r="T61" s="44">
        <f>IF($J61=0, 0, IF(H61&lt;2022,J61-2021+H61-0.5,J61))</f>
        <v>13.5</v>
      </c>
      <c r="V61" s="49">
        <f>IF($J61=0, 0, IF(OR($H61&gt;V$59,$H61+$J61&lt;V$59),0,
IF(OR($H61=2020,$H61=2021),VDB($S61*(1-$F$28),0,$T61,V$59-2022,MIN($T61,V$59-2021),$F$22,FALSE),
VDB($S61*(1-$F$28),0,$T61,MAX(0,V$59-$H61-0.5),MIN($T61,V$59-$H61+0.5),$F$22,FALSE))))</f>
        <v>1862712.8698208488</v>
      </c>
      <c r="W61" s="49">
        <f>IF($J61=0, 0, IF(OR($H61&gt;W$59,$H61+$J61&lt;W$59),0,
IF(OR($H61=2020,$H61=2021),VDB($S61*(1-$F$28),0,$T61,W$59-2022,MIN($T61,W$59-2021),$F$22,FALSE),
VDB($S61*(1-$F$28),0,$T61,MAX(0,W$59-$H61-0.5),MIN($T61,W$59-$H61+0.5),$F$22,FALSE))))</f>
        <v>1683340.5193936559</v>
      </c>
      <c r="X61" s="49">
        <f t="shared" ref="X61:Z76" si="0">IF($J61=0, 0, IF(OR($H61&gt;X$59,$H61+$J61&lt;X$59),0,
IF(OR($H61=2020,$H61=2021),VDB($S61*(1-$F$28),0,$T61,X$59-2022,MIN($T61,X$59-2021),$F$22,FALSE),
VDB($S61*(1-$F$28),0,$T61,MAX(0,X$59-$H61-0.5),MIN($T61,X$59-$H61+0.5),$F$22,FALSE))))</f>
        <v>1521241.0619705631</v>
      </c>
      <c r="Y61" s="49">
        <f t="shared" si="0"/>
        <v>1374751.1819289534</v>
      </c>
      <c r="Z61" s="49">
        <f t="shared" si="0"/>
        <v>1358053.7991524884</v>
      </c>
      <c r="AB61" s="49">
        <f>IF($J61=0, 0, IF(OR($H61&gt;AB$59,$H61+$J61&lt;AB$59),0,
IF(OR($H61=2020,$H61=2021),VDB($S61*$F$28,0,$T61,AB$59-2022,MIN($T61,AB$59-2021),1),
VDB($S61*$F$28,0,$T61,MAX(0,AB$59-$H61-0.5),MIN($T61,AB$59-$H61+0.5),1))))</f>
        <v>159206.22818981615</v>
      </c>
      <c r="AC61" s="49">
        <f>IF($J61=0, 0, IF(OR($H61&gt;AC$59,$H61+$J61&lt;AC$59),0,
IF(OR($H61=2020,$H61=2021),VDB($S61*$F$28,0,$T61,AC$59-2022,MIN($T61,AC$59-2021),1),
VDB($S61*$F$28,0,$T61,MAX(0,AC$59-$H61-0.5),MIN($T61,AC$59-$H61+0.5),1))))</f>
        <v>159206.22818981615</v>
      </c>
      <c r="AD61" s="49">
        <f t="shared" ref="AD61:AF76" si="1">IF($J61=0, 0, IF(OR($H61&gt;AD$59,$H61+$J61&lt;AD$59),0,
IF(OR($H61=2020,$H61=2021),VDB($S61*$F$28,0,$T61,AD$59-2022,MIN($T61,AD$59-2021),1),
VDB($S61*$F$28,0,$T61,MAX(0,AD$59-$H61-0.5),MIN($T61,AD$59-$H61+0.5),1))))</f>
        <v>159206.22818981615</v>
      </c>
      <c r="AE61" s="49">
        <f t="shared" si="1"/>
        <v>159206.22818981615</v>
      </c>
      <c r="AF61" s="49">
        <f t="shared" si="1"/>
        <v>159206.22818981615</v>
      </c>
      <c r="AH61" s="49">
        <f t="shared" ref="AH61:AL61" si="2">V61+AB61</f>
        <v>2021919.098010665</v>
      </c>
      <c r="AI61" s="49">
        <f t="shared" si="2"/>
        <v>1842546.7475834722</v>
      </c>
      <c r="AJ61" s="49">
        <f t="shared" si="2"/>
        <v>1680447.2901603794</v>
      </c>
      <c r="AK61" s="49">
        <f t="shared" si="2"/>
        <v>1533957.4101187696</v>
      </c>
      <c r="AL61" s="49">
        <f t="shared" si="2"/>
        <v>1517260.0273423046</v>
      </c>
      <c r="AN61" s="49">
        <f>IF($J61=0, $S61, IF(OR($H61&gt;AN$59,$H61+$J61&lt;=AN$59),0,
IF($H61=AN$59,$S61-AH61,
S61-AH61)))</f>
        <v>19470921.707614511</v>
      </c>
      <c r="AO61" s="49">
        <f>IF($J61=0, IF($H61 &gt; AO$59, 0, IF($H61=AO$59, $F61, AN61)), IF(OR($H61&gt;AO$59,$H61+$J61&lt;=AO$59),0,
IF($H61=AO$59,$S61-AI61,
AN61-AI61)))</f>
        <v>17628374.96003104</v>
      </c>
      <c r="AP61" s="49">
        <f t="shared" ref="AP61:AR61" si="3">IF($J61=0, IF($H61 &gt; AP$59, 0, IF($H61=AP$59, $F61, AO61)), IF(OR($H61&gt;AP$59,$H61+$J61&lt;=AP$59),0,
IF($H61=AP$59,$S61-AJ61,
AO61-AJ61)))</f>
        <v>15947927.66987066</v>
      </c>
      <c r="AQ61" s="49">
        <f t="shared" si="3"/>
        <v>14413970.25975189</v>
      </c>
      <c r="AR61" s="49">
        <f t="shared" si="3"/>
        <v>12896710.232409585</v>
      </c>
      <c r="AT61" s="49">
        <f>IF(AH61&gt;0,$F61*INDEX($H$40:$N$46,$H61-2019,AT$59-2019)*INDEX($H$49:$N$55,$H61-2019,AT$59-2019)*$F$19,0)</f>
        <v>241893.34332526184</v>
      </c>
      <c r="AU61" s="49">
        <f t="shared" ref="AU61:AX61" si="4">IF(AI61&gt;0,$F61*INDEX($H$40:$N$46,$H61-2019,AU$59-2019)*INDEX($H$49:$N$55,$H61-2019,AU$59-2019)*$F$19,0)</f>
        <v>255863.16768898239</v>
      </c>
      <c r="AV61" s="49">
        <f t="shared" si="4"/>
        <v>275226.89221968455</v>
      </c>
      <c r="AW61" s="49">
        <f t="shared" si="4"/>
        <v>278786.12638986955</v>
      </c>
      <c r="AX61" s="49">
        <f t="shared" si="4"/>
        <v>282391.38857634331</v>
      </c>
      <c r="AZ61" s="53">
        <f>(AH61+AN61*J$16+AT61)*IF($K61=1,$F$25,1)</f>
        <v>2686764.1203728425</v>
      </c>
      <c r="BA61" s="53">
        <f>(AI61+AO61*K$16+AU61)*IF($K61=1,$F$25,1)</f>
        <v>2461743.7107367627</v>
      </c>
      <c r="BB61" s="53">
        <f t="shared" ref="BB61:BD61" si="5">(AJ61+AP61*L$16+AV61)*IF($K61=1,$F$25,1)</f>
        <v>2280762.9556901846</v>
      </c>
      <c r="BC61" s="53">
        <f t="shared" si="5"/>
        <v>2103717.3977102209</v>
      </c>
      <c r="BD61" s="53">
        <f t="shared" si="5"/>
        <v>2048799.9013488065</v>
      </c>
    </row>
    <row r="62" spans="2:56">
      <c r="B62" s="43">
        <f>'3. Input (des)investeringen '!B86</f>
        <v>1533</v>
      </c>
      <c r="C62" s="54"/>
      <c r="D62" s="54"/>
      <c r="E62" s="54"/>
      <c r="F62" s="48">
        <f>'3. Input (des)investeringen '!D86</f>
        <v>28868891.250722278</v>
      </c>
      <c r="G62" s="54"/>
      <c r="H62" s="43">
        <f>'3. Input (des)investeringen '!F86</f>
        <v>2020</v>
      </c>
      <c r="I62" s="48" t="str">
        <f>'3. Input (des)investeringen '!G86</f>
        <v>nvt</v>
      </c>
      <c r="J62" s="48">
        <f>'3. Input (des)investeringen '!H86</f>
        <v>30</v>
      </c>
      <c r="K62" s="48">
        <f>'3. Input (des)investeringen '!I86</f>
        <v>1</v>
      </c>
      <c r="M62" s="49">
        <f t="shared" ref="M62:M125" si="6">IF($J62=0, 0, IF($H62&lt;=M$59,
VDB($F62,0,$J62,MAX(0,M$59-$H62-0.5),MIN($J62,M$59-$H62+0.5),1)*INDEX(H$40:H$46,$H62-2019,1),
0))</f>
        <v>481148.18751203798</v>
      </c>
      <c r="N62" s="49">
        <f t="shared" ref="N62:N125" si="7">IF($J62=0, 0, IF($H62&lt;=N$59,
VDB($F62,0,$J62,MAX(0,N$59-$H62-0.5),MIN($J62,N$59-$H62+0.5),1)*INDEX(I$40:I$46,$H62-2019,1),
0))</f>
        <v>977693.11702446116</v>
      </c>
      <c r="P62" s="147">
        <f t="shared" ref="P62:P125" si="8">IF($J62=0,IF($H62=M$59,$F62,0),IF(OR($H62&gt;P$59,$H62+$J62&lt;=P$59),0,
F62-M62))</f>
        <v>28387743.063210241</v>
      </c>
      <c r="Q62" s="147">
        <f t="shared" ref="Q62:Q125" si="9">IF($J62=0,IF($H62=N$59,$F62,$P62*I$40),IF(OR($H62&gt;Q$59,$H62+$J62&lt;=Q$59),0,
IF($H62=Q$59,F62-N62,P62*I$40-N62)))</f>
        <v>27864253.835197143</v>
      </c>
      <c r="S62" s="49">
        <f t="shared" ref="S62:S125" si="10">IF($P62=0, IF(H62&lt;=2021, $Q62, IF(H62=2022, $F62,0)), IF(H62&lt;=2021,Q62,F62))</f>
        <v>27864253.835197143</v>
      </c>
      <c r="T62" s="44">
        <f t="shared" ref="T62:T125" si="11">IF($J62=0, 0, IF(H62&lt;2022,J62-2021+H62-0.5,J62))</f>
        <v>28.5</v>
      </c>
      <c r="V62" s="49">
        <f t="shared" ref="V62:Z93" si="12">IF($J62=0, 0, IF(OR($H62&gt;V$59,$H62+$J62&lt;V$59),0,
IF(OR($H62=2020,$H62=2021),VDB($S62*(1-$F$28),0,$T62,V$59-2022,MIN($T62,V$59-2021),$F$22,FALSE),
VDB($S62*(1-$F$28),0,$T62,MAX(0,V$59-$H62-0.5),MIN($T62,V$59-$H62+0.5),$F$22,FALSE))))</f>
        <v>1143900.9469186198</v>
      </c>
      <c r="W62" s="49">
        <f t="shared" si="12"/>
        <v>1091723.0089889986</v>
      </c>
      <c r="X62" s="49">
        <f t="shared" si="0"/>
        <v>1041925.1173509038</v>
      </c>
      <c r="Y62" s="49">
        <f t="shared" si="0"/>
        <v>994398.70848928369</v>
      </c>
      <c r="Z62" s="49">
        <f t="shared" si="0"/>
        <v>949040.17090907076</v>
      </c>
      <c r="AB62" s="49">
        <f t="shared" ref="AB62:AF93" si="13">IF($J62=0, 0, IF(OR($H62&gt;AB$59,$H62+$J62&lt;AB$59),0,
IF(OR($H62=2020,$H62=2021),VDB($S62*$F$28,0,$T62,AB$59-2022,MIN($T62,AB$59-2021),1),
VDB($S62*$F$28,0,$T62,MAX(0,AB$59-$H62-0.5),MIN($T62,AB$59-$H62+0.5),1))))</f>
        <v>97769.311702446124</v>
      </c>
      <c r="AC62" s="49">
        <f t="shared" si="13"/>
        <v>97769.311702446124</v>
      </c>
      <c r="AD62" s="49">
        <f t="shared" si="1"/>
        <v>97769.311702446124</v>
      </c>
      <c r="AE62" s="49">
        <f t="shared" si="1"/>
        <v>97769.311702446124</v>
      </c>
      <c r="AF62" s="49">
        <f t="shared" si="1"/>
        <v>97769.311702446124</v>
      </c>
      <c r="AH62" s="49">
        <f t="shared" ref="AH62:AH125" si="14">V62+AB62</f>
        <v>1241670.2586210659</v>
      </c>
      <c r="AI62" s="49">
        <f t="shared" ref="AI62:AI125" si="15">W62+AC62</f>
        <v>1189492.3206914447</v>
      </c>
      <c r="AJ62" s="49">
        <f t="shared" ref="AJ62:AJ125" si="16">X62+AD62</f>
        <v>1139694.4290533499</v>
      </c>
      <c r="AK62" s="49">
        <f t="shared" ref="AK62:AK125" si="17">Y62+AE62</f>
        <v>1092168.0201917298</v>
      </c>
      <c r="AL62" s="49">
        <f t="shared" ref="AL62:AL125" si="18">Z62+AF62</f>
        <v>1046809.4826115168</v>
      </c>
      <c r="AN62" s="49">
        <f t="shared" ref="AN62:AN125" si="19">IF($J62=0, $S62, IF(OR($H62&gt;AN$59,$H62+$J62&lt;=AN$59),0,
IF($H62=AN$59,$S62-AH62,
S62-AH62)))</f>
        <v>26622583.576576076</v>
      </c>
      <c r="AO62" s="49">
        <f t="shared" ref="AO62:AO125" si="20">IF($J62=0, IF($H62 &gt; AO$59, 0, IF($H62=AO$59, $F62, AN62)), IF(OR($H62&gt;AO$59,$H62+$J62&lt;=AO$59),0,
IF($H62=AO$59,$S62-AI62,
AN62-AI62)))</f>
        <v>25433091.255884632</v>
      </c>
      <c r="AP62" s="49">
        <f t="shared" ref="AP62:AP125" si="21">IF($J62=0, IF($H62 &gt; AP$59, 0, IF($H62=AP$59, $F62, AO62)), IF(OR($H62&gt;AP$59,$H62+$J62&lt;=AP$59),0,
IF($H62=AP$59,$S62-AJ62,
AO62-AJ62)))</f>
        <v>24293396.826831281</v>
      </c>
      <c r="AQ62" s="49">
        <f t="shared" ref="AQ62:AQ125" si="22">IF($J62=0, IF($H62 &gt; AQ$59, 0, IF($H62=AQ$59, $F62, AP62)), IF(OR($H62&gt;AQ$59,$H62+$J62&lt;=AQ$59),0,
IF($H62=AQ$59,$S62-AK62,
AP62-AK62)))</f>
        <v>23201228.806639552</v>
      </c>
      <c r="AR62" s="49">
        <f t="shared" ref="AR62:AR125" si="23">IF($J62=0, IF($H62 &gt; AR$59, 0, IF($H62=AR$59, $F62, AQ62)), IF(OR($H62&gt;AR$59,$H62+$J62&lt;=AR$59),0,
IF($H62=AR$59,$S62-AL62,
AQ62-AL62)))</f>
        <v>22154419.324028034</v>
      </c>
      <c r="AT62" s="49">
        <f t="shared" ref="AT62:AT125" si="24">IF(AH62&gt;0,$F62*INDEX($H$40:$N$46,$H62-2019,AT$59-2019)*INDEX($H$49:$N$55,$H62-2019,AT$59-2019)*$F$19,0)</f>
        <v>297095.73489948589</v>
      </c>
      <c r="AU62" s="49">
        <f t="shared" ref="AU62:AU125" si="25">IF(AI62&gt;0,$F62*INDEX($H$40:$N$46,$H62-2019,AU$59-2019)*INDEX($H$49:$N$55,$H62-2019,AU$59-2019)*$F$19,0)</f>
        <v>314253.60778140096</v>
      </c>
      <c r="AV62" s="49">
        <f t="shared" ref="AV62:AV125" si="26">IF(AJ62&gt;0,$F62*INDEX($H$40:$N$46,$H62-2019,AV$59-2019)*INDEX($H$49:$N$55,$H62-2019,AV$59-2019)*$F$19,0)</f>
        <v>338036.32081829745</v>
      </c>
      <c r="AW62" s="49">
        <f t="shared" ref="AW62:AW125" si="27">IF(AK62&gt;0,$F62*INDEX($H$40:$N$46,$H62-2019,AW$59-2019)*INDEX($H$49:$N$55,$H62-2019,AW$59-2019)*$F$19,0)</f>
        <v>342407.80651911965</v>
      </c>
      <c r="AX62" s="49">
        <f t="shared" ref="AX62:AX125" si="28">IF(AL62&gt;0,$F62*INDEX($H$40:$N$46,$H62-2019,AX$59-2019)*INDEX($H$49:$N$55,$H62-2019,AX$59-2019)*$F$19,0)</f>
        <v>346835.82427302486</v>
      </c>
      <c r="AZ62" s="53">
        <f t="shared" ref="AZ62:AZ125" si="29">(AH62+AN62*J$16+AT62)*IF($K62=1,$F$25,1)</f>
        <v>2215129.9210775625</v>
      </c>
      <c r="BA62" s="53">
        <f t="shared" ref="BA62:BA125" si="30">(AI62+AO62*K$16+AU62)*IF($K62=1,$F$25,1)</f>
        <v>2123934.1301819738</v>
      </c>
      <c r="BB62" s="53">
        <f t="shared" ref="BB62:BB125" si="31">(AJ62+AP62*L$16+AV62)*IF($K62=1,$F$25,1)</f>
        <v>2067521.0974319612</v>
      </c>
      <c r="BC62" s="53">
        <f t="shared" ref="BC62:BC125" si="32">(AK62+AQ62*M$16+AW62)*IF($K62=1,$F$25,1)</f>
        <v>1996384.0913827035</v>
      </c>
      <c r="BD62" s="53">
        <f t="shared" ref="BD62:BD125" si="33">(AL62+AR62*N$16+AX62)*IF($K62=1,$F$25,1)</f>
        <v>1928606.3797492436</v>
      </c>
    </row>
    <row r="63" spans="2:56">
      <c r="B63" s="43">
        <f>'3. Input (des)investeringen '!B87</f>
        <v>1534</v>
      </c>
      <c r="C63" s="54"/>
      <c r="D63" s="54"/>
      <c r="E63" s="54"/>
      <c r="F63" s="48">
        <f>'3. Input (des)investeringen '!D87</f>
        <v>79913166.073822603</v>
      </c>
      <c r="G63" s="54"/>
      <c r="H63" s="43">
        <f>'3. Input (des)investeringen '!F87</f>
        <v>2020</v>
      </c>
      <c r="I63" s="48" t="str">
        <f>'3. Input (des)investeringen '!G87</f>
        <v>nvt</v>
      </c>
      <c r="J63" s="48">
        <f>'3. Input (des)investeringen '!H87</f>
        <v>55</v>
      </c>
      <c r="K63" s="48">
        <f>'3. Input (des)investeringen '!I87</f>
        <v>1</v>
      </c>
      <c r="M63" s="49">
        <f t="shared" si="6"/>
        <v>726483.32794384181</v>
      </c>
      <c r="N63" s="49">
        <f t="shared" si="7"/>
        <v>1476214.1223818865</v>
      </c>
      <c r="P63" s="147">
        <f t="shared" si="8"/>
        <v>79186682.745878756</v>
      </c>
      <c r="Q63" s="147">
        <f t="shared" si="9"/>
        <v>78977455.547430933</v>
      </c>
      <c r="S63" s="49">
        <f t="shared" si="10"/>
        <v>78977455.547430933</v>
      </c>
      <c r="T63" s="44">
        <f t="shared" si="11"/>
        <v>53.5</v>
      </c>
      <c r="V63" s="49">
        <f t="shared" si="12"/>
        <v>1727170.5231868073</v>
      </c>
      <c r="W63" s="49">
        <f t="shared" si="12"/>
        <v>1685201.893651427</v>
      </c>
      <c r="X63" s="49">
        <f t="shared" si="0"/>
        <v>1644253.0625907381</v>
      </c>
      <c r="Y63" s="49">
        <f t="shared" si="0"/>
        <v>1604299.2498548883</v>
      </c>
      <c r="Z63" s="49">
        <f t="shared" si="0"/>
        <v>1565316.277428508</v>
      </c>
      <c r="AB63" s="49">
        <f t="shared" si="13"/>
        <v>147621.41223818867</v>
      </c>
      <c r="AC63" s="49">
        <f t="shared" si="13"/>
        <v>147621.41223818867</v>
      </c>
      <c r="AD63" s="49">
        <f t="shared" si="1"/>
        <v>147621.41223818867</v>
      </c>
      <c r="AE63" s="49">
        <f t="shared" si="1"/>
        <v>147621.41223818867</v>
      </c>
      <c r="AF63" s="49">
        <f t="shared" si="1"/>
        <v>147621.41223818867</v>
      </c>
      <c r="AH63" s="49">
        <f t="shared" si="14"/>
        <v>1874791.9354249961</v>
      </c>
      <c r="AI63" s="49">
        <f t="shared" si="15"/>
        <v>1832823.3058896158</v>
      </c>
      <c r="AJ63" s="49">
        <f t="shared" si="16"/>
        <v>1791874.4748289268</v>
      </c>
      <c r="AK63" s="49">
        <f t="shared" si="17"/>
        <v>1751920.6620930769</v>
      </c>
      <c r="AL63" s="49">
        <f t="shared" si="18"/>
        <v>1712937.6896666968</v>
      </c>
      <c r="AN63" s="49">
        <f t="shared" si="19"/>
        <v>77102663.612005934</v>
      </c>
      <c r="AO63" s="49">
        <f t="shared" si="20"/>
        <v>75269840.306116313</v>
      </c>
      <c r="AP63" s="49">
        <f t="shared" si="21"/>
        <v>73477965.831287384</v>
      </c>
      <c r="AQ63" s="49">
        <f t="shared" si="22"/>
        <v>71726045.169194311</v>
      </c>
      <c r="AR63" s="49">
        <f>IF($J63=0, IF($H63 &gt; AR$59, 0, IF($H63=AR$59, $F63, AQ63)), IF(OR($H63&gt;AR$59,$H63+$J63&lt;=AR$59),0,
IF($H63=AR$59,$S63-AL63,
AQ63-AL63)))</f>
        <v>70013107.479527608</v>
      </c>
      <c r="AT63" s="49">
        <f t="shared" si="24"/>
        <v>822402.93181515869</v>
      </c>
      <c r="AU63" s="49">
        <f t="shared" si="25"/>
        <v>869898.34593334782</v>
      </c>
      <c r="AV63" s="49">
        <f t="shared" si="26"/>
        <v>935732.25275358383</v>
      </c>
      <c r="AW63" s="49">
        <f t="shared" si="27"/>
        <v>947833.14224619314</v>
      </c>
      <c r="AX63" s="49">
        <f t="shared" si="28"/>
        <v>960090.52044172084</v>
      </c>
      <c r="AZ63" s="53">
        <f t="shared" si="29"/>
        <v>4766872.6605419619</v>
      </c>
      <c r="BA63" s="53">
        <f t="shared" si="30"/>
        <v>4648285.3987630466</v>
      </c>
      <c r="BB63" s="53">
        <f t="shared" si="31"/>
        <v>4621233.1232623011</v>
      </c>
      <c r="BC63" s="53">
        <f t="shared" si="32"/>
        <v>4545888.444371948</v>
      </c>
      <c r="BD63" s="53">
        <f t="shared" si="33"/>
        <v>4472695.8841211088</v>
      </c>
    </row>
    <row r="64" spans="2:56">
      <c r="B64" s="43">
        <f>'3. Input (des)investeringen '!B88</f>
        <v>1538</v>
      </c>
      <c r="C64" s="54"/>
      <c r="D64" s="54"/>
      <c r="E64" s="54"/>
      <c r="F64" s="48">
        <f>'3. Input (des)investeringen '!D88</f>
        <v>4629744.6502016177</v>
      </c>
      <c r="G64" s="54"/>
      <c r="H64" s="43">
        <f>'3. Input (des)investeringen '!F88</f>
        <v>2020</v>
      </c>
      <c r="I64" s="48" t="str">
        <f>'3. Input (des)investeringen '!G88</f>
        <v>nvt</v>
      </c>
      <c r="J64" s="48">
        <f>'3. Input (des)investeringen '!H88</f>
        <v>15</v>
      </c>
      <c r="K64" s="48">
        <f>'3. Input (des)investeringen '!I88</f>
        <v>0</v>
      </c>
      <c r="M64" s="49">
        <f t="shared" si="6"/>
        <v>154324.82167338725</v>
      </c>
      <c r="N64" s="49">
        <f t="shared" si="7"/>
        <v>313588.03764032293</v>
      </c>
      <c r="P64" s="147">
        <f t="shared" si="8"/>
        <v>4475419.8285282301</v>
      </c>
      <c r="Q64" s="147">
        <f t="shared" si="9"/>
        <v>4233438.5081443591</v>
      </c>
      <c r="S64" s="49">
        <f t="shared" si="10"/>
        <v>4233438.5081443591</v>
      </c>
      <c r="T64" s="44">
        <f t="shared" si="11"/>
        <v>13.5</v>
      </c>
      <c r="V64" s="49">
        <f t="shared" si="12"/>
        <v>366898.00403917785</v>
      </c>
      <c r="W64" s="49">
        <f t="shared" si="12"/>
        <v>331567.08513170143</v>
      </c>
      <c r="X64" s="49">
        <f t="shared" si="0"/>
        <v>299638.40285975981</v>
      </c>
      <c r="Y64" s="49">
        <f t="shared" si="0"/>
        <v>270784.33443622739</v>
      </c>
      <c r="Z64" s="49">
        <f t="shared" si="0"/>
        <v>267495.45588032174</v>
      </c>
      <c r="AB64" s="49">
        <f t="shared" si="13"/>
        <v>31358.803764032291</v>
      </c>
      <c r="AC64" s="49">
        <f t="shared" si="13"/>
        <v>31358.803764032291</v>
      </c>
      <c r="AD64" s="49">
        <f t="shared" si="1"/>
        <v>31358.803764032291</v>
      </c>
      <c r="AE64" s="49">
        <f t="shared" si="1"/>
        <v>31358.803764032291</v>
      </c>
      <c r="AF64" s="49">
        <f t="shared" si="1"/>
        <v>31358.803764032291</v>
      </c>
      <c r="AH64" s="49">
        <f t="shared" si="14"/>
        <v>398256.80780321016</v>
      </c>
      <c r="AI64" s="49">
        <f t="shared" si="15"/>
        <v>362925.88889573375</v>
      </c>
      <c r="AJ64" s="49">
        <f t="shared" si="16"/>
        <v>330997.20662379212</v>
      </c>
      <c r="AK64" s="49">
        <f t="shared" si="17"/>
        <v>302143.13820025971</v>
      </c>
      <c r="AL64" s="49">
        <f t="shared" si="18"/>
        <v>298854.25964435405</v>
      </c>
      <c r="AN64" s="49">
        <f t="shared" si="19"/>
        <v>3835181.7003411488</v>
      </c>
      <c r="AO64" s="49">
        <f t="shared" si="20"/>
        <v>3472255.811445415</v>
      </c>
      <c r="AP64" s="49">
        <f t="shared" si="21"/>
        <v>3141258.6048216228</v>
      </c>
      <c r="AQ64" s="49">
        <f t="shared" si="22"/>
        <v>2839115.4666213631</v>
      </c>
      <c r="AR64" s="49">
        <f t="shared" si="23"/>
        <v>2540261.2069770088</v>
      </c>
      <c r="AT64" s="49">
        <f t="shared" si="24"/>
        <v>47645.660420512315</v>
      </c>
      <c r="AU64" s="49">
        <f t="shared" si="25"/>
        <v>50397.292601117748</v>
      </c>
      <c r="AV64" s="49">
        <f t="shared" si="26"/>
        <v>54211.359705170347</v>
      </c>
      <c r="AW64" s="49">
        <f t="shared" si="27"/>
        <v>54912.421008877609</v>
      </c>
      <c r="AX64" s="49">
        <f t="shared" si="28"/>
        <v>55622.548437364407</v>
      </c>
      <c r="AZ64" s="53">
        <f t="shared" si="29"/>
        <v>564793.10093429801</v>
      </c>
      <c r="BA64" s="53">
        <f t="shared" si="30"/>
        <v>517490.85584021395</v>
      </c>
      <c r="BB64" s="53">
        <f t="shared" si="31"/>
        <v>479446.32447361114</v>
      </c>
      <c r="BC64" s="53">
        <f t="shared" si="32"/>
        <v>442229.02320777823</v>
      </c>
      <c r="BD64" s="53">
        <f t="shared" si="33"/>
        <v>430684.64429102873</v>
      </c>
    </row>
    <row r="65" spans="2:56">
      <c r="B65" s="43">
        <f>'3. Input (des)investeringen '!B89</f>
        <v>1539</v>
      </c>
      <c r="C65" s="54"/>
      <c r="D65" s="54"/>
      <c r="E65" s="54"/>
      <c r="F65" s="48">
        <f>'3. Input (des)investeringen '!D89</f>
        <v>26259145.971940324</v>
      </c>
      <c r="G65" s="54"/>
      <c r="H65" s="43">
        <f>'3. Input (des)investeringen '!F89</f>
        <v>2020</v>
      </c>
      <c r="I65" s="48" t="str">
        <f>'3. Input (des)investeringen '!G89</f>
        <v>nvt</v>
      </c>
      <c r="J65" s="48">
        <f>'3. Input (des)investeringen '!H89</f>
        <v>30</v>
      </c>
      <c r="K65" s="48">
        <f>'3. Input (des)investeringen '!I89</f>
        <v>0</v>
      </c>
      <c r="M65" s="49">
        <f t="shared" si="6"/>
        <v>437652.43286567205</v>
      </c>
      <c r="N65" s="49">
        <f t="shared" si="7"/>
        <v>889309.74358304567</v>
      </c>
      <c r="P65" s="147">
        <f t="shared" si="8"/>
        <v>25821493.539074652</v>
      </c>
      <c r="Q65" s="147">
        <f t="shared" si="9"/>
        <v>25345327.692116801</v>
      </c>
      <c r="S65" s="49">
        <f t="shared" si="10"/>
        <v>25345327.692116801</v>
      </c>
      <c r="T65" s="44">
        <f t="shared" si="11"/>
        <v>28.5</v>
      </c>
      <c r="V65" s="49">
        <f t="shared" si="12"/>
        <v>1040492.3999921635</v>
      </c>
      <c r="W65" s="49">
        <f t="shared" si="12"/>
        <v>993031.34315041569</v>
      </c>
      <c r="X65" s="49">
        <f t="shared" si="0"/>
        <v>947735.17662074766</v>
      </c>
      <c r="Y65" s="49">
        <f t="shared" si="0"/>
        <v>904505.1510205029</v>
      </c>
      <c r="Z65" s="49">
        <f t="shared" si="0"/>
        <v>863247.02132483083</v>
      </c>
      <c r="AB65" s="49">
        <f t="shared" si="13"/>
        <v>88930.974358304564</v>
      </c>
      <c r="AC65" s="49">
        <f t="shared" si="13"/>
        <v>88930.974358304578</v>
      </c>
      <c r="AD65" s="49">
        <f t="shared" si="1"/>
        <v>88930.974358304578</v>
      </c>
      <c r="AE65" s="49">
        <f t="shared" si="1"/>
        <v>88930.974358304578</v>
      </c>
      <c r="AF65" s="49">
        <f t="shared" si="1"/>
        <v>88930.974358304578</v>
      </c>
      <c r="AH65" s="49">
        <f t="shared" si="14"/>
        <v>1129423.3743504682</v>
      </c>
      <c r="AI65" s="49">
        <f t="shared" si="15"/>
        <v>1081962.3175087203</v>
      </c>
      <c r="AJ65" s="49">
        <f t="shared" si="16"/>
        <v>1036666.1509790523</v>
      </c>
      <c r="AK65" s="49">
        <f t="shared" si="17"/>
        <v>993436.12537880754</v>
      </c>
      <c r="AL65" s="49">
        <f t="shared" si="18"/>
        <v>952177.99568313546</v>
      </c>
      <c r="AN65" s="49">
        <f t="shared" si="19"/>
        <v>24215904.317766331</v>
      </c>
      <c r="AO65" s="49">
        <f t="shared" si="20"/>
        <v>23133942.000257611</v>
      </c>
      <c r="AP65" s="49">
        <f t="shared" si="21"/>
        <v>22097275.849278558</v>
      </c>
      <c r="AQ65" s="49">
        <f t="shared" si="22"/>
        <v>21103839.723899752</v>
      </c>
      <c r="AR65" s="49">
        <f t="shared" si="23"/>
        <v>20151661.728216618</v>
      </c>
      <c r="AT65" s="49">
        <f t="shared" si="24"/>
        <v>270238.30609259364</v>
      </c>
      <c r="AU65" s="49">
        <f t="shared" si="25"/>
        <v>285845.10874605313</v>
      </c>
      <c r="AV65" s="49">
        <f t="shared" si="26"/>
        <v>307477.86657595442</v>
      </c>
      <c r="AW65" s="49">
        <f t="shared" si="27"/>
        <v>311454.17034651461</v>
      </c>
      <c r="AX65" s="49">
        <f t="shared" si="28"/>
        <v>315481.89567743579</v>
      </c>
      <c r="AZ65" s="53">
        <f t="shared" si="29"/>
        <v>2150354.714293818</v>
      </c>
      <c r="BA65" s="53">
        <f t="shared" si="30"/>
        <v>2061825.6862625019</v>
      </c>
      <c r="BB65" s="53">
        <f t="shared" si="31"/>
        <v>2007062.2930333635</v>
      </c>
      <c r="BC65" s="53">
        <f t="shared" si="32"/>
        <v>1938005.4874423146</v>
      </c>
      <c r="BD65" s="53">
        <f t="shared" si="33"/>
        <v>1872209.7432070696</v>
      </c>
    </row>
    <row r="66" spans="2:56">
      <c r="B66" s="43">
        <f>'3. Input (des)investeringen '!B90</f>
        <v>1540</v>
      </c>
      <c r="C66" s="54"/>
      <c r="D66" s="54"/>
      <c r="E66" s="54"/>
      <c r="F66" s="48">
        <f>'3. Input (des)investeringen '!D90</f>
        <v>37094.77163904941</v>
      </c>
      <c r="G66" s="54"/>
      <c r="H66" s="43">
        <f>'3. Input (des)investeringen '!F90</f>
        <v>2020</v>
      </c>
      <c r="I66" s="48" t="str">
        <f>'3. Input (des)investeringen '!G90</f>
        <v>nvt</v>
      </c>
      <c r="J66" s="48">
        <f>'3. Input (des)investeringen '!H90</f>
        <v>55</v>
      </c>
      <c r="K66" s="48">
        <f>'3. Input (des)investeringen '!I90</f>
        <v>0</v>
      </c>
      <c r="M66" s="49">
        <f t="shared" si="6"/>
        <v>337.22519671863103</v>
      </c>
      <c r="N66" s="49">
        <f t="shared" si="7"/>
        <v>685.24159973225824</v>
      </c>
      <c r="P66" s="147">
        <f t="shared" si="8"/>
        <v>36757.546442330779</v>
      </c>
      <c r="Q66" s="147">
        <f t="shared" si="9"/>
        <v>36660.42558567581</v>
      </c>
      <c r="S66" s="49">
        <f t="shared" si="10"/>
        <v>36660.42558567581</v>
      </c>
      <c r="T66" s="44">
        <f t="shared" si="11"/>
        <v>53.5</v>
      </c>
      <c r="V66" s="49">
        <f t="shared" si="12"/>
        <v>801.73267168674215</v>
      </c>
      <c r="W66" s="49">
        <f t="shared" si="12"/>
        <v>782.25131704762498</v>
      </c>
      <c r="X66" s="49">
        <f t="shared" si="0"/>
        <v>763.24334111936491</v>
      </c>
      <c r="Y66" s="49">
        <f t="shared" si="0"/>
        <v>744.69724124169818</v>
      </c>
      <c r="Z66" s="49">
        <f t="shared" si="0"/>
        <v>726.60179425825504</v>
      </c>
      <c r="AB66" s="49">
        <f t="shared" si="13"/>
        <v>68.524159973225821</v>
      </c>
      <c r="AC66" s="49">
        <f t="shared" si="13"/>
        <v>68.524159973225821</v>
      </c>
      <c r="AD66" s="49">
        <f t="shared" si="1"/>
        <v>68.524159973225821</v>
      </c>
      <c r="AE66" s="49">
        <f t="shared" si="1"/>
        <v>68.524159973225821</v>
      </c>
      <c r="AF66" s="49">
        <f t="shared" si="1"/>
        <v>68.524159973225821</v>
      </c>
      <c r="AH66" s="49">
        <f t="shared" si="14"/>
        <v>870.25683165996793</v>
      </c>
      <c r="AI66" s="49">
        <f t="shared" si="15"/>
        <v>850.77547702085076</v>
      </c>
      <c r="AJ66" s="49">
        <f t="shared" si="16"/>
        <v>831.76750109259069</v>
      </c>
      <c r="AK66" s="49">
        <f t="shared" si="17"/>
        <v>813.22140121492396</v>
      </c>
      <c r="AL66" s="49">
        <f t="shared" si="18"/>
        <v>795.12595423148082</v>
      </c>
      <c r="AN66" s="49">
        <f t="shared" si="19"/>
        <v>35790.168754015845</v>
      </c>
      <c r="AO66" s="49">
        <f t="shared" si="20"/>
        <v>34939.393276994997</v>
      </c>
      <c r="AP66" s="49">
        <f t="shared" si="21"/>
        <v>34107.625775902408</v>
      </c>
      <c r="AQ66" s="49">
        <f t="shared" si="22"/>
        <v>33294.404374687481</v>
      </c>
      <c r="AR66" s="49">
        <f t="shared" si="23"/>
        <v>32499.278420456001</v>
      </c>
      <c r="AT66" s="49">
        <f t="shared" si="24"/>
        <v>381.74997249872774</v>
      </c>
      <c r="AU66" s="49">
        <f t="shared" si="25"/>
        <v>403.79679691047426</v>
      </c>
      <c r="AV66" s="49">
        <f t="shared" si="26"/>
        <v>434.35613850065903</v>
      </c>
      <c r="AW66" s="49">
        <f t="shared" si="27"/>
        <v>439.97323208374945</v>
      </c>
      <c r="AX66" s="49">
        <f t="shared" si="28"/>
        <v>445.66296592105653</v>
      </c>
      <c r="AZ66" s="53">
        <f t="shared" si="29"/>
        <v>2361.5020355331867</v>
      </c>
      <c r="BA66" s="53">
        <f t="shared" si="30"/>
        <v>2302.754072241175</v>
      </c>
      <c r="BB66" s="53">
        <f t="shared" si="31"/>
        <v>2289.352412870322</v>
      </c>
      <c r="BC66" s="53">
        <f t="shared" si="32"/>
        <v>2252.0267645392978</v>
      </c>
      <c r="BD66" s="53">
        <f t="shared" si="33"/>
        <v>2215.7672727662175</v>
      </c>
    </row>
    <row r="67" spans="2:56">
      <c r="B67" s="43">
        <f>'3. Input (des)investeringen '!B91</f>
        <v>1544</v>
      </c>
      <c r="C67" s="54"/>
      <c r="D67" s="54"/>
      <c r="E67" s="54"/>
      <c r="F67" s="48">
        <f>'3. Input (des)investeringen '!D91</f>
        <v>7478818.3856429011</v>
      </c>
      <c r="G67" s="54"/>
      <c r="H67" s="43">
        <f>'3. Input (des)investeringen '!F91</f>
        <v>2020</v>
      </c>
      <c r="I67" s="48" t="str">
        <f>'3. Input (des)investeringen '!G91</f>
        <v>nvt</v>
      </c>
      <c r="J67" s="48">
        <f>'3. Input (des)investeringen '!H91</f>
        <v>15</v>
      </c>
      <c r="K67" s="48">
        <f>'3. Input (des)investeringen '!I91</f>
        <v>0</v>
      </c>
      <c r="M67" s="49">
        <f t="shared" si="6"/>
        <v>249293.94618809671</v>
      </c>
      <c r="N67" s="49">
        <f t="shared" si="7"/>
        <v>506565.29865421256</v>
      </c>
      <c r="P67" s="147">
        <f t="shared" si="8"/>
        <v>7229524.4394548042</v>
      </c>
      <c r="Q67" s="147">
        <f t="shared" si="9"/>
        <v>6838631.5318318689</v>
      </c>
      <c r="S67" s="49">
        <f t="shared" si="10"/>
        <v>6838631.5318318689</v>
      </c>
      <c r="T67" s="44">
        <f t="shared" si="11"/>
        <v>13.5</v>
      </c>
      <c r="V67" s="49">
        <f t="shared" si="12"/>
        <v>592681.39942542871</v>
      </c>
      <c r="W67" s="49">
        <f t="shared" si="12"/>
        <v>535608.37577705411</v>
      </c>
      <c r="X67" s="49">
        <f t="shared" si="0"/>
        <v>484031.27292444895</v>
      </c>
      <c r="Y67" s="49">
        <f t="shared" si="0"/>
        <v>437420.85405024269</v>
      </c>
      <c r="Z67" s="49">
        <f t="shared" si="0"/>
        <v>432108.05015489564</v>
      </c>
      <c r="AB67" s="49">
        <f t="shared" si="13"/>
        <v>50656.529865421253</v>
      </c>
      <c r="AC67" s="49">
        <f t="shared" si="13"/>
        <v>50656.529865421253</v>
      </c>
      <c r="AD67" s="49">
        <f t="shared" si="1"/>
        <v>50656.529865421253</v>
      </c>
      <c r="AE67" s="49">
        <f t="shared" si="1"/>
        <v>50656.529865421253</v>
      </c>
      <c r="AF67" s="49">
        <f t="shared" si="1"/>
        <v>50656.529865421253</v>
      </c>
      <c r="AH67" s="49">
        <f t="shared" si="14"/>
        <v>643337.92929084995</v>
      </c>
      <c r="AI67" s="49">
        <f t="shared" si="15"/>
        <v>586264.90564247535</v>
      </c>
      <c r="AJ67" s="49">
        <f t="shared" si="16"/>
        <v>534687.80278987018</v>
      </c>
      <c r="AK67" s="49">
        <f t="shared" si="17"/>
        <v>488077.38391566393</v>
      </c>
      <c r="AL67" s="49">
        <f t="shared" si="18"/>
        <v>482764.58002031688</v>
      </c>
      <c r="AN67" s="49">
        <f t="shared" si="19"/>
        <v>6195293.6025410192</v>
      </c>
      <c r="AO67" s="49">
        <f t="shared" si="20"/>
        <v>5609028.6968985442</v>
      </c>
      <c r="AP67" s="49">
        <f t="shared" si="21"/>
        <v>5074340.8941086736</v>
      </c>
      <c r="AQ67" s="49">
        <f t="shared" si="22"/>
        <v>4586263.5101930099</v>
      </c>
      <c r="AR67" s="49">
        <f t="shared" si="23"/>
        <v>4103498.930172693</v>
      </c>
      <c r="AT67" s="49">
        <f t="shared" si="24"/>
        <v>76966.067909060177</v>
      </c>
      <c r="AU67" s="49">
        <f t="shared" si="25"/>
        <v>81411.012262944234</v>
      </c>
      <c r="AV67" s="49">
        <f t="shared" si="26"/>
        <v>87572.197671003858</v>
      </c>
      <c r="AW67" s="49">
        <f t="shared" si="27"/>
        <v>88704.681331285276</v>
      </c>
      <c r="AX67" s="49">
        <f t="shared" si="28"/>
        <v>89851.810270261471</v>
      </c>
      <c r="AZ67" s="53">
        <f t="shared" si="29"/>
        <v>912358.09887868178</v>
      </c>
      <c r="BA67" s="53">
        <f t="shared" si="30"/>
        <v>835946.77881237597</v>
      </c>
      <c r="BB67" s="53">
        <f t="shared" si="31"/>
        <v>774490.22728413425</v>
      </c>
      <c r="BC67" s="53">
        <f t="shared" si="32"/>
        <v>714369.97055273945</v>
      </c>
      <c r="BD67" s="53">
        <f t="shared" si="33"/>
        <v>695721.35819575912</v>
      </c>
    </row>
    <row r="68" spans="2:56">
      <c r="B68" s="43">
        <f>'3. Input (des)investeringen '!B92</f>
        <v>1545</v>
      </c>
      <c r="C68" s="54"/>
      <c r="D68" s="54"/>
      <c r="E68" s="54"/>
      <c r="F68" s="48">
        <f>'3. Input (des)investeringen '!D92</f>
        <v>7420552.1500870837</v>
      </c>
      <c r="G68" s="54"/>
      <c r="H68" s="43">
        <f>'3. Input (des)investeringen '!F92</f>
        <v>2020</v>
      </c>
      <c r="I68" s="48" t="str">
        <f>'3. Input (des)investeringen '!G92</f>
        <v>nvt</v>
      </c>
      <c r="J68" s="48">
        <f>'3. Input (des)investeringen '!H92</f>
        <v>30</v>
      </c>
      <c r="K68" s="48">
        <f>'3. Input (des)investeringen '!I92</f>
        <v>0</v>
      </c>
      <c r="M68" s="49">
        <f t="shared" si="6"/>
        <v>123675.86916811806</v>
      </c>
      <c r="N68" s="49">
        <f t="shared" si="7"/>
        <v>251309.3661496159</v>
      </c>
      <c r="P68" s="147">
        <f t="shared" si="8"/>
        <v>7296876.280918966</v>
      </c>
      <c r="Q68" s="147">
        <f t="shared" si="9"/>
        <v>7162316.9352640538</v>
      </c>
      <c r="S68" s="49">
        <f t="shared" si="10"/>
        <v>7162316.9352640538</v>
      </c>
      <c r="T68" s="44">
        <f t="shared" si="11"/>
        <v>28.5</v>
      </c>
      <c r="V68" s="49">
        <f t="shared" si="12"/>
        <v>294031.95839505066</v>
      </c>
      <c r="W68" s="49">
        <f t="shared" si="12"/>
        <v>280619.97432790801</v>
      </c>
      <c r="X68" s="49">
        <f t="shared" si="0"/>
        <v>267819.76497259992</v>
      </c>
      <c r="Y68" s="49">
        <f t="shared" si="0"/>
        <v>255603.42481595499</v>
      </c>
      <c r="Z68" s="49">
        <f t="shared" si="0"/>
        <v>243944.32122785883</v>
      </c>
      <c r="AB68" s="49">
        <f t="shared" si="13"/>
        <v>25130.936614961593</v>
      </c>
      <c r="AC68" s="49">
        <f t="shared" si="13"/>
        <v>25130.936614961593</v>
      </c>
      <c r="AD68" s="49">
        <f t="shared" si="1"/>
        <v>25130.936614961593</v>
      </c>
      <c r="AE68" s="49">
        <f t="shared" si="1"/>
        <v>25130.936614961593</v>
      </c>
      <c r="AF68" s="49">
        <f t="shared" si="1"/>
        <v>25130.936614961593</v>
      </c>
      <c r="AH68" s="49">
        <f t="shared" si="14"/>
        <v>319162.89501001226</v>
      </c>
      <c r="AI68" s="49">
        <f t="shared" si="15"/>
        <v>305750.91094286961</v>
      </c>
      <c r="AJ68" s="49">
        <f t="shared" si="16"/>
        <v>292950.70158756152</v>
      </c>
      <c r="AK68" s="49">
        <f t="shared" si="17"/>
        <v>280734.36143091659</v>
      </c>
      <c r="AL68" s="49">
        <f t="shared" si="18"/>
        <v>269075.25784282043</v>
      </c>
      <c r="AN68" s="49">
        <f t="shared" si="19"/>
        <v>6843154.0402540416</v>
      </c>
      <c r="AO68" s="49">
        <f t="shared" si="20"/>
        <v>6537403.1293111723</v>
      </c>
      <c r="AP68" s="49">
        <f t="shared" si="21"/>
        <v>6244452.4277236108</v>
      </c>
      <c r="AQ68" s="49">
        <f t="shared" si="22"/>
        <v>5963718.0662926938</v>
      </c>
      <c r="AR68" s="49">
        <f t="shared" si="23"/>
        <v>5694642.8084498737</v>
      </c>
      <c r="AT68" s="49">
        <f t="shared" si="24"/>
        <v>76366.438019503941</v>
      </c>
      <c r="AU68" s="49">
        <f t="shared" si="25"/>
        <v>80776.75254800632</v>
      </c>
      <c r="AV68" s="49">
        <f t="shared" si="26"/>
        <v>86889.937180839464</v>
      </c>
      <c r="AW68" s="49">
        <f t="shared" si="27"/>
        <v>88013.597848462072</v>
      </c>
      <c r="AX68" s="49">
        <f t="shared" si="28"/>
        <v>89151.789695838379</v>
      </c>
      <c r="AZ68" s="53">
        <f t="shared" si="29"/>
        <v>607667.10827739153</v>
      </c>
      <c r="BA68" s="53">
        <f t="shared" si="30"/>
        <v>582649.75737021107</v>
      </c>
      <c r="BB68" s="53">
        <f t="shared" si="31"/>
        <v>567174.21160010935</v>
      </c>
      <c r="BC68" s="53">
        <f t="shared" si="32"/>
        <v>547659.50126815948</v>
      </c>
      <c r="BD68" s="53">
        <f t="shared" si="33"/>
        <v>529066.33179215505</v>
      </c>
    </row>
    <row r="69" spans="2:56">
      <c r="B69" s="43">
        <f>'3. Input (des)investeringen '!B93</f>
        <v>1546</v>
      </c>
      <c r="C69" s="54"/>
      <c r="D69" s="54"/>
      <c r="E69" s="54"/>
      <c r="F69" s="48">
        <f>'3. Input (des)investeringen '!D93</f>
        <v>0</v>
      </c>
      <c r="G69" s="54"/>
      <c r="H69" s="43">
        <f>'3. Input (des)investeringen '!F93</f>
        <v>2020</v>
      </c>
      <c r="I69" s="48" t="str">
        <f>'3. Input (des)investeringen '!G93</f>
        <v>nvt</v>
      </c>
      <c r="J69" s="48">
        <f>'3. Input (des)investeringen '!H93</f>
        <v>55</v>
      </c>
      <c r="K69" s="48">
        <f>'3. Input (des)investeringen '!I93</f>
        <v>0</v>
      </c>
      <c r="M69" s="49">
        <f t="shared" si="6"/>
        <v>0</v>
      </c>
      <c r="N69" s="49">
        <f t="shared" si="7"/>
        <v>0</v>
      </c>
      <c r="P69" s="147">
        <f t="shared" si="8"/>
        <v>0</v>
      </c>
      <c r="Q69" s="147">
        <f t="shared" si="9"/>
        <v>0</v>
      </c>
      <c r="S69" s="49">
        <f t="shared" si="10"/>
        <v>0</v>
      </c>
      <c r="T69" s="44">
        <f t="shared" si="11"/>
        <v>53.5</v>
      </c>
      <c r="V69" s="49">
        <f t="shared" si="12"/>
        <v>0</v>
      </c>
      <c r="W69" s="49">
        <f t="shared" si="12"/>
        <v>0</v>
      </c>
      <c r="X69" s="49">
        <f t="shared" si="0"/>
        <v>0</v>
      </c>
      <c r="Y69" s="49">
        <f t="shared" si="0"/>
        <v>0</v>
      </c>
      <c r="Z69" s="49">
        <f t="shared" si="0"/>
        <v>0</v>
      </c>
      <c r="AB69" s="49">
        <f t="shared" si="13"/>
        <v>0</v>
      </c>
      <c r="AC69" s="49">
        <f t="shared" si="13"/>
        <v>0</v>
      </c>
      <c r="AD69" s="49">
        <f t="shared" si="1"/>
        <v>0</v>
      </c>
      <c r="AE69" s="49">
        <f t="shared" si="1"/>
        <v>0</v>
      </c>
      <c r="AF69" s="49">
        <f t="shared" si="1"/>
        <v>0</v>
      </c>
      <c r="AH69" s="49">
        <f t="shared" si="14"/>
        <v>0</v>
      </c>
      <c r="AI69" s="49">
        <f t="shared" si="15"/>
        <v>0</v>
      </c>
      <c r="AJ69" s="49">
        <f t="shared" si="16"/>
        <v>0</v>
      </c>
      <c r="AK69" s="49">
        <f t="shared" si="17"/>
        <v>0</v>
      </c>
      <c r="AL69" s="49">
        <f t="shared" si="18"/>
        <v>0</v>
      </c>
      <c r="AN69" s="49">
        <f t="shared" si="19"/>
        <v>0</v>
      </c>
      <c r="AO69" s="49">
        <f t="shared" si="20"/>
        <v>0</v>
      </c>
      <c r="AP69" s="49">
        <f t="shared" si="21"/>
        <v>0</v>
      </c>
      <c r="AQ69" s="49">
        <f t="shared" si="22"/>
        <v>0</v>
      </c>
      <c r="AR69" s="49">
        <f t="shared" si="23"/>
        <v>0</v>
      </c>
      <c r="AT69" s="49">
        <f t="shared" si="24"/>
        <v>0</v>
      </c>
      <c r="AU69" s="49">
        <f t="shared" si="25"/>
        <v>0</v>
      </c>
      <c r="AV69" s="49">
        <f t="shared" si="26"/>
        <v>0</v>
      </c>
      <c r="AW69" s="49">
        <f t="shared" si="27"/>
        <v>0</v>
      </c>
      <c r="AX69" s="49">
        <f t="shared" si="28"/>
        <v>0</v>
      </c>
      <c r="AZ69" s="53">
        <f t="shared" si="29"/>
        <v>0</v>
      </c>
      <c r="BA69" s="53">
        <f t="shared" si="30"/>
        <v>0</v>
      </c>
      <c r="BB69" s="53">
        <f t="shared" si="31"/>
        <v>0</v>
      </c>
      <c r="BC69" s="53">
        <f t="shared" si="32"/>
        <v>0</v>
      </c>
      <c r="BD69" s="53">
        <f t="shared" si="33"/>
        <v>0</v>
      </c>
    </row>
    <row r="70" spans="2:56">
      <c r="B70" s="43">
        <f>'3. Input (des)investeringen '!B94</f>
        <v>1550</v>
      </c>
      <c r="C70" s="54"/>
      <c r="D70" s="54"/>
      <c r="E70" s="54"/>
      <c r="F70" s="48">
        <f>'3. Input (des)investeringen '!D94</f>
        <v>23857053.29424395</v>
      </c>
      <c r="G70" s="54"/>
      <c r="H70" s="43">
        <f>'3. Input (des)investeringen '!F94</f>
        <v>2021</v>
      </c>
      <c r="I70" s="48" t="str">
        <f>'3. Input (des)investeringen '!G94</f>
        <v>nvt</v>
      </c>
      <c r="J70" s="48">
        <f>'3. Input (des)investeringen '!H94</f>
        <v>15</v>
      </c>
      <c r="K70" s="48">
        <f>'3. Input (des)investeringen '!I94</f>
        <v>1</v>
      </c>
      <c r="M70" s="49">
        <f t="shared" si="6"/>
        <v>0</v>
      </c>
      <c r="N70" s="49">
        <f t="shared" si="7"/>
        <v>795235.1098081317</v>
      </c>
      <c r="P70" s="147">
        <f t="shared" si="8"/>
        <v>0</v>
      </c>
      <c r="Q70" s="147">
        <f t="shared" si="9"/>
        <v>23061818.184435818</v>
      </c>
      <c r="S70" s="49">
        <f t="shared" si="10"/>
        <v>23061818.184435818</v>
      </c>
      <c r="T70" s="44">
        <f t="shared" si="11"/>
        <v>14.5</v>
      </c>
      <c r="V70" s="49">
        <f t="shared" si="12"/>
        <v>1860850.1569510282</v>
      </c>
      <c r="W70" s="49">
        <f t="shared" si="12"/>
        <v>1694015.3152933496</v>
      </c>
      <c r="X70" s="49">
        <f t="shared" si="0"/>
        <v>1542138.0801291184</v>
      </c>
      <c r="Y70" s="49">
        <f t="shared" si="0"/>
        <v>1403877.4246692664</v>
      </c>
      <c r="Z70" s="49">
        <f t="shared" si="0"/>
        <v>1357595.7513285214</v>
      </c>
      <c r="AB70" s="49">
        <f t="shared" si="13"/>
        <v>159047.02196162633</v>
      </c>
      <c r="AC70" s="49">
        <f t="shared" si="13"/>
        <v>159047.02196162636</v>
      </c>
      <c r="AD70" s="49">
        <f t="shared" si="1"/>
        <v>159047.02196162636</v>
      </c>
      <c r="AE70" s="49">
        <f t="shared" si="1"/>
        <v>159047.02196162636</v>
      </c>
      <c r="AF70" s="49">
        <f t="shared" si="1"/>
        <v>159047.02196162636</v>
      </c>
      <c r="AH70" s="49">
        <f t="shared" si="14"/>
        <v>2019897.1789126545</v>
      </c>
      <c r="AI70" s="49">
        <f t="shared" si="15"/>
        <v>1853062.3372549759</v>
      </c>
      <c r="AJ70" s="49">
        <f t="shared" si="16"/>
        <v>1701185.1020907448</v>
      </c>
      <c r="AK70" s="49">
        <f t="shared" si="17"/>
        <v>1562924.4466308928</v>
      </c>
      <c r="AL70" s="49">
        <f t="shared" si="18"/>
        <v>1516642.7732901478</v>
      </c>
      <c r="AN70" s="49">
        <f t="shared" si="19"/>
        <v>21041921.005523164</v>
      </c>
      <c r="AO70" s="49">
        <f t="shared" si="20"/>
        <v>19188858.668268189</v>
      </c>
      <c r="AP70" s="49">
        <f t="shared" si="21"/>
        <v>17487673.566177443</v>
      </c>
      <c r="AQ70" s="49">
        <f t="shared" si="22"/>
        <v>15924749.119546549</v>
      </c>
      <c r="AR70" s="49">
        <f t="shared" si="23"/>
        <v>14408106.346256401</v>
      </c>
      <c r="AT70" s="49">
        <f t="shared" si="24"/>
        <v>241893.34332526181</v>
      </c>
      <c r="AU70" s="49">
        <f t="shared" si="25"/>
        <v>255863.1676889823</v>
      </c>
      <c r="AV70" s="49">
        <f t="shared" si="26"/>
        <v>275226.89221968449</v>
      </c>
      <c r="AW70" s="49">
        <f t="shared" si="27"/>
        <v>278786.12638986949</v>
      </c>
      <c r="AX70" s="49">
        <f t="shared" si="28"/>
        <v>282391.38857634319</v>
      </c>
      <c r="AZ70" s="53">
        <f t="shared" si="29"/>
        <v>2730502.398784359</v>
      </c>
      <c r="BA70" s="53">
        <f t="shared" si="30"/>
        <v>2515462.0152975079</v>
      </c>
      <c r="BB70" s="53">
        <f t="shared" si="31"/>
        <v>2343476.5426141201</v>
      </c>
      <c r="BC70" s="53">
        <f t="shared" si="32"/>
        <v>2173327.5046709082</v>
      </c>
      <c r="BD70" s="53">
        <f t="shared" si="33"/>
        <v>2090706.8790621697</v>
      </c>
    </row>
    <row r="71" spans="2:56">
      <c r="B71" s="43">
        <f>'3. Input (des)investeringen '!B95</f>
        <v>1551</v>
      </c>
      <c r="C71" s="54"/>
      <c r="D71" s="54"/>
      <c r="E71" s="54"/>
      <c r="F71" s="48">
        <f>'3. Input (des)investeringen '!D95</f>
        <v>29301462.7172231</v>
      </c>
      <c r="G71" s="54"/>
      <c r="H71" s="43">
        <f>'3. Input (des)investeringen '!F95</f>
        <v>2021</v>
      </c>
      <c r="I71" s="48" t="str">
        <f>'3. Input (des)investeringen '!G95</f>
        <v>nvt</v>
      </c>
      <c r="J71" s="48">
        <f>'3. Input (des)investeringen '!H95</f>
        <v>30</v>
      </c>
      <c r="K71" s="48">
        <f>'3. Input (des)investeringen '!I95</f>
        <v>1</v>
      </c>
      <c r="M71" s="49">
        <f t="shared" si="6"/>
        <v>0</v>
      </c>
      <c r="N71" s="49">
        <f t="shared" si="7"/>
        <v>488357.71195371833</v>
      </c>
      <c r="P71" s="147">
        <f t="shared" si="8"/>
        <v>0</v>
      </c>
      <c r="Q71" s="147">
        <f t="shared" si="9"/>
        <v>28813105.005269382</v>
      </c>
      <c r="S71" s="49">
        <f t="shared" si="10"/>
        <v>28813105.005269382</v>
      </c>
      <c r="T71" s="44">
        <f t="shared" si="11"/>
        <v>29.5</v>
      </c>
      <c r="V71" s="49">
        <f t="shared" si="12"/>
        <v>1142757.0459717009</v>
      </c>
      <c r="W71" s="49">
        <f t="shared" si="12"/>
        <v>1092398.2608949819</v>
      </c>
      <c r="X71" s="49">
        <f t="shared" si="0"/>
        <v>1044258.6765165591</v>
      </c>
      <c r="Y71" s="49">
        <f t="shared" si="0"/>
        <v>998240.49755142257</v>
      </c>
      <c r="Z71" s="49">
        <f t="shared" si="0"/>
        <v>954250.2383372921</v>
      </c>
      <c r="AB71" s="49">
        <f t="shared" si="13"/>
        <v>97671.542390743678</v>
      </c>
      <c r="AC71" s="49">
        <f t="shared" si="13"/>
        <v>97671.542390743678</v>
      </c>
      <c r="AD71" s="49">
        <f t="shared" si="1"/>
        <v>97671.542390743678</v>
      </c>
      <c r="AE71" s="49">
        <f t="shared" si="1"/>
        <v>97671.542390743678</v>
      </c>
      <c r="AF71" s="49">
        <f t="shared" si="1"/>
        <v>97671.542390743678</v>
      </c>
      <c r="AH71" s="49">
        <f t="shared" si="14"/>
        <v>1240428.5883624447</v>
      </c>
      <c r="AI71" s="49">
        <f t="shared" si="15"/>
        <v>1190069.8032857256</v>
      </c>
      <c r="AJ71" s="49">
        <f t="shared" si="16"/>
        <v>1141930.2189073027</v>
      </c>
      <c r="AK71" s="49">
        <f t="shared" si="17"/>
        <v>1095912.0399421663</v>
      </c>
      <c r="AL71" s="49">
        <f t="shared" si="18"/>
        <v>1051921.7807280358</v>
      </c>
      <c r="AN71" s="49">
        <f t="shared" si="19"/>
        <v>27572676.416906938</v>
      </c>
      <c r="AO71" s="49">
        <f t="shared" si="20"/>
        <v>26382606.613621213</v>
      </c>
      <c r="AP71" s="49">
        <f t="shared" si="21"/>
        <v>25240676.394713908</v>
      </c>
      <c r="AQ71" s="49">
        <f t="shared" si="22"/>
        <v>24144764.354771741</v>
      </c>
      <c r="AR71" s="49">
        <f t="shared" si="23"/>
        <v>23092842.574043706</v>
      </c>
      <c r="AT71" s="49">
        <f t="shared" si="24"/>
        <v>297095.73489948583</v>
      </c>
      <c r="AU71" s="49">
        <f t="shared" si="25"/>
        <v>314253.60778140096</v>
      </c>
      <c r="AV71" s="49">
        <f t="shared" si="26"/>
        <v>338036.32081829745</v>
      </c>
      <c r="AW71" s="49">
        <f t="shared" si="27"/>
        <v>342407.80651911959</v>
      </c>
      <c r="AX71" s="49">
        <f t="shared" si="28"/>
        <v>346835.8242730248</v>
      </c>
      <c r="AZ71" s="53">
        <f t="shared" si="29"/>
        <v>2241563.8227783246</v>
      </c>
      <c r="BA71" s="53">
        <f t="shared" si="30"/>
        <v>2151166.1080787899</v>
      </c>
      <c r="BB71" s="53">
        <f t="shared" si="31"/>
        <v>2096244.0611782954</v>
      </c>
      <c r="BC71" s="53">
        <f t="shared" si="32"/>
        <v>2026415.0221468587</v>
      </c>
      <c r="BD71" s="53">
        <f t="shared" si="33"/>
        <v>1959775.6806423625</v>
      </c>
    </row>
    <row r="72" spans="2:56">
      <c r="B72" s="43">
        <f>'3. Input (des)investeringen '!B96</f>
        <v>1552</v>
      </c>
      <c r="C72" s="54"/>
      <c r="D72" s="54"/>
      <c r="E72" s="54"/>
      <c r="F72" s="48">
        <f>'3. Input (des)investeringen '!D96</f>
        <v>81110584.954272762</v>
      </c>
      <c r="G72" s="54"/>
      <c r="H72" s="43">
        <f>'3. Input (des)investeringen '!F96</f>
        <v>2021</v>
      </c>
      <c r="I72" s="48" t="str">
        <f>'3. Input (des)investeringen '!G96</f>
        <v>nvt</v>
      </c>
      <c r="J72" s="48">
        <f>'3. Input (des)investeringen '!H96</f>
        <v>55</v>
      </c>
      <c r="K72" s="48">
        <f>'3. Input (des)investeringen '!I96</f>
        <v>1</v>
      </c>
      <c r="M72" s="49">
        <f t="shared" si="6"/>
        <v>0</v>
      </c>
      <c r="N72" s="49">
        <f t="shared" si="7"/>
        <v>737368.95412975235</v>
      </c>
      <c r="P72" s="147">
        <f t="shared" si="8"/>
        <v>0</v>
      </c>
      <c r="Q72" s="147">
        <f t="shared" si="9"/>
        <v>80373216.000143006</v>
      </c>
      <c r="S72" s="49">
        <f t="shared" si="10"/>
        <v>80373216.000143006</v>
      </c>
      <c r="T72" s="44">
        <f t="shared" si="11"/>
        <v>54.5</v>
      </c>
      <c r="V72" s="49">
        <f t="shared" si="12"/>
        <v>1725443.3526636206</v>
      </c>
      <c r="W72" s="49">
        <f t="shared" si="12"/>
        <v>1684285.9882881581</v>
      </c>
      <c r="X72" s="49">
        <f t="shared" si="0"/>
        <v>1644110.3592097249</v>
      </c>
      <c r="Y72" s="49">
        <f t="shared" si="0"/>
        <v>1604893.0478891258</v>
      </c>
      <c r="Z72" s="49">
        <f t="shared" si="0"/>
        <v>1566611.1953706695</v>
      </c>
      <c r="AB72" s="49">
        <f t="shared" si="13"/>
        <v>147473.79082595048</v>
      </c>
      <c r="AC72" s="49">
        <f t="shared" si="13"/>
        <v>147473.79082595048</v>
      </c>
      <c r="AD72" s="49">
        <f t="shared" si="1"/>
        <v>147473.79082595048</v>
      </c>
      <c r="AE72" s="49">
        <f t="shared" si="1"/>
        <v>147473.79082595048</v>
      </c>
      <c r="AF72" s="49">
        <f t="shared" si="1"/>
        <v>147473.79082595048</v>
      </c>
      <c r="AH72" s="49">
        <f t="shared" si="14"/>
        <v>1872917.1434895711</v>
      </c>
      <c r="AI72" s="49">
        <f t="shared" si="15"/>
        <v>1831759.7791141085</v>
      </c>
      <c r="AJ72" s="49">
        <f t="shared" si="16"/>
        <v>1791584.1500356754</v>
      </c>
      <c r="AK72" s="49">
        <f t="shared" si="17"/>
        <v>1752366.8387150762</v>
      </c>
      <c r="AL72" s="49">
        <f t="shared" si="18"/>
        <v>1714084.9861966199</v>
      </c>
      <c r="AN72" s="49">
        <f t="shared" si="19"/>
        <v>78500298.856653437</v>
      </c>
      <c r="AO72" s="49">
        <f t="shared" si="20"/>
        <v>76668539.077539325</v>
      </c>
      <c r="AP72" s="49">
        <f t="shared" si="21"/>
        <v>74876954.927503645</v>
      </c>
      <c r="AQ72" s="49">
        <f t="shared" si="22"/>
        <v>73124588.088788569</v>
      </c>
      <c r="AR72" s="49">
        <f t="shared" si="23"/>
        <v>71410503.102591947</v>
      </c>
      <c r="AT72" s="49">
        <f t="shared" si="24"/>
        <v>822402.93181515869</v>
      </c>
      <c r="AU72" s="49">
        <f t="shared" si="25"/>
        <v>869898.34593334782</v>
      </c>
      <c r="AV72" s="49">
        <f t="shared" si="26"/>
        <v>935732.25275358371</v>
      </c>
      <c r="AW72" s="49">
        <f t="shared" si="27"/>
        <v>947833.1422461929</v>
      </c>
      <c r="AX72" s="49">
        <f t="shared" si="28"/>
        <v>960090.5204417205</v>
      </c>
      <c r="AZ72" s="53">
        <f t="shared" si="29"/>
        <v>4805713.0914497441</v>
      </c>
      <c r="BA72" s="53">
        <f t="shared" si="30"/>
        <v>4686606.2966390969</v>
      </c>
      <c r="BB72" s="53">
        <f t="shared" si="31"/>
        <v>4660286.6724256631</v>
      </c>
      <c r="BC72" s="53">
        <f t="shared" si="32"/>
        <v>4585619.5533365561</v>
      </c>
      <c r="BD72" s="53">
        <f t="shared" si="33"/>
        <v>4513051.6919339849</v>
      </c>
    </row>
    <row r="73" spans="2:56">
      <c r="B73" s="43">
        <f>'3. Input (des)investeringen '!B97</f>
        <v>1556</v>
      </c>
      <c r="C73" s="54"/>
      <c r="D73" s="54"/>
      <c r="E73" s="54"/>
      <c r="F73" s="48">
        <f>'3. Input (des)investeringen '!D97</f>
        <v>4699116.7440402387</v>
      </c>
      <c r="G73" s="54"/>
      <c r="H73" s="43">
        <f>'3. Input (des)investeringen '!F97</f>
        <v>2021</v>
      </c>
      <c r="I73" s="48" t="str">
        <f>'3. Input (des)investeringen '!G97</f>
        <v>nvt</v>
      </c>
      <c r="J73" s="48">
        <f>'3. Input (des)investeringen '!H97</f>
        <v>15</v>
      </c>
      <c r="K73" s="48">
        <f>'3. Input (des)investeringen '!I97</f>
        <v>0</v>
      </c>
      <c r="M73" s="49">
        <f t="shared" si="6"/>
        <v>0</v>
      </c>
      <c r="N73" s="49">
        <f t="shared" si="7"/>
        <v>156637.22480134128</v>
      </c>
      <c r="P73" s="147">
        <f t="shared" si="8"/>
        <v>0</v>
      </c>
      <c r="Q73" s="147">
        <f t="shared" si="9"/>
        <v>4542479.5192388976</v>
      </c>
      <c r="S73" s="49">
        <f t="shared" si="10"/>
        <v>4542479.5192388976</v>
      </c>
      <c r="T73" s="44">
        <f t="shared" si="11"/>
        <v>14.5</v>
      </c>
      <c r="V73" s="49">
        <f t="shared" si="12"/>
        <v>366531.10603513865</v>
      </c>
      <c r="W73" s="49">
        <f t="shared" si="12"/>
        <v>333669.69652854005</v>
      </c>
      <c r="X73" s="49">
        <f t="shared" si="0"/>
        <v>303754.48235701578</v>
      </c>
      <c r="Y73" s="49">
        <f t="shared" si="0"/>
        <v>276521.32186983502</v>
      </c>
      <c r="Z73" s="49">
        <f t="shared" si="0"/>
        <v>267405.23433566466</v>
      </c>
      <c r="AB73" s="49">
        <f t="shared" si="13"/>
        <v>31327.444960268262</v>
      </c>
      <c r="AC73" s="49">
        <f t="shared" si="13"/>
        <v>31327.444960268262</v>
      </c>
      <c r="AD73" s="49">
        <f t="shared" si="1"/>
        <v>31327.444960268262</v>
      </c>
      <c r="AE73" s="49">
        <f t="shared" si="1"/>
        <v>31327.444960268262</v>
      </c>
      <c r="AF73" s="49">
        <f t="shared" si="1"/>
        <v>31327.444960268262</v>
      </c>
      <c r="AH73" s="49">
        <f t="shared" si="14"/>
        <v>397858.55099540693</v>
      </c>
      <c r="AI73" s="49">
        <f t="shared" si="15"/>
        <v>364997.14148880832</v>
      </c>
      <c r="AJ73" s="49">
        <f t="shared" si="16"/>
        <v>335081.92731728405</v>
      </c>
      <c r="AK73" s="49">
        <f t="shared" si="17"/>
        <v>307848.7668301033</v>
      </c>
      <c r="AL73" s="49">
        <f t="shared" si="18"/>
        <v>298732.67929593293</v>
      </c>
      <c r="AN73" s="49">
        <f t="shared" si="19"/>
        <v>4144620.9682434909</v>
      </c>
      <c r="AO73" s="49">
        <f t="shared" si="20"/>
        <v>3779623.8267546827</v>
      </c>
      <c r="AP73" s="49">
        <f t="shared" si="21"/>
        <v>3444541.8994373986</v>
      </c>
      <c r="AQ73" s="49">
        <f t="shared" si="22"/>
        <v>3136693.1326072952</v>
      </c>
      <c r="AR73" s="49">
        <f t="shared" si="23"/>
        <v>2837960.4533113623</v>
      </c>
      <c r="AT73" s="49">
        <f t="shared" si="24"/>
        <v>47645.660420512315</v>
      </c>
      <c r="AU73" s="49">
        <f t="shared" si="25"/>
        <v>50397.292601117748</v>
      </c>
      <c r="AV73" s="49">
        <f t="shared" si="26"/>
        <v>54211.359705170325</v>
      </c>
      <c r="AW73" s="49">
        <f t="shared" si="27"/>
        <v>54912.421008877594</v>
      </c>
      <c r="AX73" s="49">
        <f t="shared" si="28"/>
        <v>55622.548437364385</v>
      </c>
      <c r="AZ73" s="53">
        <f t="shared" si="29"/>
        <v>573987.46143146744</v>
      </c>
      <c r="BA73" s="53">
        <f t="shared" si="30"/>
        <v>528783.14889256656</v>
      </c>
      <c r="BB73" s="53">
        <f t="shared" si="31"/>
        <v>492629.54400557635</v>
      </c>
      <c r="BC73" s="53">
        <f t="shared" si="32"/>
        <v>456861.98181719973</v>
      </c>
      <c r="BD73" s="53">
        <f t="shared" si="33"/>
        <v>439494.04133263818</v>
      </c>
    </row>
    <row r="74" spans="2:56">
      <c r="B74" s="43">
        <f>'3. Input (des)investeringen '!B98</f>
        <v>1557</v>
      </c>
      <c r="C74" s="54"/>
      <c r="D74" s="54"/>
      <c r="E74" s="54"/>
      <c r="F74" s="48">
        <f>'3. Input (des)investeringen '!D98</f>
        <v>26652613.015183877</v>
      </c>
      <c r="G74" s="54"/>
      <c r="H74" s="43">
        <f>'3. Input (des)investeringen '!F98</f>
        <v>2021</v>
      </c>
      <c r="I74" s="48" t="str">
        <f>'3. Input (des)investeringen '!G98</f>
        <v>nvt</v>
      </c>
      <c r="J74" s="48">
        <f>'3. Input (des)investeringen '!H98</f>
        <v>30</v>
      </c>
      <c r="K74" s="48">
        <f>'3. Input (des)investeringen '!I98</f>
        <v>0</v>
      </c>
      <c r="M74" s="49">
        <f t="shared" si="6"/>
        <v>0</v>
      </c>
      <c r="N74" s="49">
        <f t="shared" si="7"/>
        <v>444210.21691973129</v>
      </c>
      <c r="P74" s="147">
        <f t="shared" si="8"/>
        <v>0</v>
      </c>
      <c r="Q74" s="147">
        <f t="shared" si="9"/>
        <v>26208402.798264146</v>
      </c>
      <c r="S74" s="49">
        <f t="shared" si="10"/>
        <v>26208402.798264146</v>
      </c>
      <c r="T74" s="44">
        <f t="shared" si="11"/>
        <v>29.5</v>
      </c>
      <c r="V74" s="49">
        <f t="shared" si="12"/>
        <v>1039451.9075921712</v>
      </c>
      <c r="W74" s="49">
        <f t="shared" si="12"/>
        <v>993645.55234234675</v>
      </c>
      <c r="X74" s="49">
        <f t="shared" si="0"/>
        <v>949857.78223912464</v>
      </c>
      <c r="Y74" s="49">
        <f t="shared" si="0"/>
        <v>907999.64268282428</v>
      </c>
      <c r="Z74" s="49">
        <f t="shared" si="0"/>
        <v>867986.09910697106</v>
      </c>
      <c r="AB74" s="49">
        <f t="shared" si="13"/>
        <v>88842.043383946264</v>
      </c>
      <c r="AC74" s="49">
        <f t="shared" si="13"/>
        <v>88842.043383946264</v>
      </c>
      <c r="AD74" s="49">
        <f t="shared" si="1"/>
        <v>88842.043383946264</v>
      </c>
      <c r="AE74" s="49">
        <f t="shared" si="1"/>
        <v>88842.043383946264</v>
      </c>
      <c r="AF74" s="49">
        <f t="shared" si="1"/>
        <v>88842.043383946264</v>
      </c>
      <c r="AH74" s="49">
        <f t="shared" si="14"/>
        <v>1128293.9509761175</v>
      </c>
      <c r="AI74" s="49">
        <f t="shared" si="15"/>
        <v>1082487.595726293</v>
      </c>
      <c r="AJ74" s="49">
        <f t="shared" si="16"/>
        <v>1038699.8256230709</v>
      </c>
      <c r="AK74" s="49">
        <f t="shared" si="17"/>
        <v>996841.68606677058</v>
      </c>
      <c r="AL74" s="49">
        <f t="shared" si="18"/>
        <v>956828.14249091735</v>
      </c>
      <c r="AN74" s="49">
        <f t="shared" si="19"/>
        <v>25080108.847288027</v>
      </c>
      <c r="AO74" s="49">
        <f t="shared" si="20"/>
        <v>23997621.251561735</v>
      </c>
      <c r="AP74" s="49">
        <f t="shared" si="21"/>
        <v>22958921.425938662</v>
      </c>
      <c r="AQ74" s="49">
        <f t="shared" si="22"/>
        <v>21962079.739871893</v>
      </c>
      <c r="AR74" s="49">
        <f t="shared" si="23"/>
        <v>21005251.597380977</v>
      </c>
      <c r="AT74" s="49">
        <f t="shared" si="24"/>
        <v>270238.30609259359</v>
      </c>
      <c r="AU74" s="49">
        <f t="shared" si="25"/>
        <v>285845.10874605307</v>
      </c>
      <c r="AV74" s="49">
        <f t="shared" si="26"/>
        <v>307477.86657595437</v>
      </c>
      <c r="AW74" s="49">
        <f t="shared" si="27"/>
        <v>311454.17034651461</v>
      </c>
      <c r="AX74" s="49">
        <f t="shared" si="28"/>
        <v>315481.89567743568</v>
      </c>
      <c r="AZ74" s="53">
        <f t="shared" si="29"/>
        <v>2176015.6313346401</v>
      </c>
      <c r="BA74" s="53">
        <f t="shared" si="30"/>
        <v>2088261.342019198</v>
      </c>
      <c r="BB74" s="53">
        <f t="shared" si="31"/>
        <v>2034945.3349771854</v>
      </c>
      <c r="BC74" s="53">
        <f t="shared" si="32"/>
        <v>1967158.248609442</v>
      </c>
      <c r="BD74" s="53">
        <f t="shared" si="33"/>
        <v>1902467.5860897824</v>
      </c>
    </row>
    <row r="75" spans="2:56">
      <c r="B75" s="43">
        <f>'3. Input (des)investeringen '!B99</f>
        <v>1558</v>
      </c>
      <c r="C75" s="54"/>
      <c r="D75" s="54"/>
      <c r="E75" s="54"/>
      <c r="F75" s="48">
        <f>'3. Input (des)investeringen '!D99</f>
        <v>37650.599697288933</v>
      </c>
      <c r="G75" s="54"/>
      <c r="H75" s="43">
        <f>'3. Input (des)investeringen '!F99</f>
        <v>2021</v>
      </c>
      <c r="I75" s="48" t="str">
        <f>'3. Input (des)investeringen '!G99</f>
        <v>nvt</v>
      </c>
      <c r="J75" s="48">
        <f>'3. Input (des)investeringen '!H99</f>
        <v>55</v>
      </c>
      <c r="K75" s="48">
        <f>'3. Input (des)investeringen '!I99</f>
        <v>0</v>
      </c>
      <c r="M75" s="49">
        <f t="shared" si="6"/>
        <v>0</v>
      </c>
      <c r="N75" s="49">
        <f t="shared" si="7"/>
        <v>342.27817906626302</v>
      </c>
      <c r="P75" s="147">
        <f t="shared" si="8"/>
        <v>0</v>
      </c>
      <c r="Q75" s="147">
        <f t="shared" si="9"/>
        <v>37308.32151822267</v>
      </c>
      <c r="S75" s="49">
        <f t="shared" si="10"/>
        <v>37308.32151822267</v>
      </c>
      <c r="T75" s="44">
        <f t="shared" si="11"/>
        <v>54.5</v>
      </c>
      <c r="V75" s="49">
        <f t="shared" si="12"/>
        <v>800.93093901505563</v>
      </c>
      <c r="W75" s="49">
        <f t="shared" si="12"/>
        <v>781.82616432295322</v>
      </c>
      <c r="X75" s="49">
        <f t="shared" si="0"/>
        <v>763.17709985286444</v>
      </c>
      <c r="Y75" s="49">
        <f t="shared" si="0"/>
        <v>744.97287545270444</v>
      </c>
      <c r="Z75" s="49">
        <f t="shared" si="0"/>
        <v>727.20288025841967</v>
      </c>
      <c r="AB75" s="49">
        <f t="shared" si="13"/>
        <v>68.455635813252613</v>
      </c>
      <c r="AC75" s="49">
        <f t="shared" si="13"/>
        <v>68.455635813252613</v>
      </c>
      <c r="AD75" s="49">
        <f t="shared" si="1"/>
        <v>68.455635813252613</v>
      </c>
      <c r="AE75" s="49">
        <f t="shared" si="1"/>
        <v>68.455635813252613</v>
      </c>
      <c r="AF75" s="49">
        <f t="shared" si="1"/>
        <v>68.455635813252613</v>
      </c>
      <c r="AH75" s="49">
        <f t="shared" si="14"/>
        <v>869.3865748283082</v>
      </c>
      <c r="AI75" s="49">
        <f t="shared" si="15"/>
        <v>850.28180013620579</v>
      </c>
      <c r="AJ75" s="49">
        <f t="shared" si="16"/>
        <v>831.63273566611701</v>
      </c>
      <c r="AK75" s="49">
        <f t="shared" si="17"/>
        <v>813.42851126595701</v>
      </c>
      <c r="AL75" s="49">
        <f t="shared" si="18"/>
        <v>795.65851607167224</v>
      </c>
      <c r="AN75" s="49">
        <f t="shared" si="19"/>
        <v>36438.934943394364</v>
      </c>
      <c r="AO75" s="49">
        <f t="shared" si="20"/>
        <v>35588.653143258161</v>
      </c>
      <c r="AP75" s="49">
        <f t="shared" si="21"/>
        <v>34757.020407592041</v>
      </c>
      <c r="AQ75" s="49">
        <f t="shared" si="22"/>
        <v>33943.591896326085</v>
      </c>
      <c r="AR75" s="49">
        <f t="shared" si="23"/>
        <v>33147.933380254413</v>
      </c>
      <c r="AT75" s="49">
        <f t="shared" si="24"/>
        <v>381.74997249872774</v>
      </c>
      <c r="AU75" s="49">
        <f t="shared" si="25"/>
        <v>403.79679691047426</v>
      </c>
      <c r="AV75" s="49">
        <f t="shared" si="26"/>
        <v>434.35613850065903</v>
      </c>
      <c r="AW75" s="49">
        <f t="shared" si="27"/>
        <v>439.97323208374956</v>
      </c>
      <c r="AX75" s="49">
        <f t="shared" si="28"/>
        <v>445.66296592105647</v>
      </c>
      <c r="AZ75" s="53">
        <f t="shared" si="29"/>
        <v>2380.7435305722615</v>
      </c>
      <c r="BA75" s="53">
        <f t="shared" si="30"/>
        <v>2321.7381913444251</v>
      </c>
      <c r="BB75" s="53">
        <f t="shared" si="31"/>
        <v>2308.6994863945374</v>
      </c>
      <c r="BC75" s="53">
        <f t="shared" si="32"/>
        <v>2271.709500239489</v>
      </c>
      <c r="BD75" s="53">
        <f t="shared" si="33"/>
        <v>2235.7594834003612</v>
      </c>
    </row>
    <row r="76" spans="2:56">
      <c r="B76" s="43">
        <f>'3. Input (des)investeringen '!B100</f>
        <v>1562</v>
      </c>
      <c r="C76" s="54"/>
      <c r="D76" s="54"/>
      <c r="E76" s="54"/>
      <c r="F76" s="48">
        <f>'3. Input (des)investeringen '!D100</f>
        <v>7590881.0003333744</v>
      </c>
      <c r="G76" s="54"/>
      <c r="H76" s="43">
        <f>'3. Input (des)investeringen '!F100</f>
        <v>2021</v>
      </c>
      <c r="I76" s="48" t="str">
        <f>'3. Input (des)investeringen '!G100</f>
        <v>nvt</v>
      </c>
      <c r="J76" s="48">
        <f>'3. Input (des)investeringen '!H100</f>
        <v>15</v>
      </c>
      <c r="K76" s="48">
        <f>'3. Input (des)investeringen '!I100</f>
        <v>0</v>
      </c>
      <c r="M76" s="49">
        <f t="shared" si="6"/>
        <v>0</v>
      </c>
      <c r="N76" s="49">
        <f t="shared" si="7"/>
        <v>253029.36667777915</v>
      </c>
      <c r="P76" s="147">
        <f t="shared" si="8"/>
        <v>0</v>
      </c>
      <c r="Q76" s="147">
        <f t="shared" si="9"/>
        <v>7337851.6336555956</v>
      </c>
      <c r="S76" s="49">
        <f t="shared" si="10"/>
        <v>7337851.6336555956</v>
      </c>
      <c r="T76" s="44">
        <f t="shared" si="11"/>
        <v>14.5</v>
      </c>
      <c r="V76" s="49">
        <f t="shared" si="12"/>
        <v>592088.71802600322</v>
      </c>
      <c r="W76" s="49">
        <f t="shared" si="12"/>
        <v>539004.90192712017</v>
      </c>
      <c r="X76" s="49">
        <f t="shared" si="0"/>
        <v>490680.32451296458</v>
      </c>
      <c r="Y76" s="49">
        <f t="shared" si="0"/>
        <v>446688.29541869886</v>
      </c>
      <c r="Z76" s="49">
        <f t="shared" si="0"/>
        <v>431962.30765764281</v>
      </c>
      <c r="AB76" s="49">
        <f t="shared" si="13"/>
        <v>50605.873335555836</v>
      </c>
      <c r="AC76" s="49">
        <f t="shared" si="13"/>
        <v>50605.873335555836</v>
      </c>
      <c r="AD76" s="49">
        <f t="shared" si="1"/>
        <v>50605.873335555836</v>
      </c>
      <c r="AE76" s="49">
        <f t="shared" si="1"/>
        <v>50605.873335555836</v>
      </c>
      <c r="AF76" s="49">
        <f t="shared" si="1"/>
        <v>50605.873335555836</v>
      </c>
      <c r="AH76" s="49">
        <f t="shared" si="14"/>
        <v>642694.591361559</v>
      </c>
      <c r="AI76" s="49">
        <f t="shared" si="15"/>
        <v>589610.77526267595</v>
      </c>
      <c r="AJ76" s="49">
        <f t="shared" si="16"/>
        <v>541286.19784852047</v>
      </c>
      <c r="AK76" s="49">
        <f t="shared" si="17"/>
        <v>497294.1687542547</v>
      </c>
      <c r="AL76" s="49">
        <f t="shared" si="18"/>
        <v>482568.18099319865</v>
      </c>
      <c r="AN76" s="49">
        <f t="shared" si="19"/>
        <v>6695157.0422940366</v>
      </c>
      <c r="AO76" s="49">
        <f t="shared" si="20"/>
        <v>6105546.2670313604</v>
      </c>
      <c r="AP76" s="49">
        <f t="shared" si="21"/>
        <v>5564260.0691828402</v>
      </c>
      <c r="AQ76" s="49">
        <f t="shared" si="22"/>
        <v>5066965.9004285857</v>
      </c>
      <c r="AR76" s="49">
        <f t="shared" si="23"/>
        <v>4584397.7194353873</v>
      </c>
      <c r="AT76" s="49">
        <f t="shared" si="24"/>
        <v>76966.067909060177</v>
      </c>
      <c r="AU76" s="49">
        <f t="shared" si="25"/>
        <v>81411.012262944219</v>
      </c>
      <c r="AV76" s="49">
        <f t="shared" si="26"/>
        <v>87572.197671003829</v>
      </c>
      <c r="AW76" s="49">
        <f t="shared" si="27"/>
        <v>88704.681331285261</v>
      </c>
      <c r="AX76" s="49">
        <f t="shared" si="28"/>
        <v>89851.810270261427</v>
      </c>
      <c r="AZ76" s="53">
        <f t="shared" si="29"/>
        <v>927210.52758173423</v>
      </c>
      <c r="BA76" s="53">
        <f t="shared" si="30"/>
        <v>854188.17553656094</v>
      </c>
      <c r="BB76" s="53">
        <f t="shared" si="31"/>
        <v>795786.19759500958</v>
      </c>
      <c r="BC76" s="53">
        <f t="shared" si="32"/>
        <v>738007.82709839754</v>
      </c>
      <c r="BD76" s="53">
        <f t="shared" si="33"/>
        <v>709951.92284652172</v>
      </c>
    </row>
    <row r="77" spans="2:56">
      <c r="B77" s="43">
        <f>'3. Input (des)investeringen '!B101</f>
        <v>1563</v>
      </c>
      <c r="C77" s="54"/>
      <c r="D77" s="54"/>
      <c r="E77" s="54"/>
      <c r="F77" s="48">
        <f>'3. Input (des)investeringen '!D101</f>
        <v>7531741.7035039887</v>
      </c>
      <c r="G77" s="54"/>
      <c r="H77" s="43">
        <f>'3. Input (des)investeringen '!F101</f>
        <v>2021</v>
      </c>
      <c r="I77" s="48" t="str">
        <f>'3. Input (des)investeringen '!G101</f>
        <v>nvt</v>
      </c>
      <c r="J77" s="48">
        <f>'3. Input (des)investeringen '!H101</f>
        <v>30</v>
      </c>
      <c r="K77" s="48">
        <f>'3. Input (des)investeringen '!I101</f>
        <v>0</v>
      </c>
      <c r="M77" s="49">
        <f t="shared" si="6"/>
        <v>0</v>
      </c>
      <c r="N77" s="49">
        <f t="shared" si="7"/>
        <v>125529.02839173314</v>
      </c>
      <c r="P77" s="147">
        <f t="shared" si="8"/>
        <v>0</v>
      </c>
      <c r="Q77" s="147">
        <f t="shared" si="9"/>
        <v>7406212.6751122558</v>
      </c>
      <c r="S77" s="49">
        <f t="shared" si="10"/>
        <v>7406212.6751122558</v>
      </c>
      <c r="T77" s="44">
        <f t="shared" si="11"/>
        <v>29.5</v>
      </c>
      <c r="V77" s="49">
        <f t="shared" si="12"/>
        <v>293737.92643665557</v>
      </c>
      <c r="W77" s="49">
        <f t="shared" si="12"/>
        <v>280793.54323775211</v>
      </c>
      <c r="X77" s="49">
        <f t="shared" si="12"/>
        <v>268419.59048490203</v>
      </c>
      <c r="Y77" s="49">
        <f t="shared" si="12"/>
        <v>256590.93056522837</v>
      </c>
      <c r="Z77" s="49">
        <f t="shared" si="12"/>
        <v>245283.53362506576</v>
      </c>
      <c r="AB77" s="49">
        <f t="shared" si="13"/>
        <v>25105.805678346631</v>
      </c>
      <c r="AC77" s="49">
        <f t="shared" si="13"/>
        <v>25105.805678346631</v>
      </c>
      <c r="AD77" s="49">
        <f t="shared" si="13"/>
        <v>25105.805678346631</v>
      </c>
      <c r="AE77" s="49">
        <f t="shared" si="13"/>
        <v>25105.805678346631</v>
      </c>
      <c r="AF77" s="49">
        <f t="shared" si="13"/>
        <v>25105.805678346631</v>
      </c>
      <c r="AH77" s="49">
        <f t="shared" si="14"/>
        <v>318843.73211500223</v>
      </c>
      <c r="AI77" s="49">
        <f t="shared" si="15"/>
        <v>305899.34891609871</v>
      </c>
      <c r="AJ77" s="49">
        <f t="shared" si="16"/>
        <v>293525.39616324869</v>
      </c>
      <c r="AK77" s="49">
        <f t="shared" si="17"/>
        <v>281696.736243575</v>
      </c>
      <c r="AL77" s="49">
        <f t="shared" si="18"/>
        <v>270389.33930341236</v>
      </c>
      <c r="AN77" s="49">
        <f t="shared" si="19"/>
        <v>7087368.9429972535</v>
      </c>
      <c r="AO77" s="49">
        <f t="shared" si="20"/>
        <v>6781469.594081155</v>
      </c>
      <c r="AP77" s="49">
        <f t="shared" si="21"/>
        <v>6487944.1979179066</v>
      </c>
      <c r="AQ77" s="49">
        <f t="shared" si="22"/>
        <v>6206247.4616743317</v>
      </c>
      <c r="AR77" s="49">
        <f t="shared" si="23"/>
        <v>5935858.1223709192</v>
      </c>
      <c r="AT77" s="49">
        <f t="shared" si="24"/>
        <v>76366.438019503927</v>
      </c>
      <c r="AU77" s="49">
        <f t="shared" si="25"/>
        <v>80776.75254800632</v>
      </c>
      <c r="AV77" s="49">
        <f t="shared" si="26"/>
        <v>86889.93718083945</v>
      </c>
      <c r="AW77" s="49">
        <f t="shared" si="27"/>
        <v>88013.597848462057</v>
      </c>
      <c r="AX77" s="49">
        <f t="shared" si="28"/>
        <v>89151.78969583835</v>
      </c>
      <c r="AZ77" s="53">
        <f t="shared" si="29"/>
        <v>614918.60736742103</v>
      </c>
      <c r="BA77" s="53">
        <f t="shared" si="30"/>
        <v>590120.18928653968</v>
      </c>
      <c r="BB77" s="53">
        <f t="shared" si="31"/>
        <v>575053.6592816253</v>
      </c>
      <c r="BC77" s="53">
        <f t="shared" si="32"/>
        <v>555897.757942267</v>
      </c>
      <c r="BD77" s="53">
        <f t="shared" si="33"/>
        <v>537616.8726703783</v>
      </c>
    </row>
    <row r="78" spans="2:56">
      <c r="B78" s="43">
        <f>'3. Input (des)investeringen '!B102</f>
        <v>1564</v>
      </c>
      <c r="C78" s="54"/>
      <c r="D78" s="54"/>
      <c r="E78" s="54"/>
      <c r="F78" s="48">
        <f>'3. Input (des)investeringen '!D102</f>
        <v>0</v>
      </c>
      <c r="G78" s="54"/>
      <c r="H78" s="43">
        <f>'3. Input (des)investeringen '!F102</f>
        <v>2021</v>
      </c>
      <c r="I78" s="48" t="str">
        <f>'3. Input (des)investeringen '!G102</f>
        <v>nvt</v>
      </c>
      <c r="J78" s="48">
        <f>'3. Input (des)investeringen '!H102</f>
        <v>55</v>
      </c>
      <c r="K78" s="48">
        <f>'3. Input (des)investeringen '!I102</f>
        <v>0</v>
      </c>
      <c r="M78" s="49">
        <f t="shared" si="6"/>
        <v>0</v>
      </c>
      <c r="N78" s="49">
        <f t="shared" si="7"/>
        <v>0</v>
      </c>
      <c r="P78" s="147">
        <f t="shared" si="8"/>
        <v>0</v>
      </c>
      <c r="Q78" s="147">
        <f t="shared" si="9"/>
        <v>0</v>
      </c>
      <c r="S78" s="49">
        <f t="shared" si="10"/>
        <v>0</v>
      </c>
      <c r="T78" s="44">
        <f t="shared" si="11"/>
        <v>54.5</v>
      </c>
      <c r="V78" s="49">
        <f t="shared" si="12"/>
        <v>0</v>
      </c>
      <c r="W78" s="49">
        <f t="shared" si="12"/>
        <v>0</v>
      </c>
      <c r="X78" s="49">
        <f t="shared" si="12"/>
        <v>0</v>
      </c>
      <c r="Y78" s="49">
        <f t="shared" si="12"/>
        <v>0</v>
      </c>
      <c r="Z78" s="49">
        <f t="shared" si="12"/>
        <v>0</v>
      </c>
      <c r="AB78" s="49">
        <f t="shared" si="13"/>
        <v>0</v>
      </c>
      <c r="AC78" s="49">
        <f t="shared" si="13"/>
        <v>0</v>
      </c>
      <c r="AD78" s="49">
        <f t="shared" si="13"/>
        <v>0</v>
      </c>
      <c r="AE78" s="49">
        <f t="shared" si="13"/>
        <v>0</v>
      </c>
      <c r="AF78" s="49">
        <f t="shared" si="13"/>
        <v>0</v>
      </c>
      <c r="AH78" s="49">
        <f t="shared" si="14"/>
        <v>0</v>
      </c>
      <c r="AI78" s="49">
        <f t="shared" si="15"/>
        <v>0</v>
      </c>
      <c r="AJ78" s="49">
        <f t="shared" si="16"/>
        <v>0</v>
      </c>
      <c r="AK78" s="49">
        <f t="shared" si="17"/>
        <v>0</v>
      </c>
      <c r="AL78" s="49">
        <f t="shared" si="18"/>
        <v>0</v>
      </c>
      <c r="AN78" s="49">
        <f t="shared" si="19"/>
        <v>0</v>
      </c>
      <c r="AO78" s="49">
        <f t="shared" si="20"/>
        <v>0</v>
      </c>
      <c r="AP78" s="49">
        <f t="shared" si="21"/>
        <v>0</v>
      </c>
      <c r="AQ78" s="49">
        <f t="shared" si="22"/>
        <v>0</v>
      </c>
      <c r="AR78" s="49">
        <f t="shared" si="23"/>
        <v>0</v>
      </c>
      <c r="AT78" s="49">
        <f t="shared" si="24"/>
        <v>0</v>
      </c>
      <c r="AU78" s="49">
        <f t="shared" si="25"/>
        <v>0</v>
      </c>
      <c r="AV78" s="49">
        <f t="shared" si="26"/>
        <v>0</v>
      </c>
      <c r="AW78" s="49">
        <f t="shared" si="27"/>
        <v>0</v>
      </c>
      <c r="AX78" s="49">
        <f t="shared" si="28"/>
        <v>0</v>
      </c>
      <c r="AZ78" s="53">
        <f t="shared" si="29"/>
        <v>0</v>
      </c>
      <c r="BA78" s="53">
        <f t="shared" si="30"/>
        <v>0</v>
      </c>
      <c r="BB78" s="53">
        <f t="shared" si="31"/>
        <v>0</v>
      </c>
      <c r="BC78" s="53">
        <f t="shared" si="32"/>
        <v>0</v>
      </c>
      <c r="BD78" s="53">
        <f t="shared" si="33"/>
        <v>0</v>
      </c>
    </row>
    <row r="79" spans="2:56">
      <c r="B79" s="43">
        <f>'3. Input (des)investeringen '!B103</f>
        <v>1568</v>
      </c>
      <c r="C79" s="54"/>
      <c r="D79" s="54"/>
      <c r="E79" s="54"/>
      <c r="F79" s="48">
        <f>'3. Input (des)investeringen '!D103</f>
        <v>24165572.707445111</v>
      </c>
      <c r="G79" s="54"/>
      <c r="H79" s="43">
        <f>'3. Input (des)investeringen '!F103</f>
        <v>2022</v>
      </c>
      <c r="I79" s="48" t="str">
        <f>'3. Input (des)investeringen '!G103</f>
        <v>nvt</v>
      </c>
      <c r="J79" s="48">
        <f>'3. Input (des)investeringen '!H103</f>
        <v>15</v>
      </c>
      <c r="K79" s="48">
        <f>'3. Input (des)investeringen '!I103</f>
        <v>1</v>
      </c>
      <c r="M79" s="49">
        <f t="shared" si="6"/>
        <v>0</v>
      </c>
      <c r="N79" s="49">
        <f t="shared" si="7"/>
        <v>0</v>
      </c>
      <c r="P79" s="147">
        <f t="shared" si="8"/>
        <v>0</v>
      </c>
      <c r="Q79" s="147">
        <f t="shared" si="9"/>
        <v>0</v>
      </c>
      <c r="S79" s="49">
        <f t="shared" si="10"/>
        <v>24165572.707445111</v>
      </c>
      <c r="T79" s="44">
        <f t="shared" si="11"/>
        <v>15</v>
      </c>
      <c r="V79" s="49">
        <f t="shared" si="12"/>
        <v>942457.33559035941</v>
      </c>
      <c r="W79" s="49">
        <f t="shared" si="12"/>
        <v>1803235.0354295543</v>
      </c>
      <c r="X79" s="49">
        <f t="shared" si="12"/>
        <v>1646954.6656923261</v>
      </c>
      <c r="Y79" s="49">
        <f t="shared" si="12"/>
        <v>1504218.594665658</v>
      </c>
      <c r="Z79" s="49">
        <f t="shared" si="12"/>
        <v>1378447.8091584959</v>
      </c>
      <c r="AB79" s="49">
        <f t="shared" si="13"/>
        <v>80551.90902481704</v>
      </c>
      <c r="AC79" s="49">
        <f t="shared" si="13"/>
        <v>161103.81804963411</v>
      </c>
      <c r="AD79" s="49">
        <f t="shared" si="13"/>
        <v>161103.81804963411</v>
      </c>
      <c r="AE79" s="49">
        <f t="shared" si="13"/>
        <v>161103.81804963411</v>
      </c>
      <c r="AF79" s="49">
        <f t="shared" si="13"/>
        <v>161103.81804963411</v>
      </c>
      <c r="AH79" s="49">
        <f t="shared" si="14"/>
        <v>1023009.2446151765</v>
      </c>
      <c r="AI79" s="49">
        <f t="shared" si="15"/>
        <v>1964338.8534791884</v>
      </c>
      <c r="AJ79" s="49">
        <f t="shared" si="16"/>
        <v>1808058.4837419603</v>
      </c>
      <c r="AK79" s="49">
        <f t="shared" si="17"/>
        <v>1665322.4127152921</v>
      </c>
      <c r="AL79" s="49">
        <f t="shared" si="18"/>
        <v>1539551.62720813</v>
      </c>
      <c r="AN79" s="49">
        <f t="shared" si="19"/>
        <v>23142563.462829936</v>
      </c>
      <c r="AO79" s="49">
        <f t="shared" si="20"/>
        <v>21178224.609350748</v>
      </c>
      <c r="AP79" s="49">
        <f t="shared" si="21"/>
        <v>19370166.125608787</v>
      </c>
      <c r="AQ79" s="49">
        <f t="shared" si="22"/>
        <v>17704843.712893493</v>
      </c>
      <c r="AR79" s="49">
        <f t="shared" si="23"/>
        <v>16165292.085685363</v>
      </c>
      <c r="AT79" s="49">
        <f t="shared" si="24"/>
        <v>241655.7270744511</v>
      </c>
      <c r="AU79" s="49">
        <f t="shared" si="25"/>
        <v>255611.82862445485</v>
      </c>
      <c r="AV79" s="49">
        <f t="shared" si="26"/>
        <v>274956.5318147536</v>
      </c>
      <c r="AW79" s="49">
        <f t="shared" si="27"/>
        <v>278512.26968418196</v>
      </c>
      <c r="AX79" s="49">
        <f t="shared" si="28"/>
        <v>282113.9903557378</v>
      </c>
      <c r="AZ79" s="53">
        <f t="shared" si="29"/>
        <v>1857213.1193780021</v>
      </c>
      <c r="BA79" s="53">
        <f t="shared" si="30"/>
        <v>2675413.6828999631</v>
      </c>
      <c r="BB79" s="53">
        <f t="shared" si="31"/>
        <v>2496280.4393675039</v>
      </c>
      <c r="BC79" s="53">
        <f t="shared" si="32"/>
        <v>2319056.2541777431</v>
      </c>
      <c r="BD79" s="53">
        <f t="shared" si="33"/>
        <v>2161307.0441859597</v>
      </c>
    </row>
    <row r="80" spans="2:56">
      <c r="B80" s="43">
        <f>'3. Input (des)investeringen '!B104</f>
        <v>1569</v>
      </c>
      <c r="C80" s="54"/>
      <c r="D80" s="54"/>
      <c r="E80" s="54"/>
      <c r="F80" s="48">
        <f>'3. Input (des)investeringen '!D104</f>
        <v>29680389.233082227</v>
      </c>
      <c r="G80" s="54"/>
      <c r="H80" s="43">
        <f>'3. Input (des)investeringen '!F104</f>
        <v>2022</v>
      </c>
      <c r="I80" s="48" t="str">
        <f>'3. Input (des)investeringen '!G104</f>
        <v>nvt</v>
      </c>
      <c r="J80" s="48">
        <f>'3. Input (des)investeringen '!H104</f>
        <v>30</v>
      </c>
      <c r="K80" s="48">
        <f>'3. Input (des)investeringen '!I104</f>
        <v>1</v>
      </c>
      <c r="M80" s="49">
        <f t="shared" si="6"/>
        <v>0</v>
      </c>
      <c r="N80" s="49">
        <f t="shared" si="7"/>
        <v>0</v>
      </c>
      <c r="P80" s="147">
        <f t="shared" si="8"/>
        <v>0</v>
      </c>
      <c r="Q80" s="147">
        <f t="shared" si="9"/>
        <v>0</v>
      </c>
      <c r="S80" s="49">
        <f t="shared" si="10"/>
        <v>29680389.233082227</v>
      </c>
      <c r="T80" s="44">
        <f t="shared" si="11"/>
        <v>30</v>
      </c>
      <c r="V80" s="49">
        <f t="shared" si="12"/>
        <v>578767.59004510345</v>
      </c>
      <c r="W80" s="49">
        <f t="shared" si="12"/>
        <v>1132455.2511882524</v>
      </c>
      <c r="X80" s="49">
        <f t="shared" si="12"/>
        <v>1083382.1903034281</v>
      </c>
      <c r="Y80" s="49">
        <f t="shared" si="12"/>
        <v>1036435.6287236131</v>
      </c>
      <c r="Z80" s="49">
        <f t="shared" si="12"/>
        <v>991523.41814558976</v>
      </c>
      <c r="AB80" s="49">
        <f t="shared" si="13"/>
        <v>49467.315388470386</v>
      </c>
      <c r="AC80" s="49">
        <f t="shared" si="13"/>
        <v>98934.630776940772</v>
      </c>
      <c r="AD80" s="49">
        <f t="shared" si="13"/>
        <v>98934.630776940772</v>
      </c>
      <c r="AE80" s="49">
        <f t="shared" si="13"/>
        <v>98934.630776940772</v>
      </c>
      <c r="AF80" s="49">
        <f t="shared" si="13"/>
        <v>98934.630776940772</v>
      </c>
      <c r="AH80" s="49">
        <f t="shared" si="14"/>
        <v>628234.90543357388</v>
      </c>
      <c r="AI80" s="49">
        <f t="shared" si="15"/>
        <v>1231389.8819651932</v>
      </c>
      <c r="AJ80" s="49">
        <f t="shared" si="16"/>
        <v>1182316.8210803689</v>
      </c>
      <c r="AK80" s="49">
        <f t="shared" si="17"/>
        <v>1135370.2595005538</v>
      </c>
      <c r="AL80" s="49">
        <f t="shared" si="18"/>
        <v>1090458.0489225306</v>
      </c>
      <c r="AN80" s="49">
        <f t="shared" si="19"/>
        <v>29052154.327648655</v>
      </c>
      <c r="AO80" s="49">
        <f t="shared" si="20"/>
        <v>27820764.445683461</v>
      </c>
      <c r="AP80" s="49">
        <f t="shared" si="21"/>
        <v>26638447.624603093</v>
      </c>
      <c r="AQ80" s="49">
        <f t="shared" si="22"/>
        <v>25503077.365102537</v>
      </c>
      <c r="AR80" s="49">
        <f t="shared" si="23"/>
        <v>24412619.316180006</v>
      </c>
      <c r="AT80" s="49">
        <f t="shared" si="24"/>
        <v>296803.8923308223</v>
      </c>
      <c r="AU80" s="49">
        <f t="shared" si="25"/>
        <v>313944.91072071192</v>
      </c>
      <c r="AV80" s="49">
        <f t="shared" si="26"/>
        <v>337704.26156405546</v>
      </c>
      <c r="AW80" s="49">
        <f t="shared" si="27"/>
        <v>342071.45307460177</v>
      </c>
      <c r="AX80" s="49">
        <f t="shared" si="28"/>
        <v>346495.12110576249</v>
      </c>
      <c r="AZ80" s="53">
        <f t="shared" si="29"/>
        <v>1710639.28026045</v>
      </c>
      <c r="BA80" s="53">
        <f t="shared" si="30"/>
        <v>2230020.3893148554</v>
      </c>
      <c r="BB80" s="53">
        <f t="shared" si="31"/>
        <v>2173066.5171654187</v>
      </c>
      <c r="BC80" s="53">
        <f t="shared" si="32"/>
        <v>2101254.3894159533</v>
      </c>
      <c r="BD80" s="53">
        <f t="shared" si="33"/>
        <v>2032663.8492943307</v>
      </c>
    </row>
    <row r="81" spans="2:56">
      <c r="B81" s="43">
        <f>'3. Input (des)investeringen '!B105</f>
        <v>1570</v>
      </c>
      <c r="C81" s="54"/>
      <c r="D81" s="54"/>
      <c r="E81" s="54"/>
      <c r="F81" s="48">
        <f>'3. Input (des)investeringen '!D105</f>
        <v>82159507.038901418</v>
      </c>
      <c r="G81" s="54"/>
      <c r="H81" s="43">
        <f>'3. Input (des)investeringen '!F105</f>
        <v>2022</v>
      </c>
      <c r="I81" s="48" t="str">
        <f>'3. Input (des)investeringen '!G105</f>
        <v>nvt</v>
      </c>
      <c r="J81" s="48">
        <f>'3. Input (des)investeringen '!H105</f>
        <v>55</v>
      </c>
      <c r="K81" s="48">
        <f>'3. Input (des)investeringen '!I105</f>
        <v>1</v>
      </c>
      <c r="M81" s="49">
        <f t="shared" si="6"/>
        <v>0</v>
      </c>
      <c r="N81" s="49">
        <f t="shared" si="7"/>
        <v>0</v>
      </c>
      <c r="P81" s="147">
        <f t="shared" si="8"/>
        <v>0</v>
      </c>
      <c r="Q81" s="147">
        <f t="shared" si="9"/>
        <v>0</v>
      </c>
      <c r="S81" s="49">
        <f t="shared" si="10"/>
        <v>82159507.038901418</v>
      </c>
      <c r="T81" s="44">
        <f t="shared" si="11"/>
        <v>55</v>
      </c>
      <c r="V81" s="49">
        <f t="shared" si="12"/>
        <v>873878.39305013325</v>
      </c>
      <c r="W81" s="49">
        <f t="shared" si="12"/>
        <v>1727101.4786281723</v>
      </c>
      <c r="X81" s="49">
        <f t="shared" si="12"/>
        <v>1686279.0800424155</v>
      </c>
      <c r="Y81" s="49">
        <f t="shared" si="12"/>
        <v>1646421.5745141401</v>
      </c>
      <c r="Z81" s="49">
        <f t="shared" si="12"/>
        <v>1607506.1554801697</v>
      </c>
      <c r="AB81" s="49">
        <f t="shared" si="13"/>
        <v>74690.46094445583</v>
      </c>
      <c r="AC81" s="49">
        <f t="shared" si="13"/>
        <v>149380.92188891166</v>
      </c>
      <c r="AD81" s="49">
        <f t="shared" si="13"/>
        <v>149380.92188891166</v>
      </c>
      <c r="AE81" s="49">
        <f t="shared" si="13"/>
        <v>149380.92188891166</v>
      </c>
      <c r="AF81" s="49">
        <f t="shared" si="13"/>
        <v>149380.92188891166</v>
      </c>
      <c r="AH81" s="49">
        <f t="shared" si="14"/>
        <v>948568.85399458907</v>
      </c>
      <c r="AI81" s="49">
        <f t="shared" si="15"/>
        <v>1876482.4005170839</v>
      </c>
      <c r="AJ81" s="49">
        <f t="shared" si="16"/>
        <v>1835660.0019313272</v>
      </c>
      <c r="AK81" s="49">
        <f t="shared" si="17"/>
        <v>1795802.4964030518</v>
      </c>
      <c r="AL81" s="49">
        <f t="shared" si="18"/>
        <v>1756887.0773690813</v>
      </c>
      <c r="AN81" s="49">
        <f t="shared" si="19"/>
        <v>81210938.184906825</v>
      </c>
      <c r="AO81" s="49">
        <f t="shared" si="20"/>
        <v>79334455.784389734</v>
      </c>
      <c r="AP81" s="49">
        <f t="shared" si="21"/>
        <v>77498795.78245841</v>
      </c>
      <c r="AQ81" s="49">
        <f t="shared" si="22"/>
        <v>75702993.286055356</v>
      </c>
      <c r="AR81" s="49">
        <f t="shared" si="23"/>
        <v>73946106.208686277</v>
      </c>
      <c r="AT81" s="49">
        <f t="shared" si="24"/>
        <v>821595.0703890142</v>
      </c>
      <c r="AU81" s="49">
        <f t="shared" si="25"/>
        <v>869043.82889412052</v>
      </c>
      <c r="AV81" s="49">
        <f t="shared" si="26"/>
        <v>934813.06586482783</v>
      </c>
      <c r="AW81" s="49">
        <f t="shared" si="27"/>
        <v>946902.06843259162</v>
      </c>
      <c r="AX81" s="49">
        <f t="shared" si="28"/>
        <v>959147.40598156175</v>
      </c>
      <c r="AZ81" s="53">
        <f t="shared" si="29"/>
        <v>4017577.7186044245</v>
      </c>
      <c r="BA81" s="53">
        <f t="shared" si="30"/>
        <v>4802649.6290574949</v>
      </c>
      <c r="BB81" s="53">
        <f t="shared" si="31"/>
        <v>4774424.4139699033</v>
      </c>
      <c r="BC81" s="53">
        <f t="shared" si="32"/>
        <v>4697925.3185220147</v>
      </c>
      <c r="BD81" s="53">
        <f t="shared" si="33"/>
        <v>4623549.356425724</v>
      </c>
    </row>
    <row r="82" spans="2:56">
      <c r="B82" s="43">
        <f>'3. Input (des)investeringen '!B106</f>
        <v>1574</v>
      </c>
      <c r="C82" s="54"/>
      <c r="D82" s="54"/>
      <c r="E82" s="54"/>
      <c r="F82" s="48">
        <f>'3. Input (des)investeringen '!D106</f>
        <v>4759885.7217741664</v>
      </c>
      <c r="G82" s="54"/>
      <c r="H82" s="43">
        <f>'3. Input (des)investeringen '!F106</f>
        <v>2022</v>
      </c>
      <c r="I82" s="48" t="str">
        <f>'3. Input (des)investeringen '!G106</f>
        <v>nvt</v>
      </c>
      <c r="J82" s="48">
        <f>'3. Input (des)investeringen '!H106</f>
        <v>15</v>
      </c>
      <c r="K82" s="48">
        <f>'3. Input (des)investeringen '!I106</f>
        <v>0</v>
      </c>
      <c r="M82" s="49">
        <f t="shared" si="6"/>
        <v>0</v>
      </c>
      <c r="N82" s="49">
        <f t="shared" si="7"/>
        <v>0</v>
      </c>
      <c r="P82" s="147">
        <f t="shared" si="8"/>
        <v>0</v>
      </c>
      <c r="Q82" s="147">
        <f t="shared" si="9"/>
        <v>0</v>
      </c>
      <c r="S82" s="49">
        <f t="shared" si="10"/>
        <v>4759885.7217741664</v>
      </c>
      <c r="T82" s="44">
        <f t="shared" si="11"/>
        <v>15</v>
      </c>
      <c r="V82" s="49">
        <f t="shared" si="12"/>
        <v>185635.5431491925</v>
      </c>
      <c r="W82" s="49">
        <f t="shared" si="12"/>
        <v>355182.67255878833</v>
      </c>
      <c r="X82" s="49">
        <f t="shared" si="12"/>
        <v>324400.17427036003</v>
      </c>
      <c r="Y82" s="49">
        <f t="shared" si="12"/>
        <v>296285.4925002621</v>
      </c>
      <c r="Z82" s="49">
        <f t="shared" si="12"/>
        <v>271512.45801027364</v>
      </c>
      <c r="AB82" s="49">
        <f t="shared" si="13"/>
        <v>15866.285739247221</v>
      </c>
      <c r="AC82" s="49">
        <f t="shared" si="13"/>
        <v>31732.571478494443</v>
      </c>
      <c r="AD82" s="49">
        <f t="shared" si="13"/>
        <v>31732.571478494443</v>
      </c>
      <c r="AE82" s="49">
        <f t="shared" si="13"/>
        <v>31732.571478494443</v>
      </c>
      <c r="AF82" s="49">
        <f t="shared" si="13"/>
        <v>31732.571478494443</v>
      </c>
      <c r="AH82" s="49">
        <f t="shared" si="14"/>
        <v>201501.82888843972</v>
      </c>
      <c r="AI82" s="49">
        <f t="shared" si="15"/>
        <v>386915.24403728277</v>
      </c>
      <c r="AJ82" s="49">
        <f t="shared" si="16"/>
        <v>356132.74574885448</v>
      </c>
      <c r="AK82" s="49">
        <f t="shared" si="17"/>
        <v>328018.06397875655</v>
      </c>
      <c r="AL82" s="49">
        <f t="shared" si="18"/>
        <v>303245.02948876808</v>
      </c>
      <c r="AN82" s="49">
        <f t="shared" si="19"/>
        <v>4558383.8928857269</v>
      </c>
      <c r="AO82" s="49">
        <f t="shared" si="20"/>
        <v>4171468.6488484442</v>
      </c>
      <c r="AP82" s="49">
        <f t="shared" si="21"/>
        <v>3815335.90309959</v>
      </c>
      <c r="AQ82" s="49">
        <f t="shared" si="22"/>
        <v>3487317.8391208332</v>
      </c>
      <c r="AR82" s="49">
        <f t="shared" si="23"/>
        <v>3184072.8096320652</v>
      </c>
      <c r="AT82" s="49">
        <f t="shared" si="24"/>
        <v>47598.857217741664</v>
      </c>
      <c r="AU82" s="49">
        <f t="shared" si="25"/>
        <v>50347.786419780685</v>
      </c>
      <c r="AV82" s="49">
        <f t="shared" si="26"/>
        <v>54158.106896029691</v>
      </c>
      <c r="AW82" s="49">
        <f t="shared" si="27"/>
        <v>54858.47953440914</v>
      </c>
      <c r="AX82" s="49">
        <f t="shared" si="28"/>
        <v>55567.909391748115</v>
      </c>
      <c r="AZ82" s="53">
        <f t="shared" si="29"/>
        <v>390410.58678563894</v>
      </c>
      <c r="BA82" s="53">
        <f t="shared" si="30"/>
        <v>562407.08992251672</v>
      </c>
      <c r="BB82" s="53">
        <f t="shared" si="31"/>
        <v>524750.92973787186</v>
      </c>
      <c r="BC82" s="53">
        <f t="shared" si="32"/>
        <v>487496.07868679066</v>
      </c>
      <c r="BD82" s="53">
        <f t="shared" si="33"/>
        <v>454335.12316947815</v>
      </c>
    </row>
    <row r="83" spans="2:56">
      <c r="B83" s="43">
        <f>'3. Input (des)investeringen '!B107</f>
        <v>1575</v>
      </c>
      <c r="C83" s="54"/>
      <c r="D83" s="54"/>
      <c r="E83" s="54"/>
      <c r="F83" s="48">
        <f>'3. Input (des)investeringen '!D107</f>
        <v>26997284.606696233</v>
      </c>
      <c r="G83" s="54"/>
      <c r="H83" s="43">
        <f>'3. Input (des)investeringen '!F107</f>
        <v>2022</v>
      </c>
      <c r="I83" s="48" t="str">
        <f>'3. Input (des)investeringen '!G107</f>
        <v>nvt</v>
      </c>
      <c r="J83" s="48">
        <f>'3. Input (des)investeringen '!H107</f>
        <v>30</v>
      </c>
      <c r="K83" s="48">
        <f>'3. Input (des)investeringen '!I107</f>
        <v>0</v>
      </c>
      <c r="M83" s="49">
        <f t="shared" si="6"/>
        <v>0</v>
      </c>
      <c r="N83" s="49">
        <f t="shared" si="7"/>
        <v>0</v>
      </c>
      <c r="P83" s="147">
        <f t="shared" si="8"/>
        <v>0</v>
      </c>
      <c r="Q83" s="147">
        <f t="shared" si="9"/>
        <v>0</v>
      </c>
      <c r="S83" s="49">
        <f t="shared" si="10"/>
        <v>26997284.606696233</v>
      </c>
      <c r="T83" s="44">
        <f t="shared" si="11"/>
        <v>30</v>
      </c>
      <c r="V83" s="49">
        <f t="shared" si="12"/>
        <v>526447.04983057664</v>
      </c>
      <c r="W83" s="49">
        <f t="shared" si="12"/>
        <v>1030081.3941684949</v>
      </c>
      <c r="X83" s="49">
        <f t="shared" si="12"/>
        <v>985444.53375452664</v>
      </c>
      <c r="Y83" s="49">
        <f t="shared" si="12"/>
        <v>942741.93729183043</v>
      </c>
      <c r="Z83" s="49">
        <f t="shared" si="12"/>
        <v>901889.78667585109</v>
      </c>
      <c r="AB83" s="49">
        <f t="shared" si="13"/>
        <v>44995.474344493727</v>
      </c>
      <c r="AC83" s="49">
        <f t="shared" si="13"/>
        <v>89990.948688987453</v>
      </c>
      <c r="AD83" s="49">
        <f t="shared" si="13"/>
        <v>89990.948688987453</v>
      </c>
      <c r="AE83" s="49">
        <f t="shared" si="13"/>
        <v>89990.948688987453</v>
      </c>
      <c r="AF83" s="49">
        <f t="shared" si="13"/>
        <v>89990.948688987453</v>
      </c>
      <c r="AH83" s="49">
        <f t="shared" si="14"/>
        <v>571442.52417507034</v>
      </c>
      <c r="AI83" s="49">
        <f t="shared" si="15"/>
        <v>1120072.3428574824</v>
      </c>
      <c r="AJ83" s="49">
        <f t="shared" si="16"/>
        <v>1075435.482443514</v>
      </c>
      <c r="AK83" s="49">
        <f t="shared" si="17"/>
        <v>1032732.8859808178</v>
      </c>
      <c r="AL83" s="49">
        <f t="shared" si="18"/>
        <v>991880.7353648385</v>
      </c>
      <c r="AN83" s="49">
        <f t="shared" si="19"/>
        <v>26425842.082521163</v>
      </c>
      <c r="AO83" s="49">
        <f t="shared" si="20"/>
        <v>25305769.739663679</v>
      </c>
      <c r="AP83" s="49">
        <f t="shared" si="21"/>
        <v>24230334.257220164</v>
      </c>
      <c r="AQ83" s="49">
        <f t="shared" si="22"/>
        <v>23197601.371239346</v>
      </c>
      <c r="AR83" s="49">
        <f t="shared" si="23"/>
        <v>22205720.635874506</v>
      </c>
      <c r="AT83" s="49">
        <f t="shared" si="24"/>
        <v>269972.84606696235</v>
      </c>
      <c r="AU83" s="49">
        <f t="shared" si="25"/>
        <v>285564.31787302153</v>
      </c>
      <c r="AV83" s="49">
        <f t="shared" si="26"/>
        <v>307175.82544965192</v>
      </c>
      <c r="AW83" s="49">
        <f t="shared" si="27"/>
        <v>311148.22322436672</v>
      </c>
      <c r="AX83" s="49">
        <f t="shared" si="28"/>
        <v>315171.99204710423</v>
      </c>
      <c r="AZ83" s="53">
        <f t="shared" si="29"/>
        <v>1660616.4748001886</v>
      </c>
      <c r="BA83" s="53">
        <f t="shared" si="30"/>
        <v>2164809.7529204143</v>
      </c>
      <c r="BB83" s="53">
        <f t="shared" si="31"/>
        <v>2109521.3356097708</v>
      </c>
      <c r="BC83" s="53">
        <f t="shared" si="32"/>
        <v>2039809.150342365</v>
      </c>
      <c r="BD83" s="53">
        <f t="shared" si="33"/>
        <v>1973224.346488178</v>
      </c>
    </row>
    <row r="84" spans="2:56">
      <c r="B84" s="43">
        <f>'3. Input (des)investeringen '!B108</f>
        <v>1576</v>
      </c>
      <c r="C84" s="54"/>
      <c r="D84" s="54"/>
      <c r="E84" s="54"/>
      <c r="F84" s="48">
        <f>'3. Input (des)investeringen '!D108</f>
        <v>38137.497252574271</v>
      </c>
      <c r="G84" s="54"/>
      <c r="H84" s="43">
        <f>'3. Input (des)investeringen '!F108</f>
        <v>2022</v>
      </c>
      <c r="I84" s="48" t="str">
        <f>'3. Input (des)investeringen '!G108</f>
        <v>nvt</v>
      </c>
      <c r="J84" s="48">
        <f>'3. Input (des)investeringen '!H108</f>
        <v>55</v>
      </c>
      <c r="K84" s="48">
        <f>'3. Input (des)investeringen '!I108</f>
        <v>0</v>
      </c>
      <c r="M84" s="49">
        <f t="shared" si="6"/>
        <v>0</v>
      </c>
      <c r="N84" s="49">
        <f t="shared" si="7"/>
        <v>0</v>
      </c>
      <c r="P84" s="147">
        <f t="shared" si="8"/>
        <v>0</v>
      </c>
      <c r="Q84" s="147">
        <f t="shared" si="9"/>
        <v>0</v>
      </c>
      <c r="S84" s="49">
        <f t="shared" si="10"/>
        <v>38137.497252574271</v>
      </c>
      <c r="T84" s="44">
        <f t="shared" si="11"/>
        <v>55</v>
      </c>
      <c r="V84" s="49">
        <f t="shared" si="12"/>
        <v>405.64428895919906</v>
      </c>
      <c r="W84" s="49">
        <f t="shared" si="12"/>
        <v>801.70062199754432</v>
      </c>
      <c r="X84" s="49">
        <f t="shared" si="12"/>
        <v>782.75133456851142</v>
      </c>
      <c r="Y84" s="49">
        <f t="shared" si="12"/>
        <v>764.24993938780119</v>
      </c>
      <c r="Z84" s="49">
        <f t="shared" si="12"/>
        <v>746.1858499113622</v>
      </c>
      <c r="AB84" s="49">
        <f t="shared" si="13"/>
        <v>34.67045204779479</v>
      </c>
      <c r="AC84" s="49">
        <f t="shared" si="13"/>
        <v>69.340904095589593</v>
      </c>
      <c r="AD84" s="49">
        <f t="shared" si="13"/>
        <v>69.340904095589593</v>
      </c>
      <c r="AE84" s="49">
        <f t="shared" si="13"/>
        <v>69.340904095589593</v>
      </c>
      <c r="AF84" s="49">
        <f t="shared" si="13"/>
        <v>69.340904095589593</v>
      </c>
      <c r="AH84" s="49">
        <f t="shared" si="14"/>
        <v>440.31474100699387</v>
      </c>
      <c r="AI84" s="49">
        <f t="shared" si="15"/>
        <v>871.04152609313394</v>
      </c>
      <c r="AJ84" s="49">
        <f t="shared" si="16"/>
        <v>852.09223866410105</v>
      </c>
      <c r="AK84" s="49">
        <f t="shared" si="17"/>
        <v>833.59084348339081</v>
      </c>
      <c r="AL84" s="49">
        <f t="shared" si="18"/>
        <v>815.52675400695182</v>
      </c>
      <c r="AN84" s="49">
        <f t="shared" si="19"/>
        <v>37697.182511567276</v>
      </c>
      <c r="AO84" s="49">
        <f t="shared" si="20"/>
        <v>36826.140985474143</v>
      </c>
      <c r="AP84" s="49">
        <f t="shared" si="21"/>
        <v>35974.04874681004</v>
      </c>
      <c r="AQ84" s="49">
        <f t="shared" si="22"/>
        <v>35140.457903326649</v>
      </c>
      <c r="AR84" s="49">
        <f t="shared" si="23"/>
        <v>34324.931149319695</v>
      </c>
      <c r="AT84" s="49">
        <f t="shared" si="24"/>
        <v>381.37497252574269</v>
      </c>
      <c r="AU84" s="49">
        <f t="shared" si="25"/>
        <v>403.40013993904944</v>
      </c>
      <c r="AV84" s="49">
        <f t="shared" si="26"/>
        <v>433.92946252963674</v>
      </c>
      <c r="AW84" s="49">
        <f t="shared" si="27"/>
        <v>439.54103833906993</v>
      </c>
      <c r="AX84" s="49">
        <f t="shared" si="28"/>
        <v>445.22518304687077</v>
      </c>
      <c r="AZ84" s="53">
        <f t="shared" si="29"/>
        <v>1990.3023713913221</v>
      </c>
      <c r="BA84" s="53">
        <f t="shared" si="30"/>
        <v>2379.2258955964076</v>
      </c>
      <c r="BB84" s="53">
        <f t="shared" si="31"/>
        <v>2365.2431635980388</v>
      </c>
      <c r="BC84" s="53">
        <f t="shared" si="32"/>
        <v>2327.3456189222602</v>
      </c>
      <c r="BD84" s="53">
        <f t="shared" si="33"/>
        <v>2290.4998715334136</v>
      </c>
    </row>
    <row r="85" spans="2:56">
      <c r="B85" s="43">
        <f>'3. Input (des)investeringen '!B109</f>
        <v>1580</v>
      </c>
      <c r="C85" s="54"/>
      <c r="D85" s="54"/>
      <c r="E85" s="54"/>
      <c r="F85" s="48">
        <f>'3. Input (des)investeringen '!D109</f>
        <v>7689046.2734296853</v>
      </c>
      <c r="G85" s="54"/>
      <c r="H85" s="43">
        <f>'3. Input (des)investeringen '!F109</f>
        <v>2022</v>
      </c>
      <c r="I85" s="48" t="str">
        <f>'3. Input (des)investeringen '!G109</f>
        <v>nvt</v>
      </c>
      <c r="J85" s="48">
        <f>'3. Input (des)investeringen '!H109</f>
        <v>15</v>
      </c>
      <c r="K85" s="48">
        <f>'3. Input (des)investeringen '!I109</f>
        <v>0</v>
      </c>
      <c r="M85" s="49">
        <f t="shared" si="6"/>
        <v>0</v>
      </c>
      <c r="N85" s="49">
        <f t="shared" si="7"/>
        <v>0</v>
      </c>
      <c r="P85" s="147">
        <f t="shared" si="8"/>
        <v>0</v>
      </c>
      <c r="Q85" s="147">
        <f t="shared" si="9"/>
        <v>0</v>
      </c>
      <c r="S85" s="49">
        <f t="shared" si="10"/>
        <v>7689046.2734296853</v>
      </c>
      <c r="T85" s="44">
        <f t="shared" si="11"/>
        <v>15</v>
      </c>
      <c r="V85" s="49">
        <f t="shared" si="12"/>
        <v>299872.80466375774</v>
      </c>
      <c r="W85" s="49">
        <f t="shared" si="12"/>
        <v>573756.6329233232</v>
      </c>
      <c r="X85" s="49">
        <f t="shared" si="12"/>
        <v>524031.05806996854</v>
      </c>
      <c r="Y85" s="49">
        <f t="shared" si="12"/>
        <v>478615.03303723788</v>
      </c>
      <c r="Z85" s="49">
        <f t="shared" si="12"/>
        <v>438597.05368629826</v>
      </c>
      <c r="AB85" s="49">
        <f t="shared" si="13"/>
        <v>25630.154244765621</v>
      </c>
      <c r="AC85" s="49">
        <f t="shared" si="13"/>
        <v>51260.308489531235</v>
      </c>
      <c r="AD85" s="49">
        <f t="shared" si="13"/>
        <v>51260.308489531235</v>
      </c>
      <c r="AE85" s="49">
        <f t="shared" si="13"/>
        <v>51260.308489531235</v>
      </c>
      <c r="AF85" s="49">
        <f t="shared" si="13"/>
        <v>51260.308489531235</v>
      </c>
      <c r="AH85" s="49">
        <f t="shared" si="14"/>
        <v>325502.95890852337</v>
      </c>
      <c r="AI85" s="49">
        <f t="shared" si="15"/>
        <v>625016.94141285447</v>
      </c>
      <c r="AJ85" s="49">
        <f t="shared" si="16"/>
        <v>575291.36655949976</v>
      </c>
      <c r="AK85" s="49">
        <f t="shared" si="17"/>
        <v>529875.3415267691</v>
      </c>
      <c r="AL85" s="49">
        <f t="shared" si="18"/>
        <v>489857.36217582948</v>
      </c>
      <c r="AN85" s="49">
        <f t="shared" si="19"/>
        <v>7363543.3145211618</v>
      </c>
      <c r="AO85" s="49">
        <f t="shared" si="20"/>
        <v>6738526.3731083069</v>
      </c>
      <c r="AP85" s="49">
        <f t="shared" si="21"/>
        <v>6163235.006548807</v>
      </c>
      <c r="AQ85" s="49">
        <f t="shared" si="22"/>
        <v>5633359.6650220379</v>
      </c>
      <c r="AR85" s="49">
        <f t="shared" si="23"/>
        <v>5143502.3028462082</v>
      </c>
      <c r="AT85" s="49">
        <f t="shared" si="24"/>
        <v>76890.46273429686</v>
      </c>
      <c r="AU85" s="49">
        <f t="shared" si="25"/>
        <v>81331.04073812798</v>
      </c>
      <c r="AV85" s="49">
        <f t="shared" si="26"/>
        <v>87486.173901189512</v>
      </c>
      <c r="AW85" s="49">
        <f t="shared" si="27"/>
        <v>88617.545102079661</v>
      </c>
      <c r="AX85" s="49">
        <f t="shared" si="28"/>
        <v>89763.547195339765</v>
      </c>
      <c r="AZ85" s="53">
        <f t="shared" si="29"/>
        <v>630663.26439297618</v>
      </c>
      <c r="BA85" s="53">
        <f t="shared" si="30"/>
        <v>908503.77334423165</v>
      </c>
      <c r="BB85" s="53">
        <f t="shared" si="31"/>
        <v>847674.5906571534</v>
      </c>
      <c r="BC85" s="53">
        <f t="shared" si="32"/>
        <v>787493.67657950986</v>
      </c>
      <c r="BD85" s="53">
        <f t="shared" si="33"/>
        <v>733925.97845655552</v>
      </c>
    </row>
    <row r="86" spans="2:56">
      <c r="B86" s="43">
        <f>'3. Input (des)investeringen '!B110</f>
        <v>1581</v>
      </c>
      <c r="C86" s="54"/>
      <c r="D86" s="54"/>
      <c r="E86" s="54"/>
      <c r="F86" s="48">
        <f>'3. Input (des)investeringen '!D110</f>
        <v>7629142.1872137021</v>
      </c>
      <c r="G86" s="54"/>
      <c r="H86" s="43">
        <f>'3. Input (des)investeringen '!F110</f>
        <v>2022</v>
      </c>
      <c r="I86" s="48" t="str">
        <f>'3. Input (des)investeringen '!G110</f>
        <v>nvt</v>
      </c>
      <c r="J86" s="48">
        <f>'3. Input (des)investeringen '!H110</f>
        <v>30</v>
      </c>
      <c r="K86" s="48">
        <f>'3. Input (des)investeringen '!I110</f>
        <v>0</v>
      </c>
      <c r="M86" s="49">
        <f t="shared" si="6"/>
        <v>0</v>
      </c>
      <c r="N86" s="49">
        <f t="shared" si="7"/>
        <v>0</v>
      </c>
      <c r="P86" s="147">
        <f t="shared" si="8"/>
        <v>0</v>
      </c>
      <c r="Q86" s="147">
        <f t="shared" si="9"/>
        <v>0</v>
      </c>
      <c r="S86" s="49">
        <f t="shared" si="10"/>
        <v>7629142.1872137021</v>
      </c>
      <c r="T86" s="44">
        <f t="shared" si="11"/>
        <v>30</v>
      </c>
      <c r="V86" s="49">
        <f t="shared" si="12"/>
        <v>148768.2726506672</v>
      </c>
      <c r="W86" s="49">
        <f t="shared" si="12"/>
        <v>291089.92015313881</v>
      </c>
      <c r="X86" s="49">
        <f t="shared" si="12"/>
        <v>278476.02361316944</v>
      </c>
      <c r="Y86" s="49">
        <f t="shared" si="12"/>
        <v>266408.72925659874</v>
      </c>
      <c r="Z86" s="49">
        <f t="shared" si="12"/>
        <v>254864.35098881283</v>
      </c>
      <c r="AB86" s="49">
        <f t="shared" si="13"/>
        <v>12715.236978689503</v>
      </c>
      <c r="AC86" s="49">
        <f t="shared" si="13"/>
        <v>25430.473957379007</v>
      </c>
      <c r="AD86" s="49">
        <f t="shared" si="13"/>
        <v>25430.473957379007</v>
      </c>
      <c r="AE86" s="49">
        <f t="shared" si="13"/>
        <v>25430.473957379007</v>
      </c>
      <c r="AF86" s="49">
        <f t="shared" si="13"/>
        <v>25430.473957379007</v>
      </c>
      <c r="AH86" s="49">
        <f t="shared" si="14"/>
        <v>161483.5096293567</v>
      </c>
      <c r="AI86" s="49">
        <f t="shared" si="15"/>
        <v>316520.39411051781</v>
      </c>
      <c r="AJ86" s="49">
        <f t="shared" si="16"/>
        <v>303906.49757054844</v>
      </c>
      <c r="AK86" s="49">
        <f t="shared" si="17"/>
        <v>291839.20321397774</v>
      </c>
      <c r="AL86" s="49">
        <f t="shared" si="18"/>
        <v>280294.82494619186</v>
      </c>
      <c r="AN86" s="49">
        <f t="shared" si="19"/>
        <v>7467658.6775843455</v>
      </c>
      <c r="AO86" s="49">
        <f t="shared" si="20"/>
        <v>7151138.2834738279</v>
      </c>
      <c r="AP86" s="49">
        <f t="shared" si="21"/>
        <v>6847231.7859032797</v>
      </c>
      <c r="AQ86" s="49">
        <f t="shared" si="22"/>
        <v>6555392.582689302</v>
      </c>
      <c r="AR86" s="49">
        <f t="shared" si="23"/>
        <v>6275097.7577431099</v>
      </c>
      <c r="AT86" s="49">
        <f t="shared" si="24"/>
        <v>76291.421872137027</v>
      </c>
      <c r="AU86" s="49">
        <f t="shared" si="25"/>
        <v>80697.404068096686</v>
      </c>
      <c r="AV86" s="49">
        <f t="shared" si="26"/>
        <v>86804.583607970257</v>
      </c>
      <c r="AW86" s="49">
        <f t="shared" si="27"/>
        <v>87927.140483188501</v>
      </c>
      <c r="AX86" s="49">
        <f t="shared" si="28"/>
        <v>89064.214263917092</v>
      </c>
      <c r="AZ86" s="53">
        <f t="shared" si="29"/>
        <v>469272.35050660837</v>
      </c>
      <c r="BA86" s="53">
        <f t="shared" si="30"/>
        <v>611751.94668282929</v>
      </c>
      <c r="BB86" s="53">
        <f t="shared" si="31"/>
        <v>596128.03475561703</v>
      </c>
      <c r="BC86" s="53">
        <f t="shared" si="32"/>
        <v>576428.12117784529</v>
      </c>
      <c r="BD86" s="53">
        <f t="shared" si="33"/>
        <v>557611.97194240219</v>
      </c>
    </row>
    <row r="87" spans="2:56">
      <c r="B87" s="43">
        <f>'3. Input (des)investeringen '!B111</f>
        <v>1582</v>
      </c>
      <c r="C87" s="54"/>
      <c r="D87" s="54"/>
      <c r="E87" s="54"/>
      <c r="F87" s="48">
        <f>'3. Input (des)investeringen '!D111</f>
        <v>0</v>
      </c>
      <c r="G87" s="54"/>
      <c r="H87" s="43">
        <f>'3. Input (des)investeringen '!F111</f>
        <v>2022</v>
      </c>
      <c r="I87" s="48" t="str">
        <f>'3. Input (des)investeringen '!G111</f>
        <v>nvt</v>
      </c>
      <c r="J87" s="48">
        <f>'3. Input (des)investeringen '!H111</f>
        <v>55</v>
      </c>
      <c r="K87" s="48">
        <f>'3. Input (des)investeringen '!I111</f>
        <v>0</v>
      </c>
      <c r="M87" s="49">
        <f t="shared" si="6"/>
        <v>0</v>
      </c>
      <c r="N87" s="49">
        <f t="shared" si="7"/>
        <v>0</v>
      </c>
      <c r="P87" s="147">
        <f t="shared" si="8"/>
        <v>0</v>
      </c>
      <c r="Q87" s="147">
        <f t="shared" si="9"/>
        <v>0</v>
      </c>
      <c r="S87" s="49">
        <f t="shared" si="10"/>
        <v>0</v>
      </c>
      <c r="T87" s="44">
        <f t="shared" si="11"/>
        <v>55</v>
      </c>
      <c r="V87" s="49">
        <f t="shared" si="12"/>
        <v>0</v>
      </c>
      <c r="W87" s="49">
        <f t="shared" si="12"/>
        <v>0</v>
      </c>
      <c r="X87" s="49">
        <f t="shared" si="12"/>
        <v>0</v>
      </c>
      <c r="Y87" s="49">
        <f t="shared" si="12"/>
        <v>0</v>
      </c>
      <c r="Z87" s="49">
        <f t="shared" si="12"/>
        <v>0</v>
      </c>
      <c r="AB87" s="49">
        <f t="shared" si="13"/>
        <v>0</v>
      </c>
      <c r="AC87" s="49">
        <f t="shared" si="13"/>
        <v>0</v>
      </c>
      <c r="AD87" s="49">
        <f t="shared" si="13"/>
        <v>0</v>
      </c>
      <c r="AE87" s="49">
        <f t="shared" si="13"/>
        <v>0</v>
      </c>
      <c r="AF87" s="49">
        <f t="shared" si="13"/>
        <v>0</v>
      </c>
      <c r="AH87" s="49">
        <f t="shared" si="14"/>
        <v>0</v>
      </c>
      <c r="AI87" s="49">
        <f t="shared" si="15"/>
        <v>0</v>
      </c>
      <c r="AJ87" s="49">
        <f t="shared" si="16"/>
        <v>0</v>
      </c>
      <c r="AK87" s="49">
        <f t="shared" si="17"/>
        <v>0</v>
      </c>
      <c r="AL87" s="49">
        <f t="shared" si="18"/>
        <v>0</v>
      </c>
      <c r="AN87" s="49">
        <f t="shared" si="19"/>
        <v>0</v>
      </c>
      <c r="AO87" s="49">
        <f t="shared" si="20"/>
        <v>0</v>
      </c>
      <c r="AP87" s="49">
        <f t="shared" si="21"/>
        <v>0</v>
      </c>
      <c r="AQ87" s="49">
        <f t="shared" si="22"/>
        <v>0</v>
      </c>
      <c r="AR87" s="49">
        <f t="shared" si="23"/>
        <v>0</v>
      </c>
      <c r="AT87" s="49">
        <f t="shared" si="24"/>
        <v>0</v>
      </c>
      <c r="AU87" s="49">
        <f t="shared" si="25"/>
        <v>0</v>
      </c>
      <c r="AV87" s="49">
        <f t="shared" si="26"/>
        <v>0</v>
      </c>
      <c r="AW87" s="49">
        <f t="shared" si="27"/>
        <v>0</v>
      </c>
      <c r="AX87" s="49">
        <f t="shared" si="28"/>
        <v>0</v>
      </c>
      <c r="AZ87" s="53">
        <f t="shared" si="29"/>
        <v>0</v>
      </c>
      <c r="BA87" s="53">
        <f t="shared" si="30"/>
        <v>0</v>
      </c>
      <c r="BB87" s="53">
        <f t="shared" si="31"/>
        <v>0</v>
      </c>
      <c r="BC87" s="53">
        <f t="shared" si="32"/>
        <v>0</v>
      </c>
      <c r="BD87" s="53">
        <f t="shared" si="33"/>
        <v>0</v>
      </c>
    </row>
    <row r="88" spans="2:56">
      <c r="B88" s="43">
        <f>'3. Input (des)investeringen '!B112</f>
        <v>1586</v>
      </c>
      <c r="C88" s="54"/>
      <c r="D88" s="54"/>
      <c r="E88" s="54"/>
      <c r="F88" s="48">
        <f>'3. Input (des)investeringen '!D112</f>
        <v>24478081.893697795</v>
      </c>
      <c r="G88" s="54"/>
      <c r="H88" s="43">
        <f>'3. Input (des)investeringen '!F112</f>
        <v>2023</v>
      </c>
      <c r="I88" s="48" t="str">
        <f>'3. Input (des)investeringen '!G112</f>
        <v>nvt</v>
      </c>
      <c r="J88" s="48">
        <f>'3. Input (des)investeringen '!H112</f>
        <v>15</v>
      </c>
      <c r="K88" s="48">
        <f>'3. Input (des)investeringen '!I112</f>
        <v>1</v>
      </c>
      <c r="M88" s="49">
        <f t="shared" si="6"/>
        <v>0</v>
      </c>
      <c r="N88" s="49">
        <f t="shared" si="7"/>
        <v>0</v>
      </c>
      <c r="P88" s="147">
        <f t="shared" si="8"/>
        <v>0</v>
      </c>
      <c r="Q88" s="147">
        <f t="shared" si="9"/>
        <v>0</v>
      </c>
      <c r="S88" s="49">
        <f t="shared" si="10"/>
        <v>0</v>
      </c>
      <c r="T88" s="44">
        <f t="shared" si="11"/>
        <v>15</v>
      </c>
      <c r="V88" s="49">
        <f t="shared" si="12"/>
        <v>0</v>
      </c>
      <c r="W88" s="49">
        <f t="shared" si="12"/>
        <v>0</v>
      </c>
      <c r="X88" s="49">
        <f t="shared" si="12"/>
        <v>0</v>
      </c>
      <c r="Y88" s="49">
        <f t="shared" si="12"/>
        <v>0</v>
      </c>
      <c r="Z88" s="49">
        <f t="shared" si="12"/>
        <v>0</v>
      </c>
      <c r="AB88" s="49">
        <f t="shared" si="13"/>
        <v>0</v>
      </c>
      <c r="AC88" s="49">
        <f t="shared" si="13"/>
        <v>0</v>
      </c>
      <c r="AD88" s="49">
        <f t="shared" si="13"/>
        <v>0</v>
      </c>
      <c r="AE88" s="49">
        <f t="shared" si="13"/>
        <v>0</v>
      </c>
      <c r="AF88" s="49">
        <f t="shared" si="13"/>
        <v>0</v>
      </c>
      <c r="AH88" s="49">
        <f t="shared" si="14"/>
        <v>0</v>
      </c>
      <c r="AI88" s="49">
        <f t="shared" si="15"/>
        <v>0</v>
      </c>
      <c r="AJ88" s="49">
        <f t="shared" si="16"/>
        <v>0</v>
      </c>
      <c r="AK88" s="49">
        <f t="shared" si="17"/>
        <v>0</v>
      </c>
      <c r="AL88" s="49">
        <f t="shared" si="18"/>
        <v>0</v>
      </c>
      <c r="AN88" s="49">
        <f t="shared" si="19"/>
        <v>0</v>
      </c>
      <c r="AO88" s="49">
        <f t="shared" si="20"/>
        <v>0</v>
      </c>
      <c r="AP88" s="49">
        <f t="shared" si="21"/>
        <v>0</v>
      </c>
      <c r="AQ88" s="49">
        <f t="shared" si="22"/>
        <v>0</v>
      </c>
      <c r="AR88" s="49">
        <f t="shared" si="23"/>
        <v>0</v>
      </c>
      <c r="AT88" s="49">
        <f t="shared" si="24"/>
        <v>0</v>
      </c>
      <c r="AU88" s="49">
        <f t="shared" si="25"/>
        <v>0</v>
      </c>
      <c r="AV88" s="49">
        <f t="shared" si="26"/>
        <v>0</v>
      </c>
      <c r="AW88" s="49">
        <f t="shared" si="27"/>
        <v>0</v>
      </c>
      <c r="AX88" s="49">
        <f t="shared" si="28"/>
        <v>0</v>
      </c>
      <c r="AZ88" s="53">
        <f t="shared" si="29"/>
        <v>0</v>
      </c>
      <c r="BA88" s="53">
        <f t="shared" si="30"/>
        <v>0</v>
      </c>
      <c r="BB88" s="53">
        <f t="shared" si="31"/>
        <v>0</v>
      </c>
      <c r="BC88" s="53">
        <f t="shared" si="32"/>
        <v>0</v>
      </c>
      <c r="BD88" s="53">
        <f t="shared" si="33"/>
        <v>0</v>
      </c>
    </row>
    <row r="89" spans="2:56">
      <c r="B89" s="43">
        <f>'3. Input (des)investeringen '!B113</f>
        <v>1587</v>
      </c>
      <c r="C89" s="54"/>
      <c r="D89" s="54"/>
      <c r="E89" s="54"/>
      <c r="F89" s="48">
        <f>'3. Input (des)investeringen '!D113</f>
        <v>30064216.026644446</v>
      </c>
      <c r="G89" s="54"/>
      <c r="H89" s="43">
        <f>'3. Input (des)investeringen '!F113</f>
        <v>2023</v>
      </c>
      <c r="I89" s="48" t="str">
        <f>'3. Input (des)investeringen '!G113</f>
        <v>nvt</v>
      </c>
      <c r="J89" s="48">
        <f>'3. Input (des)investeringen '!H113</f>
        <v>30</v>
      </c>
      <c r="K89" s="48">
        <f>'3. Input (des)investeringen '!I113</f>
        <v>1</v>
      </c>
      <c r="M89" s="49">
        <f t="shared" si="6"/>
        <v>0</v>
      </c>
      <c r="N89" s="49">
        <f t="shared" si="7"/>
        <v>0</v>
      </c>
      <c r="P89" s="147">
        <f t="shared" si="8"/>
        <v>0</v>
      </c>
      <c r="Q89" s="147">
        <f t="shared" si="9"/>
        <v>0</v>
      </c>
      <c r="S89" s="49">
        <f t="shared" si="10"/>
        <v>0</v>
      </c>
      <c r="T89" s="44">
        <f t="shared" si="11"/>
        <v>30</v>
      </c>
      <c r="V89" s="49">
        <f t="shared" si="12"/>
        <v>0</v>
      </c>
      <c r="W89" s="49">
        <f t="shared" si="12"/>
        <v>0</v>
      </c>
      <c r="X89" s="49">
        <f t="shared" si="12"/>
        <v>0</v>
      </c>
      <c r="Y89" s="49">
        <f t="shared" si="12"/>
        <v>0</v>
      </c>
      <c r="Z89" s="49">
        <f t="shared" si="12"/>
        <v>0</v>
      </c>
      <c r="AB89" s="49">
        <f t="shared" si="13"/>
        <v>0</v>
      </c>
      <c r="AC89" s="49">
        <f t="shared" si="13"/>
        <v>0</v>
      </c>
      <c r="AD89" s="49">
        <f t="shared" si="13"/>
        <v>0</v>
      </c>
      <c r="AE89" s="49">
        <f t="shared" si="13"/>
        <v>0</v>
      </c>
      <c r="AF89" s="49">
        <f t="shared" si="13"/>
        <v>0</v>
      </c>
      <c r="AH89" s="49">
        <f t="shared" si="14"/>
        <v>0</v>
      </c>
      <c r="AI89" s="49">
        <f t="shared" si="15"/>
        <v>0</v>
      </c>
      <c r="AJ89" s="49">
        <f t="shared" si="16"/>
        <v>0</v>
      </c>
      <c r="AK89" s="49">
        <f t="shared" si="17"/>
        <v>0</v>
      </c>
      <c r="AL89" s="49">
        <f t="shared" si="18"/>
        <v>0</v>
      </c>
      <c r="AN89" s="49">
        <f t="shared" si="19"/>
        <v>0</v>
      </c>
      <c r="AO89" s="49">
        <f t="shared" si="20"/>
        <v>0</v>
      </c>
      <c r="AP89" s="49">
        <f t="shared" si="21"/>
        <v>0</v>
      </c>
      <c r="AQ89" s="49">
        <f t="shared" si="22"/>
        <v>0</v>
      </c>
      <c r="AR89" s="49">
        <f t="shared" si="23"/>
        <v>0</v>
      </c>
      <c r="AT89" s="49">
        <f t="shared" si="24"/>
        <v>0</v>
      </c>
      <c r="AU89" s="49">
        <f t="shared" si="25"/>
        <v>0</v>
      </c>
      <c r="AV89" s="49">
        <f t="shared" si="26"/>
        <v>0</v>
      </c>
      <c r="AW89" s="49">
        <f t="shared" si="27"/>
        <v>0</v>
      </c>
      <c r="AX89" s="49">
        <f t="shared" si="28"/>
        <v>0</v>
      </c>
      <c r="AZ89" s="53">
        <f t="shared" si="29"/>
        <v>0</v>
      </c>
      <c r="BA89" s="53">
        <f t="shared" si="30"/>
        <v>0</v>
      </c>
      <c r="BB89" s="53">
        <f t="shared" si="31"/>
        <v>0</v>
      </c>
      <c r="BC89" s="53">
        <f t="shared" si="32"/>
        <v>0</v>
      </c>
      <c r="BD89" s="53">
        <f t="shared" si="33"/>
        <v>0</v>
      </c>
    </row>
    <row r="90" spans="2:56">
      <c r="B90" s="43">
        <f>'3. Input (des)investeringen '!B114</f>
        <v>1588</v>
      </c>
      <c r="C90" s="54"/>
      <c r="D90" s="54"/>
      <c r="E90" s="54"/>
      <c r="F90" s="48">
        <f>'3. Input (des)investeringen '!D114</f>
        <v>83221993.783928484</v>
      </c>
      <c r="G90" s="54"/>
      <c r="H90" s="43">
        <f>'3. Input (des)investeringen '!F114</f>
        <v>2023</v>
      </c>
      <c r="I90" s="48" t="str">
        <f>'3. Input (des)investeringen '!G114</f>
        <v>nvt</v>
      </c>
      <c r="J90" s="48">
        <f>'3. Input (des)investeringen '!H114</f>
        <v>55</v>
      </c>
      <c r="K90" s="48">
        <f>'3. Input (des)investeringen '!I114</f>
        <v>1</v>
      </c>
      <c r="M90" s="49">
        <f t="shared" si="6"/>
        <v>0</v>
      </c>
      <c r="N90" s="49">
        <f t="shared" si="7"/>
        <v>0</v>
      </c>
      <c r="P90" s="147">
        <f t="shared" si="8"/>
        <v>0</v>
      </c>
      <c r="Q90" s="147">
        <f t="shared" si="9"/>
        <v>0</v>
      </c>
      <c r="S90" s="49">
        <f t="shared" si="10"/>
        <v>0</v>
      </c>
      <c r="T90" s="44">
        <f t="shared" si="11"/>
        <v>55</v>
      </c>
      <c r="V90" s="49">
        <f t="shared" si="12"/>
        <v>0</v>
      </c>
      <c r="W90" s="49">
        <f t="shared" si="12"/>
        <v>0</v>
      </c>
      <c r="X90" s="49">
        <f t="shared" si="12"/>
        <v>0</v>
      </c>
      <c r="Y90" s="49">
        <f t="shared" si="12"/>
        <v>0</v>
      </c>
      <c r="Z90" s="49">
        <f t="shared" si="12"/>
        <v>0</v>
      </c>
      <c r="AB90" s="49">
        <f t="shared" si="13"/>
        <v>0</v>
      </c>
      <c r="AC90" s="49">
        <f t="shared" si="13"/>
        <v>0</v>
      </c>
      <c r="AD90" s="49">
        <f t="shared" si="13"/>
        <v>0</v>
      </c>
      <c r="AE90" s="49">
        <f t="shared" si="13"/>
        <v>0</v>
      </c>
      <c r="AF90" s="49">
        <f t="shared" si="13"/>
        <v>0</v>
      </c>
      <c r="AH90" s="49">
        <f t="shared" si="14"/>
        <v>0</v>
      </c>
      <c r="AI90" s="49">
        <f t="shared" si="15"/>
        <v>0</v>
      </c>
      <c r="AJ90" s="49">
        <f t="shared" si="16"/>
        <v>0</v>
      </c>
      <c r="AK90" s="49">
        <f t="shared" si="17"/>
        <v>0</v>
      </c>
      <c r="AL90" s="49">
        <f t="shared" si="18"/>
        <v>0</v>
      </c>
      <c r="AN90" s="49">
        <f t="shared" si="19"/>
        <v>0</v>
      </c>
      <c r="AO90" s="49">
        <f t="shared" si="20"/>
        <v>0</v>
      </c>
      <c r="AP90" s="49">
        <f t="shared" si="21"/>
        <v>0</v>
      </c>
      <c r="AQ90" s="49">
        <f t="shared" si="22"/>
        <v>0</v>
      </c>
      <c r="AR90" s="49">
        <f t="shared" si="23"/>
        <v>0</v>
      </c>
      <c r="AT90" s="49">
        <f t="shared" si="24"/>
        <v>0</v>
      </c>
      <c r="AU90" s="49">
        <f t="shared" si="25"/>
        <v>0</v>
      </c>
      <c r="AV90" s="49">
        <f t="shared" si="26"/>
        <v>0</v>
      </c>
      <c r="AW90" s="49">
        <f t="shared" si="27"/>
        <v>0</v>
      </c>
      <c r="AX90" s="49">
        <f t="shared" si="28"/>
        <v>0</v>
      </c>
      <c r="AZ90" s="53">
        <f t="shared" si="29"/>
        <v>0</v>
      </c>
      <c r="BA90" s="53">
        <f t="shared" si="30"/>
        <v>0</v>
      </c>
      <c r="BB90" s="53">
        <f t="shared" si="31"/>
        <v>0</v>
      </c>
      <c r="BC90" s="53">
        <f t="shared" si="32"/>
        <v>0</v>
      </c>
      <c r="BD90" s="53">
        <f t="shared" si="33"/>
        <v>0</v>
      </c>
    </row>
    <row r="91" spans="2:56">
      <c r="B91" s="43">
        <f>'3. Input (des)investeringen '!B115</f>
        <v>1592</v>
      </c>
      <c r="C91" s="54"/>
      <c r="D91" s="54"/>
      <c r="E91" s="54"/>
      <c r="F91" s="48">
        <f>'3. Input (des)investeringen '!D115</f>
        <v>4821440.5639281506</v>
      </c>
      <c r="G91" s="54"/>
      <c r="H91" s="43">
        <f>'3. Input (des)investeringen '!F115</f>
        <v>2023</v>
      </c>
      <c r="I91" s="48" t="str">
        <f>'3. Input (des)investeringen '!G115</f>
        <v>nvt</v>
      </c>
      <c r="J91" s="48">
        <f>'3. Input (des)investeringen '!H115</f>
        <v>15</v>
      </c>
      <c r="K91" s="48">
        <f>'3. Input (des)investeringen '!I115</f>
        <v>0</v>
      </c>
      <c r="M91" s="49">
        <f t="shared" si="6"/>
        <v>0</v>
      </c>
      <c r="N91" s="49">
        <f t="shared" si="7"/>
        <v>0</v>
      </c>
      <c r="P91" s="147">
        <f t="shared" si="8"/>
        <v>0</v>
      </c>
      <c r="Q91" s="147">
        <f t="shared" si="9"/>
        <v>0</v>
      </c>
      <c r="S91" s="49">
        <f t="shared" si="10"/>
        <v>0</v>
      </c>
      <c r="T91" s="44">
        <f t="shared" si="11"/>
        <v>15</v>
      </c>
      <c r="V91" s="49">
        <f t="shared" si="12"/>
        <v>0</v>
      </c>
      <c r="W91" s="49">
        <f t="shared" si="12"/>
        <v>0</v>
      </c>
      <c r="X91" s="49">
        <f t="shared" si="12"/>
        <v>0</v>
      </c>
      <c r="Y91" s="49">
        <f t="shared" si="12"/>
        <v>0</v>
      </c>
      <c r="Z91" s="49">
        <f t="shared" si="12"/>
        <v>0</v>
      </c>
      <c r="AB91" s="49">
        <f t="shared" si="13"/>
        <v>0</v>
      </c>
      <c r="AC91" s="49">
        <f t="shared" si="13"/>
        <v>0</v>
      </c>
      <c r="AD91" s="49">
        <f t="shared" si="13"/>
        <v>0</v>
      </c>
      <c r="AE91" s="49">
        <f t="shared" si="13"/>
        <v>0</v>
      </c>
      <c r="AF91" s="49">
        <f t="shared" si="13"/>
        <v>0</v>
      </c>
      <c r="AH91" s="49">
        <f t="shared" si="14"/>
        <v>0</v>
      </c>
      <c r="AI91" s="49">
        <f t="shared" si="15"/>
        <v>0</v>
      </c>
      <c r="AJ91" s="49">
        <f t="shared" si="16"/>
        <v>0</v>
      </c>
      <c r="AK91" s="49">
        <f t="shared" si="17"/>
        <v>0</v>
      </c>
      <c r="AL91" s="49">
        <f t="shared" si="18"/>
        <v>0</v>
      </c>
      <c r="AN91" s="49">
        <f t="shared" si="19"/>
        <v>0</v>
      </c>
      <c r="AO91" s="49">
        <f t="shared" si="20"/>
        <v>0</v>
      </c>
      <c r="AP91" s="49">
        <f t="shared" si="21"/>
        <v>0</v>
      </c>
      <c r="AQ91" s="49">
        <f t="shared" si="22"/>
        <v>0</v>
      </c>
      <c r="AR91" s="49">
        <f t="shared" si="23"/>
        <v>0</v>
      </c>
      <c r="AT91" s="49">
        <f t="shared" si="24"/>
        <v>0</v>
      </c>
      <c r="AU91" s="49">
        <f t="shared" si="25"/>
        <v>0</v>
      </c>
      <c r="AV91" s="49">
        <f t="shared" si="26"/>
        <v>0</v>
      </c>
      <c r="AW91" s="49">
        <f t="shared" si="27"/>
        <v>0</v>
      </c>
      <c r="AX91" s="49">
        <f t="shared" si="28"/>
        <v>0</v>
      </c>
      <c r="AZ91" s="53">
        <f t="shared" si="29"/>
        <v>0</v>
      </c>
      <c r="BA91" s="53">
        <f t="shared" si="30"/>
        <v>0</v>
      </c>
      <c r="BB91" s="53">
        <f t="shared" si="31"/>
        <v>0</v>
      </c>
      <c r="BC91" s="53">
        <f t="shared" si="32"/>
        <v>0</v>
      </c>
      <c r="BD91" s="53">
        <f t="shared" si="33"/>
        <v>0</v>
      </c>
    </row>
    <row r="92" spans="2:56">
      <c r="B92" s="43">
        <f>'3. Input (des)investeringen '!B116</f>
        <v>1593</v>
      </c>
      <c r="C92" s="54"/>
      <c r="D92" s="54"/>
      <c r="E92" s="54"/>
      <c r="F92" s="48">
        <f>'3. Input (des)investeringen '!D116</f>
        <v>27346413.49123003</v>
      </c>
      <c r="G92" s="54"/>
      <c r="H92" s="43">
        <f>'3. Input (des)investeringen '!F116</f>
        <v>2023</v>
      </c>
      <c r="I92" s="48" t="str">
        <f>'3. Input (des)investeringen '!G116</f>
        <v>nvt</v>
      </c>
      <c r="J92" s="48">
        <f>'3. Input (des)investeringen '!H116</f>
        <v>30</v>
      </c>
      <c r="K92" s="48">
        <f>'3. Input (des)investeringen '!I116</f>
        <v>0</v>
      </c>
      <c r="M92" s="49">
        <f t="shared" si="6"/>
        <v>0</v>
      </c>
      <c r="N92" s="49">
        <f t="shared" si="7"/>
        <v>0</v>
      </c>
      <c r="P92" s="147">
        <f t="shared" si="8"/>
        <v>0</v>
      </c>
      <c r="Q92" s="147">
        <f t="shared" si="9"/>
        <v>0</v>
      </c>
      <c r="S92" s="49">
        <f t="shared" si="10"/>
        <v>0</v>
      </c>
      <c r="T92" s="44">
        <f t="shared" si="11"/>
        <v>30</v>
      </c>
      <c r="V92" s="49">
        <f t="shared" si="12"/>
        <v>0</v>
      </c>
      <c r="W92" s="49">
        <f t="shared" si="12"/>
        <v>0</v>
      </c>
      <c r="X92" s="49">
        <f t="shared" si="12"/>
        <v>0</v>
      </c>
      <c r="Y92" s="49">
        <f t="shared" si="12"/>
        <v>0</v>
      </c>
      <c r="Z92" s="49">
        <f t="shared" si="12"/>
        <v>0</v>
      </c>
      <c r="AB92" s="49">
        <f t="shared" si="13"/>
        <v>0</v>
      </c>
      <c r="AC92" s="49">
        <f t="shared" si="13"/>
        <v>0</v>
      </c>
      <c r="AD92" s="49">
        <f t="shared" si="13"/>
        <v>0</v>
      </c>
      <c r="AE92" s="49">
        <f t="shared" si="13"/>
        <v>0</v>
      </c>
      <c r="AF92" s="49">
        <f t="shared" si="13"/>
        <v>0</v>
      </c>
      <c r="AH92" s="49">
        <f t="shared" si="14"/>
        <v>0</v>
      </c>
      <c r="AI92" s="49">
        <f t="shared" si="15"/>
        <v>0</v>
      </c>
      <c r="AJ92" s="49">
        <f t="shared" si="16"/>
        <v>0</v>
      </c>
      <c r="AK92" s="49">
        <f t="shared" si="17"/>
        <v>0</v>
      </c>
      <c r="AL92" s="49">
        <f t="shared" si="18"/>
        <v>0</v>
      </c>
      <c r="AN92" s="49">
        <f t="shared" si="19"/>
        <v>0</v>
      </c>
      <c r="AO92" s="49">
        <f t="shared" si="20"/>
        <v>0</v>
      </c>
      <c r="AP92" s="49">
        <f t="shared" si="21"/>
        <v>0</v>
      </c>
      <c r="AQ92" s="49">
        <f t="shared" si="22"/>
        <v>0</v>
      </c>
      <c r="AR92" s="49">
        <f t="shared" si="23"/>
        <v>0</v>
      </c>
      <c r="AT92" s="49">
        <f t="shared" si="24"/>
        <v>0</v>
      </c>
      <c r="AU92" s="49">
        <f t="shared" si="25"/>
        <v>0</v>
      </c>
      <c r="AV92" s="49">
        <f t="shared" si="26"/>
        <v>0</v>
      </c>
      <c r="AW92" s="49">
        <f t="shared" si="27"/>
        <v>0</v>
      </c>
      <c r="AX92" s="49">
        <f t="shared" si="28"/>
        <v>0</v>
      </c>
      <c r="AZ92" s="53">
        <f t="shared" si="29"/>
        <v>0</v>
      </c>
      <c r="BA92" s="53">
        <f t="shared" si="30"/>
        <v>0</v>
      </c>
      <c r="BB92" s="53">
        <f t="shared" si="31"/>
        <v>0</v>
      </c>
      <c r="BC92" s="53">
        <f t="shared" si="32"/>
        <v>0</v>
      </c>
      <c r="BD92" s="53">
        <f t="shared" si="33"/>
        <v>0</v>
      </c>
    </row>
    <row r="93" spans="2:56">
      <c r="B93" s="43">
        <f>'3. Input (des)investeringen '!B117</f>
        <v>1594</v>
      </c>
      <c r="C93" s="54"/>
      <c r="D93" s="54"/>
      <c r="E93" s="54"/>
      <c r="F93" s="48">
        <f>'3. Input (des)investeringen '!D117</f>
        <v>38630.691367044557</v>
      </c>
      <c r="G93" s="54"/>
      <c r="H93" s="43">
        <f>'3. Input (des)investeringen '!F117</f>
        <v>2023</v>
      </c>
      <c r="I93" s="48" t="str">
        <f>'3. Input (des)investeringen '!G117</f>
        <v>nvt</v>
      </c>
      <c r="J93" s="48">
        <f>'3. Input (des)investeringen '!H117</f>
        <v>55</v>
      </c>
      <c r="K93" s="48">
        <f>'3. Input (des)investeringen '!I117</f>
        <v>0</v>
      </c>
      <c r="M93" s="49">
        <f t="shared" si="6"/>
        <v>0</v>
      </c>
      <c r="N93" s="49">
        <f t="shared" si="7"/>
        <v>0</v>
      </c>
      <c r="P93" s="147">
        <f t="shared" si="8"/>
        <v>0</v>
      </c>
      <c r="Q93" s="147">
        <f t="shared" si="9"/>
        <v>0</v>
      </c>
      <c r="S93" s="49">
        <f t="shared" si="10"/>
        <v>0</v>
      </c>
      <c r="T93" s="44">
        <f t="shared" si="11"/>
        <v>55</v>
      </c>
      <c r="V93" s="49">
        <f t="shared" si="12"/>
        <v>0</v>
      </c>
      <c r="W93" s="49">
        <f t="shared" si="12"/>
        <v>0</v>
      </c>
      <c r="X93" s="49">
        <f t="shared" si="12"/>
        <v>0</v>
      </c>
      <c r="Y93" s="49">
        <f t="shared" si="12"/>
        <v>0</v>
      </c>
      <c r="Z93" s="49">
        <f t="shared" si="12"/>
        <v>0</v>
      </c>
      <c r="AB93" s="49">
        <f t="shared" si="13"/>
        <v>0</v>
      </c>
      <c r="AC93" s="49">
        <f t="shared" si="13"/>
        <v>0</v>
      </c>
      <c r="AD93" s="49">
        <f t="shared" si="13"/>
        <v>0</v>
      </c>
      <c r="AE93" s="49">
        <f t="shared" si="13"/>
        <v>0</v>
      </c>
      <c r="AF93" s="49">
        <f t="shared" si="13"/>
        <v>0</v>
      </c>
      <c r="AH93" s="49">
        <f t="shared" si="14"/>
        <v>0</v>
      </c>
      <c r="AI93" s="49">
        <f t="shared" si="15"/>
        <v>0</v>
      </c>
      <c r="AJ93" s="49">
        <f t="shared" si="16"/>
        <v>0</v>
      </c>
      <c r="AK93" s="49">
        <f t="shared" si="17"/>
        <v>0</v>
      </c>
      <c r="AL93" s="49">
        <f t="shared" si="18"/>
        <v>0</v>
      </c>
      <c r="AN93" s="49">
        <f t="shared" si="19"/>
        <v>0</v>
      </c>
      <c r="AO93" s="49">
        <f t="shared" si="20"/>
        <v>0</v>
      </c>
      <c r="AP93" s="49">
        <f t="shared" si="21"/>
        <v>0</v>
      </c>
      <c r="AQ93" s="49">
        <f t="shared" si="22"/>
        <v>0</v>
      </c>
      <c r="AR93" s="49">
        <f t="shared" si="23"/>
        <v>0</v>
      </c>
      <c r="AT93" s="49">
        <f t="shared" si="24"/>
        <v>0</v>
      </c>
      <c r="AU93" s="49">
        <f t="shared" si="25"/>
        <v>0</v>
      </c>
      <c r="AV93" s="49">
        <f t="shared" si="26"/>
        <v>0</v>
      </c>
      <c r="AW93" s="49">
        <f t="shared" si="27"/>
        <v>0</v>
      </c>
      <c r="AX93" s="49">
        <f t="shared" si="28"/>
        <v>0</v>
      </c>
      <c r="AZ93" s="53">
        <f t="shared" si="29"/>
        <v>0</v>
      </c>
      <c r="BA93" s="53">
        <f t="shared" si="30"/>
        <v>0</v>
      </c>
      <c r="BB93" s="53">
        <f t="shared" si="31"/>
        <v>0</v>
      </c>
      <c r="BC93" s="53">
        <f t="shared" si="32"/>
        <v>0</v>
      </c>
      <c r="BD93" s="53">
        <f t="shared" si="33"/>
        <v>0</v>
      </c>
    </row>
    <row r="94" spans="2:56">
      <c r="B94" s="43">
        <f>'3. Input (des)investeringen '!B118</f>
        <v>1598</v>
      </c>
      <c r="C94" s="54"/>
      <c r="D94" s="54"/>
      <c r="E94" s="54"/>
      <c r="F94" s="48">
        <f>'3. Input (des)investeringen '!D118</f>
        <v>7788481.0198376775</v>
      </c>
      <c r="G94" s="54"/>
      <c r="H94" s="43">
        <f>'3. Input (des)investeringen '!F118</f>
        <v>2023</v>
      </c>
      <c r="I94" s="48" t="str">
        <f>'3. Input (des)investeringen '!G118</f>
        <v>nvt</v>
      </c>
      <c r="J94" s="48">
        <f>'3. Input (des)investeringen '!H118</f>
        <v>15</v>
      </c>
      <c r="K94" s="48">
        <f>'3. Input (des)investeringen '!I118</f>
        <v>0</v>
      </c>
      <c r="M94" s="49">
        <f t="shared" si="6"/>
        <v>0</v>
      </c>
      <c r="N94" s="49">
        <f t="shared" si="7"/>
        <v>0</v>
      </c>
      <c r="P94" s="147">
        <f t="shared" si="8"/>
        <v>0</v>
      </c>
      <c r="Q94" s="147">
        <f t="shared" si="9"/>
        <v>0</v>
      </c>
      <c r="S94" s="49">
        <f t="shared" si="10"/>
        <v>0</v>
      </c>
      <c r="T94" s="44">
        <f t="shared" si="11"/>
        <v>15</v>
      </c>
      <c r="V94" s="49">
        <f t="shared" ref="V94:Z138" si="34">IF($J94=0, 0, IF(OR($H94&gt;V$59,$H94+$J94&lt;V$59),0,
IF(OR($H94=2020,$H94=2021),VDB($S94*(1-$F$28),0,$T94,V$59-2022,MIN($T94,V$59-2021),$F$22,FALSE),
VDB($S94*(1-$F$28),0,$T94,MAX(0,V$59-$H94-0.5),MIN($T94,V$59-$H94+0.5),$F$22,FALSE))))</f>
        <v>0</v>
      </c>
      <c r="W94" s="49">
        <f t="shared" si="34"/>
        <v>0</v>
      </c>
      <c r="X94" s="49">
        <f t="shared" si="34"/>
        <v>0</v>
      </c>
      <c r="Y94" s="49">
        <f t="shared" si="34"/>
        <v>0</v>
      </c>
      <c r="Z94" s="49">
        <f t="shared" si="34"/>
        <v>0</v>
      </c>
      <c r="AB94" s="49">
        <f t="shared" ref="AB94:AF138" si="35">IF($J94=0, 0, IF(OR($H94&gt;AB$59,$H94+$J94&lt;AB$59),0,
IF(OR($H94=2020,$H94=2021),VDB($S94*$F$28,0,$T94,AB$59-2022,MIN($T94,AB$59-2021),1),
VDB($S94*$F$28,0,$T94,MAX(0,AB$59-$H94-0.5),MIN($T94,AB$59-$H94+0.5),1))))</f>
        <v>0</v>
      </c>
      <c r="AC94" s="49">
        <f t="shared" si="35"/>
        <v>0</v>
      </c>
      <c r="AD94" s="49">
        <f t="shared" si="35"/>
        <v>0</v>
      </c>
      <c r="AE94" s="49">
        <f t="shared" si="35"/>
        <v>0</v>
      </c>
      <c r="AF94" s="49">
        <f t="shared" si="35"/>
        <v>0</v>
      </c>
      <c r="AH94" s="49">
        <f t="shared" si="14"/>
        <v>0</v>
      </c>
      <c r="AI94" s="49">
        <f t="shared" si="15"/>
        <v>0</v>
      </c>
      <c r="AJ94" s="49">
        <f t="shared" si="16"/>
        <v>0</v>
      </c>
      <c r="AK94" s="49">
        <f t="shared" si="17"/>
        <v>0</v>
      </c>
      <c r="AL94" s="49">
        <f t="shared" si="18"/>
        <v>0</v>
      </c>
      <c r="AN94" s="49">
        <f t="shared" si="19"/>
        <v>0</v>
      </c>
      <c r="AO94" s="49">
        <f t="shared" si="20"/>
        <v>0</v>
      </c>
      <c r="AP94" s="49">
        <f t="shared" si="21"/>
        <v>0</v>
      </c>
      <c r="AQ94" s="49">
        <f t="shared" si="22"/>
        <v>0</v>
      </c>
      <c r="AR94" s="49">
        <f t="shared" si="23"/>
        <v>0</v>
      </c>
      <c r="AT94" s="49">
        <f t="shared" si="24"/>
        <v>0</v>
      </c>
      <c r="AU94" s="49">
        <f t="shared" si="25"/>
        <v>0</v>
      </c>
      <c r="AV94" s="49">
        <f t="shared" si="26"/>
        <v>0</v>
      </c>
      <c r="AW94" s="49">
        <f t="shared" si="27"/>
        <v>0</v>
      </c>
      <c r="AX94" s="49">
        <f t="shared" si="28"/>
        <v>0</v>
      </c>
      <c r="AZ94" s="53">
        <f t="shared" si="29"/>
        <v>0</v>
      </c>
      <c r="BA94" s="53">
        <f t="shared" si="30"/>
        <v>0</v>
      </c>
      <c r="BB94" s="53">
        <f t="shared" si="31"/>
        <v>0</v>
      </c>
      <c r="BC94" s="53">
        <f t="shared" si="32"/>
        <v>0</v>
      </c>
      <c r="BD94" s="53">
        <f t="shared" si="33"/>
        <v>0</v>
      </c>
    </row>
    <row r="95" spans="2:56">
      <c r="B95" s="43">
        <f>'3. Input (des)investeringen '!B119</f>
        <v>1599</v>
      </c>
      <c r="C95" s="54"/>
      <c r="D95" s="54"/>
      <c r="E95" s="54"/>
      <c r="F95" s="48">
        <f>'3. Input (des)investeringen '!D119</f>
        <v>7727802.2539787497</v>
      </c>
      <c r="G95" s="54"/>
      <c r="H95" s="43">
        <f>'3. Input (des)investeringen '!F119</f>
        <v>2023</v>
      </c>
      <c r="I95" s="48" t="str">
        <f>'3. Input (des)investeringen '!G119</f>
        <v>nvt</v>
      </c>
      <c r="J95" s="48">
        <f>'3. Input (des)investeringen '!H119</f>
        <v>30</v>
      </c>
      <c r="K95" s="48">
        <f>'3. Input (des)investeringen '!I119</f>
        <v>0</v>
      </c>
      <c r="M95" s="49">
        <f t="shared" si="6"/>
        <v>0</v>
      </c>
      <c r="N95" s="49">
        <f t="shared" si="7"/>
        <v>0</v>
      </c>
      <c r="P95" s="147">
        <f t="shared" si="8"/>
        <v>0</v>
      </c>
      <c r="Q95" s="147">
        <f t="shared" si="9"/>
        <v>0</v>
      </c>
      <c r="S95" s="49">
        <f t="shared" si="10"/>
        <v>0</v>
      </c>
      <c r="T95" s="44">
        <f t="shared" si="11"/>
        <v>30</v>
      </c>
      <c r="V95" s="49">
        <f t="shared" si="34"/>
        <v>0</v>
      </c>
      <c r="W95" s="49">
        <f t="shared" si="34"/>
        <v>0</v>
      </c>
      <c r="X95" s="49">
        <f t="shared" si="34"/>
        <v>0</v>
      </c>
      <c r="Y95" s="49">
        <f t="shared" si="34"/>
        <v>0</v>
      </c>
      <c r="Z95" s="49">
        <f t="shared" si="34"/>
        <v>0</v>
      </c>
      <c r="AB95" s="49">
        <f t="shared" si="35"/>
        <v>0</v>
      </c>
      <c r="AC95" s="49">
        <f t="shared" si="35"/>
        <v>0</v>
      </c>
      <c r="AD95" s="49">
        <f t="shared" si="35"/>
        <v>0</v>
      </c>
      <c r="AE95" s="49">
        <f t="shared" si="35"/>
        <v>0</v>
      </c>
      <c r="AF95" s="49">
        <f t="shared" si="35"/>
        <v>0</v>
      </c>
      <c r="AH95" s="49">
        <f t="shared" si="14"/>
        <v>0</v>
      </c>
      <c r="AI95" s="49">
        <f t="shared" si="15"/>
        <v>0</v>
      </c>
      <c r="AJ95" s="49">
        <f t="shared" si="16"/>
        <v>0</v>
      </c>
      <c r="AK95" s="49">
        <f t="shared" si="17"/>
        <v>0</v>
      </c>
      <c r="AL95" s="49">
        <f t="shared" si="18"/>
        <v>0</v>
      </c>
      <c r="AN95" s="49">
        <f t="shared" si="19"/>
        <v>0</v>
      </c>
      <c r="AO95" s="49">
        <f t="shared" si="20"/>
        <v>0</v>
      </c>
      <c r="AP95" s="49">
        <f t="shared" si="21"/>
        <v>0</v>
      </c>
      <c r="AQ95" s="49">
        <f t="shared" si="22"/>
        <v>0</v>
      </c>
      <c r="AR95" s="49">
        <f t="shared" si="23"/>
        <v>0</v>
      </c>
      <c r="AT95" s="49">
        <f t="shared" si="24"/>
        <v>0</v>
      </c>
      <c r="AU95" s="49">
        <f t="shared" si="25"/>
        <v>0</v>
      </c>
      <c r="AV95" s="49">
        <f t="shared" si="26"/>
        <v>0</v>
      </c>
      <c r="AW95" s="49">
        <f t="shared" si="27"/>
        <v>0</v>
      </c>
      <c r="AX95" s="49">
        <f t="shared" si="28"/>
        <v>0</v>
      </c>
      <c r="AZ95" s="53">
        <f t="shared" si="29"/>
        <v>0</v>
      </c>
      <c r="BA95" s="53">
        <f t="shared" si="30"/>
        <v>0</v>
      </c>
      <c r="BB95" s="53">
        <f t="shared" si="31"/>
        <v>0</v>
      </c>
      <c r="BC95" s="53">
        <f t="shared" si="32"/>
        <v>0</v>
      </c>
      <c r="BD95" s="53">
        <f t="shared" si="33"/>
        <v>0</v>
      </c>
    </row>
    <row r="96" spans="2:56">
      <c r="B96" s="43">
        <f>'3. Input (des)investeringen '!B120</f>
        <v>1600</v>
      </c>
      <c r="C96" s="54"/>
      <c r="D96" s="54"/>
      <c r="E96" s="54"/>
      <c r="F96" s="48">
        <f>'3. Input (des)investeringen '!D120</f>
        <v>0</v>
      </c>
      <c r="G96" s="54"/>
      <c r="H96" s="43">
        <f>'3. Input (des)investeringen '!F120</f>
        <v>2023</v>
      </c>
      <c r="I96" s="48" t="str">
        <f>'3. Input (des)investeringen '!G120</f>
        <v>nvt</v>
      </c>
      <c r="J96" s="48">
        <f>'3. Input (des)investeringen '!H120</f>
        <v>55</v>
      </c>
      <c r="K96" s="48">
        <f>'3. Input (des)investeringen '!I120</f>
        <v>0</v>
      </c>
      <c r="M96" s="49">
        <f t="shared" si="6"/>
        <v>0</v>
      </c>
      <c r="N96" s="49">
        <f t="shared" si="7"/>
        <v>0</v>
      </c>
      <c r="P96" s="147">
        <f t="shared" si="8"/>
        <v>0</v>
      </c>
      <c r="Q96" s="147">
        <f t="shared" si="9"/>
        <v>0</v>
      </c>
      <c r="S96" s="49">
        <f t="shared" si="10"/>
        <v>0</v>
      </c>
      <c r="T96" s="44">
        <f t="shared" si="11"/>
        <v>55</v>
      </c>
      <c r="V96" s="49">
        <f t="shared" si="34"/>
        <v>0</v>
      </c>
      <c r="W96" s="49">
        <f t="shared" si="34"/>
        <v>0</v>
      </c>
      <c r="X96" s="49">
        <f t="shared" si="34"/>
        <v>0</v>
      </c>
      <c r="Y96" s="49">
        <f t="shared" si="34"/>
        <v>0</v>
      </c>
      <c r="Z96" s="49">
        <f t="shared" si="34"/>
        <v>0</v>
      </c>
      <c r="AB96" s="49">
        <f t="shared" si="35"/>
        <v>0</v>
      </c>
      <c r="AC96" s="49">
        <f t="shared" si="35"/>
        <v>0</v>
      </c>
      <c r="AD96" s="49">
        <f t="shared" si="35"/>
        <v>0</v>
      </c>
      <c r="AE96" s="49">
        <f t="shared" si="35"/>
        <v>0</v>
      </c>
      <c r="AF96" s="49">
        <f t="shared" si="35"/>
        <v>0</v>
      </c>
      <c r="AH96" s="49">
        <f t="shared" si="14"/>
        <v>0</v>
      </c>
      <c r="AI96" s="49">
        <f t="shared" si="15"/>
        <v>0</v>
      </c>
      <c r="AJ96" s="49">
        <f t="shared" si="16"/>
        <v>0</v>
      </c>
      <c r="AK96" s="49">
        <f t="shared" si="17"/>
        <v>0</v>
      </c>
      <c r="AL96" s="49">
        <f t="shared" si="18"/>
        <v>0</v>
      </c>
      <c r="AN96" s="49">
        <f t="shared" si="19"/>
        <v>0</v>
      </c>
      <c r="AO96" s="49">
        <f t="shared" si="20"/>
        <v>0</v>
      </c>
      <c r="AP96" s="49">
        <f t="shared" si="21"/>
        <v>0</v>
      </c>
      <c r="AQ96" s="49">
        <f t="shared" si="22"/>
        <v>0</v>
      </c>
      <c r="AR96" s="49">
        <f t="shared" si="23"/>
        <v>0</v>
      </c>
      <c r="AT96" s="49">
        <f t="shared" si="24"/>
        <v>0</v>
      </c>
      <c r="AU96" s="49">
        <f t="shared" si="25"/>
        <v>0</v>
      </c>
      <c r="AV96" s="49">
        <f t="shared" si="26"/>
        <v>0</v>
      </c>
      <c r="AW96" s="49">
        <f t="shared" si="27"/>
        <v>0</v>
      </c>
      <c r="AX96" s="49">
        <f t="shared" si="28"/>
        <v>0</v>
      </c>
      <c r="AZ96" s="53">
        <f t="shared" si="29"/>
        <v>0</v>
      </c>
      <c r="BA96" s="53">
        <f t="shared" si="30"/>
        <v>0</v>
      </c>
      <c r="BB96" s="53">
        <f t="shared" si="31"/>
        <v>0</v>
      </c>
      <c r="BC96" s="53">
        <f t="shared" si="32"/>
        <v>0</v>
      </c>
      <c r="BD96" s="53">
        <f t="shared" si="33"/>
        <v>0</v>
      </c>
    </row>
    <row r="97" spans="2:56">
      <c r="B97" s="43">
        <f>'3. Input (des)investeringen '!B121</f>
        <v>1604</v>
      </c>
      <c r="C97" s="54"/>
      <c r="D97" s="54"/>
      <c r="E97" s="54"/>
      <c r="F97" s="48">
        <f>'3. Input (des)investeringen '!D121</f>
        <v>24794632.448747091</v>
      </c>
      <c r="G97" s="54"/>
      <c r="H97" s="43">
        <f>'3. Input (des)investeringen '!F121</f>
        <v>2024</v>
      </c>
      <c r="I97" s="48" t="str">
        <f>'3. Input (des)investeringen '!G121</f>
        <v>nvt</v>
      </c>
      <c r="J97" s="48">
        <f>'3. Input (des)investeringen '!H121</f>
        <v>15</v>
      </c>
      <c r="K97" s="48">
        <f>'3. Input (des)investeringen '!I121</f>
        <v>1</v>
      </c>
      <c r="M97" s="49">
        <f t="shared" si="6"/>
        <v>0</v>
      </c>
      <c r="N97" s="49">
        <f t="shared" si="7"/>
        <v>0</v>
      </c>
      <c r="P97" s="147">
        <f t="shared" si="8"/>
        <v>0</v>
      </c>
      <c r="Q97" s="147">
        <f t="shared" si="9"/>
        <v>0</v>
      </c>
      <c r="S97" s="49">
        <f t="shared" si="10"/>
        <v>0</v>
      </c>
      <c r="T97" s="44">
        <f t="shared" si="11"/>
        <v>15</v>
      </c>
      <c r="V97" s="49">
        <f t="shared" si="34"/>
        <v>0</v>
      </c>
      <c r="W97" s="49">
        <f t="shared" si="34"/>
        <v>0</v>
      </c>
      <c r="X97" s="49">
        <f t="shared" si="34"/>
        <v>0</v>
      </c>
      <c r="Y97" s="49">
        <f t="shared" si="34"/>
        <v>0</v>
      </c>
      <c r="Z97" s="49">
        <f t="shared" si="34"/>
        <v>0</v>
      </c>
      <c r="AB97" s="49">
        <f t="shared" si="35"/>
        <v>0</v>
      </c>
      <c r="AC97" s="49">
        <f t="shared" si="35"/>
        <v>0</v>
      </c>
      <c r="AD97" s="49">
        <f t="shared" si="35"/>
        <v>0</v>
      </c>
      <c r="AE97" s="49">
        <f t="shared" si="35"/>
        <v>0</v>
      </c>
      <c r="AF97" s="49">
        <f t="shared" si="35"/>
        <v>0</v>
      </c>
      <c r="AH97" s="49">
        <f t="shared" si="14"/>
        <v>0</v>
      </c>
      <c r="AI97" s="49">
        <f t="shared" si="15"/>
        <v>0</v>
      </c>
      <c r="AJ97" s="49">
        <f t="shared" si="16"/>
        <v>0</v>
      </c>
      <c r="AK97" s="49">
        <f t="shared" si="17"/>
        <v>0</v>
      </c>
      <c r="AL97" s="49">
        <f t="shared" si="18"/>
        <v>0</v>
      </c>
      <c r="AN97" s="49">
        <f t="shared" si="19"/>
        <v>0</v>
      </c>
      <c r="AO97" s="49">
        <f t="shared" si="20"/>
        <v>0</v>
      </c>
      <c r="AP97" s="49">
        <f t="shared" si="21"/>
        <v>0</v>
      </c>
      <c r="AQ97" s="49">
        <f t="shared" si="22"/>
        <v>0</v>
      </c>
      <c r="AR97" s="49">
        <f t="shared" si="23"/>
        <v>0</v>
      </c>
      <c r="AT97" s="49">
        <f t="shared" si="24"/>
        <v>0</v>
      </c>
      <c r="AU97" s="49">
        <f t="shared" si="25"/>
        <v>0</v>
      </c>
      <c r="AV97" s="49">
        <f t="shared" si="26"/>
        <v>0</v>
      </c>
      <c r="AW97" s="49">
        <f t="shared" si="27"/>
        <v>0</v>
      </c>
      <c r="AX97" s="49">
        <f t="shared" si="28"/>
        <v>0</v>
      </c>
      <c r="AZ97" s="53">
        <f t="shared" si="29"/>
        <v>0</v>
      </c>
      <c r="BA97" s="53">
        <f t="shared" si="30"/>
        <v>0</v>
      </c>
      <c r="BB97" s="53">
        <f t="shared" si="31"/>
        <v>0</v>
      </c>
      <c r="BC97" s="53">
        <f t="shared" si="32"/>
        <v>0</v>
      </c>
      <c r="BD97" s="53">
        <f t="shared" si="33"/>
        <v>0</v>
      </c>
    </row>
    <row r="98" spans="2:56">
      <c r="B98" s="43">
        <f>'3. Input (des)investeringen '!B122</f>
        <v>1605</v>
      </c>
      <c r="C98" s="54"/>
      <c r="D98" s="54"/>
      <c r="E98" s="54"/>
      <c r="F98" s="48">
        <f>'3. Input (des)investeringen '!D122</f>
        <v>30453006.468301013</v>
      </c>
      <c r="G98" s="54"/>
      <c r="H98" s="43">
        <f>'3. Input (des)investeringen '!F122</f>
        <v>2024</v>
      </c>
      <c r="I98" s="48" t="str">
        <f>'3. Input (des)investeringen '!G122</f>
        <v>nvt</v>
      </c>
      <c r="J98" s="48">
        <f>'3. Input (des)investeringen '!H122</f>
        <v>30</v>
      </c>
      <c r="K98" s="48">
        <f>'3. Input (des)investeringen '!I122</f>
        <v>1</v>
      </c>
      <c r="M98" s="49">
        <f t="shared" si="6"/>
        <v>0</v>
      </c>
      <c r="N98" s="49">
        <f t="shared" si="7"/>
        <v>0</v>
      </c>
      <c r="P98" s="147">
        <f t="shared" si="8"/>
        <v>0</v>
      </c>
      <c r="Q98" s="147">
        <f t="shared" si="9"/>
        <v>0</v>
      </c>
      <c r="S98" s="49">
        <f t="shared" si="10"/>
        <v>0</v>
      </c>
      <c r="T98" s="44">
        <f t="shared" si="11"/>
        <v>30</v>
      </c>
      <c r="V98" s="49">
        <f t="shared" si="34"/>
        <v>0</v>
      </c>
      <c r="W98" s="49">
        <f t="shared" si="34"/>
        <v>0</v>
      </c>
      <c r="X98" s="49">
        <f t="shared" si="34"/>
        <v>0</v>
      </c>
      <c r="Y98" s="49">
        <f t="shared" si="34"/>
        <v>0</v>
      </c>
      <c r="Z98" s="49">
        <f t="shared" si="34"/>
        <v>0</v>
      </c>
      <c r="AB98" s="49">
        <f t="shared" si="35"/>
        <v>0</v>
      </c>
      <c r="AC98" s="49">
        <f t="shared" si="35"/>
        <v>0</v>
      </c>
      <c r="AD98" s="49">
        <f t="shared" si="35"/>
        <v>0</v>
      </c>
      <c r="AE98" s="49">
        <f t="shared" si="35"/>
        <v>0</v>
      </c>
      <c r="AF98" s="49">
        <f t="shared" si="35"/>
        <v>0</v>
      </c>
      <c r="AH98" s="49">
        <f t="shared" si="14"/>
        <v>0</v>
      </c>
      <c r="AI98" s="49">
        <f t="shared" si="15"/>
        <v>0</v>
      </c>
      <c r="AJ98" s="49">
        <f t="shared" si="16"/>
        <v>0</v>
      </c>
      <c r="AK98" s="49">
        <f t="shared" si="17"/>
        <v>0</v>
      </c>
      <c r="AL98" s="49">
        <f t="shared" si="18"/>
        <v>0</v>
      </c>
      <c r="AN98" s="49">
        <f t="shared" si="19"/>
        <v>0</v>
      </c>
      <c r="AO98" s="49">
        <f t="shared" si="20"/>
        <v>0</v>
      </c>
      <c r="AP98" s="49">
        <f t="shared" si="21"/>
        <v>0</v>
      </c>
      <c r="AQ98" s="49">
        <f t="shared" si="22"/>
        <v>0</v>
      </c>
      <c r="AR98" s="49">
        <f t="shared" si="23"/>
        <v>0</v>
      </c>
      <c r="AT98" s="49">
        <f t="shared" si="24"/>
        <v>0</v>
      </c>
      <c r="AU98" s="49">
        <f t="shared" si="25"/>
        <v>0</v>
      </c>
      <c r="AV98" s="49">
        <f t="shared" si="26"/>
        <v>0</v>
      </c>
      <c r="AW98" s="49">
        <f t="shared" si="27"/>
        <v>0</v>
      </c>
      <c r="AX98" s="49">
        <f t="shared" si="28"/>
        <v>0</v>
      </c>
      <c r="AZ98" s="53">
        <f t="shared" si="29"/>
        <v>0</v>
      </c>
      <c r="BA98" s="53">
        <f t="shared" si="30"/>
        <v>0</v>
      </c>
      <c r="BB98" s="53">
        <f t="shared" si="31"/>
        <v>0</v>
      </c>
      <c r="BC98" s="53">
        <f t="shared" si="32"/>
        <v>0</v>
      </c>
      <c r="BD98" s="53">
        <f t="shared" si="33"/>
        <v>0</v>
      </c>
    </row>
    <row r="99" spans="2:56">
      <c r="B99" s="43">
        <f>'3. Input (des)investeringen '!B123</f>
        <v>1606</v>
      </c>
      <c r="C99" s="54"/>
      <c r="D99" s="54"/>
      <c r="E99" s="54"/>
      <c r="F99" s="48">
        <f>'3. Input (des)investeringen '!D123</f>
        <v>84298220.607542247</v>
      </c>
      <c r="G99" s="54"/>
      <c r="H99" s="43">
        <f>'3. Input (des)investeringen '!F123</f>
        <v>2024</v>
      </c>
      <c r="I99" s="48" t="str">
        <f>'3. Input (des)investeringen '!G123</f>
        <v>nvt</v>
      </c>
      <c r="J99" s="48">
        <f>'3. Input (des)investeringen '!H123</f>
        <v>55</v>
      </c>
      <c r="K99" s="48">
        <f>'3. Input (des)investeringen '!I123</f>
        <v>1</v>
      </c>
      <c r="M99" s="49">
        <f t="shared" si="6"/>
        <v>0</v>
      </c>
      <c r="N99" s="49">
        <f t="shared" si="7"/>
        <v>0</v>
      </c>
      <c r="P99" s="147">
        <f t="shared" si="8"/>
        <v>0</v>
      </c>
      <c r="Q99" s="147">
        <f t="shared" si="9"/>
        <v>0</v>
      </c>
      <c r="S99" s="49">
        <f t="shared" si="10"/>
        <v>0</v>
      </c>
      <c r="T99" s="44">
        <f t="shared" si="11"/>
        <v>55</v>
      </c>
      <c r="V99" s="49">
        <f t="shared" si="34"/>
        <v>0</v>
      </c>
      <c r="W99" s="49">
        <f t="shared" si="34"/>
        <v>0</v>
      </c>
      <c r="X99" s="49">
        <f t="shared" si="34"/>
        <v>0</v>
      </c>
      <c r="Y99" s="49">
        <f t="shared" si="34"/>
        <v>0</v>
      </c>
      <c r="Z99" s="49">
        <f t="shared" si="34"/>
        <v>0</v>
      </c>
      <c r="AB99" s="49">
        <f t="shared" si="35"/>
        <v>0</v>
      </c>
      <c r="AC99" s="49">
        <f t="shared" si="35"/>
        <v>0</v>
      </c>
      <c r="AD99" s="49">
        <f t="shared" si="35"/>
        <v>0</v>
      </c>
      <c r="AE99" s="49">
        <f t="shared" si="35"/>
        <v>0</v>
      </c>
      <c r="AF99" s="49">
        <f t="shared" si="35"/>
        <v>0</v>
      </c>
      <c r="AH99" s="49">
        <f t="shared" si="14"/>
        <v>0</v>
      </c>
      <c r="AI99" s="49">
        <f t="shared" si="15"/>
        <v>0</v>
      </c>
      <c r="AJ99" s="49">
        <f t="shared" si="16"/>
        <v>0</v>
      </c>
      <c r="AK99" s="49">
        <f t="shared" si="17"/>
        <v>0</v>
      </c>
      <c r="AL99" s="49">
        <f t="shared" si="18"/>
        <v>0</v>
      </c>
      <c r="AN99" s="49">
        <f t="shared" si="19"/>
        <v>0</v>
      </c>
      <c r="AO99" s="49">
        <f t="shared" si="20"/>
        <v>0</v>
      </c>
      <c r="AP99" s="49">
        <f t="shared" si="21"/>
        <v>0</v>
      </c>
      <c r="AQ99" s="49">
        <f t="shared" si="22"/>
        <v>0</v>
      </c>
      <c r="AR99" s="49">
        <f t="shared" si="23"/>
        <v>0</v>
      </c>
      <c r="AT99" s="49">
        <f t="shared" si="24"/>
        <v>0</v>
      </c>
      <c r="AU99" s="49">
        <f t="shared" si="25"/>
        <v>0</v>
      </c>
      <c r="AV99" s="49">
        <f t="shared" si="26"/>
        <v>0</v>
      </c>
      <c r="AW99" s="49">
        <f t="shared" si="27"/>
        <v>0</v>
      </c>
      <c r="AX99" s="49">
        <f t="shared" si="28"/>
        <v>0</v>
      </c>
      <c r="AZ99" s="53">
        <f t="shared" si="29"/>
        <v>0</v>
      </c>
      <c r="BA99" s="53">
        <f t="shared" si="30"/>
        <v>0</v>
      </c>
      <c r="BB99" s="53">
        <f t="shared" si="31"/>
        <v>0</v>
      </c>
      <c r="BC99" s="53">
        <f t="shared" si="32"/>
        <v>0</v>
      </c>
      <c r="BD99" s="53">
        <f t="shared" si="33"/>
        <v>0</v>
      </c>
    </row>
    <row r="100" spans="2:56">
      <c r="B100" s="43">
        <f>'3. Input (des)investeringen '!B124</f>
        <v>1610</v>
      </c>
      <c r="C100" s="54"/>
      <c r="D100" s="54"/>
      <c r="E100" s="54"/>
      <c r="F100" s="48">
        <f>'3. Input (des)investeringen '!D124</f>
        <v>4883791.4333008695</v>
      </c>
      <c r="G100" s="54"/>
      <c r="H100" s="43">
        <f>'3. Input (des)investeringen '!F124</f>
        <v>2024</v>
      </c>
      <c r="I100" s="48" t="str">
        <f>'3. Input (des)investeringen '!G124</f>
        <v>nvt</v>
      </c>
      <c r="J100" s="48">
        <f>'3. Input (des)investeringen '!H124</f>
        <v>15</v>
      </c>
      <c r="K100" s="48">
        <f>'3. Input (des)investeringen '!I124</f>
        <v>0</v>
      </c>
      <c r="M100" s="49">
        <f t="shared" si="6"/>
        <v>0</v>
      </c>
      <c r="N100" s="49">
        <f t="shared" si="7"/>
        <v>0</v>
      </c>
      <c r="P100" s="147">
        <f t="shared" si="8"/>
        <v>0</v>
      </c>
      <c r="Q100" s="147">
        <f t="shared" si="9"/>
        <v>0</v>
      </c>
      <c r="S100" s="49">
        <f t="shared" si="10"/>
        <v>0</v>
      </c>
      <c r="T100" s="44">
        <f t="shared" si="11"/>
        <v>15</v>
      </c>
      <c r="V100" s="49">
        <f t="shared" si="34"/>
        <v>0</v>
      </c>
      <c r="W100" s="49">
        <f t="shared" si="34"/>
        <v>0</v>
      </c>
      <c r="X100" s="49">
        <f t="shared" si="34"/>
        <v>0</v>
      </c>
      <c r="Y100" s="49">
        <f t="shared" si="34"/>
        <v>0</v>
      </c>
      <c r="Z100" s="49">
        <f t="shared" si="34"/>
        <v>0</v>
      </c>
      <c r="AB100" s="49">
        <f t="shared" si="35"/>
        <v>0</v>
      </c>
      <c r="AC100" s="49">
        <f t="shared" si="35"/>
        <v>0</v>
      </c>
      <c r="AD100" s="49">
        <f t="shared" si="35"/>
        <v>0</v>
      </c>
      <c r="AE100" s="49">
        <f t="shared" si="35"/>
        <v>0</v>
      </c>
      <c r="AF100" s="49">
        <f t="shared" si="35"/>
        <v>0</v>
      </c>
      <c r="AH100" s="49">
        <f t="shared" si="14"/>
        <v>0</v>
      </c>
      <c r="AI100" s="49">
        <f t="shared" si="15"/>
        <v>0</v>
      </c>
      <c r="AJ100" s="49">
        <f t="shared" si="16"/>
        <v>0</v>
      </c>
      <c r="AK100" s="49">
        <f t="shared" si="17"/>
        <v>0</v>
      </c>
      <c r="AL100" s="49">
        <f t="shared" si="18"/>
        <v>0</v>
      </c>
      <c r="AN100" s="49">
        <f t="shared" si="19"/>
        <v>0</v>
      </c>
      <c r="AO100" s="49">
        <f t="shared" si="20"/>
        <v>0</v>
      </c>
      <c r="AP100" s="49">
        <f t="shared" si="21"/>
        <v>0</v>
      </c>
      <c r="AQ100" s="49">
        <f t="shared" si="22"/>
        <v>0</v>
      </c>
      <c r="AR100" s="49">
        <f t="shared" si="23"/>
        <v>0</v>
      </c>
      <c r="AT100" s="49">
        <f t="shared" si="24"/>
        <v>0</v>
      </c>
      <c r="AU100" s="49">
        <f t="shared" si="25"/>
        <v>0</v>
      </c>
      <c r="AV100" s="49">
        <f t="shared" si="26"/>
        <v>0</v>
      </c>
      <c r="AW100" s="49">
        <f t="shared" si="27"/>
        <v>0</v>
      </c>
      <c r="AX100" s="49">
        <f t="shared" si="28"/>
        <v>0</v>
      </c>
      <c r="AZ100" s="53">
        <f t="shared" si="29"/>
        <v>0</v>
      </c>
      <c r="BA100" s="53">
        <f t="shared" si="30"/>
        <v>0</v>
      </c>
      <c r="BB100" s="53">
        <f t="shared" si="31"/>
        <v>0</v>
      </c>
      <c r="BC100" s="53">
        <f t="shared" si="32"/>
        <v>0</v>
      </c>
      <c r="BD100" s="53">
        <f t="shared" si="33"/>
        <v>0</v>
      </c>
    </row>
    <row r="101" spans="2:56">
      <c r="B101" s="43">
        <f>'3. Input (des)investeringen '!B125</f>
        <v>1611</v>
      </c>
      <c r="C101" s="54"/>
      <c r="D101" s="54"/>
      <c r="E101" s="54"/>
      <c r="F101" s="48">
        <f>'3. Input (des)investeringen '!D125</f>
        <v>27700057.310498618</v>
      </c>
      <c r="G101" s="54"/>
      <c r="H101" s="43">
        <f>'3. Input (des)investeringen '!F125</f>
        <v>2024</v>
      </c>
      <c r="I101" s="48" t="str">
        <f>'3. Input (des)investeringen '!G125</f>
        <v>nvt</v>
      </c>
      <c r="J101" s="48">
        <f>'3. Input (des)investeringen '!H125</f>
        <v>30</v>
      </c>
      <c r="K101" s="48">
        <f>'3. Input (des)investeringen '!I125</f>
        <v>0</v>
      </c>
      <c r="M101" s="49">
        <f t="shared" si="6"/>
        <v>0</v>
      </c>
      <c r="N101" s="49">
        <f t="shared" si="7"/>
        <v>0</v>
      </c>
      <c r="P101" s="147">
        <f t="shared" si="8"/>
        <v>0</v>
      </c>
      <c r="Q101" s="147">
        <f t="shared" si="9"/>
        <v>0</v>
      </c>
      <c r="S101" s="49">
        <f t="shared" si="10"/>
        <v>0</v>
      </c>
      <c r="T101" s="44">
        <f t="shared" si="11"/>
        <v>30</v>
      </c>
      <c r="V101" s="49">
        <f t="shared" si="34"/>
        <v>0</v>
      </c>
      <c r="W101" s="49">
        <f t="shared" si="34"/>
        <v>0</v>
      </c>
      <c r="X101" s="49">
        <f t="shared" si="34"/>
        <v>0</v>
      </c>
      <c r="Y101" s="49">
        <f t="shared" si="34"/>
        <v>0</v>
      </c>
      <c r="Z101" s="49">
        <f t="shared" si="34"/>
        <v>0</v>
      </c>
      <c r="AB101" s="49">
        <f t="shared" si="35"/>
        <v>0</v>
      </c>
      <c r="AC101" s="49">
        <f t="shared" si="35"/>
        <v>0</v>
      </c>
      <c r="AD101" s="49">
        <f t="shared" si="35"/>
        <v>0</v>
      </c>
      <c r="AE101" s="49">
        <f t="shared" si="35"/>
        <v>0</v>
      </c>
      <c r="AF101" s="49">
        <f t="shared" si="35"/>
        <v>0</v>
      </c>
      <c r="AH101" s="49">
        <f t="shared" si="14"/>
        <v>0</v>
      </c>
      <c r="AI101" s="49">
        <f t="shared" si="15"/>
        <v>0</v>
      </c>
      <c r="AJ101" s="49">
        <f t="shared" si="16"/>
        <v>0</v>
      </c>
      <c r="AK101" s="49">
        <f t="shared" si="17"/>
        <v>0</v>
      </c>
      <c r="AL101" s="49">
        <f t="shared" si="18"/>
        <v>0</v>
      </c>
      <c r="AN101" s="49">
        <f t="shared" si="19"/>
        <v>0</v>
      </c>
      <c r="AO101" s="49">
        <f t="shared" si="20"/>
        <v>0</v>
      </c>
      <c r="AP101" s="49">
        <f t="shared" si="21"/>
        <v>0</v>
      </c>
      <c r="AQ101" s="49">
        <f t="shared" si="22"/>
        <v>0</v>
      </c>
      <c r="AR101" s="49">
        <f t="shared" si="23"/>
        <v>0</v>
      </c>
      <c r="AT101" s="49">
        <f t="shared" si="24"/>
        <v>0</v>
      </c>
      <c r="AU101" s="49">
        <f t="shared" si="25"/>
        <v>0</v>
      </c>
      <c r="AV101" s="49">
        <f t="shared" si="26"/>
        <v>0</v>
      </c>
      <c r="AW101" s="49">
        <f t="shared" si="27"/>
        <v>0</v>
      </c>
      <c r="AX101" s="49">
        <f t="shared" si="28"/>
        <v>0</v>
      </c>
      <c r="AZ101" s="53">
        <f t="shared" si="29"/>
        <v>0</v>
      </c>
      <c r="BA101" s="53">
        <f t="shared" si="30"/>
        <v>0</v>
      </c>
      <c r="BB101" s="53">
        <f t="shared" si="31"/>
        <v>0</v>
      </c>
      <c r="BC101" s="53">
        <f t="shared" si="32"/>
        <v>0</v>
      </c>
      <c r="BD101" s="53">
        <f t="shared" si="33"/>
        <v>0</v>
      </c>
    </row>
    <row r="102" spans="2:56">
      <c r="B102" s="43">
        <f>'3. Input (des)investeringen '!B126</f>
        <v>1612</v>
      </c>
      <c r="C102" s="54"/>
      <c r="D102" s="54"/>
      <c r="E102" s="54"/>
      <c r="F102" s="48">
        <f>'3. Input (des)investeringen '!D126</f>
        <v>39130.263467803168</v>
      </c>
      <c r="G102" s="54"/>
      <c r="H102" s="43">
        <f>'3. Input (des)investeringen '!F126</f>
        <v>2024</v>
      </c>
      <c r="I102" s="48" t="str">
        <f>'3. Input (des)investeringen '!G126</f>
        <v>nvt</v>
      </c>
      <c r="J102" s="48">
        <f>'3. Input (des)investeringen '!H126</f>
        <v>55</v>
      </c>
      <c r="K102" s="48">
        <f>'3. Input (des)investeringen '!I126</f>
        <v>0</v>
      </c>
      <c r="M102" s="49">
        <f t="shared" si="6"/>
        <v>0</v>
      </c>
      <c r="N102" s="49">
        <f t="shared" si="7"/>
        <v>0</v>
      </c>
      <c r="P102" s="147">
        <f t="shared" si="8"/>
        <v>0</v>
      </c>
      <c r="Q102" s="147">
        <f t="shared" si="9"/>
        <v>0</v>
      </c>
      <c r="S102" s="49">
        <f t="shared" si="10"/>
        <v>0</v>
      </c>
      <c r="T102" s="44">
        <f t="shared" si="11"/>
        <v>55</v>
      </c>
      <c r="V102" s="49">
        <f t="shared" si="34"/>
        <v>0</v>
      </c>
      <c r="W102" s="49">
        <f t="shared" si="34"/>
        <v>0</v>
      </c>
      <c r="X102" s="49">
        <f t="shared" si="34"/>
        <v>0</v>
      </c>
      <c r="Y102" s="49">
        <f t="shared" si="34"/>
        <v>0</v>
      </c>
      <c r="Z102" s="49">
        <f t="shared" si="34"/>
        <v>0</v>
      </c>
      <c r="AB102" s="49">
        <f t="shared" si="35"/>
        <v>0</v>
      </c>
      <c r="AC102" s="49">
        <f t="shared" si="35"/>
        <v>0</v>
      </c>
      <c r="AD102" s="49">
        <f t="shared" si="35"/>
        <v>0</v>
      </c>
      <c r="AE102" s="49">
        <f t="shared" si="35"/>
        <v>0</v>
      </c>
      <c r="AF102" s="49">
        <f t="shared" si="35"/>
        <v>0</v>
      </c>
      <c r="AH102" s="49">
        <f t="shared" si="14"/>
        <v>0</v>
      </c>
      <c r="AI102" s="49">
        <f t="shared" si="15"/>
        <v>0</v>
      </c>
      <c r="AJ102" s="49">
        <f t="shared" si="16"/>
        <v>0</v>
      </c>
      <c r="AK102" s="49">
        <f t="shared" si="17"/>
        <v>0</v>
      </c>
      <c r="AL102" s="49">
        <f t="shared" si="18"/>
        <v>0</v>
      </c>
      <c r="AN102" s="49">
        <f t="shared" si="19"/>
        <v>0</v>
      </c>
      <c r="AO102" s="49">
        <f t="shared" si="20"/>
        <v>0</v>
      </c>
      <c r="AP102" s="49">
        <f t="shared" si="21"/>
        <v>0</v>
      </c>
      <c r="AQ102" s="49">
        <f t="shared" si="22"/>
        <v>0</v>
      </c>
      <c r="AR102" s="49">
        <f t="shared" si="23"/>
        <v>0</v>
      </c>
      <c r="AT102" s="49">
        <f t="shared" si="24"/>
        <v>0</v>
      </c>
      <c r="AU102" s="49">
        <f t="shared" si="25"/>
        <v>0</v>
      </c>
      <c r="AV102" s="49">
        <f t="shared" si="26"/>
        <v>0</v>
      </c>
      <c r="AW102" s="49">
        <f t="shared" si="27"/>
        <v>0</v>
      </c>
      <c r="AX102" s="49">
        <f t="shared" si="28"/>
        <v>0</v>
      </c>
      <c r="AZ102" s="53">
        <f t="shared" si="29"/>
        <v>0</v>
      </c>
      <c r="BA102" s="53">
        <f t="shared" si="30"/>
        <v>0</v>
      </c>
      <c r="BB102" s="53">
        <f t="shared" si="31"/>
        <v>0</v>
      </c>
      <c r="BC102" s="53">
        <f t="shared" si="32"/>
        <v>0</v>
      </c>
      <c r="BD102" s="53">
        <f t="shared" si="33"/>
        <v>0</v>
      </c>
    </row>
    <row r="103" spans="2:56">
      <c r="B103" s="43">
        <f>'3. Input (des)investeringen '!B127</f>
        <v>1616</v>
      </c>
      <c r="C103" s="54"/>
      <c r="D103" s="54"/>
      <c r="E103" s="54"/>
      <c r="F103" s="48">
        <f>'3. Input (des)investeringen '!D127</f>
        <v>7889201.656386218</v>
      </c>
      <c r="G103" s="54"/>
      <c r="H103" s="43">
        <f>'3. Input (des)investeringen '!F127</f>
        <v>2024</v>
      </c>
      <c r="I103" s="48" t="str">
        <f>'3. Input (des)investeringen '!G127</f>
        <v>nvt</v>
      </c>
      <c r="J103" s="48">
        <f>'3. Input (des)investeringen '!H127</f>
        <v>15</v>
      </c>
      <c r="K103" s="48">
        <f>'3. Input (des)investeringen '!I127</f>
        <v>0</v>
      </c>
      <c r="M103" s="49">
        <f t="shared" si="6"/>
        <v>0</v>
      </c>
      <c r="N103" s="49">
        <f t="shared" si="7"/>
        <v>0</v>
      </c>
      <c r="P103" s="147">
        <f t="shared" si="8"/>
        <v>0</v>
      </c>
      <c r="Q103" s="147">
        <f t="shared" si="9"/>
        <v>0</v>
      </c>
      <c r="S103" s="49">
        <f t="shared" si="10"/>
        <v>0</v>
      </c>
      <c r="T103" s="44">
        <f t="shared" si="11"/>
        <v>15</v>
      </c>
      <c r="V103" s="49">
        <f t="shared" si="34"/>
        <v>0</v>
      </c>
      <c r="W103" s="49">
        <f t="shared" si="34"/>
        <v>0</v>
      </c>
      <c r="X103" s="49">
        <f t="shared" si="34"/>
        <v>0</v>
      </c>
      <c r="Y103" s="49">
        <f t="shared" si="34"/>
        <v>0</v>
      </c>
      <c r="Z103" s="49">
        <f t="shared" si="34"/>
        <v>0</v>
      </c>
      <c r="AB103" s="49">
        <f t="shared" si="35"/>
        <v>0</v>
      </c>
      <c r="AC103" s="49">
        <f t="shared" si="35"/>
        <v>0</v>
      </c>
      <c r="AD103" s="49">
        <f t="shared" si="35"/>
        <v>0</v>
      </c>
      <c r="AE103" s="49">
        <f t="shared" si="35"/>
        <v>0</v>
      </c>
      <c r="AF103" s="49">
        <f t="shared" si="35"/>
        <v>0</v>
      </c>
      <c r="AH103" s="49">
        <f t="shared" si="14"/>
        <v>0</v>
      </c>
      <c r="AI103" s="49">
        <f t="shared" si="15"/>
        <v>0</v>
      </c>
      <c r="AJ103" s="49">
        <f t="shared" si="16"/>
        <v>0</v>
      </c>
      <c r="AK103" s="49">
        <f t="shared" si="17"/>
        <v>0</v>
      </c>
      <c r="AL103" s="49">
        <f t="shared" si="18"/>
        <v>0</v>
      </c>
      <c r="AN103" s="49">
        <f t="shared" si="19"/>
        <v>0</v>
      </c>
      <c r="AO103" s="49">
        <f t="shared" si="20"/>
        <v>0</v>
      </c>
      <c r="AP103" s="49">
        <f t="shared" si="21"/>
        <v>0</v>
      </c>
      <c r="AQ103" s="49">
        <f t="shared" si="22"/>
        <v>0</v>
      </c>
      <c r="AR103" s="49">
        <f t="shared" si="23"/>
        <v>0</v>
      </c>
      <c r="AT103" s="49">
        <f t="shared" si="24"/>
        <v>0</v>
      </c>
      <c r="AU103" s="49">
        <f t="shared" si="25"/>
        <v>0</v>
      </c>
      <c r="AV103" s="49">
        <f t="shared" si="26"/>
        <v>0</v>
      </c>
      <c r="AW103" s="49">
        <f t="shared" si="27"/>
        <v>0</v>
      </c>
      <c r="AX103" s="49">
        <f t="shared" si="28"/>
        <v>0</v>
      </c>
      <c r="AZ103" s="53">
        <f t="shared" si="29"/>
        <v>0</v>
      </c>
      <c r="BA103" s="53">
        <f t="shared" si="30"/>
        <v>0</v>
      </c>
      <c r="BB103" s="53">
        <f t="shared" si="31"/>
        <v>0</v>
      </c>
      <c r="BC103" s="53">
        <f t="shared" si="32"/>
        <v>0</v>
      </c>
      <c r="BD103" s="53">
        <f t="shared" si="33"/>
        <v>0</v>
      </c>
    </row>
    <row r="104" spans="2:56">
      <c r="B104" s="43">
        <f>'3. Input (des)investeringen '!B128</f>
        <v>1617</v>
      </c>
      <c r="C104" s="54"/>
      <c r="D104" s="54"/>
      <c r="E104" s="54"/>
      <c r="F104" s="48">
        <f>'3. Input (des)investeringen '!D128</f>
        <v>7827738.1927272025</v>
      </c>
      <c r="G104" s="54"/>
      <c r="H104" s="43">
        <f>'3. Input (des)investeringen '!F128</f>
        <v>2024</v>
      </c>
      <c r="I104" s="48" t="str">
        <f>'3. Input (des)investeringen '!G128</f>
        <v>nvt</v>
      </c>
      <c r="J104" s="48">
        <f>'3. Input (des)investeringen '!H128</f>
        <v>30</v>
      </c>
      <c r="K104" s="48">
        <f>'3. Input (des)investeringen '!I128</f>
        <v>0</v>
      </c>
      <c r="M104" s="49">
        <f t="shared" si="6"/>
        <v>0</v>
      </c>
      <c r="N104" s="49">
        <f t="shared" si="7"/>
        <v>0</v>
      </c>
      <c r="P104" s="147">
        <f t="shared" si="8"/>
        <v>0</v>
      </c>
      <c r="Q104" s="147">
        <f t="shared" si="9"/>
        <v>0</v>
      </c>
      <c r="S104" s="49">
        <f t="shared" si="10"/>
        <v>0</v>
      </c>
      <c r="T104" s="44">
        <f t="shared" si="11"/>
        <v>30</v>
      </c>
      <c r="V104" s="49">
        <f t="shared" si="34"/>
        <v>0</v>
      </c>
      <c r="W104" s="49">
        <f t="shared" si="34"/>
        <v>0</v>
      </c>
      <c r="X104" s="49">
        <f t="shared" si="34"/>
        <v>0</v>
      </c>
      <c r="Y104" s="49">
        <f t="shared" si="34"/>
        <v>0</v>
      </c>
      <c r="Z104" s="49">
        <f t="shared" si="34"/>
        <v>0</v>
      </c>
      <c r="AB104" s="49">
        <f t="shared" si="35"/>
        <v>0</v>
      </c>
      <c r="AC104" s="49">
        <f t="shared" si="35"/>
        <v>0</v>
      </c>
      <c r="AD104" s="49">
        <f t="shared" si="35"/>
        <v>0</v>
      </c>
      <c r="AE104" s="49">
        <f t="shared" si="35"/>
        <v>0</v>
      </c>
      <c r="AF104" s="49">
        <f t="shared" si="35"/>
        <v>0</v>
      </c>
      <c r="AH104" s="49">
        <f t="shared" si="14"/>
        <v>0</v>
      </c>
      <c r="AI104" s="49">
        <f t="shared" si="15"/>
        <v>0</v>
      </c>
      <c r="AJ104" s="49">
        <f t="shared" si="16"/>
        <v>0</v>
      </c>
      <c r="AK104" s="49">
        <f t="shared" si="17"/>
        <v>0</v>
      </c>
      <c r="AL104" s="49">
        <f t="shared" si="18"/>
        <v>0</v>
      </c>
      <c r="AN104" s="49">
        <f t="shared" si="19"/>
        <v>0</v>
      </c>
      <c r="AO104" s="49">
        <f t="shared" si="20"/>
        <v>0</v>
      </c>
      <c r="AP104" s="49">
        <f t="shared" si="21"/>
        <v>0</v>
      </c>
      <c r="AQ104" s="49">
        <f t="shared" si="22"/>
        <v>0</v>
      </c>
      <c r="AR104" s="49">
        <f t="shared" si="23"/>
        <v>0</v>
      </c>
      <c r="AT104" s="49">
        <f t="shared" si="24"/>
        <v>0</v>
      </c>
      <c r="AU104" s="49">
        <f t="shared" si="25"/>
        <v>0</v>
      </c>
      <c r="AV104" s="49">
        <f t="shared" si="26"/>
        <v>0</v>
      </c>
      <c r="AW104" s="49">
        <f t="shared" si="27"/>
        <v>0</v>
      </c>
      <c r="AX104" s="49">
        <f t="shared" si="28"/>
        <v>0</v>
      </c>
      <c r="AZ104" s="53">
        <f t="shared" si="29"/>
        <v>0</v>
      </c>
      <c r="BA104" s="53">
        <f t="shared" si="30"/>
        <v>0</v>
      </c>
      <c r="BB104" s="53">
        <f t="shared" si="31"/>
        <v>0</v>
      </c>
      <c r="BC104" s="53">
        <f t="shared" si="32"/>
        <v>0</v>
      </c>
      <c r="BD104" s="53">
        <f t="shared" si="33"/>
        <v>0</v>
      </c>
    </row>
    <row r="105" spans="2:56">
      <c r="B105" s="43">
        <f>'3. Input (des)investeringen '!B129</f>
        <v>1618</v>
      </c>
      <c r="C105" s="54"/>
      <c r="D105" s="54"/>
      <c r="E105" s="54"/>
      <c r="F105" s="48">
        <f>'3. Input (des)investeringen '!D129</f>
        <v>0</v>
      </c>
      <c r="G105" s="54"/>
      <c r="H105" s="43">
        <f>'3. Input (des)investeringen '!F129</f>
        <v>2024</v>
      </c>
      <c r="I105" s="48" t="str">
        <f>'3. Input (des)investeringen '!G129</f>
        <v>nvt</v>
      </c>
      <c r="J105" s="48">
        <f>'3. Input (des)investeringen '!H129</f>
        <v>55</v>
      </c>
      <c r="K105" s="48">
        <f>'3. Input (des)investeringen '!I129</f>
        <v>0</v>
      </c>
      <c r="M105" s="49">
        <f t="shared" si="6"/>
        <v>0</v>
      </c>
      <c r="N105" s="49">
        <f t="shared" si="7"/>
        <v>0</v>
      </c>
      <c r="P105" s="147">
        <f t="shared" si="8"/>
        <v>0</v>
      </c>
      <c r="Q105" s="147">
        <f t="shared" si="9"/>
        <v>0</v>
      </c>
      <c r="S105" s="49">
        <f t="shared" si="10"/>
        <v>0</v>
      </c>
      <c r="T105" s="44">
        <f t="shared" si="11"/>
        <v>55</v>
      </c>
      <c r="V105" s="49">
        <f t="shared" si="34"/>
        <v>0</v>
      </c>
      <c r="W105" s="49">
        <f t="shared" si="34"/>
        <v>0</v>
      </c>
      <c r="X105" s="49">
        <f t="shared" si="34"/>
        <v>0</v>
      </c>
      <c r="Y105" s="49">
        <f t="shared" si="34"/>
        <v>0</v>
      </c>
      <c r="Z105" s="49">
        <f t="shared" si="34"/>
        <v>0</v>
      </c>
      <c r="AB105" s="49">
        <f t="shared" si="35"/>
        <v>0</v>
      </c>
      <c r="AC105" s="49">
        <f t="shared" si="35"/>
        <v>0</v>
      </c>
      <c r="AD105" s="49">
        <f t="shared" si="35"/>
        <v>0</v>
      </c>
      <c r="AE105" s="49">
        <f t="shared" si="35"/>
        <v>0</v>
      </c>
      <c r="AF105" s="49">
        <f t="shared" si="35"/>
        <v>0</v>
      </c>
      <c r="AH105" s="49">
        <f t="shared" si="14"/>
        <v>0</v>
      </c>
      <c r="AI105" s="49">
        <f t="shared" si="15"/>
        <v>0</v>
      </c>
      <c r="AJ105" s="49">
        <f t="shared" si="16"/>
        <v>0</v>
      </c>
      <c r="AK105" s="49">
        <f t="shared" si="17"/>
        <v>0</v>
      </c>
      <c r="AL105" s="49">
        <f t="shared" si="18"/>
        <v>0</v>
      </c>
      <c r="AN105" s="49">
        <f t="shared" si="19"/>
        <v>0</v>
      </c>
      <c r="AO105" s="49">
        <f t="shared" si="20"/>
        <v>0</v>
      </c>
      <c r="AP105" s="49">
        <f t="shared" si="21"/>
        <v>0</v>
      </c>
      <c r="AQ105" s="49">
        <f t="shared" si="22"/>
        <v>0</v>
      </c>
      <c r="AR105" s="49">
        <f t="shared" si="23"/>
        <v>0</v>
      </c>
      <c r="AT105" s="49">
        <f t="shared" si="24"/>
        <v>0</v>
      </c>
      <c r="AU105" s="49">
        <f t="shared" si="25"/>
        <v>0</v>
      </c>
      <c r="AV105" s="49">
        <f t="shared" si="26"/>
        <v>0</v>
      </c>
      <c r="AW105" s="49">
        <f t="shared" si="27"/>
        <v>0</v>
      </c>
      <c r="AX105" s="49">
        <f t="shared" si="28"/>
        <v>0</v>
      </c>
      <c r="AZ105" s="53">
        <f t="shared" si="29"/>
        <v>0</v>
      </c>
      <c r="BA105" s="53">
        <f t="shared" si="30"/>
        <v>0</v>
      </c>
      <c r="BB105" s="53">
        <f t="shared" si="31"/>
        <v>0</v>
      </c>
      <c r="BC105" s="53">
        <f t="shared" si="32"/>
        <v>0</v>
      </c>
      <c r="BD105" s="53">
        <f t="shared" si="33"/>
        <v>0</v>
      </c>
    </row>
    <row r="106" spans="2:56">
      <c r="B106" s="43">
        <f>'3. Input (des)investeringen '!B130</f>
        <v>1622</v>
      </c>
      <c r="C106" s="54"/>
      <c r="D106" s="54"/>
      <c r="E106" s="54"/>
      <c r="F106" s="48">
        <f>'3. Input (des)investeringen '!D130</f>
        <v>25115276.635574285</v>
      </c>
      <c r="G106" s="54"/>
      <c r="H106" s="43">
        <f>'3. Input (des)investeringen '!F130</f>
        <v>2025</v>
      </c>
      <c r="I106" s="48" t="str">
        <f>'3. Input (des)investeringen '!G130</f>
        <v>nvt</v>
      </c>
      <c r="J106" s="48">
        <f>'3. Input (des)investeringen '!H130</f>
        <v>15</v>
      </c>
      <c r="K106" s="48">
        <f>'3. Input (des)investeringen '!I130</f>
        <v>1</v>
      </c>
      <c r="M106" s="49">
        <f t="shared" si="6"/>
        <v>0</v>
      </c>
      <c r="N106" s="49">
        <f t="shared" si="7"/>
        <v>0</v>
      </c>
      <c r="P106" s="147">
        <f t="shared" si="8"/>
        <v>0</v>
      </c>
      <c r="Q106" s="147">
        <f t="shared" si="9"/>
        <v>0</v>
      </c>
      <c r="S106" s="49">
        <f t="shared" si="10"/>
        <v>0</v>
      </c>
      <c r="T106" s="44">
        <f t="shared" si="11"/>
        <v>15</v>
      </c>
      <c r="V106" s="49">
        <f t="shared" si="34"/>
        <v>0</v>
      </c>
      <c r="W106" s="49">
        <f t="shared" si="34"/>
        <v>0</v>
      </c>
      <c r="X106" s="49">
        <f t="shared" si="34"/>
        <v>0</v>
      </c>
      <c r="Y106" s="49">
        <f t="shared" si="34"/>
        <v>0</v>
      </c>
      <c r="Z106" s="49">
        <f t="shared" si="34"/>
        <v>0</v>
      </c>
      <c r="AB106" s="49">
        <f t="shared" si="35"/>
        <v>0</v>
      </c>
      <c r="AC106" s="49">
        <f t="shared" si="35"/>
        <v>0</v>
      </c>
      <c r="AD106" s="49">
        <f t="shared" si="35"/>
        <v>0</v>
      </c>
      <c r="AE106" s="49">
        <f t="shared" si="35"/>
        <v>0</v>
      </c>
      <c r="AF106" s="49">
        <f t="shared" si="35"/>
        <v>0</v>
      </c>
      <c r="AH106" s="49">
        <f t="shared" si="14"/>
        <v>0</v>
      </c>
      <c r="AI106" s="49">
        <f t="shared" si="15"/>
        <v>0</v>
      </c>
      <c r="AJ106" s="49">
        <f t="shared" si="16"/>
        <v>0</v>
      </c>
      <c r="AK106" s="49">
        <f t="shared" si="17"/>
        <v>0</v>
      </c>
      <c r="AL106" s="49">
        <f t="shared" si="18"/>
        <v>0</v>
      </c>
      <c r="AN106" s="49">
        <f t="shared" si="19"/>
        <v>0</v>
      </c>
      <c r="AO106" s="49">
        <f t="shared" si="20"/>
        <v>0</v>
      </c>
      <c r="AP106" s="49">
        <f t="shared" si="21"/>
        <v>0</v>
      </c>
      <c r="AQ106" s="49">
        <f t="shared" si="22"/>
        <v>0</v>
      </c>
      <c r="AR106" s="49">
        <f t="shared" si="23"/>
        <v>0</v>
      </c>
      <c r="AT106" s="49">
        <f t="shared" si="24"/>
        <v>0</v>
      </c>
      <c r="AU106" s="49">
        <f t="shared" si="25"/>
        <v>0</v>
      </c>
      <c r="AV106" s="49">
        <f t="shared" si="26"/>
        <v>0</v>
      </c>
      <c r="AW106" s="49">
        <f t="shared" si="27"/>
        <v>0</v>
      </c>
      <c r="AX106" s="49">
        <f t="shared" si="28"/>
        <v>0</v>
      </c>
      <c r="AZ106" s="53">
        <f t="shared" si="29"/>
        <v>0</v>
      </c>
      <c r="BA106" s="53">
        <f t="shared" si="30"/>
        <v>0</v>
      </c>
      <c r="BB106" s="53">
        <f t="shared" si="31"/>
        <v>0</v>
      </c>
      <c r="BC106" s="53">
        <f t="shared" si="32"/>
        <v>0</v>
      </c>
      <c r="BD106" s="53">
        <f t="shared" si="33"/>
        <v>0</v>
      </c>
    </row>
    <row r="107" spans="2:56">
      <c r="B107" s="43">
        <f>'3. Input (des)investeringen '!B131</f>
        <v>1623</v>
      </c>
      <c r="C107" s="54"/>
      <c r="D107" s="54"/>
      <c r="E107" s="54"/>
      <c r="F107" s="48">
        <f>'3. Input (des)investeringen '!D131</f>
        <v>30846824.747949079</v>
      </c>
      <c r="G107" s="54"/>
      <c r="H107" s="43">
        <f>'3. Input (des)investeringen '!F131</f>
        <v>2025</v>
      </c>
      <c r="I107" s="48" t="str">
        <f>'3. Input (des)investeringen '!G131</f>
        <v>nvt</v>
      </c>
      <c r="J107" s="48">
        <f>'3. Input (des)investeringen '!H131</f>
        <v>30</v>
      </c>
      <c r="K107" s="48">
        <f>'3. Input (des)investeringen '!I131</f>
        <v>1</v>
      </c>
      <c r="M107" s="49">
        <f t="shared" si="6"/>
        <v>0</v>
      </c>
      <c r="N107" s="49">
        <f t="shared" si="7"/>
        <v>0</v>
      </c>
      <c r="P107" s="147">
        <f t="shared" si="8"/>
        <v>0</v>
      </c>
      <c r="Q107" s="147">
        <f t="shared" si="9"/>
        <v>0</v>
      </c>
      <c r="S107" s="49">
        <f t="shared" si="10"/>
        <v>0</v>
      </c>
      <c r="T107" s="44">
        <f t="shared" si="11"/>
        <v>30</v>
      </c>
      <c r="V107" s="49">
        <f t="shared" si="34"/>
        <v>0</v>
      </c>
      <c r="W107" s="49">
        <f t="shared" si="34"/>
        <v>0</v>
      </c>
      <c r="X107" s="49">
        <f t="shared" si="34"/>
        <v>0</v>
      </c>
      <c r="Y107" s="49">
        <f t="shared" si="34"/>
        <v>0</v>
      </c>
      <c r="Z107" s="49">
        <f t="shared" si="34"/>
        <v>0</v>
      </c>
      <c r="AB107" s="49">
        <f t="shared" si="35"/>
        <v>0</v>
      </c>
      <c r="AC107" s="49">
        <f t="shared" si="35"/>
        <v>0</v>
      </c>
      <c r="AD107" s="49">
        <f t="shared" si="35"/>
        <v>0</v>
      </c>
      <c r="AE107" s="49">
        <f t="shared" si="35"/>
        <v>0</v>
      </c>
      <c r="AF107" s="49">
        <f t="shared" si="35"/>
        <v>0</v>
      </c>
      <c r="AH107" s="49">
        <f t="shared" si="14"/>
        <v>0</v>
      </c>
      <c r="AI107" s="49">
        <f t="shared" si="15"/>
        <v>0</v>
      </c>
      <c r="AJ107" s="49">
        <f t="shared" si="16"/>
        <v>0</v>
      </c>
      <c r="AK107" s="49">
        <f t="shared" si="17"/>
        <v>0</v>
      </c>
      <c r="AL107" s="49">
        <f t="shared" si="18"/>
        <v>0</v>
      </c>
      <c r="AN107" s="49">
        <f t="shared" si="19"/>
        <v>0</v>
      </c>
      <c r="AO107" s="49">
        <f t="shared" si="20"/>
        <v>0</v>
      </c>
      <c r="AP107" s="49">
        <f t="shared" si="21"/>
        <v>0</v>
      </c>
      <c r="AQ107" s="49">
        <f t="shared" si="22"/>
        <v>0</v>
      </c>
      <c r="AR107" s="49">
        <f t="shared" si="23"/>
        <v>0</v>
      </c>
      <c r="AT107" s="49">
        <f t="shared" si="24"/>
        <v>0</v>
      </c>
      <c r="AU107" s="49">
        <f t="shared" si="25"/>
        <v>0</v>
      </c>
      <c r="AV107" s="49">
        <f t="shared" si="26"/>
        <v>0</v>
      </c>
      <c r="AW107" s="49">
        <f t="shared" si="27"/>
        <v>0</v>
      </c>
      <c r="AX107" s="49">
        <f t="shared" si="28"/>
        <v>0</v>
      </c>
      <c r="AZ107" s="53">
        <f t="shared" si="29"/>
        <v>0</v>
      </c>
      <c r="BA107" s="53">
        <f t="shared" si="30"/>
        <v>0</v>
      </c>
      <c r="BB107" s="53">
        <f t="shared" si="31"/>
        <v>0</v>
      </c>
      <c r="BC107" s="53">
        <f t="shared" si="32"/>
        <v>0</v>
      </c>
      <c r="BD107" s="53">
        <f t="shared" si="33"/>
        <v>0</v>
      </c>
    </row>
    <row r="108" spans="2:56">
      <c r="B108" s="43">
        <f>'3. Input (des)investeringen '!B132</f>
        <v>1624</v>
      </c>
      <c r="C108" s="54"/>
      <c r="D108" s="54"/>
      <c r="E108" s="54"/>
      <c r="F108" s="48">
        <f>'3. Input (des)investeringen '!D132</f>
        <v>85388365.196438983</v>
      </c>
      <c r="G108" s="54"/>
      <c r="H108" s="43">
        <f>'3. Input (des)investeringen '!F132</f>
        <v>2025</v>
      </c>
      <c r="I108" s="48" t="str">
        <f>'3. Input (des)investeringen '!G132</f>
        <v>nvt</v>
      </c>
      <c r="J108" s="48">
        <f>'3. Input (des)investeringen '!H132</f>
        <v>55</v>
      </c>
      <c r="K108" s="48">
        <f>'3. Input (des)investeringen '!I132</f>
        <v>1</v>
      </c>
      <c r="M108" s="49">
        <f t="shared" si="6"/>
        <v>0</v>
      </c>
      <c r="N108" s="49">
        <f t="shared" si="7"/>
        <v>0</v>
      </c>
      <c r="P108" s="147">
        <f t="shared" si="8"/>
        <v>0</v>
      </c>
      <c r="Q108" s="147">
        <f t="shared" si="9"/>
        <v>0</v>
      </c>
      <c r="S108" s="49">
        <f t="shared" si="10"/>
        <v>0</v>
      </c>
      <c r="T108" s="44">
        <f t="shared" si="11"/>
        <v>55</v>
      </c>
      <c r="V108" s="49">
        <f t="shared" si="34"/>
        <v>0</v>
      </c>
      <c r="W108" s="49">
        <f t="shared" si="34"/>
        <v>0</v>
      </c>
      <c r="X108" s="49">
        <f t="shared" si="34"/>
        <v>0</v>
      </c>
      <c r="Y108" s="49">
        <f t="shared" si="34"/>
        <v>0</v>
      </c>
      <c r="Z108" s="49">
        <f t="shared" si="34"/>
        <v>0</v>
      </c>
      <c r="AB108" s="49">
        <f t="shared" si="35"/>
        <v>0</v>
      </c>
      <c r="AC108" s="49">
        <f t="shared" si="35"/>
        <v>0</v>
      </c>
      <c r="AD108" s="49">
        <f t="shared" si="35"/>
        <v>0</v>
      </c>
      <c r="AE108" s="49">
        <f t="shared" si="35"/>
        <v>0</v>
      </c>
      <c r="AF108" s="49">
        <f t="shared" si="35"/>
        <v>0</v>
      </c>
      <c r="AH108" s="49">
        <f t="shared" si="14"/>
        <v>0</v>
      </c>
      <c r="AI108" s="49">
        <f t="shared" si="15"/>
        <v>0</v>
      </c>
      <c r="AJ108" s="49">
        <f t="shared" si="16"/>
        <v>0</v>
      </c>
      <c r="AK108" s="49">
        <f t="shared" si="17"/>
        <v>0</v>
      </c>
      <c r="AL108" s="49">
        <f t="shared" si="18"/>
        <v>0</v>
      </c>
      <c r="AN108" s="49">
        <f t="shared" si="19"/>
        <v>0</v>
      </c>
      <c r="AO108" s="49">
        <f t="shared" si="20"/>
        <v>0</v>
      </c>
      <c r="AP108" s="49">
        <f t="shared" si="21"/>
        <v>0</v>
      </c>
      <c r="AQ108" s="49">
        <f t="shared" si="22"/>
        <v>0</v>
      </c>
      <c r="AR108" s="49">
        <f t="shared" si="23"/>
        <v>0</v>
      </c>
      <c r="AT108" s="49">
        <f t="shared" si="24"/>
        <v>0</v>
      </c>
      <c r="AU108" s="49">
        <f t="shared" si="25"/>
        <v>0</v>
      </c>
      <c r="AV108" s="49">
        <f t="shared" si="26"/>
        <v>0</v>
      </c>
      <c r="AW108" s="49">
        <f t="shared" si="27"/>
        <v>0</v>
      </c>
      <c r="AX108" s="49">
        <f t="shared" si="28"/>
        <v>0</v>
      </c>
      <c r="AZ108" s="53">
        <f t="shared" si="29"/>
        <v>0</v>
      </c>
      <c r="BA108" s="53">
        <f t="shared" si="30"/>
        <v>0</v>
      </c>
      <c r="BB108" s="53">
        <f t="shared" si="31"/>
        <v>0</v>
      </c>
      <c r="BC108" s="53">
        <f t="shared" si="32"/>
        <v>0</v>
      </c>
      <c r="BD108" s="53">
        <f t="shared" si="33"/>
        <v>0</v>
      </c>
    </row>
    <row r="109" spans="2:56">
      <c r="B109" s="43">
        <f>'3. Input (des)investeringen '!B133</f>
        <v>1628</v>
      </c>
      <c r="C109" s="54"/>
      <c r="D109" s="54"/>
      <c r="E109" s="54"/>
      <c r="F109" s="48">
        <f>'3. Input (des)investeringen '!D133</f>
        <v>4946948.6241163164</v>
      </c>
      <c r="G109" s="54"/>
      <c r="H109" s="43">
        <f>'3. Input (des)investeringen '!F133</f>
        <v>2025</v>
      </c>
      <c r="I109" s="48" t="str">
        <f>'3. Input (des)investeringen '!G133</f>
        <v>nvt</v>
      </c>
      <c r="J109" s="48">
        <f>'3. Input (des)investeringen '!H133</f>
        <v>15</v>
      </c>
      <c r="K109" s="48">
        <f>'3. Input (des)investeringen '!I133</f>
        <v>0</v>
      </c>
      <c r="M109" s="49">
        <f t="shared" si="6"/>
        <v>0</v>
      </c>
      <c r="N109" s="49">
        <f t="shared" si="7"/>
        <v>0</v>
      </c>
      <c r="P109" s="147">
        <f t="shared" si="8"/>
        <v>0</v>
      </c>
      <c r="Q109" s="147">
        <f t="shared" si="9"/>
        <v>0</v>
      </c>
      <c r="S109" s="49">
        <f t="shared" si="10"/>
        <v>0</v>
      </c>
      <c r="T109" s="44">
        <f t="shared" si="11"/>
        <v>15</v>
      </c>
      <c r="V109" s="49">
        <f t="shared" si="34"/>
        <v>0</v>
      </c>
      <c r="W109" s="49">
        <f t="shared" si="34"/>
        <v>0</v>
      </c>
      <c r="X109" s="49">
        <f t="shared" si="34"/>
        <v>0</v>
      </c>
      <c r="Y109" s="49">
        <f t="shared" si="34"/>
        <v>0</v>
      </c>
      <c r="Z109" s="49">
        <f t="shared" si="34"/>
        <v>0</v>
      </c>
      <c r="AB109" s="49">
        <f t="shared" si="35"/>
        <v>0</v>
      </c>
      <c r="AC109" s="49">
        <f t="shared" si="35"/>
        <v>0</v>
      </c>
      <c r="AD109" s="49">
        <f t="shared" si="35"/>
        <v>0</v>
      </c>
      <c r="AE109" s="49">
        <f t="shared" si="35"/>
        <v>0</v>
      </c>
      <c r="AF109" s="49">
        <f t="shared" si="35"/>
        <v>0</v>
      </c>
      <c r="AH109" s="49">
        <f t="shared" si="14"/>
        <v>0</v>
      </c>
      <c r="AI109" s="49">
        <f t="shared" si="15"/>
        <v>0</v>
      </c>
      <c r="AJ109" s="49">
        <f t="shared" si="16"/>
        <v>0</v>
      </c>
      <c r="AK109" s="49">
        <f t="shared" si="17"/>
        <v>0</v>
      </c>
      <c r="AL109" s="49">
        <f t="shared" si="18"/>
        <v>0</v>
      </c>
      <c r="AN109" s="49">
        <f t="shared" si="19"/>
        <v>0</v>
      </c>
      <c r="AO109" s="49">
        <f t="shared" si="20"/>
        <v>0</v>
      </c>
      <c r="AP109" s="49">
        <f t="shared" si="21"/>
        <v>0</v>
      </c>
      <c r="AQ109" s="49">
        <f t="shared" si="22"/>
        <v>0</v>
      </c>
      <c r="AR109" s="49">
        <f t="shared" si="23"/>
        <v>0</v>
      </c>
      <c r="AT109" s="49">
        <f t="shared" si="24"/>
        <v>0</v>
      </c>
      <c r="AU109" s="49">
        <f t="shared" si="25"/>
        <v>0</v>
      </c>
      <c r="AV109" s="49">
        <f t="shared" si="26"/>
        <v>0</v>
      </c>
      <c r="AW109" s="49">
        <f t="shared" si="27"/>
        <v>0</v>
      </c>
      <c r="AX109" s="49">
        <f t="shared" si="28"/>
        <v>0</v>
      </c>
      <c r="AZ109" s="53">
        <f t="shared" si="29"/>
        <v>0</v>
      </c>
      <c r="BA109" s="53">
        <f t="shared" si="30"/>
        <v>0</v>
      </c>
      <c r="BB109" s="53">
        <f t="shared" si="31"/>
        <v>0</v>
      </c>
      <c r="BC109" s="53">
        <f t="shared" si="32"/>
        <v>0</v>
      </c>
      <c r="BD109" s="53">
        <f t="shared" si="33"/>
        <v>0</v>
      </c>
    </row>
    <row r="110" spans="2:56">
      <c r="B110" s="43">
        <f>'3. Input (des)investeringen '!B134</f>
        <v>1629</v>
      </c>
      <c r="C110" s="54"/>
      <c r="D110" s="54"/>
      <c r="E110" s="54"/>
      <c r="F110" s="48">
        <f>'3. Input (des)investeringen '!D134</f>
        <v>28058274.451637983</v>
      </c>
      <c r="G110" s="54"/>
      <c r="H110" s="43">
        <f>'3. Input (des)investeringen '!F134</f>
        <v>2025</v>
      </c>
      <c r="I110" s="48" t="str">
        <f>'3. Input (des)investeringen '!G134</f>
        <v>nvt</v>
      </c>
      <c r="J110" s="48">
        <f>'3. Input (des)investeringen '!H134</f>
        <v>30</v>
      </c>
      <c r="K110" s="48">
        <f>'3. Input (des)investeringen '!I134</f>
        <v>0</v>
      </c>
      <c r="M110" s="49">
        <f t="shared" si="6"/>
        <v>0</v>
      </c>
      <c r="N110" s="49">
        <f t="shared" si="7"/>
        <v>0</v>
      </c>
      <c r="P110" s="147">
        <f t="shared" si="8"/>
        <v>0</v>
      </c>
      <c r="Q110" s="147">
        <f t="shared" si="9"/>
        <v>0</v>
      </c>
      <c r="S110" s="49">
        <f t="shared" si="10"/>
        <v>0</v>
      </c>
      <c r="T110" s="44">
        <f t="shared" si="11"/>
        <v>30</v>
      </c>
      <c r="V110" s="49">
        <f t="shared" si="34"/>
        <v>0</v>
      </c>
      <c r="W110" s="49">
        <f t="shared" si="34"/>
        <v>0</v>
      </c>
      <c r="X110" s="49">
        <f t="shared" si="34"/>
        <v>0</v>
      </c>
      <c r="Y110" s="49">
        <f t="shared" si="34"/>
        <v>0</v>
      </c>
      <c r="Z110" s="49">
        <f t="shared" si="34"/>
        <v>0</v>
      </c>
      <c r="AB110" s="49">
        <f t="shared" si="35"/>
        <v>0</v>
      </c>
      <c r="AC110" s="49">
        <f t="shared" si="35"/>
        <v>0</v>
      </c>
      <c r="AD110" s="49">
        <f t="shared" si="35"/>
        <v>0</v>
      </c>
      <c r="AE110" s="49">
        <f t="shared" si="35"/>
        <v>0</v>
      </c>
      <c r="AF110" s="49">
        <f t="shared" si="35"/>
        <v>0</v>
      </c>
      <c r="AH110" s="49">
        <f t="shared" si="14"/>
        <v>0</v>
      </c>
      <c r="AI110" s="49">
        <f t="shared" si="15"/>
        <v>0</v>
      </c>
      <c r="AJ110" s="49">
        <f t="shared" si="16"/>
        <v>0</v>
      </c>
      <c r="AK110" s="49">
        <f t="shared" si="17"/>
        <v>0</v>
      </c>
      <c r="AL110" s="49">
        <f t="shared" si="18"/>
        <v>0</v>
      </c>
      <c r="AN110" s="49">
        <f t="shared" si="19"/>
        <v>0</v>
      </c>
      <c r="AO110" s="49">
        <f t="shared" si="20"/>
        <v>0</v>
      </c>
      <c r="AP110" s="49">
        <f t="shared" si="21"/>
        <v>0</v>
      </c>
      <c r="AQ110" s="49">
        <f t="shared" si="22"/>
        <v>0</v>
      </c>
      <c r="AR110" s="49">
        <f t="shared" si="23"/>
        <v>0</v>
      </c>
      <c r="AT110" s="49">
        <f t="shared" si="24"/>
        <v>0</v>
      </c>
      <c r="AU110" s="49">
        <f t="shared" si="25"/>
        <v>0</v>
      </c>
      <c r="AV110" s="49">
        <f t="shared" si="26"/>
        <v>0</v>
      </c>
      <c r="AW110" s="49">
        <f t="shared" si="27"/>
        <v>0</v>
      </c>
      <c r="AX110" s="49">
        <f t="shared" si="28"/>
        <v>0</v>
      </c>
      <c r="AZ110" s="53">
        <f t="shared" si="29"/>
        <v>0</v>
      </c>
      <c r="BA110" s="53">
        <f t="shared" si="30"/>
        <v>0</v>
      </c>
      <c r="BB110" s="53">
        <f t="shared" si="31"/>
        <v>0</v>
      </c>
      <c r="BC110" s="53">
        <f t="shared" si="32"/>
        <v>0</v>
      </c>
      <c r="BD110" s="53">
        <f t="shared" si="33"/>
        <v>0</v>
      </c>
    </row>
    <row r="111" spans="2:56">
      <c r="B111" s="43">
        <f>'3. Input (des)investeringen '!B135</f>
        <v>1630</v>
      </c>
      <c r="C111" s="54"/>
      <c r="D111" s="54"/>
      <c r="E111" s="54"/>
      <c r="F111" s="48">
        <f>'3. Input (des)investeringen '!D135</f>
        <v>39636.2960349688</v>
      </c>
      <c r="G111" s="54"/>
      <c r="H111" s="43">
        <f>'3. Input (des)investeringen '!F135</f>
        <v>2025</v>
      </c>
      <c r="I111" s="48" t="str">
        <f>'3. Input (des)investeringen '!G135</f>
        <v>nvt</v>
      </c>
      <c r="J111" s="48">
        <f>'3. Input (des)investeringen '!H135</f>
        <v>55</v>
      </c>
      <c r="K111" s="48">
        <f>'3. Input (des)investeringen '!I135</f>
        <v>0</v>
      </c>
      <c r="M111" s="49">
        <f t="shared" si="6"/>
        <v>0</v>
      </c>
      <c r="N111" s="49">
        <f t="shared" si="7"/>
        <v>0</v>
      </c>
      <c r="P111" s="147">
        <f t="shared" si="8"/>
        <v>0</v>
      </c>
      <c r="Q111" s="147">
        <f t="shared" si="9"/>
        <v>0</v>
      </c>
      <c r="S111" s="49">
        <f t="shared" si="10"/>
        <v>0</v>
      </c>
      <c r="T111" s="44">
        <f t="shared" si="11"/>
        <v>55</v>
      </c>
      <c r="V111" s="49">
        <f t="shared" si="34"/>
        <v>0</v>
      </c>
      <c r="W111" s="49">
        <f t="shared" si="34"/>
        <v>0</v>
      </c>
      <c r="X111" s="49">
        <f t="shared" si="34"/>
        <v>0</v>
      </c>
      <c r="Y111" s="49">
        <f t="shared" si="34"/>
        <v>0</v>
      </c>
      <c r="Z111" s="49">
        <f t="shared" si="34"/>
        <v>0</v>
      </c>
      <c r="AB111" s="49">
        <f t="shared" si="35"/>
        <v>0</v>
      </c>
      <c r="AC111" s="49">
        <f t="shared" si="35"/>
        <v>0</v>
      </c>
      <c r="AD111" s="49">
        <f t="shared" si="35"/>
        <v>0</v>
      </c>
      <c r="AE111" s="49">
        <f t="shared" si="35"/>
        <v>0</v>
      </c>
      <c r="AF111" s="49">
        <f t="shared" si="35"/>
        <v>0</v>
      </c>
      <c r="AH111" s="49">
        <f t="shared" si="14"/>
        <v>0</v>
      </c>
      <c r="AI111" s="49">
        <f t="shared" si="15"/>
        <v>0</v>
      </c>
      <c r="AJ111" s="49">
        <f t="shared" si="16"/>
        <v>0</v>
      </c>
      <c r="AK111" s="49">
        <f t="shared" si="17"/>
        <v>0</v>
      </c>
      <c r="AL111" s="49">
        <f t="shared" si="18"/>
        <v>0</v>
      </c>
      <c r="AN111" s="49">
        <f t="shared" si="19"/>
        <v>0</v>
      </c>
      <c r="AO111" s="49">
        <f t="shared" si="20"/>
        <v>0</v>
      </c>
      <c r="AP111" s="49">
        <f t="shared" si="21"/>
        <v>0</v>
      </c>
      <c r="AQ111" s="49">
        <f t="shared" si="22"/>
        <v>0</v>
      </c>
      <c r="AR111" s="49">
        <f t="shared" si="23"/>
        <v>0</v>
      </c>
      <c r="AT111" s="49">
        <f t="shared" si="24"/>
        <v>0</v>
      </c>
      <c r="AU111" s="49">
        <f t="shared" si="25"/>
        <v>0</v>
      </c>
      <c r="AV111" s="49">
        <f t="shared" si="26"/>
        <v>0</v>
      </c>
      <c r="AW111" s="49">
        <f t="shared" si="27"/>
        <v>0</v>
      </c>
      <c r="AX111" s="49">
        <f t="shared" si="28"/>
        <v>0</v>
      </c>
      <c r="AZ111" s="53">
        <f t="shared" si="29"/>
        <v>0</v>
      </c>
      <c r="BA111" s="53">
        <f t="shared" si="30"/>
        <v>0</v>
      </c>
      <c r="BB111" s="53">
        <f t="shared" si="31"/>
        <v>0</v>
      </c>
      <c r="BC111" s="53">
        <f t="shared" si="32"/>
        <v>0</v>
      </c>
      <c r="BD111" s="53">
        <f t="shared" si="33"/>
        <v>0</v>
      </c>
    </row>
    <row r="112" spans="2:56">
      <c r="B112" s="43">
        <f>'3. Input (des)investeringen '!B136</f>
        <v>1634</v>
      </c>
      <c r="C112" s="54"/>
      <c r="D112" s="54"/>
      <c r="E112" s="54"/>
      <c r="F112" s="48">
        <f>'3. Input (des)investeringen '!D136</f>
        <v>7991224.8122066045</v>
      </c>
      <c r="G112" s="54"/>
      <c r="H112" s="43">
        <f>'3. Input (des)investeringen '!F136</f>
        <v>2025</v>
      </c>
      <c r="I112" s="48" t="str">
        <f>'3. Input (des)investeringen '!G136</f>
        <v>nvt</v>
      </c>
      <c r="J112" s="48">
        <f>'3. Input (des)investeringen '!H136</f>
        <v>15</v>
      </c>
      <c r="K112" s="48">
        <f>'3. Input (des)investeringen '!I136</f>
        <v>0</v>
      </c>
      <c r="M112" s="49">
        <f t="shared" si="6"/>
        <v>0</v>
      </c>
      <c r="N112" s="49">
        <f t="shared" si="7"/>
        <v>0</v>
      </c>
      <c r="P112" s="147">
        <f t="shared" si="8"/>
        <v>0</v>
      </c>
      <c r="Q112" s="147">
        <f t="shared" si="9"/>
        <v>0</v>
      </c>
      <c r="S112" s="49">
        <f t="shared" si="10"/>
        <v>0</v>
      </c>
      <c r="T112" s="44">
        <f t="shared" si="11"/>
        <v>15</v>
      </c>
      <c r="V112" s="49">
        <f t="shared" si="34"/>
        <v>0</v>
      </c>
      <c r="W112" s="49">
        <f t="shared" si="34"/>
        <v>0</v>
      </c>
      <c r="X112" s="49">
        <f t="shared" si="34"/>
        <v>0</v>
      </c>
      <c r="Y112" s="49">
        <f t="shared" si="34"/>
        <v>0</v>
      </c>
      <c r="Z112" s="49">
        <f t="shared" si="34"/>
        <v>0</v>
      </c>
      <c r="AB112" s="49">
        <f t="shared" si="35"/>
        <v>0</v>
      </c>
      <c r="AC112" s="49">
        <f t="shared" si="35"/>
        <v>0</v>
      </c>
      <c r="AD112" s="49">
        <f t="shared" si="35"/>
        <v>0</v>
      </c>
      <c r="AE112" s="49">
        <f t="shared" si="35"/>
        <v>0</v>
      </c>
      <c r="AF112" s="49">
        <f t="shared" si="35"/>
        <v>0</v>
      </c>
      <c r="AH112" s="49">
        <f t="shared" si="14"/>
        <v>0</v>
      </c>
      <c r="AI112" s="49">
        <f t="shared" si="15"/>
        <v>0</v>
      </c>
      <c r="AJ112" s="49">
        <f t="shared" si="16"/>
        <v>0</v>
      </c>
      <c r="AK112" s="49">
        <f t="shared" si="17"/>
        <v>0</v>
      </c>
      <c r="AL112" s="49">
        <f t="shared" si="18"/>
        <v>0</v>
      </c>
      <c r="AN112" s="49">
        <f t="shared" si="19"/>
        <v>0</v>
      </c>
      <c r="AO112" s="49">
        <f t="shared" si="20"/>
        <v>0</v>
      </c>
      <c r="AP112" s="49">
        <f t="shared" si="21"/>
        <v>0</v>
      </c>
      <c r="AQ112" s="49">
        <f t="shared" si="22"/>
        <v>0</v>
      </c>
      <c r="AR112" s="49">
        <f t="shared" si="23"/>
        <v>0</v>
      </c>
      <c r="AT112" s="49">
        <f t="shared" si="24"/>
        <v>0</v>
      </c>
      <c r="AU112" s="49">
        <f t="shared" si="25"/>
        <v>0</v>
      </c>
      <c r="AV112" s="49">
        <f t="shared" si="26"/>
        <v>0</v>
      </c>
      <c r="AW112" s="49">
        <f t="shared" si="27"/>
        <v>0</v>
      </c>
      <c r="AX112" s="49">
        <f t="shared" si="28"/>
        <v>0</v>
      </c>
      <c r="AZ112" s="53">
        <f t="shared" si="29"/>
        <v>0</v>
      </c>
      <c r="BA112" s="53">
        <f t="shared" si="30"/>
        <v>0</v>
      </c>
      <c r="BB112" s="53">
        <f t="shared" si="31"/>
        <v>0</v>
      </c>
      <c r="BC112" s="53">
        <f t="shared" si="32"/>
        <v>0</v>
      </c>
      <c r="BD112" s="53">
        <f t="shared" si="33"/>
        <v>0</v>
      </c>
    </row>
    <row r="113" spans="2:56">
      <c r="B113" s="43">
        <f>'3. Input (des)investeringen '!B137</f>
        <v>1635</v>
      </c>
      <c r="C113" s="54"/>
      <c r="D113" s="54"/>
      <c r="E113" s="54"/>
      <c r="F113" s="48">
        <f>'3. Input (des)investeringen '!D137</f>
        <v>7928966.50303555</v>
      </c>
      <c r="G113" s="54"/>
      <c r="H113" s="43">
        <f>'3. Input (des)investeringen '!F137</f>
        <v>2025</v>
      </c>
      <c r="I113" s="48" t="str">
        <f>'3. Input (des)investeringen '!G137</f>
        <v>nvt</v>
      </c>
      <c r="J113" s="48">
        <f>'3. Input (des)investeringen '!H137</f>
        <v>30</v>
      </c>
      <c r="K113" s="48">
        <f>'3. Input (des)investeringen '!I137</f>
        <v>0</v>
      </c>
      <c r="M113" s="49">
        <f t="shared" si="6"/>
        <v>0</v>
      </c>
      <c r="N113" s="49">
        <f t="shared" si="7"/>
        <v>0</v>
      </c>
      <c r="P113" s="147">
        <f t="shared" si="8"/>
        <v>0</v>
      </c>
      <c r="Q113" s="147">
        <f t="shared" si="9"/>
        <v>0</v>
      </c>
      <c r="S113" s="49">
        <f t="shared" si="10"/>
        <v>0</v>
      </c>
      <c r="T113" s="44">
        <f t="shared" si="11"/>
        <v>30</v>
      </c>
      <c r="V113" s="49">
        <f t="shared" si="34"/>
        <v>0</v>
      </c>
      <c r="W113" s="49">
        <f t="shared" si="34"/>
        <v>0</v>
      </c>
      <c r="X113" s="49">
        <f t="shared" si="34"/>
        <v>0</v>
      </c>
      <c r="Y113" s="49">
        <f t="shared" si="34"/>
        <v>0</v>
      </c>
      <c r="Z113" s="49">
        <f t="shared" si="34"/>
        <v>0</v>
      </c>
      <c r="AB113" s="49">
        <f t="shared" si="35"/>
        <v>0</v>
      </c>
      <c r="AC113" s="49">
        <f t="shared" si="35"/>
        <v>0</v>
      </c>
      <c r="AD113" s="49">
        <f t="shared" si="35"/>
        <v>0</v>
      </c>
      <c r="AE113" s="49">
        <f t="shared" si="35"/>
        <v>0</v>
      </c>
      <c r="AF113" s="49">
        <f t="shared" si="35"/>
        <v>0</v>
      </c>
      <c r="AH113" s="49">
        <f t="shared" si="14"/>
        <v>0</v>
      </c>
      <c r="AI113" s="49">
        <f t="shared" si="15"/>
        <v>0</v>
      </c>
      <c r="AJ113" s="49">
        <f t="shared" si="16"/>
        <v>0</v>
      </c>
      <c r="AK113" s="49">
        <f t="shared" si="17"/>
        <v>0</v>
      </c>
      <c r="AL113" s="49">
        <f t="shared" si="18"/>
        <v>0</v>
      </c>
      <c r="AN113" s="49">
        <f t="shared" si="19"/>
        <v>0</v>
      </c>
      <c r="AO113" s="49">
        <f t="shared" si="20"/>
        <v>0</v>
      </c>
      <c r="AP113" s="49">
        <f t="shared" si="21"/>
        <v>0</v>
      </c>
      <c r="AQ113" s="49">
        <f t="shared" si="22"/>
        <v>0</v>
      </c>
      <c r="AR113" s="49">
        <f t="shared" si="23"/>
        <v>0</v>
      </c>
      <c r="AT113" s="49">
        <f t="shared" si="24"/>
        <v>0</v>
      </c>
      <c r="AU113" s="49">
        <f t="shared" si="25"/>
        <v>0</v>
      </c>
      <c r="AV113" s="49">
        <f t="shared" si="26"/>
        <v>0</v>
      </c>
      <c r="AW113" s="49">
        <f t="shared" si="27"/>
        <v>0</v>
      </c>
      <c r="AX113" s="49">
        <f t="shared" si="28"/>
        <v>0</v>
      </c>
      <c r="AZ113" s="53">
        <f t="shared" si="29"/>
        <v>0</v>
      </c>
      <c r="BA113" s="53">
        <f t="shared" si="30"/>
        <v>0</v>
      </c>
      <c r="BB113" s="53">
        <f t="shared" si="31"/>
        <v>0</v>
      </c>
      <c r="BC113" s="53">
        <f t="shared" si="32"/>
        <v>0</v>
      </c>
      <c r="BD113" s="53">
        <f t="shared" si="33"/>
        <v>0</v>
      </c>
    </row>
    <row r="114" spans="2:56">
      <c r="B114" s="43">
        <f>'3. Input (des)investeringen '!B138</f>
        <v>1636</v>
      </c>
      <c r="C114" s="54"/>
      <c r="D114" s="54"/>
      <c r="E114" s="54"/>
      <c r="F114" s="48">
        <f>'3. Input (des)investeringen '!D138</f>
        <v>0</v>
      </c>
      <c r="G114" s="54"/>
      <c r="H114" s="43">
        <f>'3. Input (des)investeringen '!F138</f>
        <v>2025</v>
      </c>
      <c r="I114" s="48" t="str">
        <f>'3. Input (des)investeringen '!G138</f>
        <v>nvt</v>
      </c>
      <c r="J114" s="48">
        <f>'3. Input (des)investeringen '!H138</f>
        <v>55</v>
      </c>
      <c r="K114" s="48">
        <f>'3. Input (des)investeringen '!I138</f>
        <v>0</v>
      </c>
      <c r="M114" s="49">
        <f t="shared" si="6"/>
        <v>0</v>
      </c>
      <c r="N114" s="49">
        <f t="shared" si="7"/>
        <v>0</v>
      </c>
      <c r="P114" s="147">
        <f t="shared" si="8"/>
        <v>0</v>
      </c>
      <c r="Q114" s="147">
        <f t="shared" si="9"/>
        <v>0</v>
      </c>
      <c r="S114" s="49">
        <f t="shared" si="10"/>
        <v>0</v>
      </c>
      <c r="T114" s="44">
        <f t="shared" si="11"/>
        <v>55</v>
      </c>
      <c r="V114" s="49">
        <f t="shared" si="34"/>
        <v>0</v>
      </c>
      <c r="W114" s="49">
        <f t="shared" si="34"/>
        <v>0</v>
      </c>
      <c r="X114" s="49">
        <f t="shared" si="34"/>
        <v>0</v>
      </c>
      <c r="Y114" s="49">
        <f t="shared" si="34"/>
        <v>0</v>
      </c>
      <c r="Z114" s="49">
        <f t="shared" si="34"/>
        <v>0</v>
      </c>
      <c r="AB114" s="49">
        <f t="shared" si="35"/>
        <v>0</v>
      </c>
      <c r="AC114" s="49">
        <f t="shared" si="35"/>
        <v>0</v>
      </c>
      <c r="AD114" s="49">
        <f t="shared" si="35"/>
        <v>0</v>
      </c>
      <c r="AE114" s="49">
        <f t="shared" si="35"/>
        <v>0</v>
      </c>
      <c r="AF114" s="49">
        <f t="shared" si="35"/>
        <v>0</v>
      </c>
      <c r="AH114" s="49">
        <f t="shared" si="14"/>
        <v>0</v>
      </c>
      <c r="AI114" s="49">
        <f t="shared" si="15"/>
        <v>0</v>
      </c>
      <c r="AJ114" s="49">
        <f t="shared" si="16"/>
        <v>0</v>
      </c>
      <c r="AK114" s="49">
        <f t="shared" si="17"/>
        <v>0</v>
      </c>
      <c r="AL114" s="49">
        <f t="shared" si="18"/>
        <v>0</v>
      </c>
      <c r="AN114" s="49">
        <f t="shared" si="19"/>
        <v>0</v>
      </c>
      <c r="AO114" s="49">
        <f t="shared" si="20"/>
        <v>0</v>
      </c>
      <c r="AP114" s="49">
        <f t="shared" si="21"/>
        <v>0</v>
      </c>
      <c r="AQ114" s="49">
        <f t="shared" si="22"/>
        <v>0</v>
      </c>
      <c r="AR114" s="49">
        <f t="shared" si="23"/>
        <v>0</v>
      </c>
      <c r="AT114" s="49">
        <f t="shared" si="24"/>
        <v>0</v>
      </c>
      <c r="AU114" s="49">
        <f t="shared" si="25"/>
        <v>0</v>
      </c>
      <c r="AV114" s="49">
        <f t="shared" si="26"/>
        <v>0</v>
      </c>
      <c r="AW114" s="49">
        <f t="shared" si="27"/>
        <v>0</v>
      </c>
      <c r="AX114" s="49">
        <f t="shared" si="28"/>
        <v>0</v>
      </c>
      <c r="AZ114" s="53">
        <f t="shared" si="29"/>
        <v>0</v>
      </c>
      <c r="BA114" s="53">
        <f t="shared" si="30"/>
        <v>0</v>
      </c>
      <c r="BB114" s="53">
        <f t="shared" si="31"/>
        <v>0</v>
      </c>
      <c r="BC114" s="53">
        <f t="shared" si="32"/>
        <v>0</v>
      </c>
      <c r="BD114" s="53">
        <f t="shared" si="33"/>
        <v>0</v>
      </c>
    </row>
    <row r="115" spans="2:56">
      <c r="B115" s="43">
        <f>'3. Input (des)investeringen '!B139</f>
        <v>1640</v>
      </c>
      <c r="C115" s="54"/>
      <c r="D115" s="54"/>
      <c r="E115" s="54"/>
      <c r="F115" s="48">
        <f>'3. Input (des)investeringen '!D139</f>
        <v>25440067.393025532</v>
      </c>
      <c r="G115" s="54"/>
      <c r="H115" s="43">
        <f>'3. Input (des)investeringen '!F139</f>
        <v>2026</v>
      </c>
      <c r="I115" s="48" t="str">
        <f>'3. Input (des)investeringen '!G139</f>
        <v>nvt</v>
      </c>
      <c r="J115" s="48">
        <f>'3. Input (des)investeringen '!H139</f>
        <v>15</v>
      </c>
      <c r="K115" s="48">
        <f>'3. Input (des)investeringen '!I139</f>
        <v>1</v>
      </c>
      <c r="M115" s="49">
        <f t="shared" si="6"/>
        <v>0</v>
      </c>
      <c r="N115" s="49">
        <f t="shared" si="7"/>
        <v>0</v>
      </c>
      <c r="P115" s="147">
        <f t="shared" si="8"/>
        <v>0</v>
      </c>
      <c r="Q115" s="147">
        <f t="shared" si="9"/>
        <v>0</v>
      </c>
      <c r="S115" s="49">
        <f t="shared" si="10"/>
        <v>0</v>
      </c>
      <c r="T115" s="44">
        <f t="shared" si="11"/>
        <v>15</v>
      </c>
      <c r="V115" s="49">
        <f t="shared" si="34"/>
        <v>0</v>
      </c>
      <c r="W115" s="49">
        <f t="shared" si="34"/>
        <v>0</v>
      </c>
      <c r="X115" s="49">
        <f t="shared" si="34"/>
        <v>0</v>
      </c>
      <c r="Y115" s="49">
        <f t="shared" si="34"/>
        <v>0</v>
      </c>
      <c r="Z115" s="49">
        <f t="shared" si="34"/>
        <v>0</v>
      </c>
      <c r="AB115" s="49">
        <f t="shared" si="35"/>
        <v>0</v>
      </c>
      <c r="AC115" s="49">
        <f t="shared" si="35"/>
        <v>0</v>
      </c>
      <c r="AD115" s="49">
        <f t="shared" si="35"/>
        <v>0</v>
      </c>
      <c r="AE115" s="49">
        <f t="shared" si="35"/>
        <v>0</v>
      </c>
      <c r="AF115" s="49">
        <f t="shared" si="35"/>
        <v>0</v>
      </c>
      <c r="AH115" s="49">
        <f t="shared" si="14"/>
        <v>0</v>
      </c>
      <c r="AI115" s="49">
        <f t="shared" si="15"/>
        <v>0</v>
      </c>
      <c r="AJ115" s="49">
        <f t="shared" si="16"/>
        <v>0</v>
      </c>
      <c r="AK115" s="49">
        <f t="shared" si="17"/>
        <v>0</v>
      </c>
      <c r="AL115" s="49">
        <f t="shared" si="18"/>
        <v>0</v>
      </c>
      <c r="AN115" s="49">
        <f t="shared" si="19"/>
        <v>0</v>
      </c>
      <c r="AO115" s="49">
        <f t="shared" si="20"/>
        <v>0</v>
      </c>
      <c r="AP115" s="49">
        <f t="shared" si="21"/>
        <v>0</v>
      </c>
      <c r="AQ115" s="49">
        <f t="shared" si="22"/>
        <v>0</v>
      </c>
      <c r="AR115" s="49">
        <f t="shared" si="23"/>
        <v>0</v>
      </c>
      <c r="AT115" s="49">
        <f t="shared" si="24"/>
        <v>0</v>
      </c>
      <c r="AU115" s="49">
        <f t="shared" si="25"/>
        <v>0</v>
      </c>
      <c r="AV115" s="49">
        <f t="shared" si="26"/>
        <v>0</v>
      </c>
      <c r="AW115" s="49">
        <f t="shared" si="27"/>
        <v>0</v>
      </c>
      <c r="AX115" s="49">
        <f t="shared" si="28"/>
        <v>0</v>
      </c>
      <c r="AZ115" s="53">
        <f t="shared" si="29"/>
        <v>0</v>
      </c>
      <c r="BA115" s="53">
        <f t="shared" si="30"/>
        <v>0</v>
      </c>
      <c r="BB115" s="53">
        <f t="shared" si="31"/>
        <v>0</v>
      </c>
      <c r="BC115" s="53">
        <f t="shared" si="32"/>
        <v>0</v>
      </c>
      <c r="BD115" s="53">
        <f t="shared" si="33"/>
        <v>0</v>
      </c>
    </row>
    <row r="116" spans="2:56">
      <c r="B116" s="43">
        <f>'3. Input (des)investeringen '!B140</f>
        <v>1641</v>
      </c>
      <c r="C116" s="54"/>
      <c r="D116" s="54"/>
      <c r="E116" s="54"/>
      <c r="F116" s="48">
        <f>'3. Input (des)investeringen '!D140</f>
        <v>31245735.885589555</v>
      </c>
      <c r="G116" s="54"/>
      <c r="H116" s="43">
        <f>'3. Input (des)investeringen '!F140</f>
        <v>2026</v>
      </c>
      <c r="I116" s="48" t="str">
        <f>'3. Input (des)investeringen '!G140</f>
        <v>nvt</v>
      </c>
      <c r="J116" s="48">
        <f>'3. Input (des)investeringen '!H140</f>
        <v>30</v>
      </c>
      <c r="K116" s="48">
        <f>'3. Input (des)investeringen '!I140</f>
        <v>1</v>
      </c>
      <c r="M116" s="49">
        <f t="shared" si="6"/>
        <v>0</v>
      </c>
      <c r="N116" s="49">
        <f t="shared" si="7"/>
        <v>0</v>
      </c>
      <c r="P116" s="147">
        <f t="shared" si="8"/>
        <v>0</v>
      </c>
      <c r="Q116" s="147">
        <f t="shared" si="9"/>
        <v>0</v>
      </c>
      <c r="S116" s="49">
        <f t="shared" si="10"/>
        <v>0</v>
      </c>
      <c r="T116" s="44">
        <f t="shared" si="11"/>
        <v>30</v>
      </c>
      <c r="V116" s="49">
        <f t="shared" si="34"/>
        <v>0</v>
      </c>
      <c r="W116" s="49">
        <f t="shared" si="34"/>
        <v>0</v>
      </c>
      <c r="X116" s="49">
        <f t="shared" si="34"/>
        <v>0</v>
      </c>
      <c r="Y116" s="49">
        <f t="shared" si="34"/>
        <v>0</v>
      </c>
      <c r="Z116" s="49">
        <f t="shared" si="34"/>
        <v>0</v>
      </c>
      <c r="AB116" s="49">
        <f t="shared" si="35"/>
        <v>0</v>
      </c>
      <c r="AC116" s="49">
        <f t="shared" si="35"/>
        <v>0</v>
      </c>
      <c r="AD116" s="49">
        <f t="shared" si="35"/>
        <v>0</v>
      </c>
      <c r="AE116" s="49">
        <f t="shared" si="35"/>
        <v>0</v>
      </c>
      <c r="AF116" s="49">
        <f t="shared" si="35"/>
        <v>0</v>
      </c>
      <c r="AH116" s="49">
        <f t="shared" si="14"/>
        <v>0</v>
      </c>
      <c r="AI116" s="49">
        <f t="shared" si="15"/>
        <v>0</v>
      </c>
      <c r="AJ116" s="49">
        <f t="shared" si="16"/>
        <v>0</v>
      </c>
      <c r="AK116" s="49">
        <f t="shared" si="17"/>
        <v>0</v>
      </c>
      <c r="AL116" s="49">
        <f t="shared" si="18"/>
        <v>0</v>
      </c>
      <c r="AN116" s="49">
        <f t="shared" si="19"/>
        <v>0</v>
      </c>
      <c r="AO116" s="49">
        <f t="shared" si="20"/>
        <v>0</v>
      </c>
      <c r="AP116" s="49">
        <f t="shared" si="21"/>
        <v>0</v>
      </c>
      <c r="AQ116" s="49">
        <f t="shared" si="22"/>
        <v>0</v>
      </c>
      <c r="AR116" s="49">
        <f t="shared" si="23"/>
        <v>0</v>
      </c>
      <c r="AT116" s="49">
        <f t="shared" si="24"/>
        <v>0</v>
      </c>
      <c r="AU116" s="49">
        <f t="shared" si="25"/>
        <v>0</v>
      </c>
      <c r="AV116" s="49">
        <f t="shared" si="26"/>
        <v>0</v>
      </c>
      <c r="AW116" s="49">
        <f t="shared" si="27"/>
        <v>0</v>
      </c>
      <c r="AX116" s="49">
        <f t="shared" si="28"/>
        <v>0</v>
      </c>
      <c r="AZ116" s="53">
        <f t="shared" si="29"/>
        <v>0</v>
      </c>
      <c r="BA116" s="53">
        <f t="shared" si="30"/>
        <v>0</v>
      </c>
      <c r="BB116" s="53">
        <f t="shared" si="31"/>
        <v>0</v>
      </c>
      <c r="BC116" s="53">
        <f t="shared" si="32"/>
        <v>0</v>
      </c>
      <c r="BD116" s="53">
        <f t="shared" si="33"/>
        <v>0</v>
      </c>
    </row>
    <row r="117" spans="2:56">
      <c r="B117" s="43">
        <f>'3. Input (des)investeringen '!B141</f>
        <v>1642</v>
      </c>
      <c r="C117" s="54"/>
      <c r="D117" s="54"/>
      <c r="E117" s="54"/>
      <c r="F117" s="48">
        <f>'3. Input (des)investeringen '!D141</f>
        <v>86492607.535159335</v>
      </c>
      <c r="G117" s="54"/>
      <c r="H117" s="43">
        <f>'3. Input (des)investeringen '!F141</f>
        <v>2026</v>
      </c>
      <c r="I117" s="48" t="str">
        <f>'3. Input (des)investeringen '!G141</f>
        <v>nvt</v>
      </c>
      <c r="J117" s="48">
        <f>'3. Input (des)investeringen '!H141</f>
        <v>55</v>
      </c>
      <c r="K117" s="48">
        <f>'3. Input (des)investeringen '!I141</f>
        <v>1</v>
      </c>
      <c r="M117" s="49">
        <f t="shared" si="6"/>
        <v>0</v>
      </c>
      <c r="N117" s="49">
        <f t="shared" si="7"/>
        <v>0</v>
      </c>
      <c r="P117" s="147">
        <f t="shared" si="8"/>
        <v>0</v>
      </c>
      <c r="Q117" s="147">
        <f t="shared" si="9"/>
        <v>0</v>
      </c>
      <c r="S117" s="49">
        <f t="shared" si="10"/>
        <v>0</v>
      </c>
      <c r="T117" s="44">
        <f t="shared" si="11"/>
        <v>55</v>
      </c>
      <c r="V117" s="49">
        <f t="shared" si="34"/>
        <v>0</v>
      </c>
      <c r="W117" s="49">
        <f t="shared" si="34"/>
        <v>0</v>
      </c>
      <c r="X117" s="49">
        <f t="shared" si="34"/>
        <v>0</v>
      </c>
      <c r="Y117" s="49">
        <f t="shared" si="34"/>
        <v>0</v>
      </c>
      <c r="Z117" s="49">
        <f t="shared" si="34"/>
        <v>0</v>
      </c>
      <c r="AB117" s="49">
        <f t="shared" si="35"/>
        <v>0</v>
      </c>
      <c r="AC117" s="49">
        <f t="shared" si="35"/>
        <v>0</v>
      </c>
      <c r="AD117" s="49">
        <f t="shared" si="35"/>
        <v>0</v>
      </c>
      <c r="AE117" s="49">
        <f t="shared" si="35"/>
        <v>0</v>
      </c>
      <c r="AF117" s="49">
        <f t="shared" si="35"/>
        <v>0</v>
      </c>
      <c r="AH117" s="49">
        <f t="shared" si="14"/>
        <v>0</v>
      </c>
      <c r="AI117" s="49">
        <f t="shared" si="15"/>
        <v>0</v>
      </c>
      <c r="AJ117" s="49">
        <f t="shared" si="16"/>
        <v>0</v>
      </c>
      <c r="AK117" s="49">
        <f t="shared" si="17"/>
        <v>0</v>
      </c>
      <c r="AL117" s="49">
        <f t="shared" si="18"/>
        <v>0</v>
      </c>
      <c r="AN117" s="49">
        <f t="shared" si="19"/>
        <v>0</v>
      </c>
      <c r="AO117" s="49">
        <f t="shared" si="20"/>
        <v>0</v>
      </c>
      <c r="AP117" s="49">
        <f t="shared" si="21"/>
        <v>0</v>
      </c>
      <c r="AQ117" s="49">
        <f t="shared" si="22"/>
        <v>0</v>
      </c>
      <c r="AR117" s="49">
        <f t="shared" si="23"/>
        <v>0</v>
      </c>
      <c r="AT117" s="49">
        <f t="shared" si="24"/>
        <v>0</v>
      </c>
      <c r="AU117" s="49">
        <f t="shared" si="25"/>
        <v>0</v>
      </c>
      <c r="AV117" s="49">
        <f t="shared" si="26"/>
        <v>0</v>
      </c>
      <c r="AW117" s="49">
        <f t="shared" si="27"/>
        <v>0</v>
      </c>
      <c r="AX117" s="49">
        <f t="shared" si="28"/>
        <v>0</v>
      </c>
      <c r="AZ117" s="53">
        <f t="shared" si="29"/>
        <v>0</v>
      </c>
      <c r="BA117" s="53">
        <f t="shared" si="30"/>
        <v>0</v>
      </c>
      <c r="BB117" s="53">
        <f t="shared" si="31"/>
        <v>0</v>
      </c>
      <c r="BC117" s="53">
        <f t="shared" si="32"/>
        <v>0</v>
      </c>
      <c r="BD117" s="53">
        <f t="shared" si="33"/>
        <v>0</v>
      </c>
    </row>
    <row r="118" spans="2:56">
      <c r="B118" s="43">
        <f>'3. Input (des)investeringen '!B142</f>
        <v>1646</v>
      </c>
      <c r="C118" s="54"/>
      <c r="D118" s="54"/>
      <c r="E118" s="54"/>
      <c r="F118" s="48">
        <f>'3. Input (des)investeringen '!D142</f>
        <v>5010922.5637233881</v>
      </c>
      <c r="G118" s="54"/>
      <c r="H118" s="43">
        <f>'3. Input (des)investeringen '!F142</f>
        <v>2026</v>
      </c>
      <c r="I118" s="48" t="str">
        <f>'3. Input (des)investeringen '!G142</f>
        <v>nvt</v>
      </c>
      <c r="J118" s="48">
        <f>'3. Input (des)investeringen '!H142</f>
        <v>15</v>
      </c>
      <c r="K118" s="48">
        <f>'3. Input (des)investeringen '!I142</f>
        <v>0</v>
      </c>
      <c r="M118" s="49">
        <f t="shared" si="6"/>
        <v>0</v>
      </c>
      <c r="N118" s="49">
        <f t="shared" si="7"/>
        <v>0</v>
      </c>
      <c r="P118" s="147">
        <f t="shared" si="8"/>
        <v>0</v>
      </c>
      <c r="Q118" s="147">
        <f t="shared" si="9"/>
        <v>0</v>
      </c>
      <c r="S118" s="49">
        <f t="shared" si="10"/>
        <v>0</v>
      </c>
      <c r="T118" s="44">
        <f t="shared" si="11"/>
        <v>15</v>
      </c>
      <c r="V118" s="49">
        <f t="shared" si="34"/>
        <v>0</v>
      </c>
      <c r="W118" s="49">
        <f t="shared" si="34"/>
        <v>0</v>
      </c>
      <c r="X118" s="49">
        <f t="shared" si="34"/>
        <v>0</v>
      </c>
      <c r="Y118" s="49">
        <f t="shared" si="34"/>
        <v>0</v>
      </c>
      <c r="Z118" s="49">
        <f t="shared" si="34"/>
        <v>0</v>
      </c>
      <c r="AB118" s="49">
        <f t="shared" si="35"/>
        <v>0</v>
      </c>
      <c r="AC118" s="49">
        <f t="shared" si="35"/>
        <v>0</v>
      </c>
      <c r="AD118" s="49">
        <f t="shared" si="35"/>
        <v>0</v>
      </c>
      <c r="AE118" s="49">
        <f t="shared" si="35"/>
        <v>0</v>
      </c>
      <c r="AF118" s="49">
        <f t="shared" si="35"/>
        <v>0</v>
      </c>
      <c r="AH118" s="49">
        <f t="shared" si="14"/>
        <v>0</v>
      </c>
      <c r="AI118" s="49">
        <f t="shared" si="15"/>
        <v>0</v>
      </c>
      <c r="AJ118" s="49">
        <f t="shared" si="16"/>
        <v>0</v>
      </c>
      <c r="AK118" s="49">
        <f t="shared" si="17"/>
        <v>0</v>
      </c>
      <c r="AL118" s="49">
        <f t="shared" si="18"/>
        <v>0</v>
      </c>
      <c r="AN118" s="49">
        <f t="shared" si="19"/>
        <v>0</v>
      </c>
      <c r="AO118" s="49">
        <f t="shared" si="20"/>
        <v>0</v>
      </c>
      <c r="AP118" s="49">
        <f t="shared" si="21"/>
        <v>0</v>
      </c>
      <c r="AQ118" s="49">
        <f t="shared" si="22"/>
        <v>0</v>
      </c>
      <c r="AR118" s="49">
        <f t="shared" si="23"/>
        <v>0</v>
      </c>
      <c r="AT118" s="49">
        <f t="shared" si="24"/>
        <v>0</v>
      </c>
      <c r="AU118" s="49">
        <f t="shared" si="25"/>
        <v>0</v>
      </c>
      <c r="AV118" s="49">
        <f t="shared" si="26"/>
        <v>0</v>
      </c>
      <c r="AW118" s="49">
        <f t="shared" si="27"/>
        <v>0</v>
      </c>
      <c r="AX118" s="49">
        <f t="shared" si="28"/>
        <v>0</v>
      </c>
      <c r="AZ118" s="53">
        <f t="shared" si="29"/>
        <v>0</v>
      </c>
      <c r="BA118" s="53">
        <f t="shared" si="30"/>
        <v>0</v>
      </c>
      <c r="BB118" s="53">
        <f t="shared" si="31"/>
        <v>0</v>
      </c>
      <c r="BC118" s="53">
        <f t="shared" si="32"/>
        <v>0</v>
      </c>
      <c r="BD118" s="53">
        <f t="shared" si="33"/>
        <v>0</v>
      </c>
    </row>
    <row r="119" spans="2:56">
      <c r="B119" s="43">
        <f>'3. Input (des)investeringen '!B143</f>
        <v>1647</v>
      </c>
      <c r="C119" s="54"/>
      <c r="D119" s="54"/>
      <c r="E119" s="54"/>
      <c r="F119" s="48">
        <f>'3. Input (des)investeringen '!D143</f>
        <v>28421124.056846563</v>
      </c>
      <c r="G119" s="54"/>
      <c r="H119" s="43">
        <f>'3. Input (des)investeringen '!F143</f>
        <v>2026</v>
      </c>
      <c r="I119" s="48" t="str">
        <f>'3. Input (des)investeringen '!G143</f>
        <v>nvt</v>
      </c>
      <c r="J119" s="48">
        <f>'3. Input (des)investeringen '!H143</f>
        <v>30</v>
      </c>
      <c r="K119" s="48">
        <f>'3. Input (des)investeringen '!I143</f>
        <v>0</v>
      </c>
      <c r="M119" s="49">
        <f t="shared" si="6"/>
        <v>0</v>
      </c>
      <c r="N119" s="49">
        <f t="shared" si="7"/>
        <v>0</v>
      </c>
      <c r="P119" s="147">
        <f t="shared" si="8"/>
        <v>0</v>
      </c>
      <c r="Q119" s="147">
        <f t="shared" si="9"/>
        <v>0</v>
      </c>
      <c r="S119" s="49">
        <f t="shared" si="10"/>
        <v>0</v>
      </c>
      <c r="T119" s="44">
        <f t="shared" si="11"/>
        <v>30</v>
      </c>
      <c r="V119" s="49">
        <f t="shared" si="34"/>
        <v>0</v>
      </c>
      <c r="W119" s="49">
        <f t="shared" si="34"/>
        <v>0</v>
      </c>
      <c r="X119" s="49">
        <f t="shared" si="34"/>
        <v>0</v>
      </c>
      <c r="Y119" s="49">
        <f t="shared" si="34"/>
        <v>0</v>
      </c>
      <c r="Z119" s="49">
        <f t="shared" si="34"/>
        <v>0</v>
      </c>
      <c r="AB119" s="49">
        <f t="shared" si="35"/>
        <v>0</v>
      </c>
      <c r="AC119" s="49">
        <f t="shared" si="35"/>
        <v>0</v>
      </c>
      <c r="AD119" s="49">
        <f t="shared" si="35"/>
        <v>0</v>
      </c>
      <c r="AE119" s="49">
        <f t="shared" si="35"/>
        <v>0</v>
      </c>
      <c r="AF119" s="49">
        <f t="shared" si="35"/>
        <v>0</v>
      </c>
      <c r="AH119" s="49">
        <f t="shared" si="14"/>
        <v>0</v>
      </c>
      <c r="AI119" s="49">
        <f t="shared" si="15"/>
        <v>0</v>
      </c>
      <c r="AJ119" s="49">
        <f t="shared" si="16"/>
        <v>0</v>
      </c>
      <c r="AK119" s="49">
        <f t="shared" si="17"/>
        <v>0</v>
      </c>
      <c r="AL119" s="49">
        <f t="shared" si="18"/>
        <v>0</v>
      </c>
      <c r="AN119" s="49">
        <f t="shared" si="19"/>
        <v>0</v>
      </c>
      <c r="AO119" s="49">
        <f t="shared" si="20"/>
        <v>0</v>
      </c>
      <c r="AP119" s="49">
        <f t="shared" si="21"/>
        <v>0</v>
      </c>
      <c r="AQ119" s="49">
        <f t="shared" si="22"/>
        <v>0</v>
      </c>
      <c r="AR119" s="49">
        <f t="shared" si="23"/>
        <v>0</v>
      </c>
      <c r="AT119" s="49">
        <f t="shared" si="24"/>
        <v>0</v>
      </c>
      <c r="AU119" s="49">
        <f t="shared" si="25"/>
        <v>0</v>
      </c>
      <c r="AV119" s="49">
        <f t="shared" si="26"/>
        <v>0</v>
      </c>
      <c r="AW119" s="49">
        <f t="shared" si="27"/>
        <v>0</v>
      </c>
      <c r="AX119" s="49">
        <f t="shared" si="28"/>
        <v>0</v>
      </c>
      <c r="AZ119" s="53">
        <f t="shared" si="29"/>
        <v>0</v>
      </c>
      <c r="BA119" s="53">
        <f t="shared" si="30"/>
        <v>0</v>
      </c>
      <c r="BB119" s="53">
        <f t="shared" si="31"/>
        <v>0</v>
      </c>
      <c r="BC119" s="53">
        <f t="shared" si="32"/>
        <v>0</v>
      </c>
      <c r="BD119" s="53">
        <f t="shared" si="33"/>
        <v>0</v>
      </c>
    </row>
    <row r="120" spans="2:56">
      <c r="B120" s="43">
        <f>'3. Input (des)investeringen '!B144</f>
        <v>1648</v>
      </c>
      <c r="C120" s="54"/>
      <c r="D120" s="54"/>
      <c r="E120" s="54"/>
      <c r="F120" s="48">
        <f>'3. Input (des)investeringen '!D144</f>
        <v>40148.872615293018</v>
      </c>
      <c r="G120" s="54"/>
      <c r="H120" s="43">
        <f>'3. Input (des)investeringen '!F144</f>
        <v>2026</v>
      </c>
      <c r="I120" s="48" t="str">
        <f>'3. Input (des)investeringen '!G144</f>
        <v>nvt</v>
      </c>
      <c r="J120" s="48">
        <f>'3. Input (des)investeringen '!H144</f>
        <v>55</v>
      </c>
      <c r="K120" s="48">
        <f>'3. Input (des)investeringen '!I144</f>
        <v>0</v>
      </c>
      <c r="M120" s="49">
        <f t="shared" si="6"/>
        <v>0</v>
      </c>
      <c r="N120" s="49">
        <f t="shared" si="7"/>
        <v>0</v>
      </c>
      <c r="P120" s="147">
        <f t="shared" si="8"/>
        <v>0</v>
      </c>
      <c r="Q120" s="147">
        <f t="shared" si="9"/>
        <v>0</v>
      </c>
      <c r="S120" s="49">
        <f t="shared" si="10"/>
        <v>0</v>
      </c>
      <c r="T120" s="44">
        <f t="shared" si="11"/>
        <v>55</v>
      </c>
      <c r="V120" s="49">
        <f t="shared" si="34"/>
        <v>0</v>
      </c>
      <c r="W120" s="49">
        <f t="shared" si="34"/>
        <v>0</v>
      </c>
      <c r="X120" s="49">
        <f t="shared" si="34"/>
        <v>0</v>
      </c>
      <c r="Y120" s="49">
        <f t="shared" si="34"/>
        <v>0</v>
      </c>
      <c r="Z120" s="49">
        <f t="shared" si="34"/>
        <v>0</v>
      </c>
      <c r="AB120" s="49">
        <f t="shared" si="35"/>
        <v>0</v>
      </c>
      <c r="AC120" s="49">
        <f t="shared" si="35"/>
        <v>0</v>
      </c>
      <c r="AD120" s="49">
        <f t="shared" si="35"/>
        <v>0</v>
      </c>
      <c r="AE120" s="49">
        <f t="shared" si="35"/>
        <v>0</v>
      </c>
      <c r="AF120" s="49">
        <f t="shared" si="35"/>
        <v>0</v>
      </c>
      <c r="AH120" s="49">
        <f t="shared" si="14"/>
        <v>0</v>
      </c>
      <c r="AI120" s="49">
        <f t="shared" si="15"/>
        <v>0</v>
      </c>
      <c r="AJ120" s="49">
        <f t="shared" si="16"/>
        <v>0</v>
      </c>
      <c r="AK120" s="49">
        <f t="shared" si="17"/>
        <v>0</v>
      </c>
      <c r="AL120" s="49">
        <f t="shared" si="18"/>
        <v>0</v>
      </c>
      <c r="AN120" s="49">
        <f t="shared" si="19"/>
        <v>0</v>
      </c>
      <c r="AO120" s="49">
        <f t="shared" si="20"/>
        <v>0</v>
      </c>
      <c r="AP120" s="49">
        <f t="shared" si="21"/>
        <v>0</v>
      </c>
      <c r="AQ120" s="49">
        <f t="shared" si="22"/>
        <v>0</v>
      </c>
      <c r="AR120" s="49">
        <f t="shared" si="23"/>
        <v>0</v>
      </c>
      <c r="AT120" s="49">
        <f t="shared" si="24"/>
        <v>0</v>
      </c>
      <c r="AU120" s="49">
        <f t="shared" si="25"/>
        <v>0</v>
      </c>
      <c r="AV120" s="49">
        <f t="shared" si="26"/>
        <v>0</v>
      </c>
      <c r="AW120" s="49">
        <f t="shared" si="27"/>
        <v>0</v>
      </c>
      <c r="AX120" s="49">
        <f t="shared" si="28"/>
        <v>0</v>
      </c>
      <c r="AZ120" s="53">
        <f t="shared" si="29"/>
        <v>0</v>
      </c>
      <c r="BA120" s="53">
        <f t="shared" si="30"/>
        <v>0</v>
      </c>
      <c r="BB120" s="53">
        <f t="shared" si="31"/>
        <v>0</v>
      </c>
      <c r="BC120" s="53">
        <f t="shared" si="32"/>
        <v>0</v>
      </c>
      <c r="BD120" s="53">
        <f t="shared" si="33"/>
        <v>0</v>
      </c>
    </row>
    <row r="121" spans="2:56">
      <c r="B121" s="43">
        <f>'3. Input (des)investeringen '!B145</f>
        <v>1652</v>
      </c>
      <c r="C121" s="54"/>
      <c r="D121" s="54"/>
      <c r="E121" s="54"/>
      <c r="F121" s="48">
        <f>'3. Input (des)investeringen '!D145</f>
        <v>8094567.3314780593</v>
      </c>
      <c r="G121" s="54"/>
      <c r="H121" s="43">
        <f>'3. Input (des)investeringen '!F145</f>
        <v>2026</v>
      </c>
      <c r="I121" s="48" t="str">
        <f>'3. Input (des)investeringen '!G145</f>
        <v>nvt</v>
      </c>
      <c r="J121" s="48">
        <f>'3. Input (des)investeringen '!H145</f>
        <v>15</v>
      </c>
      <c r="K121" s="48">
        <f>'3. Input (des)investeringen '!I145</f>
        <v>0</v>
      </c>
      <c r="M121" s="49">
        <f t="shared" si="6"/>
        <v>0</v>
      </c>
      <c r="N121" s="49">
        <f t="shared" si="7"/>
        <v>0</v>
      </c>
      <c r="P121" s="147">
        <f t="shared" si="8"/>
        <v>0</v>
      </c>
      <c r="Q121" s="147">
        <f t="shared" si="9"/>
        <v>0</v>
      </c>
      <c r="S121" s="49">
        <f t="shared" si="10"/>
        <v>0</v>
      </c>
      <c r="T121" s="44">
        <f t="shared" si="11"/>
        <v>15</v>
      </c>
      <c r="V121" s="49">
        <f t="shared" si="34"/>
        <v>0</v>
      </c>
      <c r="W121" s="49">
        <f t="shared" si="34"/>
        <v>0</v>
      </c>
      <c r="X121" s="49">
        <f t="shared" si="34"/>
        <v>0</v>
      </c>
      <c r="Y121" s="49">
        <f t="shared" si="34"/>
        <v>0</v>
      </c>
      <c r="Z121" s="49">
        <f t="shared" si="34"/>
        <v>0</v>
      </c>
      <c r="AB121" s="49">
        <f t="shared" si="35"/>
        <v>0</v>
      </c>
      <c r="AC121" s="49">
        <f t="shared" si="35"/>
        <v>0</v>
      </c>
      <c r="AD121" s="49">
        <f t="shared" si="35"/>
        <v>0</v>
      </c>
      <c r="AE121" s="49">
        <f t="shared" si="35"/>
        <v>0</v>
      </c>
      <c r="AF121" s="49">
        <f t="shared" si="35"/>
        <v>0</v>
      </c>
      <c r="AH121" s="49">
        <f t="shared" si="14"/>
        <v>0</v>
      </c>
      <c r="AI121" s="49">
        <f t="shared" si="15"/>
        <v>0</v>
      </c>
      <c r="AJ121" s="49">
        <f t="shared" si="16"/>
        <v>0</v>
      </c>
      <c r="AK121" s="49">
        <f t="shared" si="17"/>
        <v>0</v>
      </c>
      <c r="AL121" s="49">
        <f t="shared" si="18"/>
        <v>0</v>
      </c>
      <c r="AN121" s="49">
        <f t="shared" si="19"/>
        <v>0</v>
      </c>
      <c r="AO121" s="49">
        <f t="shared" si="20"/>
        <v>0</v>
      </c>
      <c r="AP121" s="49">
        <f t="shared" si="21"/>
        <v>0</v>
      </c>
      <c r="AQ121" s="49">
        <f t="shared" si="22"/>
        <v>0</v>
      </c>
      <c r="AR121" s="49">
        <f t="shared" si="23"/>
        <v>0</v>
      </c>
      <c r="AT121" s="49">
        <f t="shared" si="24"/>
        <v>0</v>
      </c>
      <c r="AU121" s="49">
        <f t="shared" si="25"/>
        <v>0</v>
      </c>
      <c r="AV121" s="49">
        <f t="shared" si="26"/>
        <v>0</v>
      </c>
      <c r="AW121" s="49">
        <f t="shared" si="27"/>
        <v>0</v>
      </c>
      <c r="AX121" s="49">
        <f t="shared" si="28"/>
        <v>0</v>
      </c>
      <c r="AZ121" s="53">
        <f t="shared" si="29"/>
        <v>0</v>
      </c>
      <c r="BA121" s="53">
        <f t="shared" si="30"/>
        <v>0</v>
      </c>
      <c r="BB121" s="53">
        <f t="shared" si="31"/>
        <v>0</v>
      </c>
      <c r="BC121" s="53">
        <f t="shared" si="32"/>
        <v>0</v>
      </c>
      <c r="BD121" s="53">
        <f t="shared" si="33"/>
        <v>0</v>
      </c>
    </row>
    <row r="122" spans="2:56">
      <c r="B122" s="43">
        <f>'3. Input (des)investeringen '!B146</f>
        <v>1653</v>
      </c>
      <c r="C122" s="54"/>
      <c r="D122" s="54"/>
      <c r="E122" s="54"/>
      <c r="F122" s="48">
        <f>'3. Input (des)investeringen '!D146</f>
        <v>8031503.8978528045</v>
      </c>
      <c r="G122" s="54"/>
      <c r="H122" s="43">
        <f>'3. Input (des)investeringen '!F146</f>
        <v>2026</v>
      </c>
      <c r="I122" s="48" t="str">
        <f>'3. Input (des)investeringen '!G146</f>
        <v>nvt</v>
      </c>
      <c r="J122" s="48">
        <f>'3. Input (des)investeringen '!H146</f>
        <v>30</v>
      </c>
      <c r="K122" s="48">
        <f>'3. Input (des)investeringen '!I146</f>
        <v>0</v>
      </c>
      <c r="M122" s="49">
        <f t="shared" si="6"/>
        <v>0</v>
      </c>
      <c r="N122" s="49">
        <f t="shared" si="7"/>
        <v>0</v>
      </c>
      <c r="P122" s="147">
        <f t="shared" si="8"/>
        <v>0</v>
      </c>
      <c r="Q122" s="147">
        <f t="shared" si="9"/>
        <v>0</v>
      </c>
      <c r="S122" s="49">
        <f t="shared" si="10"/>
        <v>0</v>
      </c>
      <c r="T122" s="44">
        <f t="shared" si="11"/>
        <v>30</v>
      </c>
      <c r="V122" s="49">
        <f t="shared" si="34"/>
        <v>0</v>
      </c>
      <c r="W122" s="49">
        <f t="shared" si="34"/>
        <v>0</v>
      </c>
      <c r="X122" s="49">
        <f t="shared" si="34"/>
        <v>0</v>
      </c>
      <c r="Y122" s="49">
        <f t="shared" si="34"/>
        <v>0</v>
      </c>
      <c r="Z122" s="49">
        <f t="shared" si="34"/>
        <v>0</v>
      </c>
      <c r="AB122" s="49">
        <f t="shared" si="35"/>
        <v>0</v>
      </c>
      <c r="AC122" s="49">
        <f t="shared" si="35"/>
        <v>0</v>
      </c>
      <c r="AD122" s="49">
        <f t="shared" si="35"/>
        <v>0</v>
      </c>
      <c r="AE122" s="49">
        <f t="shared" si="35"/>
        <v>0</v>
      </c>
      <c r="AF122" s="49">
        <f t="shared" si="35"/>
        <v>0</v>
      </c>
      <c r="AH122" s="49">
        <f t="shared" si="14"/>
        <v>0</v>
      </c>
      <c r="AI122" s="49">
        <f t="shared" si="15"/>
        <v>0</v>
      </c>
      <c r="AJ122" s="49">
        <f t="shared" si="16"/>
        <v>0</v>
      </c>
      <c r="AK122" s="49">
        <f t="shared" si="17"/>
        <v>0</v>
      </c>
      <c r="AL122" s="49">
        <f t="shared" si="18"/>
        <v>0</v>
      </c>
      <c r="AN122" s="49">
        <f t="shared" si="19"/>
        <v>0</v>
      </c>
      <c r="AO122" s="49">
        <f t="shared" si="20"/>
        <v>0</v>
      </c>
      <c r="AP122" s="49">
        <f t="shared" si="21"/>
        <v>0</v>
      </c>
      <c r="AQ122" s="49">
        <f t="shared" si="22"/>
        <v>0</v>
      </c>
      <c r="AR122" s="49">
        <f t="shared" si="23"/>
        <v>0</v>
      </c>
      <c r="AT122" s="49">
        <f t="shared" si="24"/>
        <v>0</v>
      </c>
      <c r="AU122" s="49">
        <f t="shared" si="25"/>
        <v>0</v>
      </c>
      <c r="AV122" s="49">
        <f t="shared" si="26"/>
        <v>0</v>
      </c>
      <c r="AW122" s="49">
        <f t="shared" si="27"/>
        <v>0</v>
      </c>
      <c r="AX122" s="49">
        <f t="shared" si="28"/>
        <v>0</v>
      </c>
      <c r="AZ122" s="53">
        <f t="shared" si="29"/>
        <v>0</v>
      </c>
      <c r="BA122" s="53">
        <f t="shared" si="30"/>
        <v>0</v>
      </c>
      <c r="BB122" s="53">
        <f t="shared" si="31"/>
        <v>0</v>
      </c>
      <c r="BC122" s="53">
        <f t="shared" si="32"/>
        <v>0</v>
      </c>
      <c r="BD122" s="53">
        <f t="shared" si="33"/>
        <v>0</v>
      </c>
    </row>
    <row r="123" spans="2:56">
      <c r="B123" s="43">
        <f>'3. Input (des)investeringen '!B147</f>
        <v>1654</v>
      </c>
      <c r="C123" s="54"/>
      <c r="D123" s="54"/>
      <c r="E123" s="54"/>
      <c r="F123" s="48">
        <f>'3. Input (des)investeringen '!D147</f>
        <v>0</v>
      </c>
      <c r="G123" s="54"/>
      <c r="H123" s="43">
        <f>'3. Input (des)investeringen '!F147</f>
        <v>2026</v>
      </c>
      <c r="I123" s="48" t="str">
        <f>'3. Input (des)investeringen '!G147</f>
        <v>nvt</v>
      </c>
      <c r="J123" s="48">
        <f>'3. Input (des)investeringen '!H147</f>
        <v>55</v>
      </c>
      <c r="K123" s="48">
        <f>'3. Input (des)investeringen '!I147</f>
        <v>0</v>
      </c>
      <c r="M123" s="49">
        <f t="shared" si="6"/>
        <v>0</v>
      </c>
      <c r="N123" s="49">
        <f t="shared" si="7"/>
        <v>0</v>
      </c>
      <c r="P123" s="147">
        <f t="shared" si="8"/>
        <v>0</v>
      </c>
      <c r="Q123" s="147">
        <f t="shared" si="9"/>
        <v>0</v>
      </c>
      <c r="S123" s="49">
        <f t="shared" si="10"/>
        <v>0</v>
      </c>
      <c r="T123" s="44">
        <f t="shared" si="11"/>
        <v>55</v>
      </c>
      <c r="V123" s="49">
        <f t="shared" si="34"/>
        <v>0</v>
      </c>
      <c r="W123" s="49">
        <f t="shared" si="34"/>
        <v>0</v>
      </c>
      <c r="X123" s="49">
        <f t="shared" si="34"/>
        <v>0</v>
      </c>
      <c r="Y123" s="49">
        <f t="shared" si="34"/>
        <v>0</v>
      </c>
      <c r="Z123" s="49">
        <f t="shared" si="34"/>
        <v>0</v>
      </c>
      <c r="AB123" s="49">
        <f t="shared" si="35"/>
        <v>0</v>
      </c>
      <c r="AC123" s="49">
        <f t="shared" si="35"/>
        <v>0</v>
      </c>
      <c r="AD123" s="49">
        <f t="shared" si="35"/>
        <v>0</v>
      </c>
      <c r="AE123" s="49">
        <f t="shared" si="35"/>
        <v>0</v>
      </c>
      <c r="AF123" s="49">
        <f t="shared" si="35"/>
        <v>0</v>
      </c>
      <c r="AH123" s="49">
        <f t="shared" si="14"/>
        <v>0</v>
      </c>
      <c r="AI123" s="49">
        <f t="shared" si="15"/>
        <v>0</v>
      </c>
      <c r="AJ123" s="49">
        <f t="shared" si="16"/>
        <v>0</v>
      </c>
      <c r="AK123" s="49">
        <f t="shared" si="17"/>
        <v>0</v>
      </c>
      <c r="AL123" s="49">
        <f t="shared" si="18"/>
        <v>0</v>
      </c>
      <c r="AN123" s="49">
        <f t="shared" si="19"/>
        <v>0</v>
      </c>
      <c r="AO123" s="49">
        <f t="shared" si="20"/>
        <v>0</v>
      </c>
      <c r="AP123" s="49">
        <f t="shared" si="21"/>
        <v>0</v>
      </c>
      <c r="AQ123" s="49">
        <f t="shared" si="22"/>
        <v>0</v>
      </c>
      <c r="AR123" s="49">
        <f t="shared" si="23"/>
        <v>0</v>
      </c>
      <c r="AT123" s="49">
        <f t="shared" si="24"/>
        <v>0</v>
      </c>
      <c r="AU123" s="49">
        <f t="shared" si="25"/>
        <v>0</v>
      </c>
      <c r="AV123" s="49">
        <f t="shared" si="26"/>
        <v>0</v>
      </c>
      <c r="AW123" s="49">
        <f t="shared" si="27"/>
        <v>0</v>
      </c>
      <c r="AX123" s="49">
        <f t="shared" si="28"/>
        <v>0</v>
      </c>
      <c r="AZ123" s="53">
        <f t="shared" si="29"/>
        <v>0</v>
      </c>
      <c r="BA123" s="53">
        <f t="shared" si="30"/>
        <v>0</v>
      </c>
      <c r="BB123" s="53">
        <f t="shared" si="31"/>
        <v>0</v>
      </c>
      <c r="BC123" s="53">
        <f t="shared" si="32"/>
        <v>0</v>
      </c>
      <c r="BD123" s="53">
        <f t="shared" si="33"/>
        <v>0</v>
      </c>
    </row>
    <row r="124" spans="2:56">
      <c r="B124" s="43">
        <f>'3. Input (des)investeringen '!B148</f>
        <v>1655</v>
      </c>
      <c r="C124" s="54"/>
      <c r="D124" s="54"/>
      <c r="E124" s="54"/>
      <c r="F124" s="48">
        <f>'3. Input (des)investeringen '!D148</f>
        <v>1823110</v>
      </c>
      <c r="G124" s="54"/>
      <c r="H124" s="43">
        <f>'3. Input (des)investeringen '!F148</f>
        <v>2020</v>
      </c>
      <c r="I124" s="48" t="str">
        <f>'3. Input (des)investeringen '!G148</f>
        <v>01 Regionale leidingen</v>
      </c>
      <c r="J124" s="48">
        <f>'3. Input (des)investeringen '!H148</f>
        <v>55</v>
      </c>
      <c r="K124" s="48">
        <f>'3. Input (des)investeringen '!I148</f>
        <v>1</v>
      </c>
      <c r="M124" s="49">
        <f t="shared" si="6"/>
        <v>16573.727272727272</v>
      </c>
      <c r="N124" s="49">
        <f t="shared" si="7"/>
        <v>33677.813818181814</v>
      </c>
      <c r="P124" s="147">
        <f t="shared" si="8"/>
        <v>1806536.2727272727</v>
      </c>
      <c r="Q124" s="147">
        <f t="shared" si="9"/>
        <v>1801763.0392727272</v>
      </c>
      <c r="S124" s="49">
        <f t="shared" si="10"/>
        <v>1801763.0392727272</v>
      </c>
      <c r="T124" s="44">
        <f t="shared" si="11"/>
        <v>53.5</v>
      </c>
      <c r="V124" s="49">
        <f t="shared" si="34"/>
        <v>39403.042167272724</v>
      </c>
      <c r="W124" s="49">
        <f t="shared" si="34"/>
        <v>38445.585067881053</v>
      </c>
      <c r="X124" s="49">
        <f t="shared" si="34"/>
        <v>37511.393281184879</v>
      </c>
      <c r="Y124" s="49">
        <f t="shared" si="34"/>
        <v>36599.901481828987</v>
      </c>
      <c r="Z124" s="49">
        <f t="shared" si="34"/>
        <v>35710.558081335948</v>
      </c>
      <c r="AB124" s="49">
        <f t="shared" si="35"/>
        <v>3367.7813818181821</v>
      </c>
      <c r="AC124" s="49">
        <f t="shared" si="35"/>
        <v>3367.7813818181821</v>
      </c>
      <c r="AD124" s="49">
        <f t="shared" si="35"/>
        <v>3367.7813818181821</v>
      </c>
      <c r="AE124" s="49">
        <f t="shared" si="35"/>
        <v>3367.7813818181821</v>
      </c>
      <c r="AF124" s="49">
        <f t="shared" si="35"/>
        <v>3367.7813818181821</v>
      </c>
      <c r="AH124" s="49">
        <f t="shared" si="14"/>
        <v>42770.823549090906</v>
      </c>
      <c r="AI124" s="49">
        <f t="shared" si="15"/>
        <v>41813.366449699235</v>
      </c>
      <c r="AJ124" s="49">
        <f t="shared" si="16"/>
        <v>40879.174663003061</v>
      </c>
      <c r="AK124" s="49">
        <f t="shared" si="17"/>
        <v>39967.682863647169</v>
      </c>
      <c r="AL124" s="49">
        <f t="shared" si="18"/>
        <v>39078.33946315413</v>
      </c>
      <c r="AN124" s="49">
        <f t="shared" si="19"/>
        <v>1758992.2157236363</v>
      </c>
      <c r="AO124" s="49">
        <f t="shared" si="20"/>
        <v>1717178.8492739371</v>
      </c>
      <c r="AP124" s="49">
        <f t="shared" si="21"/>
        <v>1676299.674610934</v>
      </c>
      <c r="AQ124" s="49">
        <f t="shared" si="22"/>
        <v>1636331.9917472869</v>
      </c>
      <c r="AR124" s="49">
        <f t="shared" si="23"/>
        <v>1597253.6522841328</v>
      </c>
      <c r="AT124" s="49">
        <f t="shared" si="24"/>
        <v>18762.00234184783</v>
      </c>
      <c r="AU124" s="49">
        <f t="shared" si="25"/>
        <v>19845.545501094224</v>
      </c>
      <c r="AV124" s="49">
        <f t="shared" si="26"/>
        <v>21347.456384617039</v>
      </c>
      <c r="AW124" s="49">
        <f t="shared" si="27"/>
        <v>21623.521690582907</v>
      </c>
      <c r="AX124" s="49">
        <f t="shared" si="28"/>
        <v>21903.157073085524</v>
      </c>
      <c r="AZ124" s="53">
        <f t="shared" si="29"/>
        <v>108749.70474993407</v>
      </c>
      <c r="BA124" s="53">
        <f t="shared" si="30"/>
        <v>106044.29795098385</v>
      </c>
      <c r="BB124" s="53">
        <f t="shared" si="31"/>
        <v>105427.1371449334</v>
      </c>
      <c r="BC124" s="53">
        <f t="shared" si="32"/>
        <v>103708.25095532983</v>
      </c>
      <c r="BD124" s="53">
        <f t="shared" si="33"/>
        <v>102038.46242016353</v>
      </c>
    </row>
    <row r="125" spans="2:56">
      <c r="B125" s="43">
        <f>'3. Input (des)investeringen '!B149</f>
        <v>1656</v>
      </c>
      <c r="C125" s="54"/>
      <c r="D125" s="54"/>
      <c r="E125" s="54"/>
      <c r="F125" s="48">
        <f>'3. Input (des)investeringen '!D149</f>
        <v>1850427.4802399999</v>
      </c>
      <c r="G125" s="54"/>
      <c r="H125" s="43">
        <f>'3. Input (des)investeringen '!F149</f>
        <v>2021</v>
      </c>
      <c r="I125" s="48" t="str">
        <f>'3. Input (des)investeringen '!G149</f>
        <v>01 Regionale leidingen</v>
      </c>
      <c r="J125" s="48">
        <f>'3. Input (des)investeringen '!H149</f>
        <v>55</v>
      </c>
      <c r="K125" s="48">
        <f>'3. Input (des)investeringen '!I149</f>
        <v>1</v>
      </c>
      <c r="M125" s="49">
        <f t="shared" si="6"/>
        <v>0</v>
      </c>
      <c r="N125" s="49">
        <f t="shared" si="7"/>
        <v>16822.068002181819</v>
      </c>
      <c r="P125" s="147">
        <f t="shared" si="8"/>
        <v>0</v>
      </c>
      <c r="Q125" s="147">
        <f t="shared" si="9"/>
        <v>1833605.4122378181</v>
      </c>
      <c r="S125" s="49">
        <f t="shared" si="10"/>
        <v>1833605.4122378181</v>
      </c>
      <c r="T125" s="44">
        <f t="shared" si="11"/>
        <v>54.5</v>
      </c>
      <c r="V125" s="49">
        <f t="shared" si="34"/>
        <v>39363.639125105452</v>
      </c>
      <c r="W125" s="49">
        <f t="shared" si="34"/>
        <v>38424.689934965325</v>
      </c>
      <c r="X125" s="49">
        <f t="shared" si="34"/>
        <v>37508.137697984501</v>
      </c>
      <c r="Y125" s="49">
        <f t="shared" si="34"/>
        <v>36613.448174913312</v>
      </c>
      <c r="Z125" s="49">
        <f t="shared" si="34"/>
        <v>35740.099869823636</v>
      </c>
      <c r="AB125" s="49">
        <f t="shared" si="35"/>
        <v>3364.413600436364</v>
      </c>
      <c r="AC125" s="49">
        <f t="shared" si="35"/>
        <v>3364.413600436364</v>
      </c>
      <c r="AD125" s="49">
        <f t="shared" si="35"/>
        <v>3364.413600436364</v>
      </c>
      <c r="AE125" s="49">
        <f t="shared" si="35"/>
        <v>3364.413600436364</v>
      </c>
      <c r="AF125" s="49">
        <f t="shared" si="35"/>
        <v>3364.413600436364</v>
      </c>
      <c r="AH125" s="49">
        <f t="shared" si="14"/>
        <v>42728.052725541813</v>
      </c>
      <c r="AI125" s="49">
        <f t="shared" si="15"/>
        <v>41789.103535401686</v>
      </c>
      <c r="AJ125" s="49">
        <f t="shared" si="16"/>
        <v>40872.551298420862</v>
      </c>
      <c r="AK125" s="49">
        <f t="shared" si="17"/>
        <v>39977.861775349673</v>
      </c>
      <c r="AL125" s="49">
        <f t="shared" si="18"/>
        <v>39104.513470259997</v>
      </c>
      <c r="AN125" s="49">
        <f t="shared" si="19"/>
        <v>1790877.3595122762</v>
      </c>
      <c r="AO125" s="49">
        <f t="shared" si="20"/>
        <v>1749088.2559768746</v>
      </c>
      <c r="AP125" s="49">
        <f t="shared" si="21"/>
        <v>1708215.7046784537</v>
      </c>
      <c r="AQ125" s="49">
        <f t="shared" si="22"/>
        <v>1668237.8429031041</v>
      </c>
      <c r="AR125" s="49">
        <f t="shared" si="23"/>
        <v>1629133.3294328442</v>
      </c>
      <c r="AT125" s="49">
        <f t="shared" si="24"/>
        <v>18762.002341847827</v>
      </c>
      <c r="AU125" s="49">
        <f t="shared" si="25"/>
        <v>19845.545501094221</v>
      </c>
      <c r="AV125" s="49">
        <f t="shared" si="26"/>
        <v>21347.456384617035</v>
      </c>
      <c r="AW125" s="49">
        <f t="shared" si="27"/>
        <v>21623.5216905829</v>
      </c>
      <c r="AX125" s="49">
        <f t="shared" si="28"/>
        <v>21903.157073085513</v>
      </c>
      <c r="AZ125" s="53">
        <f t="shared" si="29"/>
        <v>109635.79625989718</v>
      </c>
      <c r="BA125" s="53">
        <f t="shared" si="30"/>
        <v>106918.53702270662</v>
      </c>
      <c r="BB125" s="53">
        <f t="shared" si="31"/>
        <v>106318.09065751784</v>
      </c>
      <c r="BC125" s="53">
        <f t="shared" si="32"/>
        <v>104614.66207158509</v>
      </c>
      <c r="BD125" s="53">
        <f t="shared" si="33"/>
        <v>102959.125189472</v>
      </c>
    </row>
    <row r="126" spans="2:56">
      <c r="B126" s="43">
        <f>'3. Input (des)investeringen '!B150</f>
        <v>1657</v>
      </c>
      <c r="C126" s="54"/>
      <c r="D126" s="54"/>
      <c r="E126" s="54"/>
      <c r="F126" s="48">
        <f>'3. Input (des)investeringen '!D150</f>
        <v>1874357.2084144636</v>
      </c>
      <c r="G126" s="54"/>
      <c r="H126" s="43">
        <f>'3. Input (des)investeringen '!F150</f>
        <v>2022</v>
      </c>
      <c r="I126" s="48" t="str">
        <f>'3. Input (des)investeringen '!G150</f>
        <v>01 Regionale leidingen</v>
      </c>
      <c r="J126" s="48">
        <f>'3. Input (des)investeringen '!H150</f>
        <v>55</v>
      </c>
      <c r="K126" s="48">
        <f>'3. Input (des)investeringen '!I150</f>
        <v>1</v>
      </c>
      <c r="M126" s="49">
        <f t="shared" ref="M126:M137" si="36">IF($J126=0, 0, IF($H126&lt;=M$59,
VDB($F126,0,$J126,MAX(0,M$59-$H126-0.5),MIN($J126,M$59-$H126+0.5),1)*INDEX(H$40:H$46,$H126-2019,1),
0))</f>
        <v>0</v>
      </c>
      <c r="N126" s="49">
        <f t="shared" ref="N126:N137" si="37">IF($J126=0, 0, IF($H126&lt;=N$59,
VDB($F126,0,$J126,MAX(0,N$59-$H126-0.5),MIN($J126,N$59-$H126+0.5),1)*INDEX(I$40:I$46,$H126-2019,1),
0))</f>
        <v>0</v>
      </c>
      <c r="P126" s="147">
        <f t="shared" ref="P126:P158" si="38">IF($J126=0,IF($H126=M$59,$F126,0),IF(OR($H126&gt;P$59,$H126+$J126&lt;=P$59),0,
F126-M126))</f>
        <v>0</v>
      </c>
      <c r="Q126" s="147">
        <f t="shared" ref="Q126:Q158" si="39">IF($J126=0,IF($H126=N$59,$F126,$P126*I$40),IF(OR($H126&gt;Q$59,$H126+$J126&lt;=Q$59),0,
IF($H126=Q$59,F126-N126,P126*I$40-N126)))</f>
        <v>0</v>
      </c>
      <c r="S126" s="49">
        <f t="shared" ref="S126:S158" si="40">IF($P126=0, IF(H126&lt;=2021, $Q126, IF(H126=2022, $F126,0)), IF(H126&lt;=2021,Q126,F126))</f>
        <v>1874357.2084144636</v>
      </c>
      <c r="T126" s="44">
        <f t="shared" ref="T126:T137" si="41">IF($J126=0, 0, IF(H126&lt;2022,J126-2021+H126-0.5,J126))</f>
        <v>55</v>
      </c>
      <c r="V126" s="49">
        <f t="shared" si="34"/>
        <v>19936.344853135655</v>
      </c>
      <c r="W126" s="49">
        <f t="shared" si="34"/>
        <v>39401.46700974265</v>
      </c>
      <c r="X126" s="49">
        <f t="shared" si="34"/>
        <v>38470.159607694186</v>
      </c>
      <c r="Y126" s="49">
        <f t="shared" si="34"/>
        <v>37560.864926057773</v>
      </c>
      <c r="Z126" s="49">
        <f t="shared" si="34"/>
        <v>36673.062664169134</v>
      </c>
      <c r="AB126" s="49">
        <f t="shared" si="35"/>
        <v>1703.9610985586035</v>
      </c>
      <c r="AC126" s="49">
        <f t="shared" si="35"/>
        <v>3407.9221971172069</v>
      </c>
      <c r="AD126" s="49">
        <f t="shared" si="35"/>
        <v>3407.9221971172069</v>
      </c>
      <c r="AE126" s="49">
        <f t="shared" si="35"/>
        <v>3407.9221971172069</v>
      </c>
      <c r="AF126" s="49">
        <f t="shared" si="35"/>
        <v>3407.9221971172069</v>
      </c>
      <c r="AH126" s="49">
        <f t="shared" ref="AH126:AH137" si="42">V126+AB126</f>
        <v>21640.305951694259</v>
      </c>
      <c r="AI126" s="49">
        <f t="shared" ref="AI126:AI137" si="43">W126+AC126</f>
        <v>42809.389206859858</v>
      </c>
      <c r="AJ126" s="49">
        <f t="shared" ref="AJ126:AJ137" si="44">X126+AD126</f>
        <v>41878.081804811394</v>
      </c>
      <c r="AK126" s="49">
        <f t="shared" ref="AK126:AK137" si="45">Y126+AE126</f>
        <v>40968.787123174981</v>
      </c>
      <c r="AL126" s="49">
        <f t="shared" ref="AL126:AL137" si="46">Z126+AF126</f>
        <v>40080.984861286342</v>
      </c>
      <c r="AN126" s="49">
        <f t="shared" ref="AN126:AN158" si="47">IF($J126=0, $S126, IF(OR($H126&gt;AN$59,$H126+$J126&lt;=AN$59),0,
IF($H126=AN$59,$S126-AH126,
S126-AH126)))</f>
        <v>1852716.9024627693</v>
      </c>
      <c r="AO126" s="49">
        <f t="shared" ref="AO126:AO158" si="48">IF($J126=0, IF($H126 &gt; AO$59, 0, IF($H126=AO$59, $F126, AN126)), IF(OR($H126&gt;AO$59,$H126+$J126&lt;=AO$59),0,
IF($H126=AO$59,$S126-AI126,
AN126-AI126)))</f>
        <v>1809907.5132559096</v>
      </c>
      <c r="AP126" s="49">
        <f t="shared" ref="AP126:AP158" si="49">IF($J126=0, IF($H126 &gt; AP$59, 0, IF($H126=AP$59, $F126, AO126)), IF(OR($H126&gt;AP$59,$H126+$J126&lt;=AP$59),0,
IF($H126=AP$59,$S126-AJ126,
AO126-AJ126)))</f>
        <v>1768029.4314510981</v>
      </c>
      <c r="AQ126" s="49">
        <f t="shared" ref="AQ126:AQ158" si="50">IF($J126=0, IF($H126 &gt; AQ$59, 0, IF($H126=AQ$59, $F126, AP126)), IF(OR($H126&gt;AQ$59,$H126+$J126&lt;=AQ$59),0,
IF($H126=AQ$59,$S126-AK126,
AP126-AK126)))</f>
        <v>1727060.6443279232</v>
      </c>
      <c r="AR126" s="49">
        <f t="shared" ref="AR126:AR158" si="51">IF($J126=0, IF($H126 &gt; AR$59, 0, IF($H126=AR$59, $F126, AQ126)), IF(OR($H126&gt;AR$59,$H126+$J126&lt;=AR$59),0,
IF($H126=AR$59,$S126-AL126,
AQ126-AL126)))</f>
        <v>1686979.6594666368</v>
      </c>
      <c r="AT126" s="49">
        <f t="shared" ref="AT126:AT137" si="52">IF(AH126&gt;0,$F126*INDEX($H$40:$N$46,$H126-2019,AT$59-2019)*INDEX($H$49:$N$55,$H126-2019,AT$59-2019)*$F$19,0)</f>
        <v>18743.572084144635</v>
      </c>
      <c r="AU126" s="49">
        <f t="shared" ref="AU126:AU137" si="53">IF(AI126&gt;0,$F126*INDEX($H$40:$N$46,$H126-2019,AU$59-2019)*INDEX($H$49:$N$55,$H126-2019,AU$59-2019)*$F$19,0)</f>
        <v>19826.050859148159</v>
      </c>
      <c r="AV126" s="49">
        <f t="shared" ref="AV126:AV137" si="54">IF(AJ126&gt;0,$F126*INDEX($H$40:$N$46,$H126-2019,AV$59-2019)*INDEX($H$49:$N$55,$H126-2019,AV$59-2019)*$F$19,0)</f>
        <v>21326.486388168494</v>
      </c>
      <c r="AW126" s="49">
        <f t="shared" ref="AW126:AW137" si="55">IF(AK126&gt;0,$F126*INDEX($H$40:$N$46,$H126-2019,AW$59-2019)*INDEX($H$49:$N$55,$H126-2019,AW$59-2019)*$F$19,0)</f>
        <v>21602.280510140285</v>
      </c>
      <c r="AX126" s="49">
        <f t="shared" ref="AX126:AX137" si="56">IF(AL126&gt;0,$F126*INDEX($H$40:$N$46,$H126-2019,AX$59-2019)*INDEX($H$49:$N$55,$H126-2019,AX$59-2019)*$F$19,0)</f>
        <v>21881.641201697421</v>
      </c>
      <c r="AZ126" s="53">
        <f t="shared" ref="AZ126:AZ137" si="57">(AH126+AN126*J$16+AT126)*IF($K126=1,$F$25,1)</f>
        <v>91655.561585417105</v>
      </c>
      <c r="BA126" s="53">
        <f t="shared" ref="BA126:BA137" si="58">(AI126+AO126*K$16+AU126)*IF($K126=1,$F$25,1)</f>
        <v>109565.90753947313</v>
      </c>
      <c r="BB126" s="53">
        <f t="shared" ref="BB126:BB137" si="59">(AJ126+AP126*L$16+AV126)*IF($K126=1,$F$25,1)</f>
        <v>108921.98771491252</v>
      </c>
      <c r="BC126" s="53">
        <f t="shared" ref="BC126:BC137" si="60">(AK126+AQ126*M$16+AW126)*IF($K126=1,$F$25,1)</f>
        <v>107176.76508447433</v>
      </c>
      <c r="BD126" s="53">
        <f t="shared" ref="BD126:BD137" si="61">(AL126+AR126*N$16+AX126)*IF($K126=1,$F$25,1)</f>
        <v>105479.97884862297</v>
      </c>
    </row>
    <row r="127" spans="2:56">
      <c r="B127" s="43">
        <f>'3. Input (des)investeringen '!B151</f>
        <v>1658</v>
      </c>
      <c r="C127" s="54"/>
      <c r="D127" s="54"/>
      <c r="E127" s="54"/>
      <c r="F127" s="48">
        <f>'3. Input (des)investeringen '!D151</f>
        <v>1898596.3958336795</v>
      </c>
      <c r="G127" s="54"/>
      <c r="H127" s="43">
        <f>'3. Input (des)investeringen '!F151</f>
        <v>2023</v>
      </c>
      <c r="I127" s="48" t="str">
        <f>'3. Input (des)investeringen '!G151</f>
        <v>01 Regionale leidingen</v>
      </c>
      <c r="J127" s="48">
        <f>'3. Input (des)investeringen '!H151</f>
        <v>55</v>
      </c>
      <c r="K127" s="48">
        <f>'3. Input (des)investeringen '!I151</f>
        <v>1</v>
      </c>
      <c r="M127" s="49">
        <f t="shared" si="36"/>
        <v>0</v>
      </c>
      <c r="N127" s="49">
        <f t="shared" si="37"/>
        <v>0</v>
      </c>
      <c r="P127" s="147">
        <f t="shared" si="38"/>
        <v>0</v>
      </c>
      <c r="Q127" s="147">
        <f t="shared" si="39"/>
        <v>0</v>
      </c>
      <c r="S127" s="49">
        <f t="shared" si="40"/>
        <v>0</v>
      </c>
      <c r="T127" s="44">
        <f t="shared" si="41"/>
        <v>55</v>
      </c>
      <c r="V127" s="49">
        <f t="shared" si="34"/>
        <v>0</v>
      </c>
      <c r="W127" s="49">
        <f t="shared" si="34"/>
        <v>0</v>
      </c>
      <c r="X127" s="49">
        <f t="shared" si="34"/>
        <v>0</v>
      </c>
      <c r="Y127" s="49">
        <f t="shared" si="34"/>
        <v>0</v>
      </c>
      <c r="Z127" s="49">
        <f t="shared" si="34"/>
        <v>0</v>
      </c>
      <c r="AB127" s="49">
        <f t="shared" si="35"/>
        <v>0</v>
      </c>
      <c r="AC127" s="49">
        <f t="shared" si="35"/>
        <v>0</v>
      </c>
      <c r="AD127" s="49">
        <f t="shared" si="35"/>
        <v>0</v>
      </c>
      <c r="AE127" s="49">
        <f t="shared" si="35"/>
        <v>0</v>
      </c>
      <c r="AF127" s="49">
        <f t="shared" si="35"/>
        <v>0</v>
      </c>
      <c r="AH127" s="49">
        <f t="shared" si="42"/>
        <v>0</v>
      </c>
      <c r="AI127" s="49">
        <f t="shared" si="43"/>
        <v>0</v>
      </c>
      <c r="AJ127" s="49">
        <f t="shared" si="44"/>
        <v>0</v>
      </c>
      <c r="AK127" s="49">
        <f t="shared" si="45"/>
        <v>0</v>
      </c>
      <c r="AL127" s="49">
        <f t="shared" si="46"/>
        <v>0</v>
      </c>
      <c r="AN127" s="49">
        <f t="shared" si="47"/>
        <v>0</v>
      </c>
      <c r="AO127" s="49">
        <f t="shared" si="48"/>
        <v>0</v>
      </c>
      <c r="AP127" s="49">
        <f t="shared" si="49"/>
        <v>0</v>
      </c>
      <c r="AQ127" s="49">
        <f t="shared" si="50"/>
        <v>0</v>
      </c>
      <c r="AR127" s="49">
        <f t="shared" si="51"/>
        <v>0</v>
      </c>
      <c r="AT127" s="49">
        <f t="shared" si="52"/>
        <v>0</v>
      </c>
      <c r="AU127" s="49">
        <f t="shared" si="53"/>
        <v>0</v>
      </c>
      <c r="AV127" s="49">
        <f t="shared" si="54"/>
        <v>0</v>
      </c>
      <c r="AW127" s="49">
        <f t="shared" si="55"/>
        <v>0</v>
      </c>
      <c r="AX127" s="49">
        <f t="shared" si="56"/>
        <v>0</v>
      </c>
      <c r="AZ127" s="53">
        <f t="shared" si="57"/>
        <v>0</v>
      </c>
      <c r="BA127" s="53">
        <f t="shared" si="58"/>
        <v>0</v>
      </c>
      <c r="BB127" s="53">
        <f t="shared" si="59"/>
        <v>0</v>
      </c>
      <c r="BC127" s="53">
        <f t="shared" si="60"/>
        <v>0</v>
      </c>
      <c r="BD127" s="53">
        <f t="shared" si="61"/>
        <v>0</v>
      </c>
    </row>
    <row r="128" spans="2:56">
      <c r="B128" s="43">
        <f>'3. Input (des)investeringen '!B152</f>
        <v>1659</v>
      </c>
      <c r="C128" s="54"/>
      <c r="D128" s="54"/>
      <c r="E128" s="54"/>
      <c r="F128" s="48">
        <f>'3. Input (des)investeringen '!D152</f>
        <v>1923149.0444246007</v>
      </c>
      <c r="G128" s="54"/>
      <c r="H128" s="43">
        <f>'3. Input (des)investeringen '!F152</f>
        <v>2024</v>
      </c>
      <c r="I128" s="48" t="str">
        <f>'3. Input (des)investeringen '!G152</f>
        <v>01 Regionale leidingen</v>
      </c>
      <c r="J128" s="48">
        <f>'3. Input (des)investeringen '!H152</f>
        <v>55</v>
      </c>
      <c r="K128" s="48">
        <f>'3. Input (des)investeringen '!I152</f>
        <v>1</v>
      </c>
      <c r="M128" s="49">
        <f t="shared" si="36"/>
        <v>0</v>
      </c>
      <c r="N128" s="49">
        <f t="shared" si="37"/>
        <v>0</v>
      </c>
      <c r="P128" s="147">
        <f t="shared" si="38"/>
        <v>0</v>
      </c>
      <c r="Q128" s="147">
        <f t="shared" si="39"/>
        <v>0</v>
      </c>
      <c r="S128" s="49">
        <f t="shared" si="40"/>
        <v>0</v>
      </c>
      <c r="T128" s="44">
        <f t="shared" si="41"/>
        <v>55</v>
      </c>
      <c r="V128" s="49">
        <f t="shared" si="34"/>
        <v>0</v>
      </c>
      <c r="W128" s="49">
        <f t="shared" si="34"/>
        <v>0</v>
      </c>
      <c r="X128" s="49">
        <f t="shared" si="34"/>
        <v>0</v>
      </c>
      <c r="Y128" s="49">
        <f t="shared" si="34"/>
        <v>0</v>
      </c>
      <c r="Z128" s="49">
        <f t="shared" si="34"/>
        <v>0</v>
      </c>
      <c r="AB128" s="49">
        <f t="shared" si="35"/>
        <v>0</v>
      </c>
      <c r="AC128" s="49">
        <f t="shared" si="35"/>
        <v>0</v>
      </c>
      <c r="AD128" s="49">
        <f t="shared" si="35"/>
        <v>0</v>
      </c>
      <c r="AE128" s="49">
        <f t="shared" si="35"/>
        <v>0</v>
      </c>
      <c r="AF128" s="49">
        <f t="shared" si="35"/>
        <v>0</v>
      </c>
      <c r="AH128" s="49">
        <f t="shared" si="42"/>
        <v>0</v>
      </c>
      <c r="AI128" s="49">
        <f t="shared" si="43"/>
        <v>0</v>
      </c>
      <c r="AJ128" s="49">
        <f t="shared" si="44"/>
        <v>0</v>
      </c>
      <c r="AK128" s="49">
        <f t="shared" si="45"/>
        <v>0</v>
      </c>
      <c r="AL128" s="49">
        <f t="shared" si="46"/>
        <v>0</v>
      </c>
      <c r="AN128" s="49">
        <f t="shared" si="47"/>
        <v>0</v>
      </c>
      <c r="AO128" s="49">
        <f t="shared" si="48"/>
        <v>0</v>
      </c>
      <c r="AP128" s="49">
        <f t="shared" si="49"/>
        <v>0</v>
      </c>
      <c r="AQ128" s="49">
        <f t="shared" si="50"/>
        <v>0</v>
      </c>
      <c r="AR128" s="49">
        <f t="shared" si="51"/>
        <v>0</v>
      </c>
      <c r="AT128" s="49">
        <f t="shared" si="52"/>
        <v>0</v>
      </c>
      <c r="AU128" s="49">
        <f t="shared" si="53"/>
        <v>0</v>
      </c>
      <c r="AV128" s="49">
        <f t="shared" si="54"/>
        <v>0</v>
      </c>
      <c r="AW128" s="49">
        <f t="shared" si="55"/>
        <v>0</v>
      </c>
      <c r="AX128" s="49">
        <f t="shared" si="56"/>
        <v>0</v>
      </c>
      <c r="AZ128" s="53">
        <f t="shared" si="57"/>
        <v>0</v>
      </c>
      <c r="BA128" s="53">
        <f t="shared" si="58"/>
        <v>0</v>
      </c>
      <c r="BB128" s="53">
        <f t="shared" si="59"/>
        <v>0</v>
      </c>
      <c r="BC128" s="53">
        <f t="shared" si="60"/>
        <v>0</v>
      </c>
      <c r="BD128" s="53">
        <f t="shared" si="61"/>
        <v>0</v>
      </c>
    </row>
    <row r="129" spans="2:56">
      <c r="B129" s="43">
        <f>'3. Input (des)investeringen '!B153</f>
        <v>1660</v>
      </c>
      <c r="C129" s="54"/>
      <c r="D129" s="54"/>
      <c r="E129" s="54"/>
      <c r="F129" s="48">
        <f>'3. Input (des)investeringen '!D153</f>
        <v>1948019.2078670992</v>
      </c>
      <c r="G129" s="54"/>
      <c r="H129" s="43">
        <f>'3. Input (des)investeringen '!F153</f>
        <v>2025</v>
      </c>
      <c r="I129" s="48" t="str">
        <f>'3. Input (des)investeringen '!G153</f>
        <v>01 Regionale leidingen</v>
      </c>
      <c r="J129" s="48">
        <f>'3. Input (des)investeringen '!H153</f>
        <v>55</v>
      </c>
      <c r="K129" s="48">
        <f>'3. Input (des)investeringen '!I153</f>
        <v>1</v>
      </c>
      <c r="M129" s="49">
        <f t="shared" si="36"/>
        <v>0</v>
      </c>
      <c r="N129" s="49">
        <f t="shared" si="37"/>
        <v>0</v>
      </c>
      <c r="P129" s="147">
        <f t="shared" si="38"/>
        <v>0</v>
      </c>
      <c r="Q129" s="147">
        <f t="shared" si="39"/>
        <v>0</v>
      </c>
      <c r="S129" s="49">
        <f t="shared" si="40"/>
        <v>0</v>
      </c>
      <c r="T129" s="44">
        <f t="shared" si="41"/>
        <v>55</v>
      </c>
      <c r="V129" s="49">
        <f t="shared" si="34"/>
        <v>0</v>
      </c>
      <c r="W129" s="49">
        <f t="shared" si="34"/>
        <v>0</v>
      </c>
      <c r="X129" s="49">
        <f t="shared" si="34"/>
        <v>0</v>
      </c>
      <c r="Y129" s="49">
        <f t="shared" si="34"/>
        <v>0</v>
      </c>
      <c r="Z129" s="49">
        <f t="shared" si="34"/>
        <v>0</v>
      </c>
      <c r="AB129" s="49">
        <f t="shared" si="35"/>
        <v>0</v>
      </c>
      <c r="AC129" s="49">
        <f t="shared" si="35"/>
        <v>0</v>
      </c>
      <c r="AD129" s="49">
        <f t="shared" si="35"/>
        <v>0</v>
      </c>
      <c r="AE129" s="49">
        <f t="shared" si="35"/>
        <v>0</v>
      </c>
      <c r="AF129" s="49">
        <f t="shared" si="35"/>
        <v>0</v>
      </c>
      <c r="AH129" s="49">
        <f t="shared" si="42"/>
        <v>0</v>
      </c>
      <c r="AI129" s="49">
        <f t="shared" si="43"/>
        <v>0</v>
      </c>
      <c r="AJ129" s="49">
        <f t="shared" si="44"/>
        <v>0</v>
      </c>
      <c r="AK129" s="49">
        <f t="shared" si="45"/>
        <v>0</v>
      </c>
      <c r="AL129" s="49">
        <f t="shared" si="46"/>
        <v>0</v>
      </c>
      <c r="AN129" s="49">
        <f t="shared" si="47"/>
        <v>0</v>
      </c>
      <c r="AO129" s="49">
        <f t="shared" si="48"/>
        <v>0</v>
      </c>
      <c r="AP129" s="49">
        <f t="shared" si="49"/>
        <v>0</v>
      </c>
      <c r="AQ129" s="49">
        <f t="shared" si="50"/>
        <v>0</v>
      </c>
      <c r="AR129" s="49">
        <f t="shared" si="51"/>
        <v>0</v>
      </c>
      <c r="AT129" s="49">
        <f t="shared" si="52"/>
        <v>0</v>
      </c>
      <c r="AU129" s="49">
        <f t="shared" si="53"/>
        <v>0</v>
      </c>
      <c r="AV129" s="49">
        <f t="shared" si="54"/>
        <v>0</v>
      </c>
      <c r="AW129" s="49">
        <f t="shared" si="55"/>
        <v>0</v>
      </c>
      <c r="AX129" s="49">
        <f t="shared" si="56"/>
        <v>0</v>
      </c>
      <c r="AZ129" s="53">
        <f t="shared" si="57"/>
        <v>0</v>
      </c>
      <c r="BA129" s="53">
        <f t="shared" si="58"/>
        <v>0</v>
      </c>
      <c r="BB129" s="53">
        <f t="shared" si="59"/>
        <v>0</v>
      </c>
      <c r="BC129" s="53">
        <f t="shared" si="60"/>
        <v>0</v>
      </c>
      <c r="BD129" s="53">
        <f t="shared" si="61"/>
        <v>0</v>
      </c>
    </row>
    <row r="130" spans="2:56">
      <c r="B130" s="43">
        <f>'3. Input (des)investeringen '!B154</f>
        <v>1661</v>
      </c>
      <c r="C130" s="54"/>
      <c r="D130" s="54"/>
      <c r="E130" s="54"/>
      <c r="F130" s="48">
        <f>'3. Input (des)investeringen '!D154</f>
        <v>1973210.9922632365</v>
      </c>
      <c r="G130" s="54"/>
      <c r="H130" s="43">
        <f>'3. Input (des)investeringen '!F154</f>
        <v>2026</v>
      </c>
      <c r="I130" s="48" t="str">
        <f>'3. Input (des)investeringen '!G154</f>
        <v>01 Regionale leidingen</v>
      </c>
      <c r="J130" s="48">
        <f>'3. Input (des)investeringen '!H154</f>
        <v>55</v>
      </c>
      <c r="K130" s="48">
        <f>'3. Input (des)investeringen '!I154</f>
        <v>1</v>
      </c>
      <c r="M130" s="49">
        <f t="shared" si="36"/>
        <v>0</v>
      </c>
      <c r="N130" s="49">
        <f t="shared" si="37"/>
        <v>0</v>
      </c>
      <c r="P130" s="147">
        <f t="shared" si="38"/>
        <v>0</v>
      </c>
      <c r="Q130" s="147">
        <f t="shared" si="39"/>
        <v>0</v>
      </c>
      <c r="S130" s="49">
        <f t="shared" si="40"/>
        <v>0</v>
      </c>
      <c r="T130" s="44">
        <f t="shared" si="41"/>
        <v>55</v>
      </c>
      <c r="V130" s="49">
        <f t="shared" si="34"/>
        <v>0</v>
      </c>
      <c r="W130" s="49">
        <f t="shared" si="34"/>
        <v>0</v>
      </c>
      <c r="X130" s="49">
        <f t="shared" si="34"/>
        <v>0</v>
      </c>
      <c r="Y130" s="49">
        <f t="shared" si="34"/>
        <v>0</v>
      </c>
      <c r="Z130" s="49">
        <f t="shared" si="34"/>
        <v>0</v>
      </c>
      <c r="AB130" s="49">
        <f t="shared" si="35"/>
        <v>0</v>
      </c>
      <c r="AC130" s="49">
        <f t="shared" si="35"/>
        <v>0</v>
      </c>
      <c r="AD130" s="49">
        <f t="shared" si="35"/>
        <v>0</v>
      </c>
      <c r="AE130" s="49">
        <f t="shared" si="35"/>
        <v>0</v>
      </c>
      <c r="AF130" s="49">
        <f t="shared" si="35"/>
        <v>0</v>
      </c>
      <c r="AH130" s="49">
        <f t="shared" si="42"/>
        <v>0</v>
      </c>
      <c r="AI130" s="49">
        <f t="shared" si="43"/>
        <v>0</v>
      </c>
      <c r="AJ130" s="49">
        <f t="shared" si="44"/>
        <v>0</v>
      </c>
      <c r="AK130" s="49">
        <f t="shared" si="45"/>
        <v>0</v>
      </c>
      <c r="AL130" s="49">
        <f t="shared" si="46"/>
        <v>0</v>
      </c>
      <c r="AN130" s="49">
        <f t="shared" si="47"/>
        <v>0</v>
      </c>
      <c r="AO130" s="49">
        <f t="shared" si="48"/>
        <v>0</v>
      </c>
      <c r="AP130" s="49">
        <f t="shared" si="49"/>
        <v>0</v>
      </c>
      <c r="AQ130" s="49">
        <f t="shared" si="50"/>
        <v>0</v>
      </c>
      <c r="AR130" s="49">
        <f t="shared" si="51"/>
        <v>0</v>
      </c>
      <c r="AT130" s="49">
        <f t="shared" si="52"/>
        <v>0</v>
      </c>
      <c r="AU130" s="49">
        <f t="shared" si="53"/>
        <v>0</v>
      </c>
      <c r="AV130" s="49">
        <f t="shared" si="54"/>
        <v>0</v>
      </c>
      <c r="AW130" s="49">
        <f t="shared" si="55"/>
        <v>0</v>
      </c>
      <c r="AX130" s="49">
        <f t="shared" si="56"/>
        <v>0</v>
      </c>
      <c r="AZ130" s="53">
        <f t="shared" si="57"/>
        <v>0</v>
      </c>
      <c r="BA130" s="53">
        <f t="shared" si="58"/>
        <v>0</v>
      </c>
      <c r="BB130" s="53">
        <f t="shared" si="59"/>
        <v>0</v>
      </c>
      <c r="BC130" s="53">
        <f t="shared" si="60"/>
        <v>0</v>
      </c>
      <c r="BD130" s="53">
        <f t="shared" si="61"/>
        <v>0</v>
      </c>
    </row>
    <row r="131" spans="2:56">
      <c r="B131" s="43">
        <f>'3. Input (des)investeringen '!B155</f>
        <v>1662</v>
      </c>
      <c r="C131" s="54"/>
      <c r="D131" s="54"/>
      <c r="E131" s="54"/>
      <c r="F131" s="48">
        <f>'3. Input (des)investeringen '!D155</f>
        <v>463333.33333333337</v>
      </c>
      <c r="G131" s="54"/>
      <c r="H131" s="43">
        <f>'3. Input (des)investeringen '!F155</f>
        <v>2020</v>
      </c>
      <c r="I131" s="48" t="str">
        <f>'3. Input (des)investeringen '!G155</f>
        <v>02 Gasontvangststations</v>
      </c>
      <c r="J131" s="48">
        <f>'3. Input (des)investeringen '!H155</f>
        <v>30</v>
      </c>
      <c r="K131" s="48">
        <f>'3. Input (des)investeringen '!I155</f>
        <v>0</v>
      </c>
      <c r="M131" s="49">
        <f t="shared" si="36"/>
        <v>7722.2222222222226</v>
      </c>
      <c r="N131" s="49">
        <f t="shared" si="37"/>
        <v>15691.555555555557</v>
      </c>
      <c r="P131" s="147">
        <f t="shared" si="38"/>
        <v>455611.11111111112</v>
      </c>
      <c r="Q131" s="147">
        <f t="shared" si="39"/>
        <v>447209.33333333337</v>
      </c>
      <c r="S131" s="49">
        <f t="shared" si="40"/>
        <v>447209.33333333337</v>
      </c>
      <c r="T131" s="44">
        <f t="shared" si="41"/>
        <v>28.5</v>
      </c>
      <c r="V131" s="49">
        <f t="shared" si="34"/>
        <v>18359.120000000003</v>
      </c>
      <c r="W131" s="49">
        <f t="shared" si="34"/>
        <v>17521.686456140353</v>
      </c>
      <c r="X131" s="49">
        <f t="shared" si="34"/>
        <v>16722.45163533395</v>
      </c>
      <c r="Y131" s="49">
        <f t="shared" si="34"/>
        <v>15959.67313968714</v>
      </c>
      <c r="Z131" s="49">
        <f t="shared" si="34"/>
        <v>15231.688049104918</v>
      </c>
      <c r="AB131" s="49">
        <f t="shared" si="35"/>
        <v>1569.1555555555558</v>
      </c>
      <c r="AC131" s="49">
        <f t="shared" si="35"/>
        <v>1569.155555555556</v>
      </c>
      <c r="AD131" s="49">
        <f t="shared" si="35"/>
        <v>1569.155555555556</v>
      </c>
      <c r="AE131" s="49">
        <f t="shared" si="35"/>
        <v>1569.155555555556</v>
      </c>
      <c r="AF131" s="49">
        <f t="shared" si="35"/>
        <v>1569.155555555556</v>
      </c>
      <c r="AH131" s="49">
        <f t="shared" si="42"/>
        <v>19928.27555555556</v>
      </c>
      <c r="AI131" s="49">
        <f t="shared" si="43"/>
        <v>19090.84201169591</v>
      </c>
      <c r="AJ131" s="49">
        <f t="shared" si="44"/>
        <v>18291.607190889506</v>
      </c>
      <c r="AK131" s="49">
        <f t="shared" si="45"/>
        <v>17528.828695242697</v>
      </c>
      <c r="AL131" s="49">
        <f t="shared" si="46"/>
        <v>16800.843604660473</v>
      </c>
      <c r="AN131" s="49">
        <f t="shared" si="47"/>
        <v>427281.05777777784</v>
      </c>
      <c r="AO131" s="49">
        <f t="shared" si="48"/>
        <v>408190.21576608194</v>
      </c>
      <c r="AP131" s="49">
        <f t="shared" si="49"/>
        <v>389898.60857519245</v>
      </c>
      <c r="AQ131" s="49">
        <f t="shared" si="50"/>
        <v>372369.77987994975</v>
      </c>
      <c r="AR131" s="49">
        <f t="shared" si="51"/>
        <v>355568.93627528928</v>
      </c>
      <c r="AT131" s="49">
        <f t="shared" si="52"/>
        <v>4768.2592301376008</v>
      </c>
      <c r="AU131" s="49">
        <f t="shared" si="53"/>
        <v>5043.6357371965078</v>
      </c>
      <c r="AV131" s="49">
        <f t="shared" si="54"/>
        <v>5425.3380897875395</v>
      </c>
      <c r="AW131" s="49">
        <f t="shared" si="55"/>
        <v>5495.4985619646732</v>
      </c>
      <c r="AX131" s="49">
        <f t="shared" si="56"/>
        <v>5566.5663493680004</v>
      </c>
      <c r="AZ131" s="53">
        <f t="shared" si="57"/>
        <v>37942.247576804271</v>
      </c>
      <c r="BA131" s="53">
        <f t="shared" si="58"/>
        <v>36380.184221874872</v>
      </c>
      <c r="BB131" s="53">
        <f t="shared" si="59"/>
        <v>35413.90353793282</v>
      </c>
      <c r="BC131" s="53">
        <f t="shared" si="60"/>
        <v>34195.420653605863</v>
      </c>
      <c r="BD131" s="53">
        <f t="shared" si="61"/>
        <v>33034.478042287155</v>
      </c>
    </row>
    <row r="132" spans="2:56">
      <c r="B132" s="43">
        <f>'3. Input (des)investeringen '!B156</f>
        <v>1663</v>
      </c>
      <c r="C132" s="54"/>
      <c r="D132" s="54"/>
      <c r="E132" s="54"/>
      <c r="F132" s="48">
        <f>'3. Input (des)investeringen '!D156</f>
        <v>470275.92000000004</v>
      </c>
      <c r="G132" s="54"/>
      <c r="H132" s="43">
        <f>'3. Input (des)investeringen '!F156</f>
        <v>2021</v>
      </c>
      <c r="I132" s="48" t="str">
        <f>'3. Input (des)investeringen '!G156</f>
        <v>02 Gasontvangststations</v>
      </c>
      <c r="J132" s="48">
        <f>'3. Input (des)investeringen '!H156</f>
        <v>30</v>
      </c>
      <c r="K132" s="48">
        <f>'3. Input (des)investeringen '!I156</f>
        <v>0</v>
      </c>
      <c r="M132" s="49">
        <f t="shared" si="36"/>
        <v>0</v>
      </c>
      <c r="N132" s="49">
        <f t="shared" si="37"/>
        <v>7837.9320000000007</v>
      </c>
      <c r="P132" s="147">
        <f t="shared" si="38"/>
        <v>0</v>
      </c>
      <c r="Q132" s="147">
        <f t="shared" si="39"/>
        <v>462437.98800000001</v>
      </c>
      <c r="S132" s="49">
        <f t="shared" si="40"/>
        <v>462437.98800000001</v>
      </c>
      <c r="T132" s="44">
        <f t="shared" si="41"/>
        <v>29.5</v>
      </c>
      <c r="V132" s="49">
        <f t="shared" si="34"/>
        <v>18340.760880000002</v>
      </c>
      <c r="W132" s="49">
        <f t="shared" si="34"/>
        <v>17532.523959864408</v>
      </c>
      <c r="X132" s="49">
        <f t="shared" si="34"/>
        <v>16759.904259938179</v>
      </c>
      <c r="Y132" s="49">
        <f t="shared" si="34"/>
        <v>16021.332207805312</v>
      </c>
      <c r="Z132" s="49">
        <f t="shared" si="34"/>
        <v>15315.307398647788</v>
      </c>
      <c r="AB132" s="49">
        <f t="shared" si="35"/>
        <v>1567.5864000000001</v>
      </c>
      <c r="AC132" s="49">
        <f t="shared" si="35"/>
        <v>1567.5864000000001</v>
      </c>
      <c r="AD132" s="49">
        <f t="shared" si="35"/>
        <v>1567.5864000000001</v>
      </c>
      <c r="AE132" s="49">
        <f t="shared" si="35"/>
        <v>1567.5864000000001</v>
      </c>
      <c r="AF132" s="49">
        <f t="shared" si="35"/>
        <v>1567.5864000000001</v>
      </c>
      <c r="AH132" s="49">
        <f t="shared" si="42"/>
        <v>19908.347280000002</v>
      </c>
      <c r="AI132" s="49">
        <f t="shared" si="43"/>
        <v>19100.110359864408</v>
      </c>
      <c r="AJ132" s="49">
        <f t="shared" si="44"/>
        <v>18327.490659938179</v>
      </c>
      <c r="AK132" s="49">
        <f t="shared" si="45"/>
        <v>17588.91860780531</v>
      </c>
      <c r="AL132" s="49">
        <f t="shared" si="46"/>
        <v>16882.89379864779</v>
      </c>
      <c r="AN132" s="49">
        <f t="shared" si="47"/>
        <v>442529.64072000002</v>
      </c>
      <c r="AO132" s="49">
        <f t="shared" si="48"/>
        <v>423429.5303601356</v>
      </c>
      <c r="AP132" s="49">
        <f t="shared" si="49"/>
        <v>405102.03970019741</v>
      </c>
      <c r="AQ132" s="49">
        <f t="shared" si="50"/>
        <v>387513.12109239207</v>
      </c>
      <c r="AR132" s="49">
        <f t="shared" si="51"/>
        <v>370630.22729374428</v>
      </c>
      <c r="AT132" s="49">
        <f t="shared" si="52"/>
        <v>4768.2592301376008</v>
      </c>
      <c r="AU132" s="49">
        <f t="shared" si="53"/>
        <v>5043.6357371965069</v>
      </c>
      <c r="AV132" s="49">
        <f t="shared" si="54"/>
        <v>5425.3380897875386</v>
      </c>
      <c r="AW132" s="49">
        <f t="shared" si="55"/>
        <v>5495.4985619646704</v>
      </c>
      <c r="AX132" s="49">
        <f t="shared" si="56"/>
        <v>5566.5663493679976</v>
      </c>
      <c r="AZ132" s="53">
        <f t="shared" si="57"/>
        <v>38395.025372457603</v>
      </c>
      <c r="BA132" s="53">
        <f t="shared" si="58"/>
        <v>36846.632007864981</v>
      </c>
      <c r="BB132" s="53">
        <f t="shared" si="59"/>
        <v>35905.889940731642</v>
      </c>
      <c r="BC132" s="53">
        <f t="shared" si="60"/>
        <v>34709.810802541739</v>
      </c>
      <c r="BD132" s="53">
        <f t="shared" si="61"/>
        <v>33568.366966828115</v>
      </c>
    </row>
    <row r="133" spans="2:56">
      <c r="B133" s="43">
        <f>'3. Input (des)investeringen '!B157</f>
        <v>1664</v>
      </c>
      <c r="C133" s="54"/>
      <c r="D133" s="54"/>
      <c r="E133" s="54"/>
      <c r="F133" s="48">
        <f>'3. Input (des)investeringen '!D157</f>
        <v>476357.52819743997</v>
      </c>
      <c r="G133" s="54"/>
      <c r="H133" s="43">
        <f>'3. Input (des)investeringen '!F157</f>
        <v>2022</v>
      </c>
      <c r="I133" s="48" t="str">
        <f>'3. Input (des)investeringen '!G157</f>
        <v>02 Gasontvangststations</v>
      </c>
      <c r="J133" s="48">
        <f>'3. Input (des)investeringen '!H157</f>
        <v>30</v>
      </c>
      <c r="K133" s="48">
        <f>'3. Input (des)investeringen '!I157</f>
        <v>0</v>
      </c>
      <c r="M133" s="49">
        <f t="shared" si="36"/>
        <v>0</v>
      </c>
      <c r="N133" s="49">
        <f t="shared" si="37"/>
        <v>0</v>
      </c>
      <c r="P133" s="147">
        <f t="shared" si="38"/>
        <v>0</v>
      </c>
      <c r="Q133" s="147">
        <f t="shared" si="39"/>
        <v>0</v>
      </c>
      <c r="S133" s="49">
        <f t="shared" si="40"/>
        <v>476357.52819743997</v>
      </c>
      <c r="T133" s="44">
        <f t="shared" si="41"/>
        <v>30</v>
      </c>
      <c r="V133" s="49">
        <f t="shared" si="34"/>
        <v>9288.9717998500801</v>
      </c>
      <c r="W133" s="49">
        <f t="shared" si="34"/>
        <v>18175.421488373322</v>
      </c>
      <c r="X133" s="49">
        <f t="shared" si="34"/>
        <v>17387.819890543815</v>
      </c>
      <c r="Y133" s="49">
        <f t="shared" si="34"/>
        <v>16634.347695286913</v>
      </c>
      <c r="Z133" s="49">
        <f t="shared" si="34"/>
        <v>15913.525961824482</v>
      </c>
      <c r="AB133" s="49">
        <f t="shared" si="35"/>
        <v>793.9292136624</v>
      </c>
      <c r="AC133" s="49">
        <f t="shared" si="35"/>
        <v>1587.8584273248</v>
      </c>
      <c r="AD133" s="49">
        <f t="shared" si="35"/>
        <v>1587.8584273248</v>
      </c>
      <c r="AE133" s="49">
        <f t="shared" si="35"/>
        <v>1587.8584273248</v>
      </c>
      <c r="AF133" s="49">
        <f t="shared" si="35"/>
        <v>1587.8584273248</v>
      </c>
      <c r="AH133" s="49">
        <f t="shared" si="42"/>
        <v>10082.901013512481</v>
      </c>
      <c r="AI133" s="49">
        <f t="shared" si="43"/>
        <v>19763.279915698124</v>
      </c>
      <c r="AJ133" s="49">
        <f t="shared" si="44"/>
        <v>18975.678317868616</v>
      </c>
      <c r="AK133" s="49">
        <f t="shared" si="45"/>
        <v>18222.206122611715</v>
      </c>
      <c r="AL133" s="49">
        <f t="shared" si="46"/>
        <v>17501.384389149283</v>
      </c>
      <c r="AN133" s="49">
        <f t="shared" si="47"/>
        <v>466274.62718392751</v>
      </c>
      <c r="AO133" s="49">
        <f t="shared" si="48"/>
        <v>446511.34726822941</v>
      </c>
      <c r="AP133" s="49">
        <f t="shared" si="49"/>
        <v>427535.66895036079</v>
      </c>
      <c r="AQ133" s="49">
        <f t="shared" si="50"/>
        <v>409313.46282774908</v>
      </c>
      <c r="AR133" s="49">
        <f t="shared" si="51"/>
        <v>391812.07843859983</v>
      </c>
      <c r="AT133" s="49">
        <f t="shared" si="52"/>
        <v>4763.5752819744002</v>
      </c>
      <c r="AU133" s="49">
        <f t="shared" si="53"/>
        <v>5038.6812816589854</v>
      </c>
      <c r="AV133" s="49">
        <f t="shared" si="54"/>
        <v>5420.0086810549383</v>
      </c>
      <c r="AW133" s="49">
        <f t="shared" si="55"/>
        <v>5490.1002333183405</v>
      </c>
      <c r="AX133" s="49">
        <f t="shared" si="56"/>
        <v>5561.0982095356121</v>
      </c>
      <c r="AZ133" s="53">
        <f t="shared" si="57"/>
        <v>29300.989738188633</v>
      </c>
      <c r="BA133" s="53">
        <f t="shared" si="58"/>
        <v>38197.301615403994</v>
      </c>
      <c r="BB133" s="53">
        <f t="shared" si="59"/>
        <v>37221.757067434381</v>
      </c>
      <c r="BC133" s="53">
        <f t="shared" si="60"/>
        <v>35991.710240762528</v>
      </c>
      <c r="BD133" s="53">
        <f t="shared" si="61"/>
        <v>34816.84495184289</v>
      </c>
    </row>
    <row r="134" spans="2:56">
      <c r="B134" s="43">
        <f>'3. Input (des)investeringen '!B158</f>
        <v>1665</v>
      </c>
      <c r="C134" s="54"/>
      <c r="D134" s="54"/>
      <c r="E134" s="54"/>
      <c r="F134" s="48">
        <f>'3. Input (des)investeringen '!D158</f>
        <v>482517.78375208931</v>
      </c>
      <c r="G134" s="54"/>
      <c r="H134" s="43">
        <f>'3. Input (des)investeringen '!F158</f>
        <v>2023</v>
      </c>
      <c r="I134" s="48" t="str">
        <f>'3. Input (des)investeringen '!G158</f>
        <v>02 Gasontvangststations</v>
      </c>
      <c r="J134" s="48">
        <f>'3. Input (des)investeringen '!H158</f>
        <v>30</v>
      </c>
      <c r="K134" s="48">
        <f>'3. Input (des)investeringen '!I158</f>
        <v>0</v>
      </c>
      <c r="M134" s="49">
        <f t="shared" si="36"/>
        <v>0</v>
      </c>
      <c r="N134" s="49">
        <f t="shared" si="37"/>
        <v>0</v>
      </c>
      <c r="P134" s="147">
        <f t="shared" si="38"/>
        <v>0</v>
      </c>
      <c r="Q134" s="147">
        <f t="shared" si="39"/>
        <v>0</v>
      </c>
      <c r="S134" s="49">
        <f t="shared" si="40"/>
        <v>0</v>
      </c>
      <c r="T134" s="44">
        <f t="shared" si="41"/>
        <v>30</v>
      </c>
      <c r="V134" s="49">
        <f t="shared" si="34"/>
        <v>0</v>
      </c>
      <c r="W134" s="49">
        <f t="shared" si="34"/>
        <v>0</v>
      </c>
      <c r="X134" s="49">
        <f t="shared" si="34"/>
        <v>0</v>
      </c>
      <c r="Y134" s="49">
        <f t="shared" si="34"/>
        <v>0</v>
      </c>
      <c r="Z134" s="49">
        <f t="shared" si="34"/>
        <v>0</v>
      </c>
      <c r="AB134" s="49">
        <f t="shared" si="35"/>
        <v>0</v>
      </c>
      <c r="AC134" s="49">
        <f t="shared" si="35"/>
        <v>0</v>
      </c>
      <c r="AD134" s="49">
        <f t="shared" si="35"/>
        <v>0</v>
      </c>
      <c r="AE134" s="49">
        <f t="shared" si="35"/>
        <v>0</v>
      </c>
      <c r="AF134" s="49">
        <f t="shared" si="35"/>
        <v>0</v>
      </c>
      <c r="AH134" s="49">
        <f t="shared" si="42"/>
        <v>0</v>
      </c>
      <c r="AI134" s="49">
        <f t="shared" si="43"/>
        <v>0</v>
      </c>
      <c r="AJ134" s="49">
        <f t="shared" si="44"/>
        <v>0</v>
      </c>
      <c r="AK134" s="49">
        <f t="shared" si="45"/>
        <v>0</v>
      </c>
      <c r="AL134" s="49">
        <f t="shared" si="46"/>
        <v>0</v>
      </c>
      <c r="AN134" s="49">
        <f t="shared" si="47"/>
        <v>0</v>
      </c>
      <c r="AO134" s="49">
        <f t="shared" si="48"/>
        <v>0</v>
      </c>
      <c r="AP134" s="49">
        <f t="shared" si="49"/>
        <v>0</v>
      </c>
      <c r="AQ134" s="49">
        <f t="shared" si="50"/>
        <v>0</v>
      </c>
      <c r="AR134" s="49">
        <f t="shared" si="51"/>
        <v>0</v>
      </c>
      <c r="AT134" s="49">
        <f t="shared" si="52"/>
        <v>0</v>
      </c>
      <c r="AU134" s="49">
        <f t="shared" si="53"/>
        <v>0</v>
      </c>
      <c r="AV134" s="49">
        <f t="shared" si="54"/>
        <v>0</v>
      </c>
      <c r="AW134" s="49">
        <f t="shared" si="55"/>
        <v>0</v>
      </c>
      <c r="AX134" s="49">
        <f t="shared" si="56"/>
        <v>0</v>
      </c>
      <c r="AZ134" s="53">
        <f t="shared" si="57"/>
        <v>0</v>
      </c>
      <c r="BA134" s="53">
        <f t="shared" si="58"/>
        <v>0</v>
      </c>
      <c r="BB134" s="53">
        <f t="shared" si="59"/>
        <v>0</v>
      </c>
      <c r="BC134" s="53">
        <f t="shared" si="60"/>
        <v>0</v>
      </c>
      <c r="BD134" s="53">
        <f t="shared" si="61"/>
        <v>0</v>
      </c>
    </row>
    <row r="135" spans="2:56">
      <c r="B135" s="43">
        <f>'3. Input (des)investeringen '!B159</f>
        <v>1666</v>
      </c>
      <c r="C135" s="54"/>
      <c r="D135" s="54"/>
      <c r="E135" s="54"/>
      <c r="F135" s="48">
        <f>'3. Input (des)investeringen '!D159</f>
        <v>488757.70373157132</v>
      </c>
      <c r="G135" s="54"/>
      <c r="H135" s="43">
        <f>'3. Input (des)investeringen '!F159</f>
        <v>2024</v>
      </c>
      <c r="I135" s="48" t="str">
        <f>'3. Input (des)investeringen '!G159</f>
        <v>02 Gasontvangststations</v>
      </c>
      <c r="J135" s="48">
        <f>'3. Input (des)investeringen '!H159</f>
        <v>30</v>
      </c>
      <c r="K135" s="48">
        <f>'3. Input (des)investeringen '!I159</f>
        <v>0</v>
      </c>
      <c r="M135" s="49">
        <f t="shared" si="36"/>
        <v>0</v>
      </c>
      <c r="N135" s="49">
        <f t="shared" si="37"/>
        <v>0</v>
      </c>
      <c r="P135" s="147">
        <f t="shared" si="38"/>
        <v>0</v>
      </c>
      <c r="Q135" s="147">
        <f t="shared" si="39"/>
        <v>0</v>
      </c>
      <c r="S135" s="49">
        <f t="shared" si="40"/>
        <v>0</v>
      </c>
      <c r="T135" s="44">
        <f t="shared" si="41"/>
        <v>30</v>
      </c>
      <c r="V135" s="49">
        <f t="shared" si="34"/>
        <v>0</v>
      </c>
      <c r="W135" s="49">
        <f t="shared" si="34"/>
        <v>0</v>
      </c>
      <c r="X135" s="49">
        <f t="shared" si="34"/>
        <v>0</v>
      </c>
      <c r="Y135" s="49">
        <f t="shared" si="34"/>
        <v>0</v>
      </c>
      <c r="Z135" s="49">
        <f t="shared" si="34"/>
        <v>0</v>
      </c>
      <c r="AB135" s="49">
        <f t="shared" si="35"/>
        <v>0</v>
      </c>
      <c r="AC135" s="49">
        <f t="shared" si="35"/>
        <v>0</v>
      </c>
      <c r="AD135" s="49">
        <f t="shared" si="35"/>
        <v>0</v>
      </c>
      <c r="AE135" s="49">
        <f t="shared" si="35"/>
        <v>0</v>
      </c>
      <c r="AF135" s="49">
        <f t="shared" si="35"/>
        <v>0</v>
      </c>
      <c r="AH135" s="49">
        <f t="shared" si="42"/>
        <v>0</v>
      </c>
      <c r="AI135" s="49">
        <f t="shared" si="43"/>
        <v>0</v>
      </c>
      <c r="AJ135" s="49">
        <f t="shared" si="44"/>
        <v>0</v>
      </c>
      <c r="AK135" s="49">
        <f t="shared" si="45"/>
        <v>0</v>
      </c>
      <c r="AL135" s="49">
        <f t="shared" si="46"/>
        <v>0</v>
      </c>
      <c r="AN135" s="49">
        <f t="shared" si="47"/>
        <v>0</v>
      </c>
      <c r="AO135" s="49">
        <f t="shared" si="48"/>
        <v>0</v>
      </c>
      <c r="AP135" s="49">
        <f t="shared" si="49"/>
        <v>0</v>
      </c>
      <c r="AQ135" s="49">
        <f t="shared" si="50"/>
        <v>0</v>
      </c>
      <c r="AR135" s="49">
        <f t="shared" si="51"/>
        <v>0</v>
      </c>
      <c r="AT135" s="49">
        <f t="shared" si="52"/>
        <v>0</v>
      </c>
      <c r="AU135" s="49">
        <f t="shared" si="53"/>
        <v>0</v>
      </c>
      <c r="AV135" s="49">
        <f t="shared" si="54"/>
        <v>0</v>
      </c>
      <c r="AW135" s="49">
        <f t="shared" si="55"/>
        <v>0</v>
      </c>
      <c r="AX135" s="49">
        <f t="shared" si="56"/>
        <v>0</v>
      </c>
      <c r="AZ135" s="53">
        <f t="shared" si="57"/>
        <v>0</v>
      </c>
      <c r="BA135" s="53">
        <f t="shared" si="58"/>
        <v>0</v>
      </c>
      <c r="BB135" s="53">
        <f t="shared" si="59"/>
        <v>0</v>
      </c>
      <c r="BC135" s="53">
        <f t="shared" si="60"/>
        <v>0</v>
      </c>
      <c r="BD135" s="53">
        <f t="shared" si="61"/>
        <v>0</v>
      </c>
    </row>
    <row r="136" spans="2:56">
      <c r="B136" s="43">
        <f>'3. Input (des)investeringen '!B160</f>
        <v>1667</v>
      </c>
      <c r="C136" s="54"/>
      <c r="D136" s="54"/>
      <c r="E136" s="54"/>
      <c r="F136" s="48">
        <f>'3. Input (des)investeringen '!D160</f>
        <v>495078.31835622794</v>
      </c>
      <c r="G136" s="54"/>
      <c r="H136" s="43">
        <f>'3. Input (des)investeringen '!F160</f>
        <v>2025</v>
      </c>
      <c r="I136" s="48" t="str">
        <f>'3. Input (des)investeringen '!G160</f>
        <v>02 Gasontvangststations</v>
      </c>
      <c r="J136" s="48">
        <f>'3. Input (des)investeringen '!H160</f>
        <v>30</v>
      </c>
      <c r="K136" s="48">
        <f>'3. Input (des)investeringen '!I160</f>
        <v>0</v>
      </c>
      <c r="M136" s="49">
        <f t="shared" si="36"/>
        <v>0</v>
      </c>
      <c r="N136" s="49">
        <f t="shared" si="37"/>
        <v>0</v>
      </c>
      <c r="P136" s="147">
        <f t="shared" si="38"/>
        <v>0</v>
      </c>
      <c r="Q136" s="147">
        <f t="shared" si="39"/>
        <v>0</v>
      </c>
      <c r="S136" s="49">
        <f t="shared" si="40"/>
        <v>0</v>
      </c>
      <c r="T136" s="44">
        <f t="shared" si="41"/>
        <v>30</v>
      </c>
      <c r="V136" s="49">
        <f t="shared" si="34"/>
        <v>0</v>
      </c>
      <c r="W136" s="49">
        <f t="shared" si="34"/>
        <v>0</v>
      </c>
      <c r="X136" s="49">
        <f t="shared" si="34"/>
        <v>0</v>
      </c>
      <c r="Y136" s="49">
        <f t="shared" si="34"/>
        <v>0</v>
      </c>
      <c r="Z136" s="49">
        <f t="shared" si="34"/>
        <v>0</v>
      </c>
      <c r="AB136" s="49">
        <f t="shared" si="35"/>
        <v>0</v>
      </c>
      <c r="AC136" s="49">
        <f t="shared" si="35"/>
        <v>0</v>
      </c>
      <c r="AD136" s="49">
        <f t="shared" si="35"/>
        <v>0</v>
      </c>
      <c r="AE136" s="49">
        <f t="shared" si="35"/>
        <v>0</v>
      </c>
      <c r="AF136" s="49">
        <f t="shared" si="35"/>
        <v>0</v>
      </c>
      <c r="AH136" s="49">
        <f t="shared" si="42"/>
        <v>0</v>
      </c>
      <c r="AI136" s="49">
        <f t="shared" si="43"/>
        <v>0</v>
      </c>
      <c r="AJ136" s="49">
        <f t="shared" si="44"/>
        <v>0</v>
      </c>
      <c r="AK136" s="49">
        <f t="shared" si="45"/>
        <v>0</v>
      </c>
      <c r="AL136" s="49">
        <f t="shared" si="46"/>
        <v>0</v>
      </c>
      <c r="AN136" s="49">
        <f t="shared" si="47"/>
        <v>0</v>
      </c>
      <c r="AO136" s="49">
        <f t="shared" si="48"/>
        <v>0</v>
      </c>
      <c r="AP136" s="49">
        <f t="shared" si="49"/>
        <v>0</v>
      </c>
      <c r="AQ136" s="49">
        <f t="shared" si="50"/>
        <v>0</v>
      </c>
      <c r="AR136" s="49">
        <f t="shared" si="51"/>
        <v>0</v>
      </c>
      <c r="AT136" s="49">
        <f t="shared" si="52"/>
        <v>0</v>
      </c>
      <c r="AU136" s="49">
        <f t="shared" si="53"/>
        <v>0</v>
      </c>
      <c r="AV136" s="49">
        <f t="shared" si="54"/>
        <v>0</v>
      </c>
      <c r="AW136" s="49">
        <f t="shared" si="55"/>
        <v>0</v>
      </c>
      <c r="AX136" s="49">
        <f t="shared" si="56"/>
        <v>0</v>
      </c>
      <c r="AZ136" s="53">
        <f t="shared" si="57"/>
        <v>0</v>
      </c>
      <c r="BA136" s="53">
        <f t="shared" si="58"/>
        <v>0</v>
      </c>
      <c r="BB136" s="53">
        <f t="shared" si="59"/>
        <v>0</v>
      </c>
      <c r="BC136" s="53">
        <f t="shared" si="60"/>
        <v>0</v>
      </c>
      <c r="BD136" s="53">
        <f t="shared" si="61"/>
        <v>0</v>
      </c>
    </row>
    <row r="137" spans="2:56">
      <c r="B137" s="43">
        <f>'3. Input (des)investeringen '!B161</f>
        <v>1668</v>
      </c>
      <c r="C137" s="54"/>
      <c r="D137" s="54"/>
      <c r="E137" s="54"/>
      <c r="F137" s="48">
        <f>'3. Input (des)investeringen '!D161</f>
        <v>501480.67116921069</v>
      </c>
      <c r="G137" s="54"/>
      <c r="H137" s="43">
        <f>'3. Input (des)investeringen '!F161</f>
        <v>2026</v>
      </c>
      <c r="I137" s="48" t="str">
        <f>'3. Input (des)investeringen '!G161</f>
        <v>02 Gasontvangststations</v>
      </c>
      <c r="J137" s="48">
        <f>'3. Input (des)investeringen '!H161</f>
        <v>30</v>
      </c>
      <c r="K137" s="48">
        <f>'3. Input (des)investeringen '!I161</f>
        <v>0</v>
      </c>
      <c r="M137" s="49">
        <f t="shared" si="36"/>
        <v>0</v>
      </c>
      <c r="N137" s="49">
        <f t="shared" si="37"/>
        <v>0</v>
      </c>
      <c r="P137" s="147">
        <f t="shared" si="38"/>
        <v>0</v>
      </c>
      <c r="Q137" s="147">
        <f t="shared" si="39"/>
        <v>0</v>
      </c>
      <c r="S137" s="49">
        <f t="shared" si="40"/>
        <v>0</v>
      </c>
      <c r="T137" s="44">
        <f t="shared" si="41"/>
        <v>30</v>
      </c>
      <c r="V137" s="49">
        <f t="shared" si="34"/>
        <v>0</v>
      </c>
      <c r="W137" s="49">
        <f t="shared" si="34"/>
        <v>0</v>
      </c>
      <c r="X137" s="49">
        <f t="shared" si="34"/>
        <v>0</v>
      </c>
      <c r="Y137" s="49">
        <f t="shared" si="34"/>
        <v>0</v>
      </c>
      <c r="Z137" s="49">
        <f t="shared" si="34"/>
        <v>0</v>
      </c>
      <c r="AB137" s="49">
        <f t="shared" si="35"/>
        <v>0</v>
      </c>
      <c r="AC137" s="49">
        <f t="shared" si="35"/>
        <v>0</v>
      </c>
      <c r="AD137" s="49">
        <f t="shared" si="35"/>
        <v>0</v>
      </c>
      <c r="AE137" s="49">
        <f t="shared" si="35"/>
        <v>0</v>
      </c>
      <c r="AF137" s="49">
        <f t="shared" si="35"/>
        <v>0</v>
      </c>
      <c r="AH137" s="49">
        <f t="shared" si="42"/>
        <v>0</v>
      </c>
      <c r="AI137" s="49">
        <f t="shared" si="43"/>
        <v>0</v>
      </c>
      <c r="AJ137" s="49">
        <f t="shared" si="44"/>
        <v>0</v>
      </c>
      <c r="AK137" s="49">
        <f t="shared" si="45"/>
        <v>0</v>
      </c>
      <c r="AL137" s="49">
        <f t="shared" si="46"/>
        <v>0</v>
      </c>
      <c r="AN137" s="49">
        <f t="shared" si="47"/>
        <v>0</v>
      </c>
      <c r="AO137" s="49">
        <f t="shared" si="48"/>
        <v>0</v>
      </c>
      <c r="AP137" s="49">
        <f t="shared" si="49"/>
        <v>0</v>
      </c>
      <c r="AQ137" s="49">
        <f t="shared" si="50"/>
        <v>0</v>
      </c>
      <c r="AR137" s="49">
        <f t="shared" si="51"/>
        <v>0</v>
      </c>
      <c r="AT137" s="49">
        <f t="shared" si="52"/>
        <v>0</v>
      </c>
      <c r="AU137" s="49">
        <f t="shared" si="53"/>
        <v>0</v>
      </c>
      <c r="AV137" s="49">
        <f t="shared" si="54"/>
        <v>0</v>
      </c>
      <c r="AW137" s="49">
        <f t="shared" si="55"/>
        <v>0</v>
      </c>
      <c r="AX137" s="49">
        <f t="shared" si="56"/>
        <v>0</v>
      </c>
      <c r="AZ137" s="53">
        <f t="shared" si="57"/>
        <v>0</v>
      </c>
      <c r="BA137" s="53">
        <f t="shared" si="58"/>
        <v>0</v>
      </c>
      <c r="BB137" s="53">
        <f t="shared" si="59"/>
        <v>0</v>
      </c>
      <c r="BC137" s="53">
        <f t="shared" si="60"/>
        <v>0</v>
      </c>
      <c r="BD137" s="53">
        <f t="shared" si="61"/>
        <v>0</v>
      </c>
    </row>
    <row r="138" spans="2:56">
      <c r="B138" s="43">
        <f>'3. Input (des)investeringen '!B162</f>
        <v>1529</v>
      </c>
      <c r="C138" s="54"/>
      <c r="D138" s="54"/>
      <c r="E138" s="54"/>
      <c r="F138" s="48">
        <f>'3. Input (des)investeringen '!D162</f>
        <v>0</v>
      </c>
      <c r="G138" s="54"/>
      <c r="H138" s="43">
        <f>'3. Input (des)investeringen '!F162</f>
        <v>2020</v>
      </c>
      <c r="I138" s="48" t="str">
        <f>'3. Input (des)investeringen '!G162</f>
        <v>nvt</v>
      </c>
      <c r="J138" s="48">
        <f>'3. Input (des)investeringen '!H162</f>
        <v>0</v>
      </c>
      <c r="K138" s="48">
        <f>'3. Input (des)investeringen '!I162</f>
        <v>1</v>
      </c>
      <c r="M138" s="49">
        <f t="shared" ref="M138:M158" si="62">IF($J138=0, 0, IF($H138&lt;=M$59,
VDB($F138,0,$J138,MAX(0,M$59-$H138-0.5),MIN($J138,M$59-$H138+0.5),1)*INDEX(H$40:H$46,$H138-2019,1),
0))</f>
        <v>0</v>
      </c>
      <c r="N138" s="49">
        <f t="shared" ref="N138:N158" si="63">IF($J138=0, 0, IF($H138&lt;=N$59,
VDB($F138,0,$J138,MAX(0,N$59-$H138-0.5),MIN($J138,N$59-$H138+0.5),1)*INDEX(I$40:I$46,$H138-2019,1),
0))</f>
        <v>0</v>
      </c>
      <c r="P138" s="147">
        <f t="shared" si="38"/>
        <v>0</v>
      </c>
      <c r="Q138" s="147">
        <f t="shared" si="39"/>
        <v>0</v>
      </c>
      <c r="S138" s="49">
        <f t="shared" si="40"/>
        <v>0</v>
      </c>
      <c r="T138" s="44">
        <f t="shared" ref="T138:T158" si="64">IF($J138=0, 0, IF(H138&lt;2022,J138-2021+H138-0.5,J138))</f>
        <v>0</v>
      </c>
      <c r="V138" s="49">
        <f t="shared" si="34"/>
        <v>0</v>
      </c>
      <c r="W138" s="49">
        <f t="shared" si="34"/>
        <v>0</v>
      </c>
      <c r="X138" s="49">
        <f t="shared" si="34"/>
        <v>0</v>
      </c>
      <c r="Y138" s="49">
        <f t="shared" si="34"/>
        <v>0</v>
      </c>
      <c r="Z138" s="49">
        <f t="shared" si="34"/>
        <v>0</v>
      </c>
      <c r="AB138" s="49">
        <f t="shared" si="35"/>
        <v>0</v>
      </c>
      <c r="AC138" s="49">
        <f t="shared" si="35"/>
        <v>0</v>
      </c>
      <c r="AD138" s="49">
        <f t="shared" si="35"/>
        <v>0</v>
      </c>
      <c r="AE138" s="49">
        <f t="shared" si="35"/>
        <v>0</v>
      </c>
      <c r="AF138" s="49">
        <f t="shared" si="35"/>
        <v>0</v>
      </c>
      <c r="AH138" s="49">
        <f t="shared" ref="AH138:AH158" si="65">V138+AB138</f>
        <v>0</v>
      </c>
      <c r="AI138" s="49">
        <f t="shared" ref="AI138:AI158" si="66">W138+AC138</f>
        <v>0</v>
      </c>
      <c r="AJ138" s="49">
        <f t="shared" ref="AJ138:AJ158" si="67">X138+AD138</f>
        <v>0</v>
      </c>
      <c r="AK138" s="49">
        <f t="shared" ref="AK138:AK158" si="68">Y138+AE138</f>
        <v>0</v>
      </c>
      <c r="AL138" s="49">
        <f t="shared" ref="AL138:AL158" si="69">Z138+AF138</f>
        <v>0</v>
      </c>
      <c r="AN138" s="49">
        <f t="shared" si="47"/>
        <v>0</v>
      </c>
      <c r="AO138" s="49">
        <f t="shared" si="48"/>
        <v>0</v>
      </c>
      <c r="AP138" s="49">
        <f t="shared" si="49"/>
        <v>0</v>
      </c>
      <c r="AQ138" s="49">
        <f t="shared" si="50"/>
        <v>0</v>
      </c>
      <c r="AR138" s="49">
        <f t="shared" si="51"/>
        <v>0</v>
      </c>
      <c r="AT138" s="49">
        <f t="shared" ref="AT138:AT158" si="70">IF(AH138&gt;0,$F138*INDEX($H$40:$N$46,$H138-2019,AT$59-2019)*INDEX($H$49:$N$55,$H138-2019,AT$59-2019)*$F$19,0)</f>
        <v>0</v>
      </c>
      <c r="AU138" s="49">
        <f t="shared" ref="AU138:AU158" si="71">IF(AI138&gt;0,$F138*INDEX($H$40:$N$46,$H138-2019,AU$59-2019)*INDEX($H$49:$N$55,$H138-2019,AU$59-2019)*$F$19,0)</f>
        <v>0</v>
      </c>
      <c r="AV138" s="49">
        <f t="shared" ref="AV138:AV158" si="72">IF(AJ138&gt;0,$F138*INDEX($H$40:$N$46,$H138-2019,AV$59-2019)*INDEX($H$49:$N$55,$H138-2019,AV$59-2019)*$F$19,0)</f>
        <v>0</v>
      </c>
      <c r="AW138" s="49">
        <f t="shared" ref="AW138:AW158" si="73">IF(AK138&gt;0,$F138*INDEX($H$40:$N$46,$H138-2019,AW$59-2019)*INDEX($H$49:$N$55,$H138-2019,AW$59-2019)*$F$19,0)</f>
        <v>0</v>
      </c>
      <c r="AX138" s="49">
        <f t="shared" ref="AX138:AX158" si="74">IF(AL138&gt;0,$F138*INDEX($H$40:$N$46,$H138-2019,AX$59-2019)*INDEX($H$49:$N$55,$H138-2019,AX$59-2019)*$F$19,0)</f>
        <v>0</v>
      </c>
      <c r="AZ138" s="53">
        <f t="shared" ref="AZ138:AZ158" si="75">(AH138+AN138*J$16+AT138)*IF($K138=1,$F$25,1)</f>
        <v>0</v>
      </c>
      <c r="BA138" s="53">
        <f t="shared" ref="BA138:BA158" si="76">(AI138+AO138*K$16+AU138)*IF($K138=1,$F$25,1)</f>
        <v>0</v>
      </c>
      <c r="BB138" s="53">
        <f t="shared" ref="BB138:BB158" si="77">(AJ138+AP138*L$16+AV138)*IF($K138=1,$F$25,1)</f>
        <v>0</v>
      </c>
      <c r="BC138" s="53">
        <f t="shared" ref="BC138:BC158" si="78">(AK138+AQ138*M$16+AW138)*IF($K138=1,$F$25,1)</f>
        <v>0</v>
      </c>
      <c r="BD138" s="53">
        <f t="shared" ref="BD138:BD158" si="79">(AL138+AR138*N$16+AX138)*IF($K138=1,$F$25,1)</f>
        <v>0</v>
      </c>
    </row>
    <row r="139" spans="2:56">
      <c r="B139" s="43">
        <f>'3. Input (des)investeringen '!B163</f>
        <v>1535</v>
      </c>
      <c r="C139" s="54"/>
      <c r="D139" s="54"/>
      <c r="E139" s="54"/>
      <c r="F139" s="48">
        <f>'3. Input (des)investeringen '!D163</f>
        <v>-30502.390165910823</v>
      </c>
      <c r="G139" s="54"/>
      <c r="H139" s="43">
        <f>'3. Input (des)investeringen '!F163</f>
        <v>2020</v>
      </c>
      <c r="I139" s="48" t="str">
        <f>'3. Input (des)investeringen '!G163</f>
        <v>nvt</v>
      </c>
      <c r="J139" s="48">
        <f>'3. Input (des)investeringen '!H163</f>
        <v>0</v>
      </c>
      <c r="K139" s="48">
        <f>'3. Input (des)investeringen '!I163</f>
        <v>0</v>
      </c>
      <c r="M139" s="49">
        <f t="shared" si="62"/>
        <v>0</v>
      </c>
      <c r="N139" s="49">
        <f t="shared" si="63"/>
        <v>0</v>
      </c>
      <c r="P139" s="147">
        <f t="shared" si="38"/>
        <v>-30502.390165910823</v>
      </c>
      <c r="Q139" s="147">
        <f t="shared" si="39"/>
        <v>-30990.428408565396</v>
      </c>
      <c r="S139" s="49">
        <f t="shared" si="40"/>
        <v>-30990.428408565396</v>
      </c>
      <c r="T139" s="44">
        <f t="shared" si="64"/>
        <v>0</v>
      </c>
      <c r="V139" s="49">
        <f t="shared" ref="V139:Z158" si="80">IF($J139=0, 0, IF(OR($H139&gt;V$59,$H139+$J139&lt;V$59),0,
IF(OR($H139=2020,$H139=2021),VDB($S139*(1-$F$28),0,$T139,V$59-2022,MIN($T139,V$59-2021),$F$22,FALSE),
VDB($S139*(1-$F$28),0,$T139,MAX(0,V$59-$H139-0.5),MIN($T139,V$59-$H139+0.5),$F$22,FALSE))))</f>
        <v>0</v>
      </c>
      <c r="W139" s="49">
        <f t="shared" si="80"/>
        <v>0</v>
      </c>
      <c r="X139" s="49">
        <f t="shared" si="80"/>
        <v>0</v>
      </c>
      <c r="Y139" s="49">
        <f t="shared" si="80"/>
        <v>0</v>
      </c>
      <c r="Z139" s="49">
        <f t="shared" si="80"/>
        <v>0</v>
      </c>
      <c r="AB139" s="49">
        <f t="shared" ref="AB139:AF158" si="81">IF($J139=0, 0, IF(OR($H139&gt;AB$59,$H139+$J139&lt;AB$59),0,
IF(OR($H139=2020,$H139=2021),VDB($S139*$F$28,0,$T139,AB$59-2022,MIN($T139,AB$59-2021),1),
VDB($S139*$F$28,0,$T139,MAX(0,AB$59-$H139-0.5),MIN($T139,AB$59-$H139+0.5),1))))</f>
        <v>0</v>
      </c>
      <c r="AC139" s="49">
        <f t="shared" si="81"/>
        <v>0</v>
      </c>
      <c r="AD139" s="49">
        <f t="shared" si="81"/>
        <v>0</v>
      </c>
      <c r="AE139" s="49">
        <f t="shared" si="81"/>
        <v>0</v>
      </c>
      <c r="AF139" s="49">
        <f t="shared" si="81"/>
        <v>0</v>
      </c>
      <c r="AH139" s="49">
        <f t="shared" si="65"/>
        <v>0</v>
      </c>
      <c r="AI139" s="49">
        <f t="shared" si="66"/>
        <v>0</v>
      </c>
      <c r="AJ139" s="49">
        <f t="shared" si="67"/>
        <v>0</v>
      </c>
      <c r="AK139" s="49">
        <f t="shared" si="68"/>
        <v>0</v>
      </c>
      <c r="AL139" s="49">
        <f t="shared" si="69"/>
        <v>0</v>
      </c>
      <c r="AN139" s="49">
        <f t="shared" si="47"/>
        <v>-30990.428408565396</v>
      </c>
      <c r="AO139" s="49">
        <f t="shared" si="48"/>
        <v>-30990.428408565396</v>
      </c>
      <c r="AP139" s="49">
        <f t="shared" si="49"/>
        <v>-30990.428408565396</v>
      </c>
      <c r="AQ139" s="49">
        <f t="shared" si="50"/>
        <v>-30990.428408565396</v>
      </c>
      <c r="AR139" s="49">
        <f t="shared" si="51"/>
        <v>-30990.428408565396</v>
      </c>
      <c r="AT139" s="49">
        <f t="shared" si="70"/>
        <v>0</v>
      </c>
      <c r="AU139" s="49">
        <f t="shared" si="71"/>
        <v>0</v>
      </c>
      <c r="AV139" s="49">
        <f t="shared" si="72"/>
        <v>0</v>
      </c>
      <c r="AW139" s="49">
        <f t="shared" si="73"/>
        <v>0</v>
      </c>
      <c r="AX139" s="49">
        <f t="shared" si="74"/>
        <v>0</v>
      </c>
      <c r="AZ139" s="53">
        <f t="shared" si="75"/>
        <v>-960.70328066552725</v>
      </c>
      <c r="BA139" s="53">
        <f t="shared" si="76"/>
        <v>-929.71285225696181</v>
      </c>
      <c r="BB139" s="53">
        <f t="shared" si="77"/>
        <v>-929.71285225696181</v>
      </c>
      <c r="BC139" s="53">
        <f t="shared" si="78"/>
        <v>-929.71285225696181</v>
      </c>
      <c r="BD139" s="53">
        <f t="shared" si="79"/>
        <v>-929.71285225696181</v>
      </c>
    </row>
    <row r="140" spans="2:56">
      <c r="B140" s="43">
        <f>'3. Input (des)investeringen '!B164</f>
        <v>1541</v>
      </c>
      <c r="C140" s="54"/>
      <c r="D140" s="54"/>
      <c r="E140" s="54"/>
      <c r="F140" s="48">
        <f>'3. Input (des)investeringen '!D164</f>
        <v>0</v>
      </c>
      <c r="G140" s="54"/>
      <c r="H140" s="43">
        <f>'3. Input (des)investeringen '!F164</f>
        <v>2020</v>
      </c>
      <c r="I140" s="48" t="str">
        <f>'3. Input (des)investeringen '!G164</f>
        <v>nvt</v>
      </c>
      <c r="J140" s="48">
        <f>'3. Input (des)investeringen '!H164</f>
        <v>0</v>
      </c>
      <c r="K140" s="48">
        <f>'3. Input (des)investeringen '!I164</f>
        <v>0</v>
      </c>
      <c r="M140" s="49">
        <f t="shared" si="62"/>
        <v>0</v>
      </c>
      <c r="N140" s="49">
        <f t="shared" si="63"/>
        <v>0</v>
      </c>
      <c r="P140" s="147">
        <f t="shared" si="38"/>
        <v>0</v>
      </c>
      <c r="Q140" s="147">
        <f t="shared" si="39"/>
        <v>0</v>
      </c>
      <c r="S140" s="49">
        <f t="shared" si="40"/>
        <v>0</v>
      </c>
      <c r="T140" s="44">
        <f t="shared" si="64"/>
        <v>0</v>
      </c>
      <c r="V140" s="49">
        <f t="shared" si="80"/>
        <v>0</v>
      </c>
      <c r="W140" s="49">
        <f t="shared" si="80"/>
        <v>0</v>
      </c>
      <c r="X140" s="49">
        <f t="shared" si="80"/>
        <v>0</v>
      </c>
      <c r="Y140" s="49">
        <f t="shared" si="80"/>
        <v>0</v>
      </c>
      <c r="Z140" s="49">
        <f t="shared" si="80"/>
        <v>0</v>
      </c>
      <c r="AB140" s="49">
        <f t="shared" si="81"/>
        <v>0</v>
      </c>
      <c r="AC140" s="49">
        <f t="shared" si="81"/>
        <v>0</v>
      </c>
      <c r="AD140" s="49">
        <f t="shared" si="81"/>
        <v>0</v>
      </c>
      <c r="AE140" s="49">
        <f t="shared" si="81"/>
        <v>0</v>
      </c>
      <c r="AF140" s="49">
        <f t="shared" si="81"/>
        <v>0</v>
      </c>
      <c r="AH140" s="49">
        <f t="shared" si="65"/>
        <v>0</v>
      </c>
      <c r="AI140" s="49">
        <f t="shared" si="66"/>
        <v>0</v>
      </c>
      <c r="AJ140" s="49">
        <f t="shared" si="67"/>
        <v>0</v>
      </c>
      <c r="AK140" s="49">
        <f t="shared" si="68"/>
        <v>0</v>
      </c>
      <c r="AL140" s="49">
        <f t="shared" si="69"/>
        <v>0</v>
      </c>
      <c r="AN140" s="49">
        <f t="shared" si="47"/>
        <v>0</v>
      </c>
      <c r="AO140" s="49">
        <f t="shared" si="48"/>
        <v>0</v>
      </c>
      <c r="AP140" s="49">
        <f t="shared" si="49"/>
        <v>0</v>
      </c>
      <c r="AQ140" s="49">
        <f t="shared" si="50"/>
        <v>0</v>
      </c>
      <c r="AR140" s="49">
        <f t="shared" si="51"/>
        <v>0</v>
      </c>
      <c r="AT140" s="49">
        <f t="shared" si="70"/>
        <v>0</v>
      </c>
      <c r="AU140" s="49">
        <f t="shared" si="71"/>
        <v>0</v>
      </c>
      <c r="AV140" s="49">
        <f t="shared" si="72"/>
        <v>0</v>
      </c>
      <c r="AW140" s="49">
        <f t="shared" si="73"/>
        <v>0</v>
      </c>
      <c r="AX140" s="49">
        <f t="shared" si="74"/>
        <v>0</v>
      </c>
      <c r="AZ140" s="53">
        <f t="shared" si="75"/>
        <v>0</v>
      </c>
      <c r="BA140" s="53">
        <f t="shared" si="76"/>
        <v>0</v>
      </c>
      <c r="BB140" s="53">
        <f t="shared" si="77"/>
        <v>0</v>
      </c>
      <c r="BC140" s="53">
        <f t="shared" si="78"/>
        <v>0</v>
      </c>
      <c r="BD140" s="53">
        <f t="shared" si="79"/>
        <v>0</v>
      </c>
    </row>
    <row r="141" spans="2:56">
      <c r="B141" s="43">
        <f>'3. Input (des)investeringen '!B165</f>
        <v>1547</v>
      </c>
      <c r="C141" s="54"/>
      <c r="D141" s="54"/>
      <c r="E141" s="54"/>
      <c r="F141" s="48">
        <f>'3. Input (des)investeringen '!D165</f>
        <v>0</v>
      </c>
      <c r="G141" s="54"/>
      <c r="H141" s="43">
        <f>'3. Input (des)investeringen '!F165</f>
        <v>2021</v>
      </c>
      <c r="I141" s="48" t="str">
        <f>'3. Input (des)investeringen '!G165</f>
        <v>nvt</v>
      </c>
      <c r="J141" s="48">
        <f>'3. Input (des)investeringen '!H165</f>
        <v>0</v>
      </c>
      <c r="K141" s="48">
        <f>'3. Input (des)investeringen '!I165</f>
        <v>1</v>
      </c>
      <c r="M141" s="49">
        <f t="shared" si="62"/>
        <v>0</v>
      </c>
      <c r="N141" s="49">
        <f t="shared" si="63"/>
        <v>0</v>
      </c>
      <c r="P141" s="147">
        <f t="shared" si="38"/>
        <v>0</v>
      </c>
      <c r="Q141" s="147">
        <f t="shared" si="39"/>
        <v>0</v>
      </c>
      <c r="S141" s="49">
        <f t="shared" si="40"/>
        <v>0</v>
      </c>
      <c r="T141" s="44">
        <f t="shared" si="64"/>
        <v>0</v>
      </c>
      <c r="V141" s="49">
        <f t="shared" si="80"/>
        <v>0</v>
      </c>
      <c r="W141" s="49">
        <f t="shared" si="80"/>
        <v>0</v>
      </c>
      <c r="X141" s="49">
        <f t="shared" si="80"/>
        <v>0</v>
      </c>
      <c r="Y141" s="49">
        <f t="shared" si="80"/>
        <v>0</v>
      </c>
      <c r="Z141" s="49">
        <f t="shared" si="80"/>
        <v>0</v>
      </c>
      <c r="AB141" s="49">
        <f t="shared" si="81"/>
        <v>0</v>
      </c>
      <c r="AC141" s="49">
        <f t="shared" si="81"/>
        <v>0</v>
      </c>
      <c r="AD141" s="49">
        <f t="shared" si="81"/>
        <v>0</v>
      </c>
      <c r="AE141" s="49">
        <f t="shared" si="81"/>
        <v>0</v>
      </c>
      <c r="AF141" s="49">
        <f t="shared" si="81"/>
        <v>0</v>
      </c>
      <c r="AH141" s="49">
        <f t="shared" si="65"/>
        <v>0</v>
      </c>
      <c r="AI141" s="49">
        <f t="shared" si="66"/>
        <v>0</v>
      </c>
      <c r="AJ141" s="49">
        <f t="shared" si="67"/>
        <v>0</v>
      </c>
      <c r="AK141" s="49">
        <f t="shared" si="68"/>
        <v>0</v>
      </c>
      <c r="AL141" s="49">
        <f t="shared" si="69"/>
        <v>0</v>
      </c>
      <c r="AN141" s="49">
        <f t="shared" si="47"/>
        <v>0</v>
      </c>
      <c r="AO141" s="49">
        <f t="shared" si="48"/>
        <v>0</v>
      </c>
      <c r="AP141" s="49">
        <f t="shared" si="49"/>
        <v>0</v>
      </c>
      <c r="AQ141" s="49">
        <f t="shared" si="50"/>
        <v>0</v>
      </c>
      <c r="AR141" s="49">
        <f t="shared" si="51"/>
        <v>0</v>
      </c>
      <c r="AT141" s="49">
        <f t="shared" si="70"/>
        <v>0</v>
      </c>
      <c r="AU141" s="49">
        <f t="shared" si="71"/>
        <v>0</v>
      </c>
      <c r="AV141" s="49">
        <f t="shared" si="72"/>
        <v>0</v>
      </c>
      <c r="AW141" s="49">
        <f t="shared" si="73"/>
        <v>0</v>
      </c>
      <c r="AX141" s="49">
        <f t="shared" si="74"/>
        <v>0</v>
      </c>
      <c r="AZ141" s="53">
        <f t="shared" si="75"/>
        <v>0</v>
      </c>
      <c r="BA141" s="53">
        <f t="shared" si="76"/>
        <v>0</v>
      </c>
      <c r="BB141" s="53">
        <f t="shared" si="77"/>
        <v>0</v>
      </c>
      <c r="BC141" s="53">
        <f t="shared" si="78"/>
        <v>0</v>
      </c>
      <c r="BD141" s="53">
        <f t="shared" si="79"/>
        <v>0</v>
      </c>
    </row>
    <row r="142" spans="2:56">
      <c r="B142" s="43">
        <f>'3. Input (des)investeringen '!B166</f>
        <v>1553</v>
      </c>
      <c r="C142" s="54"/>
      <c r="D142" s="54"/>
      <c r="E142" s="54"/>
      <c r="F142" s="48">
        <f>'3. Input (des)investeringen '!D166</f>
        <v>-30959.437980156832</v>
      </c>
      <c r="G142" s="54"/>
      <c r="H142" s="43">
        <f>'3. Input (des)investeringen '!F166</f>
        <v>2021</v>
      </c>
      <c r="I142" s="48" t="str">
        <f>'3. Input (des)investeringen '!G166</f>
        <v>nvt</v>
      </c>
      <c r="J142" s="48">
        <f>'3. Input (des)investeringen '!H166</f>
        <v>0</v>
      </c>
      <c r="K142" s="48">
        <f>'3. Input (des)investeringen '!I166</f>
        <v>0</v>
      </c>
      <c r="M142" s="49">
        <f t="shared" si="62"/>
        <v>0</v>
      </c>
      <c r="N142" s="49">
        <f t="shared" si="63"/>
        <v>0</v>
      </c>
      <c r="P142" s="147">
        <f t="shared" si="38"/>
        <v>0</v>
      </c>
      <c r="Q142" s="147">
        <f t="shared" si="39"/>
        <v>-30959.437980156832</v>
      </c>
      <c r="S142" s="49">
        <f t="shared" si="40"/>
        <v>-30959.437980156832</v>
      </c>
      <c r="T142" s="44">
        <f t="shared" si="64"/>
        <v>0</v>
      </c>
      <c r="V142" s="49">
        <f t="shared" si="80"/>
        <v>0</v>
      </c>
      <c r="W142" s="49">
        <f t="shared" si="80"/>
        <v>0</v>
      </c>
      <c r="X142" s="49">
        <f t="shared" si="80"/>
        <v>0</v>
      </c>
      <c r="Y142" s="49">
        <f t="shared" si="80"/>
        <v>0</v>
      </c>
      <c r="Z142" s="49">
        <f t="shared" si="80"/>
        <v>0</v>
      </c>
      <c r="AB142" s="49">
        <f t="shared" si="81"/>
        <v>0</v>
      </c>
      <c r="AC142" s="49">
        <f t="shared" si="81"/>
        <v>0</v>
      </c>
      <c r="AD142" s="49">
        <f t="shared" si="81"/>
        <v>0</v>
      </c>
      <c r="AE142" s="49">
        <f t="shared" si="81"/>
        <v>0</v>
      </c>
      <c r="AF142" s="49">
        <f t="shared" si="81"/>
        <v>0</v>
      </c>
      <c r="AH142" s="49">
        <f t="shared" si="65"/>
        <v>0</v>
      </c>
      <c r="AI142" s="49">
        <f t="shared" si="66"/>
        <v>0</v>
      </c>
      <c r="AJ142" s="49">
        <f t="shared" si="67"/>
        <v>0</v>
      </c>
      <c r="AK142" s="49">
        <f t="shared" si="68"/>
        <v>0</v>
      </c>
      <c r="AL142" s="49">
        <f t="shared" si="69"/>
        <v>0</v>
      </c>
      <c r="AN142" s="49">
        <f t="shared" si="47"/>
        <v>-30959.437980156832</v>
      </c>
      <c r="AO142" s="49">
        <f t="shared" si="48"/>
        <v>-30959.437980156832</v>
      </c>
      <c r="AP142" s="49">
        <f t="shared" si="49"/>
        <v>-30959.437980156832</v>
      </c>
      <c r="AQ142" s="49">
        <f t="shared" si="50"/>
        <v>-30959.437980156832</v>
      </c>
      <c r="AR142" s="49">
        <f t="shared" si="51"/>
        <v>-30959.437980156832</v>
      </c>
      <c r="AT142" s="49">
        <f t="shared" si="70"/>
        <v>0</v>
      </c>
      <c r="AU142" s="49">
        <f t="shared" si="71"/>
        <v>0</v>
      </c>
      <c r="AV142" s="49">
        <f t="shared" si="72"/>
        <v>0</v>
      </c>
      <c r="AW142" s="49">
        <f t="shared" si="73"/>
        <v>0</v>
      </c>
      <c r="AX142" s="49">
        <f t="shared" si="74"/>
        <v>0</v>
      </c>
      <c r="AZ142" s="53">
        <f t="shared" si="75"/>
        <v>-959.74257738486176</v>
      </c>
      <c r="BA142" s="53">
        <f t="shared" si="76"/>
        <v>-928.78313940470491</v>
      </c>
      <c r="BB142" s="53">
        <f t="shared" si="77"/>
        <v>-928.78313940470491</v>
      </c>
      <c r="BC142" s="53">
        <f t="shared" si="78"/>
        <v>-928.78313940470491</v>
      </c>
      <c r="BD142" s="53">
        <f t="shared" si="79"/>
        <v>-928.78313940470491</v>
      </c>
    </row>
    <row r="143" spans="2:56">
      <c r="B143" s="43">
        <f>'3. Input (des)investeringen '!B167</f>
        <v>1559</v>
      </c>
      <c r="C143" s="54"/>
      <c r="D143" s="54"/>
      <c r="E143" s="54"/>
      <c r="F143" s="48">
        <f>'3. Input (des)investeringen '!D167</f>
        <v>0</v>
      </c>
      <c r="G143" s="54"/>
      <c r="H143" s="43">
        <f>'3. Input (des)investeringen '!F167</f>
        <v>2021</v>
      </c>
      <c r="I143" s="48" t="str">
        <f>'3. Input (des)investeringen '!G167</f>
        <v>nvt</v>
      </c>
      <c r="J143" s="48">
        <f>'3. Input (des)investeringen '!H167</f>
        <v>0</v>
      </c>
      <c r="K143" s="48">
        <f>'3. Input (des)investeringen '!I167</f>
        <v>0</v>
      </c>
      <c r="M143" s="49">
        <f t="shared" si="62"/>
        <v>0</v>
      </c>
      <c r="N143" s="49">
        <f t="shared" si="63"/>
        <v>0</v>
      </c>
      <c r="P143" s="147">
        <f t="shared" si="38"/>
        <v>0</v>
      </c>
      <c r="Q143" s="147">
        <f t="shared" si="39"/>
        <v>0</v>
      </c>
      <c r="S143" s="49">
        <f t="shared" si="40"/>
        <v>0</v>
      </c>
      <c r="T143" s="44">
        <f t="shared" si="64"/>
        <v>0</v>
      </c>
      <c r="V143" s="49">
        <f t="shared" si="80"/>
        <v>0</v>
      </c>
      <c r="W143" s="49">
        <f t="shared" si="80"/>
        <v>0</v>
      </c>
      <c r="X143" s="49">
        <f t="shared" si="80"/>
        <v>0</v>
      </c>
      <c r="Y143" s="49">
        <f t="shared" si="80"/>
        <v>0</v>
      </c>
      <c r="Z143" s="49">
        <f t="shared" si="80"/>
        <v>0</v>
      </c>
      <c r="AB143" s="49">
        <f t="shared" si="81"/>
        <v>0</v>
      </c>
      <c r="AC143" s="49">
        <f t="shared" si="81"/>
        <v>0</v>
      </c>
      <c r="AD143" s="49">
        <f t="shared" si="81"/>
        <v>0</v>
      </c>
      <c r="AE143" s="49">
        <f t="shared" si="81"/>
        <v>0</v>
      </c>
      <c r="AF143" s="49">
        <f t="shared" si="81"/>
        <v>0</v>
      </c>
      <c r="AH143" s="49">
        <f t="shared" si="65"/>
        <v>0</v>
      </c>
      <c r="AI143" s="49">
        <f t="shared" si="66"/>
        <v>0</v>
      </c>
      <c r="AJ143" s="49">
        <f t="shared" si="67"/>
        <v>0</v>
      </c>
      <c r="AK143" s="49">
        <f t="shared" si="68"/>
        <v>0</v>
      </c>
      <c r="AL143" s="49">
        <f t="shared" si="69"/>
        <v>0</v>
      </c>
      <c r="AN143" s="49">
        <f t="shared" si="47"/>
        <v>0</v>
      </c>
      <c r="AO143" s="49">
        <f t="shared" si="48"/>
        <v>0</v>
      </c>
      <c r="AP143" s="49">
        <f t="shared" si="49"/>
        <v>0</v>
      </c>
      <c r="AQ143" s="49">
        <f t="shared" si="50"/>
        <v>0</v>
      </c>
      <c r="AR143" s="49">
        <f t="shared" si="51"/>
        <v>0</v>
      </c>
      <c r="AT143" s="49">
        <f t="shared" si="70"/>
        <v>0</v>
      </c>
      <c r="AU143" s="49">
        <f t="shared" si="71"/>
        <v>0</v>
      </c>
      <c r="AV143" s="49">
        <f t="shared" si="72"/>
        <v>0</v>
      </c>
      <c r="AW143" s="49">
        <f t="shared" si="73"/>
        <v>0</v>
      </c>
      <c r="AX143" s="49">
        <f t="shared" si="74"/>
        <v>0</v>
      </c>
      <c r="AZ143" s="53">
        <f t="shared" si="75"/>
        <v>0</v>
      </c>
      <c r="BA143" s="53">
        <f t="shared" si="76"/>
        <v>0</v>
      </c>
      <c r="BB143" s="53">
        <f t="shared" si="77"/>
        <v>0</v>
      </c>
      <c r="BC143" s="53">
        <f t="shared" si="78"/>
        <v>0</v>
      </c>
      <c r="BD143" s="53">
        <f t="shared" si="79"/>
        <v>0</v>
      </c>
    </row>
    <row r="144" spans="2:56">
      <c r="B144" s="43">
        <f>'3. Input (des)investeringen '!B168</f>
        <v>1565</v>
      </c>
      <c r="C144" s="54"/>
      <c r="D144" s="54"/>
      <c r="E144" s="54"/>
      <c r="F144" s="48">
        <f>'3. Input (des)investeringen '!D168</f>
        <v>0</v>
      </c>
      <c r="G144" s="54"/>
      <c r="H144" s="43">
        <f>'3. Input (des)investeringen '!F168</f>
        <v>2022</v>
      </c>
      <c r="I144" s="48" t="str">
        <f>'3. Input (des)investeringen '!G168</f>
        <v>nvt</v>
      </c>
      <c r="J144" s="48">
        <f>'3. Input (des)investeringen '!H168</f>
        <v>0</v>
      </c>
      <c r="K144" s="48">
        <f>'3. Input (des)investeringen '!I168</f>
        <v>1</v>
      </c>
      <c r="M144" s="49">
        <f t="shared" si="62"/>
        <v>0</v>
      </c>
      <c r="N144" s="49">
        <f t="shared" si="63"/>
        <v>0</v>
      </c>
      <c r="P144" s="147">
        <f t="shared" si="38"/>
        <v>0</v>
      </c>
      <c r="Q144" s="147">
        <f t="shared" si="39"/>
        <v>0</v>
      </c>
      <c r="S144" s="49">
        <f t="shared" si="40"/>
        <v>0</v>
      </c>
      <c r="T144" s="44">
        <f t="shared" si="64"/>
        <v>0</v>
      </c>
      <c r="V144" s="49">
        <f t="shared" si="80"/>
        <v>0</v>
      </c>
      <c r="W144" s="49">
        <f t="shared" si="80"/>
        <v>0</v>
      </c>
      <c r="X144" s="49">
        <f t="shared" si="80"/>
        <v>0</v>
      </c>
      <c r="Y144" s="49">
        <f t="shared" si="80"/>
        <v>0</v>
      </c>
      <c r="Z144" s="49">
        <f t="shared" si="80"/>
        <v>0</v>
      </c>
      <c r="AB144" s="49">
        <f t="shared" si="81"/>
        <v>0</v>
      </c>
      <c r="AC144" s="49">
        <f t="shared" si="81"/>
        <v>0</v>
      </c>
      <c r="AD144" s="49">
        <f t="shared" si="81"/>
        <v>0</v>
      </c>
      <c r="AE144" s="49">
        <f t="shared" si="81"/>
        <v>0</v>
      </c>
      <c r="AF144" s="49">
        <f t="shared" si="81"/>
        <v>0</v>
      </c>
      <c r="AH144" s="49">
        <f t="shared" si="65"/>
        <v>0</v>
      </c>
      <c r="AI144" s="49">
        <f t="shared" si="66"/>
        <v>0</v>
      </c>
      <c r="AJ144" s="49">
        <f t="shared" si="67"/>
        <v>0</v>
      </c>
      <c r="AK144" s="49">
        <f t="shared" si="68"/>
        <v>0</v>
      </c>
      <c r="AL144" s="49">
        <f t="shared" si="69"/>
        <v>0</v>
      </c>
      <c r="AN144" s="49">
        <f t="shared" si="47"/>
        <v>0</v>
      </c>
      <c r="AO144" s="49">
        <f t="shared" si="48"/>
        <v>0</v>
      </c>
      <c r="AP144" s="49">
        <f t="shared" si="49"/>
        <v>0</v>
      </c>
      <c r="AQ144" s="49">
        <f t="shared" si="50"/>
        <v>0</v>
      </c>
      <c r="AR144" s="49">
        <f t="shared" si="51"/>
        <v>0</v>
      </c>
      <c r="AT144" s="49">
        <f t="shared" si="70"/>
        <v>0</v>
      </c>
      <c r="AU144" s="49">
        <f t="shared" si="71"/>
        <v>0</v>
      </c>
      <c r="AV144" s="49">
        <f t="shared" si="72"/>
        <v>0</v>
      </c>
      <c r="AW144" s="49">
        <f t="shared" si="73"/>
        <v>0</v>
      </c>
      <c r="AX144" s="49">
        <f t="shared" si="74"/>
        <v>0</v>
      </c>
      <c r="AZ144" s="53">
        <f t="shared" si="75"/>
        <v>0</v>
      </c>
      <c r="BA144" s="53">
        <f t="shared" si="76"/>
        <v>0</v>
      </c>
      <c r="BB144" s="53">
        <f t="shared" si="77"/>
        <v>0</v>
      </c>
      <c r="BC144" s="53">
        <f t="shared" si="78"/>
        <v>0</v>
      </c>
      <c r="BD144" s="53">
        <f t="shared" si="79"/>
        <v>0</v>
      </c>
    </row>
    <row r="145" spans="1:56">
      <c r="B145" s="43">
        <f>'3. Input (des)investeringen '!B169</f>
        <v>1571</v>
      </c>
      <c r="C145" s="54"/>
      <c r="D145" s="54"/>
      <c r="E145" s="54"/>
      <c r="F145" s="48">
        <f>'3. Input (des)investeringen '!D169</f>
        <v>-31359.805432116216</v>
      </c>
      <c r="G145" s="54"/>
      <c r="H145" s="43">
        <f>'3. Input (des)investeringen '!F169</f>
        <v>2022</v>
      </c>
      <c r="I145" s="48" t="str">
        <f>'3. Input (des)investeringen '!G169</f>
        <v>nvt</v>
      </c>
      <c r="J145" s="48">
        <f>'3. Input (des)investeringen '!H169</f>
        <v>0</v>
      </c>
      <c r="K145" s="48">
        <f>'3. Input (des)investeringen '!I169</f>
        <v>0</v>
      </c>
      <c r="M145" s="49">
        <f t="shared" si="62"/>
        <v>0</v>
      </c>
      <c r="N145" s="49">
        <f t="shared" si="63"/>
        <v>0</v>
      </c>
      <c r="P145" s="147">
        <f t="shared" si="38"/>
        <v>0</v>
      </c>
      <c r="Q145" s="147">
        <f t="shared" si="39"/>
        <v>0</v>
      </c>
      <c r="S145" s="49">
        <f t="shared" si="40"/>
        <v>-31359.805432116216</v>
      </c>
      <c r="T145" s="44">
        <f t="shared" si="64"/>
        <v>0</v>
      </c>
      <c r="V145" s="49">
        <f t="shared" si="80"/>
        <v>0</v>
      </c>
      <c r="W145" s="49">
        <f t="shared" si="80"/>
        <v>0</v>
      </c>
      <c r="X145" s="49">
        <f t="shared" si="80"/>
        <v>0</v>
      </c>
      <c r="Y145" s="49">
        <f t="shared" si="80"/>
        <v>0</v>
      </c>
      <c r="Z145" s="49">
        <f t="shared" si="80"/>
        <v>0</v>
      </c>
      <c r="AB145" s="49">
        <f t="shared" si="81"/>
        <v>0</v>
      </c>
      <c r="AC145" s="49">
        <f t="shared" si="81"/>
        <v>0</v>
      </c>
      <c r="AD145" s="49">
        <f t="shared" si="81"/>
        <v>0</v>
      </c>
      <c r="AE145" s="49">
        <f t="shared" si="81"/>
        <v>0</v>
      </c>
      <c r="AF145" s="49">
        <f t="shared" si="81"/>
        <v>0</v>
      </c>
      <c r="AH145" s="49">
        <f t="shared" si="65"/>
        <v>0</v>
      </c>
      <c r="AI145" s="49">
        <f t="shared" si="66"/>
        <v>0</v>
      </c>
      <c r="AJ145" s="49">
        <f t="shared" si="67"/>
        <v>0</v>
      </c>
      <c r="AK145" s="49">
        <f t="shared" si="68"/>
        <v>0</v>
      </c>
      <c r="AL145" s="49">
        <f t="shared" si="69"/>
        <v>0</v>
      </c>
      <c r="AN145" s="49">
        <f>IF($J145=0, $S145, IF(OR($H145&gt;AN$59,$H145+$J145&lt;=AN$59),0,
IF($H145=AN$59,$S145-AH145,
S145-AH145)))</f>
        <v>-31359.805432116216</v>
      </c>
      <c r="AO145" s="49">
        <f t="shared" si="48"/>
        <v>-31359.805432116216</v>
      </c>
      <c r="AP145" s="49">
        <f t="shared" si="49"/>
        <v>-31359.805432116216</v>
      </c>
      <c r="AQ145" s="49">
        <f t="shared" si="50"/>
        <v>-31359.805432116216</v>
      </c>
      <c r="AR145" s="49">
        <f t="shared" si="51"/>
        <v>-31359.805432116216</v>
      </c>
      <c r="AT145" s="49">
        <f t="shared" si="70"/>
        <v>0</v>
      </c>
      <c r="AU145" s="49">
        <f t="shared" si="71"/>
        <v>0</v>
      </c>
      <c r="AV145" s="49">
        <f t="shared" si="72"/>
        <v>0</v>
      </c>
      <c r="AW145" s="49">
        <f t="shared" si="73"/>
        <v>0</v>
      </c>
      <c r="AX145" s="49">
        <f t="shared" si="74"/>
        <v>0</v>
      </c>
      <c r="AZ145" s="53">
        <f t="shared" si="75"/>
        <v>-972.15396839560265</v>
      </c>
      <c r="BA145" s="53">
        <f t="shared" si="76"/>
        <v>-940.79416296348643</v>
      </c>
      <c r="BB145" s="53">
        <f t="shared" si="77"/>
        <v>-940.79416296348643</v>
      </c>
      <c r="BC145" s="53">
        <f t="shared" si="78"/>
        <v>-940.79416296348643</v>
      </c>
      <c r="BD145" s="53">
        <f t="shared" si="79"/>
        <v>-940.79416296348643</v>
      </c>
    </row>
    <row r="146" spans="1:56">
      <c r="B146" s="43">
        <f>'3. Input (des)investeringen '!B170</f>
        <v>1577</v>
      </c>
      <c r="C146" s="54"/>
      <c r="D146" s="54"/>
      <c r="E146" s="54"/>
      <c r="F146" s="48">
        <f>'3. Input (des)investeringen '!D170</f>
        <v>0</v>
      </c>
      <c r="G146" s="54"/>
      <c r="H146" s="43">
        <f>'3. Input (des)investeringen '!F170</f>
        <v>2022</v>
      </c>
      <c r="I146" s="48" t="str">
        <f>'3. Input (des)investeringen '!G170</f>
        <v>nvt</v>
      </c>
      <c r="J146" s="48">
        <f>'3. Input (des)investeringen '!H170</f>
        <v>0</v>
      </c>
      <c r="K146" s="48">
        <f>'3. Input (des)investeringen '!I170</f>
        <v>0</v>
      </c>
      <c r="M146" s="49">
        <f t="shared" si="62"/>
        <v>0</v>
      </c>
      <c r="N146" s="49">
        <f t="shared" si="63"/>
        <v>0</v>
      </c>
      <c r="P146" s="147">
        <f t="shared" si="38"/>
        <v>0</v>
      </c>
      <c r="Q146" s="147">
        <f t="shared" si="39"/>
        <v>0</v>
      </c>
      <c r="S146" s="49">
        <f t="shared" si="40"/>
        <v>0</v>
      </c>
      <c r="T146" s="44">
        <f t="shared" si="64"/>
        <v>0</v>
      </c>
      <c r="V146" s="49">
        <f t="shared" si="80"/>
        <v>0</v>
      </c>
      <c r="W146" s="49">
        <f t="shared" si="80"/>
        <v>0</v>
      </c>
      <c r="X146" s="49">
        <f t="shared" si="80"/>
        <v>0</v>
      </c>
      <c r="Y146" s="49">
        <f t="shared" si="80"/>
        <v>0</v>
      </c>
      <c r="Z146" s="49">
        <f t="shared" si="80"/>
        <v>0</v>
      </c>
      <c r="AB146" s="49">
        <f t="shared" si="81"/>
        <v>0</v>
      </c>
      <c r="AC146" s="49">
        <f t="shared" si="81"/>
        <v>0</v>
      </c>
      <c r="AD146" s="49">
        <f t="shared" si="81"/>
        <v>0</v>
      </c>
      <c r="AE146" s="49">
        <f t="shared" si="81"/>
        <v>0</v>
      </c>
      <c r="AF146" s="49">
        <f t="shared" si="81"/>
        <v>0</v>
      </c>
      <c r="AH146" s="49">
        <f t="shared" si="65"/>
        <v>0</v>
      </c>
      <c r="AI146" s="49">
        <f t="shared" si="66"/>
        <v>0</v>
      </c>
      <c r="AJ146" s="49">
        <f t="shared" si="67"/>
        <v>0</v>
      </c>
      <c r="AK146" s="49">
        <f t="shared" si="68"/>
        <v>0</v>
      </c>
      <c r="AL146" s="49">
        <f t="shared" si="69"/>
        <v>0</v>
      </c>
      <c r="AN146" s="49">
        <f t="shared" si="47"/>
        <v>0</v>
      </c>
      <c r="AO146" s="49">
        <f t="shared" si="48"/>
        <v>0</v>
      </c>
      <c r="AP146" s="49">
        <f t="shared" si="49"/>
        <v>0</v>
      </c>
      <c r="AQ146" s="49">
        <f t="shared" si="50"/>
        <v>0</v>
      </c>
      <c r="AR146" s="49">
        <f t="shared" si="51"/>
        <v>0</v>
      </c>
      <c r="AT146" s="49">
        <f t="shared" si="70"/>
        <v>0</v>
      </c>
      <c r="AU146" s="49">
        <f t="shared" si="71"/>
        <v>0</v>
      </c>
      <c r="AV146" s="49">
        <f t="shared" si="72"/>
        <v>0</v>
      </c>
      <c r="AW146" s="49">
        <f t="shared" si="73"/>
        <v>0</v>
      </c>
      <c r="AX146" s="49">
        <f t="shared" si="74"/>
        <v>0</v>
      </c>
      <c r="AZ146" s="53">
        <f t="shared" si="75"/>
        <v>0</v>
      </c>
      <c r="BA146" s="53">
        <f t="shared" si="76"/>
        <v>0</v>
      </c>
      <c r="BB146" s="53">
        <f t="shared" si="77"/>
        <v>0</v>
      </c>
      <c r="BC146" s="53">
        <f t="shared" si="78"/>
        <v>0</v>
      </c>
      <c r="BD146" s="53">
        <f t="shared" si="79"/>
        <v>0</v>
      </c>
    </row>
    <row r="147" spans="1:56">
      <c r="B147" s="43">
        <f>'3. Input (des)investeringen '!B171</f>
        <v>1583</v>
      </c>
      <c r="C147" s="54"/>
      <c r="D147" s="54"/>
      <c r="E147" s="54"/>
      <c r="F147" s="48">
        <f>'3. Input (des)investeringen '!D171</f>
        <v>0</v>
      </c>
      <c r="G147" s="54"/>
      <c r="H147" s="43">
        <f>'3. Input (des)investeringen '!F171</f>
        <v>2023</v>
      </c>
      <c r="I147" s="48" t="str">
        <f>'3. Input (des)investeringen '!G171</f>
        <v>nvt</v>
      </c>
      <c r="J147" s="48">
        <f>'3. Input (des)investeringen '!H171</f>
        <v>0</v>
      </c>
      <c r="K147" s="48">
        <f>'3. Input (des)investeringen '!I171</f>
        <v>1</v>
      </c>
      <c r="M147" s="49">
        <f t="shared" si="62"/>
        <v>0</v>
      </c>
      <c r="N147" s="49">
        <f t="shared" si="63"/>
        <v>0</v>
      </c>
      <c r="P147" s="147">
        <f t="shared" si="38"/>
        <v>0</v>
      </c>
      <c r="Q147" s="147">
        <f t="shared" si="39"/>
        <v>0</v>
      </c>
      <c r="S147" s="49">
        <f t="shared" si="40"/>
        <v>0</v>
      </c>
      <c r="T147" s="44">
        <f t="shared" si="64"/>
        <v>0</v>
      </c>
      <c r="V147" s="49">
        <f t="shared" si="80"/>
        <v>0</v>
      </c>
      <c r="W147" s="49">
        <f t="shared" si="80"/>
        <v>0</v>
      </c>
      <c r="X147" s="49">
        <f t="shared" si="80"/>
        <v>0</v>
      </c>
      <c r="Y147" s="49">
        <f t="shared" si="80"/>
        <v>0</v>
      </c>
      <c r="Z147" s="49">
        <f t="shared" si="80"/>
        <v>0</v>
      </c>
      <c r="AB147" s="49">
        <f t="shared" si="81"/>
        <v>0</v>
      </c>
      <c r="AC147" s="49">
        <f t="shared" si="81"/>
        <v>0</v>
      </c>
      <c r="AD147" s="49">
        <f t="shared" si="81"/>
        <v>0</v>
      </c>
      <c r="AE147" s="49">
        <f t="shared" si="81"/>
        <v>0</v>
      </c>
      <c r="AF147" s="49">
        <f t="shared" si="81"/>
        <v>0</v>
      </c>
      <c r="AH147" s="49">
        <f t="shared" si="65"/>
        <v>0</v>
      </c>
      <c r="AI147" s="49">
        <f t="shared" si="66"/>
        <v>0</v>
      </c>
      <c r="AJ147" s="49">
        <f t="shared" si="67"/>
        <v>0</v>
      </c>
      <c r="AK147" s="49">
        <f t="shared" si="68"/>
        <v>0</v>
      </c>
      <c r="AL147" s="49">
        <f t="shared" si="69"/>
        <v>0</v>
      </c>
      <c r="AN147" s="49">
        <f t="shared" si="47"/>
        <v>0</v>
      </c>
      <c r="AO147" s="49">
        <f t="shared" si="48"/>
        <v>0</v>
      </c>
      <c r="AP147" s="49">
        <f t="shared" si="49"/>
        <v>0</v>
      </c>
      <c r="AQ147" s="49">
        <f t="shared" si="50"/>
        <v>0</v>
      </c>
      <c r="AR147" s="49">
        <f t="shared" si="51"/>
        <v>0</v>
      </c>
      <c r="AT147" s="49">
        <f t="shared" si="70"/>
        <v>0</v>
      </c>
      <c r="AU147" s="49">
        <f t="shared" si="71"/>
        <v>0</v>
      </c>
      <c r="AV147" s="49">
        <f t="shared" si="72"/>
        <v>0</v>
      </c>
      <c r="AW147" s="49">
        <f t="shared" si="73"/>
        <v>0</v>
      </c>
      <c r="AX147" s="49">
        <f t="shared" si="74"/>
        <v>0</v>
      </c>
      <c r="AZ147" s="53">
        <f t="shared" si="75"/>
        <v>0</v>
      </c>
      <c r="BA147" s="53">
        <f t="shared" si="76"/>
        <v>0</v>
      </c>
      <c r="BB147" s="53">
        <f t="shared" si="77"/>
        <v>0</v>
      </c>
      <c r="BC147" s="53">
        <f t="shared" si="78"/>
        <v>0</v>
      </c>
      <c r="BD147" s="53">
        <f t="shared" si="79"/>
        <v>0</v>
      </c>
    </row>
    <row r="148" spans="1:56">
      <c r="B148" s="43">
        <f>'3. Input (des)investeringen '!B172</f>
        <v>1589</v>
      </c>
      <c r="C148" s="54"/>
      <c r="D148" s="54"/>
      <c r="E148" s="54"/>
      <c r="F148" s="48">
        <f>'3. Input (des)investeringen '!D172</f>
        <v>-31765.350435964345</v>
      </c>
      <c r="G148" s="54"/>
      <c r="H148" s="43">
        <f>'3. Input (des)investeringen '!F172</f>
        <v>2023</v>
      </c>
      <c r="I148" s="48" t="str">
        <f>'3. Input (des)investeringen '!G172</f>
        <v>nvt</v>
      </c>
      <c r="J148" s="48">
        <f>'3. Input (des)investeringen '!H172</f>
        <v>0</v>
      </c>
      <c r="K148" s="48">
        <f>'3. Input (des)investeringen '!I172</f>
        <v>0</v>
      </c>
      <c r="M148" s="49">
        <f t="shared" si="62"/>
        <v>0</v>
      </c>
      <c r="N148" s="49">
        <f t="shared" si="63"/>
        <v>0</v>
      </c>
      <c r="P148" s="147">
        <f t="shared" si="38"/>
        <v>0</v>
      </c>
      <c r="Q148" s="147">
        <f t="shared" si="39"/>
        <v>0</v>
      </c>
      <c r="S148" s="49">
        <f t="shared" si="40"/>
        <v>0</v>
      </c>
      <c r="T148" s="44">
        <f t="shared" si="64"/>
        <v>0</v>
      </c>
      <c r="V148" s="49">
        <f t="shared" si="80"/>
        <v>0</v>
      </c>
      <c r="W148" s="49">
        <f t="shared" si="80"/>
        <v>0</v>
      </c>
      <c r="X148" s="49">
        <f t="shared" si="80"/>
        <v>0</v>
      </c>
      <c r="Y148" s="49">
        <f t="shared" si="80"/>
        <v>0</v>
      </c>
      <c r="Z148" s="49">
        <f t="shared" si="80"/>
        <v>0</v>
      </c>
      <c r="AB148" s="49">
        <f t="shared" si="81"/>
        <v>0</v>
      </c>
      <c r="AC148" s="49">
        <f t="shared" si="81"/>
        <v>0</v>
      </c>
      <c r="AD148" s="49">
        <f t="shared" si="81"/>
        <v>0</v>
      </c>
      <c r="AE148" s="49">
        <f t="shared" si="81"/>
        <v>0</v>
      </c>
      <c r="AF148" s="49">
        <f t="shared" si="81"/>
        <v>0</v>
      </c>
      <c r="AH148" s="49">
        <f t="shared" si="65"/>
        <v>0</v>
      </c>
      <c r="AI148" s="49">
        <f t="shared" si="66"/>
        <v>0</v>
      </c>
      <c r="AJ148" s="49">
        <f t="shared" si="67"/>
        <v>0</v>
      </c>
      <c r="AK148" s="49">
        <f t="shared" si="68"/>
        <v>0</v>
      </c>
      <c r="AL148" s="49">
        <f t="shared" si="69"/>
        <v>0</v>
      </c>
      <c r="AN148" s="49">
        <f t="shared" si="47"/>
        <v>0</v>
      </c>
      <c r="AO148" s="49">
        <f t="shared" si="48"/>
        <v>-31765.350435964345</v>
      </c>
      <c r="AP148" s="49">
        <f t="shared" si="49"/>
        <v>-31765.350435964345</v>
      </c>
      <c r="AQ148" s="49">
        <f t="shared" si="50"/>
        <v>-31765.350435964345</v>
      </c>
      <c r="AR148" s="49">
        <f t="shared" si="51"/>
        <v>-31765.350435964345</v>
      </c>
      <c r="AT148" s="49">
        <f t="shared" si="70"/>
        <v>0</v>
      </c>
      <c r="AU148" s="49">
        <f t="shared" si="71"/>
        <v>0</v>
      </c>
      <c r="AV148" s="49">
        <f t="shared" si="72"/>
        <v>0</v>
      </c>
      <c r="AW148" s="49">
        <f t="shared" si="73"/>
        <v>0</v>
      </c>
      <c r="AX148" s="49">
        <f t="shared" si="74"/>
        <v>0</v>
      </c>
      <c r="AZ148" s="53">
        <f t="shared" si="75"/>
        <v>0</v>
      </c>
      <c r="BA148" s="53">
        <f t="shared" si="76"/>
        <v>-952.96051307893026</v>
      </c>
      <c r="BB148" s="53">
        <f t="shared" si="77"/>
        <v>-952.96051307893026</v>
      </c>
      <c r="BC148" s="53">
        <f t="shared" si="78"/>
        <v>-952.96051307893026</v>
      </c>
      <c r="BD148" s="53">
        <f t="shared" si="79"/>
        <v>-952.96051307893026</v>
      </c>
    </row>
    <row r="149" spans="1:56">
      <c r="B149" s="43">
        <f>'3. Input (des)investeringen '!B173</f>
        <v>1595</v>
      </c>
      <c r="C149" s="54"/>
      <c r="D149" s="54"/>
      <c r="E149" s="54"/>
      <c r="F149" s="48">
        <f>'3. Input (des)investeringen '!D173</f>
        <v>0</v>
      </c>
      <c r="G149" s="54"/>
      <c r="H149" s="43">
        <f>'3. Input (des)investeringen '!F173</f>
        <v>2023</v>
      </c>
      <c r="I149" s="48" t="str">
        <f>'3. Input (des)investeringen '!G173</f>
        <v>nvt</v>
      </c>
      <c r="J149" s="48">
        <f>'3. Input (des)investeringen '!H173</f>
        <v>0</v>
      </c>
      <c r="K149" s="48">
        <f>'3. Input (des)investeringen '!I173</f>
        <v>0</v>
      </c>
      <c r="M149" s="49">
        <f t="shared" si="62"/>
        <v>0</v>
      </c>
      <c r="N149" s="49">
        <f t="shared" si="63"/>
        <v>0</v>
      </c>
      <c r="P149" s="147">
        <f t="shared" si="38"/>
        <v>0</v>
      </c>
      <c r="Q149" s="147">
        <f t="shared" si="39"/>
        <v>0</v>
      </c>
      <c r="S149" s="49">
        <f t="shared" si="40"/>
        <v>0</v>
      </c>
      <c r="T149" s="44">
        <f t="shared" si="64"/>
        <v>0</v>
      </c>
      <c r="V149" s="49">
        <f t="shared" si="80"/>
        <v>0</v>
      </c>
      <c r="W149" s="49">
        <f t="shared" si="80"/>
        <v>0</v>
      </c>
      <c r="X149" s="49">
        <f t="shared" si="80"/>
        <v>0</v>
      </c>
      <c r="Y149" s="49">
        <f t="shared" si="80"/>
        <v>0</v>
      </c>
      <c r="Z149" s="49">
        <f t="shared" si="80"/>
        <v>0</v>
      </c>
      <c r="AB149" s="49">
        <f t="shared" si="81"/>
        <v>0</v>
      </c>
      <c r="AC149" s="49">
        <f t="shared" si="81"/>
        <v>0</v>
      </c>
      <c r="AD149" s="49">
        <f t="shared" si="81"/>
        <v>0</v>
      </c>
      <c r="AE149" s="49">
        <f t="shared" si="81"/>
        <v>0</v>
      </c>
      <c r="AF149" s="49">
        <f t="shared" si="81"/>
        <v>0</v>
      </c>
      <c r="AH149" s="49">
        <f t="shared" si="65"/>
        <v>0</v>
      </c>
      <c r="AI149" s="49">
        <f t="shared" si="66"/>
        <v>0</v>
      </c>
      <c r="AJ149" s="49">
        <f t="shared" si="67"/>
        <v>0</v>
      </c>
      <c r="AK149" s="49">
        <f t="shared" si="68"/>
        <v>0</v>
      </c>
      <c r="AL149" s="49">
        <f t="shared" si="69"/>
        <v>0</v>
      </c>
      <c r="AN149" s="49">
        <f t="shared" si="47"/>
        <v>0</v>
      </c>
      <c r="AO149" s="49">
        <f t="shared" si="48"/>
        <v>0</v>
      </c>
      <c r="AP149" s="49">
        <f t="shared" si="49"/>
        <v>0</v>
      </c>
      <c r="AQ149" s="49">
        <f t="shared" si="50"/>
        <v>0</v>
      </c>
      <c r="AR149" s="49">
        <f t="shared" si="51"/>
        <v>0</v>
      </c>
      <c r="AT149" s="49">
        <f t="shared" si="70"/>
        <v>0</v>
      </c>
      <c r="AU149" s="49">
        <f t="shared" si="71"/>
        <v>0</v>
      </c>
      <c r="AV149" s="49">
        <f t="shared" si="72"/>
        <v>0</v>
      </c>
      <c r="AW149" s="49">
        <f t="shared" si="73"/>
        <v>0</v>
      </c>
      <c r="AX149" s="49">
        <f t="shared" si="74"/>
        <v>0</v>
      </c>
      <c r="AZ149" s="53">
        <f t="shared" si="75"/>
        <v>0</v>
      </c>
      <c r="BA149" s="53">
        <f t="shared" si="76"/>
        <v>0</v>
      </c>
      <c r="BB149" s="53">
        <f t="shared" si="77"/>
        <v>0</v>
      </c>
      <c r="BC149" s="53">
        <f t="shared" si="78"/>
        <v>0</v>
      </c>
      <c r="BD149" s="53">
        <f t="shared" si="79"/>
        <v>0</v>
      </c>
    </row>
    <row r="150" spans="1:56">
      <c r="B150" s="43">
        <f>'3. Input (des)investeringen '!B174</f>
        <v>1601</v>
      </c>
      <c r="C150" s="54"/>
      <c r="D150" s="54"/>
      <c r="E150" s="54"/>
      <c r="F150" s="48">
        <f>'3. Input (des)investeringen '!D174</f>
        <v>0</v>
      </c>
      <c r="G150" s="54"/>
      <c r="H150" s="43">
        <f>'3. Input (des)investeringen '!F174</f>
        <v>2024</v>
      </c>
      <c r="I150" s="48" t="str">
        <f>'3. Input (des)investeringen '!G174</f>
        <v>nvt</v>
      </c>
      <c r="J150" s="48">
        <f>'3. Input (des)investeringen '!H174</f>
        <v>0</v>
      </c>
      <c r="K150" s="48">
        <f>'3. Input (des)investeringen '!I174</f>
        <v>1</v>
      </c>
      <c r="M150" s="49">
        <f t="shared" si="62"/>
        <v>0</v>
      </c>
      <c r="N150" s="49">
        <f t="shared" si="63"/>
        <v>0</v>
      </c>
      <c r="P150" s="147">
        <f t="shared" si="38"/>
        <v>0</v>
      </c>
      <c r="Q150" s="147">
        <f t="shared" si="39"/>
        <v>0</v>
      </c>
      <c r="S150" s="49">
        <f t="shared" si="40"/>
        <v>0</v>
      </c>
      <c r="T150" s="44">
        <f t="shared" si="64"/>
        <v>0</v>
      </c>
      <c r="V150" s="49">
        <f t="shared" si="80"/>
        <v>0</v>
      </c>
      <c r="W150" s="49">
        <f t="shared" si="80"/>
        <v>0</v>
      </c>
      <c r="X150" s="49">
        <f t="shared" si="80"/>
        <v>0</v>
      </c>
      <c r="Y150" s="49">
        <f t="shared" si="80"/>
        <v>0</v>
      </c>
      <c r="Z150" s="49">
        <f t="shared" si="80"/>
        <v>0</v>
      </c>
      <c r="AB150" s="49">
        <f t="shared" si="81"/>
        <v>0</v>
      </c>
      <c r="AC150" s="49">
        <f t="shared" si="81"/>
        <v>0</v>
      </c>
      <c r="AD150" s="49">
        <f t="shared" si="81"/>
        <v>0</v>
      </c>
      <c r="AE150" s="49">
        <f t="shared" si="81"/>
        <v>0</v>
      </c>
      <c r="AF150" s="49">
        <f t="shared" si="81"/>
        <v>0</v>
      </c>
      <c r="AH150" s="49">
        <f t="shared" si="65"/>
        <v>0</v>
      </c>
      <c r="AI150" s="49">
        <f t="shared" si="66"/>
        <v>0</v>
      </c>
      <c r="AJ150" s="49">
        <f t="shared" si="67"/>
        <v>0</v>
      </c>
      <c r="AK150" s="49">
        <f t="shared" si="68"/>
        <v>0</v>
      </c>
      <c r="AL150" s="49">
        <f t="shared" si="69"/>
        <v>0</v>
      </c>
      <c r="AN150" s="49">
        <f t="shared" si="47"/>
        <v>0</v>
      </c>
      <c r="AO150" s="49">
        <f t="shared" si="48"/>
        <v>0</v>
      </c>
      <c r="AP150" s="49">
        <f t="shared" si="49"/>
        <v>0</v>
      </c>
      <c r="AQ150" s="49">
        <f t="shared" si="50"/>
        <v>0</v>
      </c>
      <c r="AR150" s="49">
        <f t="shared" si="51"/>
        <v>0</v>
      </c>
      <c r="AT150" s="49">
        <f t="shared" si="70"/>
        <v>0</v>
      </c>
      <c r="AU150" s="49">
        <f t="shared" si="71"/>
        <v>0</v>
      </c>
      <c r="AV150" s="49">
        <f t="shared" si="72"/>
        <v>0</v>
      </c>
      <c r="AW150" s="49">
        <f t="shared" si="73"/>
        <v>0</v>
      </c>
      <c r="AX150" s="49">
        <f t="shared" si="74"/>
        <v>0</v>
      </c>
      <c r="AZ150" s="53">
        <f t="shared" si="75"/>
        <v>0</v>
      </c>
      <c r="BA150" s="53">
        <f t="shared" si="76"/>
        <v>0</v>
      </c>
      <c r="BB150" s="53">
        <f t="shared" si="77"/>
        <v>0</v>
      </c>
      <c r="BC150" s="53">
        <f t="shared" si="78"/>
        <v>0</v>
      </c>
      <c r="BD150" s="53">
        <f t="shared" si="79"/>
        <v>0</v>
      </c>
    </row>
    <row r="151" spans="1:56">
      <c r="B151" s="43">
        <f>'3. Input (des)investeringen '!B175</f>
        <v>1607</v>
      </c>
      <c r="C151" s="54"/>
      <c r="D151" s="54"/>
      <c r="E151" s="54"/>
      <c r="F151" s="48">
        <f>'3. Input (des)investeringen '!D175</f>
        <v>-32176.139947802236</v>
      </c>
      <c r="G151" s="54"/>
      <c r="H151" s="43">
        <f>'3. Input (des)investeringen '!F175</f>
        <v>2024</v>
      </c>
      <c r="I151" s="48" t="str">
        <f>'3. Input (des)investeringen '!G175</f>
        <v>nvt</v>
      </c>
      <c r="J151" s="48">
        <f>'3. Input (des)investeringen '!H175</f>
        <v>0</v>
      </c>
      <c r="K151" s="48">
        <f>'3. Input (des)investeringen '!I175</f>
        <v>0</v>
      </c>
      <c r="M151" s="49">
        <f t="shared" si="62"/>
        <v>0</v>
      </c>
      <c r="N151" s="49">
        <f t="shared" si="63"/>
        <v>0</v>
      </c>
      <c r="P151" s="147">
        <f t="shared" si="38"/>
        <v>0</v>
      </c>
      <c r="Q151" s="147">
        <f t="shared" si="39"/>
        <v>0</v>
      </c>
      <c r="S151" s="49">
        <f t="shared" si="40"/>
        <v>0</v>
      </c>
      <c r="T151" s="44">
        <f t="shared" si="64"/>
        <v>0</v>
      </c>
      <c r="V151" s="49">
        <f t="shared" si="80"/>
        <v>0</v>
      </c>
      <c r="W151" s="49">
        <f t="shared" si="80"/>
        <v>0</v>
      </c>
      <c r="X151" s="49">
        <f t="shared" si="80"/>
        <v>0</v>
      </c>
      <c r="Y151" s="49">
        <f t="shared" si="80"/>
        <v>0</v>
      </c>
      <c r="Z151" s="49">
        <f t="shared" si="80"/>
        <v>0</v>
      </c>
      <c r="AB151" s="49">
        <f t="shared" si="81"/>
        <v>0</v>
      </c>
      <c r="AC151" s="49">
        <f t="shared" si="81"/>
        <v>0</v>
      </c>
      <c r="AD151" s="49">
        <f t="shared" si="81"/>
        <v>0</v>
      </c>
      <c r="AE151" s="49">
        <f t="shared" si="81"/>
        <v>0</v>
      </c>
      <c r="AF151" s="49">
        <f t="shared" si="81"/>
        <v>0</v>
      </c>
      <c r="AH151" s="49">
        <f t="shared" si="65"/>
        <v>0</v>
      </c>
      <c r="AI151" s="49">
        <f t="shared" si="66"/>
        <v>0</v>
      </c>
      <c r="AJ151" s="49">
        <f t="shared" si="67"/>
        <v>0</v>
      </c>
      <c r="AK151" s="49">
        <f t="shared" si="68"/>
        <v>0</v>
      </c>
      <c r="AL151" s="49">
        <f t="shared" si="69"/>
        <v>0</v>
      </c>
      <c r="AN151" s="49">
        <f t="shared" si="47"/>
        <v>0</v>
      </c>
      <c r="AO151" s="49">
        <f t="shared" si="48"/>
        <v>0</v>
      </c>
      <c r="AP151" s="49">
        <f t="shared" si="49"/>
        <v>-32176.139947802236</v>
      </c>
      <c r="AQ151" s="49">
        <f t="shared" si="50"/>
        <v>-32176.139947802236</v>
      </c>
      <c r="AR151" s="49">
        <f t="shared" si="51"/>
        <v>-32176.139947802236</v>
      </c>
      <c r="AT151" s="49">
        <f t="shared" si="70"/>
        <v>0</v>
      </c>
      <c r="AU151" s="49">
        <f t="shared" si="71"/>
        <v>0</v>
      </c>
      <c r="AV151" s="49">
        <f t="shared" si="72"/>
        <v>0</v>
      </c>
      <c r="AW151" s="49">
        <f t="shared" si="73"/>
        <v>0</v>
      </c>
      <c r="AX151" s="49">
        <f t="shared" si="74"/>
        <v>0</v>
      </c>
      <c r="AZ151" s="53">
        <f t="shared" si="75"/>
        <v>0</v>
      </c>
      <c r="BA151" s="53">
        <f t="shared" si="76"/>
        <v>0</v>
      </c>
      <c r="BB151" s="53">
        <f t="shared" si="77"/>
        <v>-965.28419843406709</v>
      </c>
      <c r="BC151" s="53">
        <f t="shared" si="78"/>
        <v>-965.28419843406709</v>
      </c>
      <c r="BD151" s="53">
        <f t="shared" si="79"/>
        <v>-965.28419843406709</v>
      </c>
    </row>
    <row r="152" spans="1:56">
      <c r="B152" s="43">
        <f>'3. Input (des)investeringen '!B176</f>
        <v>1613</v>
      </c>
      <c r="C152" s="54"/>
      <c r="D152" s="54"/>
      <c r="E152" s="54"/>
      <c r="F152" s="48">
        <f>'3. Input (des)investeringen '!D176</f>
        <v>0</v>
      </c>
      <c r="G152" s="54"/>
      <c r="H152" s="43">
        <f>'3. Input (des)investeringen '!F176</f>
        <v>2024</v>
      </c>
      <c r="I152" s="48" t="str">
        <f>'3. Input (des)investeringen '!G176</f>
        <v>nvt</v>
      </c>
      <c r="J152" s="48">
        <f>'3. Input (des)investeringen '!H176</f>
        <v>0</v>
      </c>
      <c r="K152" s="48">
        <f>'3. Input (des)investeringen '!I176</f>
        <v>0</v>
      </c>
      <c r="M152" s="49">
        <f t="shared" si="62"/>
        <v>0</v>
      </c>
      <c r="N152" s="49">
        <f t="shared" si="63"/>
        <v>0</v>
      </c>
      <c r="P152" s="147">
        <f t="shared" si="38"/>
        <v>0</v>
      </c>
      <c r="Q152" s="147">
        <f t="shared" si="39"/>
        <v>0</v>
      </c>
      <c r="S152" s="49">
        <f t="shared" si="40"/>
        <v>0</v>
      </c>
      <c r="T152" s="44">
        <f t="shared" si="64"/>
        <v>0</v>
      </c>
      <c r="V152" s="49">
        <f t="shared" si="80"/>
        <v>0</v>
      </c>
      <c r="W152" s="49">
        <f t="shared" si="80"/>
        <v>0</v>
      </c>
      <c r="X152" s="49">
        <f t="shared" si="80"/>
        <v>0</v>
      </c>
      <c r="Y152" s="49">
        <f t="shared" si="80"/>
        <v>0</v>
      </c>
      <c r="Z152" s="49">
        <f t="shared" si="80"/>
        <v>0</v>
      </c>
      <c r="AB152" s="49">
        <f t="shared" si="81"/>
        <v>0</v>
      </c>
      <c r="AC152" s="49">
        <f t="shared" si="81"/>
        <v>0</v>
      </c>
      <c r="AD152" s="49">
        <f t="shared" si="81"/>
        <v>0</v>
      </c>
      <c r="AE152" s="49">
        <f t="shared" si="81"/>
        <v>0</v>
      </c>
      <c r="AF152" s="49">
        <f t="shared" si="81"/>
        <v>0</v>
      </c>
      <c r="AH152" s="49">
        <f t="shared" si="65"/>
        <v>0</v>
      </c>
      <c r="AI152" s="49">
        <f t="shared" si="66"/>
        <v>0</v>
      </c>
      <c r="AJ152" s="49">
        <f t="shared" si="67"/>
        <v>0</v>
      </c>
      <c r="AK152" s="49">
        <f t="shared" si="68"/>
        <v>0</v>
      </c>
      <c r="AL152" s="49">
        <f t="shared" si="69"/>
        <v>0</v>
      </c>
      <c r="AN152" s="49">
        <f t="shared" si="47"/>
        <v>0</v>
      </c>
      <c r="AO152" s="49">
        <f t="shared" si="48"/>
        <v>0</v>
      </c>
      <c r="AP152" s="49">
        <f t="shared" si="49"/>
        <v>0</v>
      </c>
      <c r="AQ152" s="49">
        <f t="shared" si="50"/>
        <v>0</v>
      </c>
      <c r="AR152" s="49">
        <f t="shared" si="51"/>
        <v>0</v>
      </c>
      <c r="AT152" s="49">
        <f t="shared" si="70"/>
        <v>0</v>
      </c>
      <c r="AU152" s="49">
        <f t="shared" si="71"/>
        <v>0</v>
      </c>
      <c r="AV152" s="49">
        <f t="shared" si="72"/>
        <v>0</v>
      </c>
      <c r="AW152" s="49">
        <f t="shared" si="73"/>
        <v>0</v>
      </c>
      <c r="AX152" s="49">
        <f t="shared" si="74"/>
        <v>0</v>
      </c>
      <c r="AZ152" s="53">
        <f t="shared" si="75"/>
        <v>0</v>
      </c>
      <c r="BA152" s="53">
        <f t="shared" si="76"/>
        <v>0</v>
      </c>
      <c r="BB152" s="53">
        <f t="shared" si="77"/>
        <v>0</v>
      </c>
      <c r="BC152" s="53">
        <f t="shared" si="78"/>
        <v>0</v>
      </c>
      <c r="BD152" s="53">
        <f t="shared" si="79"/>
        <v>0</v>
      </c>
    </row>
    <row r="153" spans="1:56">
      <c r="B153" s="43">
        <f>'3. Input (des)investeringen '!B177</f>
        <v>1619</v>
      </c>
      <c r="C153" s="54"/>
      <c r="D153" s="54"/>
      <c r="E153" s="54"/>
      <c r="F153" s="48">
        <f>'3. Input (des)investeringen '!D177</f>
        <v>0</v>
      </c>
      <c r="G153" s="54"/>
      <c r="H153" s="43">
        <f>'3. Input (des)investeringen '!F177</f>
        <v>2025</v>
      </c>
      <c r="I153" s="48" t="str">
        <f>'3. Input (des)investeringen '!G177</f>
        <v>nvt</v>
      </c>
      <c r="J153" s="48">
        <f>'3. Input (des)investeringen '!H177</f>
        <v>0</v>
      </c>
      <c r="K153" s="48">
        <f>'3. Input (des)investeringen '!I177</f>
        <v>1</v>
      </c>
      <c r="M153" s="49">
        <f t="shared" si="62"/>
        <v>0</v>
      </c>
      <c r="N153" s="49">
        <f t="shared" si="63"/>
        <v>0</v>
      </c>
      <c r="P153" s="147">
        <f t="shared" si="38"/>
        <v>0</v>
      </c>
      <c r="Q153" s="147">
        <f t="shared" si="39"/>
        <v>0</v>
      </c>
      <c r="S153" s="49">
        <f t="shared" si="40"/>
        <v>0</v>
      </c>
      <c r="T153" s="44">
        <f t="shared" si="64"/>
        <v>0</v>
      </c>
      <c r="V153" s="49">
        <f t="shared" si="80"/>
        <v>0</v>
      </c>
      <c r="W153" s="49">
        <f t="shared" si="80"/>
        <v>0</v>
      </c>
      <c r="X153" s="49">
        <f t="shared" si="80"/>
        <v>0</v>
      </c>
      <c r="Y153" s="49">
        <f t="shared" si="80"/>
        <v>0</v>
      </c>
      <c r="Z153" s="49">
        <f t="shared" si="80"/>
        <v>0</v>
      </c>
      <c r="AB153" s="49">
        <f t="shared" si="81"/>
        <v>0</v>
      </c>
      <c r="AC153" s="49">
        <f t="shared" si="81"/>
        <v>0</v>
      </c>
      <c r="AD153" s="49">
        <f t="shared" si="81"/>
        <v>0</v>
      </c>
      <c r="AE153" s="49">
        <f t="shared" si="81"/>
        <v>0</v>
      </c>
      <c r="AF153" s="49">
        <f t="shared" si="81"/>
        <v>0</v>
      </c>
      <c r="AH153" s="49">
        <f t="shared" si="65"/>
        <v>0</v>
      </c>
      <c r="AI153" s="49">
        <f t="shared" si="66"/>
        <v>0</v>
      </c>
      <c r="AJ153" s="49">
        <f t="shared" si="67"/>
        <v>0</v>
      </c>
      <c r="AK153" s="49">
        <f t="shared" si="68"/>
        <v>0</v>
      </c>
      <c r="AL153" s="49">
        <f t="shared" si="69"/>
        <v>0</v>
      </c>
      <c r="AN153" s="49">
        <f t="shared" si="47"/>
        <v>0</v>
      </c>
      <c r="AO153" s="49">
        <f t="shared" si="48"/>
        <v>0</v>
      </c>
      <c r="AP153" s="49">
        <f t="shared" si="49"/>
        <v>0</v>
      </c>
      <c r="AQ153" s="49">
        <f t="shared" si="50"/>
        <v>0</v>
      </c>
      <c r="AR153" s="49">
        <f t="shared" si="51"/>
        <v>0</v>
      </c>
      <c r="AT153" s="49">
        <f t="shared" si="70"/>
        <v>0</v>
      </c>
      <c r="AU153" s="49">
        <f t="shared" si="71"/>
        <v>0</v>
      </c>
      <c r="AV153" s="49">
        <f t="shared" si="72"/>
        <v>0</v>
      </c>
      <c r="AW153" s="49">
        <f t="shared" si="73"/>
        <v>0</v>
      </c>
      <c r="AX153" s="49">
        <f t="shared" si="74"/>
        <v>0</v>
      </c>
      <c r="AZ153" s="53">
        <f t="shared" si="75"/>
        <v>0</v>
      </c>
      <c r="BA153" s="53">
        <f t="shared" si="76"/>
        <v>0</v>
      </c>
      <c r="BB153" s="53">
        <f t="shared" si="77"/>
        <v>0</v>
      </c>
      <c r="BC153" s="53">
        <f t="shared" si="78"/>
        <v>0</v>
      </c>
      <c r="BD153" s="53">
        <f t="shared" si="79"/>
        <v>0</v>
      </c>
    </row>
    <row r="154" spans="1:56">
      <c r="B154" s="43">
        <f>'3. Input (des)investeringen '!B178</f>
        <v>1625</v>
      </c>
      <c r="C154" s="54"/>
      <c r="D154" s="54"/>
      <c r="E154" s="54"/>
      <c r="F154" s="48">
        <f>'3. Input (des)investeringen '!D178</f>
        <v>-32592.241789607215</v>
      </c>
      <c r="G154" s="54"/>
      <c r="H154" s="43">
        <f>'3. Input (des)investeringen '!F178</f>
        <v>2025</v>
      </c>
      <c r="I154" s="48" t="str">
        <f>'3. Input (des)investeringen '!G178</f>
        <v>nvt</v>
      </c>
      <c r="J154" s="48">
        <f>'3. Input (des)investeringen '!H178</f>
        <v>0</v>
      </c>
      <c r="K154" s="48">
        <f>'3. Input (des)investeringen '!I178</f>
        <v>0</v>
      </c>
      <c r="M154" s="49">
        <f t="shared" si="62"/>
        <v>0</v>
      </c>
      <c r="N154" s="49">
        <f t="shared" si="63"/>
        <v>0</v>
      </c>
      <c r="P154" s="147">
        <f t="shared" si="38"/>
        <v>0</v>
      </c>
      <c r="Q154" s="147">
        <f t="shared" si="39"/>
        <v>0</v>
      </c>
      <c r="S154" s="49">
        <f t="shared" si="40"/>
        <v>0</v>
      </c>
      <c r="T154" s="44">
        <f t="shared" si="64"/>
        <v>0</v>
      </c>
      <c r="V154" s="49">
        <f t="shared" si="80"/>
        <v>0</v>
      </c>
      <c r="W154" s="49">
        <f t="shared" si="80"/>
        <v>0</v>
      </c>
      <c r="X154" s="49">
        <f t="shared" si="80"/>
        <v>0</v>
      </c>
      <c r="Y154" s="49">
        <f t="shared" si="80"/>
        <v>0</v>
      </c>
      <c r="Z154" s="49">
        <f t="shared" si="80"/>
        <v>0</v>
      </c>
      <c r="AB154" s="49">
        <f t="shared" si="81"/>
        <v>0</v>
      </c>
      <c r="AC154" s="49">
        <f t="shared" si="81"/>
        <v>0</v>
      </c>
      <c r="AD154" s="49">
        <f t="shared" si="81"/>
        <v>0</v>
      </c>
      <c r="AE154" s="49">
        <f t="shared" si="81"/>
        <v>0</v>
      </c>
      <c r="AF154" s="49">
        <f t="shared" si="81"/>
        <v>0</v>
      </c>
      <c r="AH154" s="49">
        <f t="shared" si="65"/>
        <v>0</v>
      </c>
      <c r="AI154" s="49">
        <f t="shared" si="66"/>
        <v>0</v>
      </c>
      <c r="AJ154" s="49">
        <f t="shared" si="67"/>
        <v>0</v>
      </c>
      <c r="AK154" s="49">
        <f t="shared" si="68"/>
        <v>0</v>
      </c>
      <c r="AL154" s="49">
        <f t="shared" si="69"/>
        <v>0</v>
      </c>
      <c r="AN154" s="49">
        <f t="shared" si="47"/>
        <v>0</v>
      </c>
      <c r="AO154" s="49">
        <f t="shared" si="48"/>
        <v>0</v>
      </c>
      <c r="AP154" s="49">
        <f t="shared" si="49"/>
        <v>0</v>
      </c>
      <c r="AQ154" s="49">
        <f t="shared" si="50"/>
        <v>-32592.241789607215</v>
      </c>
      <c r="AR154" s="49">
        <f t="shared" si="51"/>
        <v>-32592.241789607215</v>
      </c>
      <c r="AT154" s="49">
        <f t="shared" si="70"/>
        <v>0</v>
      </c>
      <c r="AU154" s="49">
        <f t="shared" si="71"/>
        <v>0</v>
      </c>
      <c r="AV154" s="49">
        <f t="shared" si="72"/>
        <v>0</v>
      </c>
      <c r="AW154" s="49">
        <f t="shared" si="73"/>
        <v>0</v>
      </c>
      <c r="AX154" s="49">
        <f t="shared" si="74"/>
        <v>0</v>
      </c>
      <c r="AZ154" s="53">
        <f t="shared" si="75"/>
        <v>0</v>
      </c>
      <c r="BA154" s="53">
        <f t="shared" si="76"/>
        <v>0</v>
      </c>
      <c r="BB154" s="53">
        <f t="shared" si="77"/>
        <v>0</v>
      </c>
      <c r="BC154" s="53">
        <f t="shared" si="78"/>
        <v>-977.76725368821644</v>
      </c>
      <c r="BD154" s="53">
        <f t="shared" si="79"/>
        <v>-977.76725368821644</v>
      </c>
    </row>
    <row r="155" spans="1:56">
      <c r="B155" s="43">
        <f>'3. Input (des)investeringen '!B179</f>
        <v>1631</v>
      </c>
      <c r="C155" s="54"/>
      <c r="D155" s="54"/>
      <c r="E155" s="54"/>
      <c r="F155" s="48">
        <f>'3. Input (des)investeringen '!D179</f>
        <v>0</v>
      </c>
      <c r="G155" s="54"/>
      <c r="H155" s="43">
        <f>'3. Input (des)investeringen '!F179</f>
        <v>2025</v>
      </c>
      <c r="I155" s="48" t="str">
        <f>'3. Input (des)investeringen '!G179</f>
        <v>nvt</v>
      </c>
      <c r="J155" s="48">
        <f>'3. Input (des)investeringen '!H179</f>
        <v>0</v>
      </c>
      <c r="K155" s="48">
        <f>'3. Input (des)investeringen '!I179</f>
        <v>0</v>
      </c>
      <c r="M155" s="49">
        <f t="shared" si="62"/>
        <v>0</v>
      </c>
      <c r="N155" s="49">
        <f t="shared" si="63"/>
        <v>0</v>
      </c>
      <c r="P155" s="147">
        <f t="shared" si="38"/>
        <v>0</v>
      </c>
      <c r="Q155" s="147">
        <f t="shared" si="39"/>
        <v>0</v>
      </c>
      <c r="S155" s="49">
        <f t="shared" si="40"/>
        <v>0</v>
      </c>
      <c r="T155" s="44">
        <f t="shared" si="64"/>
        <v>0</v>
      </c>
      <c r="V155" s="49">
        <f t="shared" si="80"/>
        <v>0</v>
      </c>
      <c r="W155" s="49">
        <f t="shared" si="80"/>
        <v>0</v>
      </c>
      <c r="X155" s="49">
        <f t="shared" si="80"/>
        <v>0</v>
      </c>
      <c r="Y155" s="49">
        <f t="shared" si="80"/>
        <v>0</v>
      </c>
      <c r="Z155" s="49">
        <f t="shared" si="80"/>
        <v>0</v>
      </c>
      <c r="AB155" s="49">
        <f t="shared" si="81"/>
        <v>0</v>
      </c>
      <c r="AC155" s="49">
        <f t="shared" si="81"/>
        <v>0</v>
      </c>
      <c r="AD155" s="49">
        <f t="shared" si="81"/>
        <v>0</v>
      </c>
      <c r="AE155" s="49">
        <f t="shared" si="81"/>
        <v>0</v>
      </c>
      <c r="AF155" s="49">
        <f t="shared" si="81"/>
        <v>0</v>
      </c>
      <c r="AH155" s="49">
        <f t="shared" si="65"/>
        <v>0</v>
      </c>
      <c r="AI155" s="49">
        <f t="shared" si="66"/>
        <v>0</v>
      </c>
      <c r="AJ155" s="49">
        <f t="shared" si="67"/>
        <v>0</v>
      </c>
      <c r="AK155" s="49">
        <f t="shared" si="68"/>
        <v>0</v>
      </c>
      <c r="AL155" s="49">
        <f t="shared" si="69"/>
        <v>0</v>
      </c>
      <c r="AN155" s="49">
        <f t="shared" si="47"/>
        <v>0</v>
      </c>
      <c r="AO155" s="49">
        <f t="shared" si="48"/>
        <v>0</v>
      </c>
      <c r="AP155" s="49">
        <f t="shared" si="49"/>
        <v>0</v>
      </c>
      <c r="AQ155" s="49">
        <f t="shared" si="50"/>
        <v>0</v>
      </c>
      <c r="AR155" s="49">
        <f t="shared" si="51"/>
        <v>0</v>
      </c>
      <c r="AT155" s="49">
        <f t="shared" si="70"/>
        <v>0</v>
      </c>
      <c r="AU155" s="49">
        <f t="shared" si="71"/>
        <v>0</v>
      </c>
      <c r="AV155" s="49">
        <f t="shared" si="72"/>
        <v>0</v>
      </c>
      <c r="AW155" s="49">
        <f t="shared" si="73"/>
        <v>0</v>
      </c>
      <c r="AX155" s="49">
        <f t="shared" si="74"/>
        <v>0</v>
      </c>
      <c r="AZ155" s="53">
        <f t="shared" si="75"/>
        <v>0</v>
      </c>
      <c r="BA155" s="53">
        <f t="shared" si="76"/>
        <v>0</v>
      </c>
      <c r="BB155" s="53">
        <f t="shared" si="77"/>
        <v>0</v>
      </c>
      <c r="BC155" s="53">
        <f t="shared" si="78"/>
        <v>0</v>
      </c>
      <c r="BD155" s="53">
        <f t="shared" si="79"/>
        <v>0</v>
      </c>
    </row>
    <row r="156" spans="1:56">
      <c r="B156" s="43">
        <f>'3. Input (des)investeringen '!B180</f>
        <v>1637</v>
      </c>
      <c r="C156" s="54"/>
      <c r="D156" s="54"/>
      <c r="E156" s="54"/>
      <c r="F156" s="48">
        <f>'3. Input (des)investeringen '!D180</f>
        <v>0</v>
      </c>
      <c r="G156" s="54"/>
      <c r="H156" s="43">
        <f>'3. Input (des)investeringen '!F180</f>
        <v>2026</v>
      </c>
      <c r="I156" s="48" t="str">
        <f>'3. Input (des)investeringen '!G180</f>
        <v>nvt</v>
      </c>
      <c r="J156" s="48">
        <f>'3. Input (des)investeringen '!H180</f>
        <v>0</v>
      </c>
      <c r="K156" s="48">
        <f>'3. Input (des)investeringen '!I180</f>
        <v>1</v>
      </c>
      <c r="M156" s="49">
        <f t="shared" si="62"/>
        <v>0</v>
      </c>
      <c r="N156" s="49">
        <f t="shared" si="63"/>
        <v>0</v>
      </c>
      <c r="P156" s="147">
        <f t="shared" si="38"/>
        <v>0</v>
      </c>
      <c r="Q156" s="147">
        <f t="shared" si="39"/>
        <v>0</v>
      </c>
      <c r="S156" s="49">
        <f t="shared" si="40"/>
        <v>0</v>
      </c>
      <c r="T156" s="44">
        <f t="shared" si="64"/>
        <v>0</v>
      </c>
      <c r="V156" s="49">
        <f t="shared" si="80"/>
        <v>0</v>
      </c>
      <c r="W156" s="49">
        <f t="shared" si="80"/>
        <v>0</v>
      </c>
      <c r="X156" s="49">
        <f t="shared" si="80"/>
        <v>0</v>
      </c>
      <c r="Y156" s="49">
        <f t="shared" si="80"/>
        <v>0</v>
      </c>
      <c r="Z156" s="49">
        <f t="shared" si="80"/>
        <v>0</v>
      </c>
      <c r="AB156" s="49">
        <f t="shared" si="81"/>
        <v>0</v>
      </c>
      <c r="AC156" s="49">
        <f t="shared" si="81"/>
        <v>0</v>
      </c>
      <c r="AD156" s="49">
        <f t="shared" si="81"/>
        <v>0</v>
      </c>
      <c r="AE156" s="49">
        <f t="shared" si="81"/>
        <v>0</v>
      </c>
      <c r="AF156" s="49">
        <f t="shared" si="81"/>
        <v>0</v>
      </c>
      <c r="AH156" s="49">
        <f t="shared" si="65"/>
        <v>0</v>
      </c>
      <c r="AI156" s="49">
        <f t="shared" si="66"/>
        <v>0</v>
      </c>
      <c r="AJ156" s="49">
        <f t="shared" si="67"/>
        <v>0</v>
      </c>
      <c r="AK156" s="49">
        <f t="shared" si="68"/>
        <v>0</v>
      </c>
      <c r="AL156" s="49">
        <f t="shared" si="69"/>
        <v>0</v>
      </c>
      <c r="AN156" s="49">
        <f t="shared" si="47"/>
        <v>0</v>
      </c>
      <c r="AO156" s="49">
        <f t="shared" si="48"/>
        <v>0</v>
      </c>
      <c r="AP156" s="49">
        <f t="shared" si="49"/>
        <v>0</v>
      </c>
      <c r="AQ156" s="49">
        <f t="shared" si="50"/>
        <v>0</v>
      </c>
      <c r="AR156" s="49">
        <f t="shared" si="51"/>
        <v>0</v>
      </c>
      <c r="AT156" s="49">
        <f t="shared" si="70"/>
        <v>0</v>
      </c>
      <c r="AU156" s="49">
        <f t="shared" si="71"/>
        <v>0</v>
      </c>
      <c r="AV156" s="49">
        <f t="shared" si="72"/>
        <v>0</v>
      </c>
      <c r="AW156" s="49">
        <f t="shared" si="73"/>
        <v>0</v>
      </c>
      <c r="AX156" s="49">
        <f t="shared" si="74"/>
        <v>0</v>
      </c>
      <c r="AZ156" s="53">
        <f t="shared" si="75"/>
        <v>0</v>
      </c>
      <c r="BA156" s="53">
        <f t="shared" si="76"/>
        <v>0</v>
      </c>
      <c r="BB156" s="53">
        <f t="shared" si="77"/>
        <v>0</v>
      </c>
      <c r="BC156" s="53">
        <f t="shared" si="78"/>
        <v>0</v>
      </c>
      <c r="BD156" s="53">
        <f t="shared" si="79"/>
        <v>0</v>
      </c>
    </row>
    <row r="157" spans="1:56">
      <c r="B157" s="43">
        <f>'3. Input (des)investeringen '!B181</f>
        <v>1643</v>
      </c>
      <c r="C157" s="54"/>
      <c r="D157" s="54"/>
      <c r="E157" s="54"/>
      <c r="F157" s="48">
        <f>'3. Input (des)investeringen '!D181</f>
        <v>-33013.724660430409</v>
      </c>
      <c r="G157" s="54"/>
      <c r="H157" s="43">
        <f>'3. Input (des)investeringen '!F181</f>
        <v>2026</v>
      </c>
      <c r="I157" s="48" t="str">
        <f>'3. Input (des)investeringen '!G181</f>
        <v>nvt</v>
      </c>
      <c r="J157" s="48">
        <f>'3. Input (des)investeringen '!H181</f>
        <v>0</v>
      </c>
      <c r="K157" s="48">
        <f>'3. Input (des)investeringen '!I181</f>
        <v>0</v>
      </c>
      <c r="M157" s="49">
        <f t="shared" si="62"/>
        <v>0</v>
      </c>
      <c r="N157" s="49">
        <f t="shared" si="63"/>
        <v>0</v>
      </c>
      <c r="P157" s="147">
        <f t="shared" si="38"/>
        <v>0</v>
      </c>
      <c r="Q157" s="147">
        <f t="shared" si="39"/>
        <v>0</v>
      </c>
      <c r="S157" s="49">
        <f t="shared" si="40"/>
        <v>0</v>
      </c>
      <c r="T157" s="44">
        <f t="shared" si="64"/>
        <v>0</v>
      </c>
      <c r="V157" s="49">
        <f t="shared" si="80"/>
        <v>0</v>
      </c>
      <c r="W157" s="49">
        <f t="shared" si="80"/>
        <v>0</v>
      </c>
      <c r="X157" s="49">
        <f t="shared" si="80"/>
        <v>0</v>
      </c>
      <c r="Y157" s="49">
        <f t="shared" si="80"/>
        <v>0</v>
      </c>
      <c r="Z157" s="49">
        <f t="shared" si="80"/>
        <v>0</v>
      </c>
      <c r="AB157" s="49">
        <f t="shared" si="81"/>
        <v>0</v>
      </c>
      <c r="AC157" s="49">
        <f t="shared" si="81"/>
        <v>0</v>
      </c>
      <c r="AD157" s="49">
        <f t="shared" si="81"/>
        <v>0</v>
      </c>
      <c r="AE157" s="49">
        <f t="shared" si="81"/>
        <v>0</v>
      </c>
      <c r="AF157" s="49">
        <f t="shared" si="81"/>
        <v>0</v>
      </c>
      <c r="AH157" s="49">
        <f t="shared" si="65"/>
        <v>0</v>
      </c>
      <c r="AI157" s="49">
        <f t="shared" si="66"/>
        <v>0</v>
      </c>
      <c r="AJ157" s="49">
        <f t="shared" si="67"/>
        <v>0</v>
      </c>
      <c r="AK157" s="49">
        <f t="shared" si="68"/>
        <v>0</v>
      </c>
      <c r="AL157" s="49">
        <f t="shared" si="69"/>
        <v>0</v>
      </c>
      <c r="AN157" s="49">
        <f t="shared" si="47"/>
        <v>0</v>
      </c>
      <c r="AO157" s="49">
        <f t="shared" si="48"/>
        <v>0</v>
      </c>
      <c r="AP157" s="49">
        <f t="shared" si="49"/>
        <v>0</v>
      </c>
      <c r="AQ157" s="49">
        <f t="shared" si="50"/>
        <v>0</v>
      </c>
      <c r="AR157" s="49">
        <f t="shared" si="51"/>
        <v>-33013.724660430409</v>
      </c>
      <c r="AT157" s="49">
        <f t="shared" si="70"/>
        <v>0</v>
      </c>
      <c r="AU157" s="49">
        <f t="shared" si="71"/>
        <v>0</v>
      </c>
      <c r="AV157" s="49">
        <f t="shared" si="72"/>
        <v>0</v>
      </c>
      <c r="AW157" s="49">
        <f t="shared" si="73"/>
        <v>0</v>
      </c>
      <c r="AX157" s="49">
        <f t="shared" si="74"/>
        <v>0</v>
      </c>
      <c r="AZ157" s="53">
        <f t="shared" si="75"/>
        <v>0</v>
      </c>
      <c r="BA157" s="53">
        <f t="shared" si="76"/>
        <v>0</v>
      </c>
      <c r="BB157" s="53">
        <f t="shared" si="77"/>
        <v>0</v>
      </c>
      <c r="BC157" s="53">
        <f t="shared" si="78"/>
        <v>0</v>
      </c>
      <c r="BD157" s="53">
        <f t="shared" si="79"/>
        <v>-990.41173981291229</v>
      </c>
    </row>
    <row r="158" spans="1:56">
      <c r="B158" s="43">
        <f>'3. Input (des)investeringen '!B182</f>
        <v>1649</v>
      </c>
      <c r="C158" s="54"/>
      <c r="D158" s="54"/>
      <c r="E158" s="54"/>
      <c r="F158" s="48">
        <f>'3. Input (des)investeringen '!D182</f>
        <v>0</v>
      </c>
      <c r="G158" s="54"/>
      <c r="H158" s="43">
        <f>'3. Input (des)investeringen '!F182</f>
        <v>2026</v>
      </c>
      <c r="I158" s="48" t="str">
        <f>'3. Input (des)investeringen '!G182</f>
        <v>nvt</v>
      </c>
      <c r="J158" s="48">
        <f>'3. Input (des)investeringen '!H182</f>
        <v>0</v>
      </c>
      <c r="K158" s="48">
        <f>'3. Input (des)investeringen '!I182</f>
        <v>0</v>
      </c>
      <c r="M158" s="49">
        <f t="shared" si="62"/>
        <v>0</v>
      </c>
      <c r="N158" s="49">
        <f t="shared" si="63"/>
        <v>0</v>
      </c>
      <c r="P158" s="147">
        <f t="shared" si="38"/>
        <v>0</v>
      </c>
      <c r="Q158" s="147">
        <f t="shared" si="39"/>
        <v>0</v>
      </c>
      <c r="S158" s="49">
        <f t="shared" si="40"/>
        <v>0</v>
      </c>
      <c r="T158" s="44">
        <f t="shared" si="64"/>
        <v>0</v>
      </c>
      <c r="V158" s="49">
        <f t="shared" si="80"/>
        <v>0</v>
      </c>
      <c r="W158" s="49">
        <f t="shared" si="80"/>
        <v>0</v>
      </c>
      <c r="X158" s="49">
        <f t="shared" si="80"/>
        <v>0</v>
      </c>
      <c r="Y158" s="49">
        <f t="shared" si="80"/>
        <v>0</v>
      </c>
      <c r="Z158" s="49">
        <f t="shared" si="80"/>
        <v>0</v>
      </c>
      <c r="AB158" s="49">
        <f t="shared" si="81"/>
        <v>0</v>
      </c>
      <c r="AC158" s="49">
        <f t="shared" si="81"/>
        <v>0</v>
      </c>
      <c r="AD158" s="49">
        <f t="shared" si="81"/>
        <v>0</v>
      </c>
      <c r="AE158" s="49">
        <f t="shared" si="81"/>
        <v>0</v>
      </c>
      <c r="AF158" s="49">
        <f t="shared" si="81"/>
        <v>0</v>
      </c>
      <c r="AH158" s="49">
        <f t="shared" si="65"/>
        <v>0</v>
      </c>
      <c r="AI158" s="49">
        <f t="shared" si="66"/>
        <v>0</v>
      </c>
      <c r="AJ158" s="49">
        <f t="shared" si="67"/>
        <v>0</v>
      </c>
      <c r="AK158" s="49">
        <f t="shared" si="68"/>
        <v>0</v>
      </c>
      <c r="AL158" s="49">
        <f t="shared" si="69"/>
        <v>0</v>
      </c>
      <c r="AN158" s="49">
        <f t="shared" si="47"/>
        <v>0</v>
      </c>
      <c r="AO158" s="49">
        <f t="shared" si="48"/>
        <v>0</v>
      </c>
      <c r="AP158" s="49">
        <f t="shared" si="49"/>
        <v>0</v>
      </c>
      <c r="AQ158" s="49">
        <f t="shared" si="50"/>
        <v>0</v>
      </c>
      <c r="AR158" s="49">
        <f t="shared" si="51"/>
        <v>0</v>
      </c>
      <c r="AT158" s="49">
        <f t="shared" si="70"/>
        <v>0</v>
      </c>
      <c r="AU158" s="49">
        <f t="shared" si="71"/>
        <v>0</v>
      </c>
      <c r="AV158" s="49">
        <f t="shared" si="72"/>
        <v>0</v>
      </c>
      <c r="AW158" s="49">
        <f t="shared" si="73"/>
        <v>0</v>
      </c>
      <c r="AX158" s="49">
        <f t="shared" si="74"/>
        <v>0</v>
      </c>
      <c r="AZ158" s="53">
        <f t="shared" si="75"/>
        <v>0</v>
      </c>
      <c r="BA158" s="53">
        <f t="shared" si="76"/>
        <v>0</v>
      </c>
      <c r="BB158" s="53">
        <f t="shared" si="77"/>
        <v>0</v>
      </c>
      <c r="BC158" s="53">
        <f t="shared" si="78"/>
        <v>0</v>
      </c>
      <c r="BD158" s="53">
        <f t="shared" si="79"/>
        <v>0</v>
      </c>
    </row>
    <row r="159" spans="1:56">
      <c r="C159" s="54"/>
      <c r="E159" s="54"/>
      <c r="AR159" s="97"/>
    </row>
    <row r="160" spans="1:56" s="39" customFormat="1">
      <c r="A160" s="106"/>
      <c r="B160" s="39" t="s">
        <v>825</v>
      </c>
      <c r="J160" s="39" t="s">
        <v>826</v>
      </c>
    </row>
    <row r="161" spans="1:44" s="40" customFormat="1">
      <c r="A161" s="107"/>
      <c r="D161" s="41" t="s">
        <v>827</v>
      </c>
      <c r="J161" s="109">
        <v>2022</v>
      </c>
      <c r="K161" s="109">
        <v>2023</v>
      </c>
      <c r="L161" s="109">
        <v>2024</v>
      </c>
      <c r="M161" s="109">
        <v>2025</v>
      </c>
      <c r="N161" s="109">
        <v>2026</v>
      </c>
    </row>
    <row r="162" spans="1:44">
      <c r="C162" s="54"/>
      <c r="E162" s="54"/>
      <c r="AR162" s="97"/>
    </row>
    <row r="163" spans="1:44">
      <c r="B163" s="3" t="s">
        <v>828</v>
      </c>
      <c r="C163" s="54"/>
      <c r="D163" s="3">
        <v>2020</v>
      </c>
      <c r="E163" s="54"/>
      <c r="J163" s="266">
        <f>SUMIFS(AZ$61:AZ$158, $H$61:$H$158, $D163, $J$61:$J$158, 0)</f>
        <v>-960.70328066552725</v>
      </c>
      <c r="K163" s="266">
        <f t="shared" ref="K163:N163" si="82">SUMIFS(BA$61:BA$158, $H$61:$H$158, $D163, $J$61:$J$158, 0)</f>
        <v>-929.71285225696181</v>
      </c>
      <c r="L163" s="266">
        <f t="shared" si="82"/>
        <v>-929.71285225696181</v>
      </c>
      <c r="M163" s="266">
        <f t="shared" si="82"/>
        <v>-929.71285225696181</v>
      </c>
      <c r="N163" s="266">
        <f t="shared" si="82"/>
        <v>-929.71285225696181</v>
      </c>
      <c r="AR163" s="97"/>
    </row>
    <row r="164" spans="1:44">
      <c r="B164" s="3" t="s">
        <v>828</v>
      </c>
      <c r="C164" s="54"/>
      <c r="D164" s="3">
        <v>2021</v>
      </c>
      <c r="E164" s="54"/>
      <c r="J164" s="266">
        <f t="shared" ref="J164:J165" si="83">SUMIFS(AZ$61:AZ$158, $H$61:$H$158, $D164, $J$61:$J$158, 0)</f>
        <v>-959.74257738486176</v>
      </c>
      <c r="K164" s="266">
        <f t="shared" ref="K164:K165" si="84">SUMIFS(BA$61:BA$158, $H$61:$H$158, $D164, $J$61:$J$158, 0)</f>
        <v>-928.78313940470491</v>
      </c>
      <c r="L164" s="266">
        <f t="shared" ref="L164:L165" si="85">SUMIFS(BB$61:BB$158, $H$61:$H$158, $D164, $J$61:$J$158, 0)</f>
        <v>-928.78313940470491</v>
      </c>
      <c r="M164" s="266">
        <f t="shared" ref="M164:M165" si="86">SUMIFS(BC$61:BC$158, $H$61:$H$158, $D164, $J$61:$J$158, 0)</f>
        <v>-928.78313940470491</v>
      </c>
      <c r="N164" s="266">
        <f t="shared" ref="N164:N165" si="87">SUMIFS(BD$61:BD$158, $H$61:$H$158, $D164, $J$61:$J$158, 0)</f>
        <v>-928.78313940470491</v>
      </c>
      <c r="AR164" s="97"/>
    </row>
    <row r="165" spans="1:44">
      <c r="B165" s="3" t="s">
        <v>828</v>
      </c>
      <c r="C165" s="54"/>
      <c r="D165" s="3">
        <v>2022</v>
      </c>
      <c r="E165" s="54"/>
      <c r="J165" s="266">
        <f t="shared" si="83"/>
        <v>-972.15396839560265</v>
      </c>
      <c r="K165" s="266">
        <f t="shared" si="84"/>
        <v>-940.79416296348643</v>
      </c>
      <c r="L165" s="266">
        <f t="shared" si="85"/>
        <v>-940.79416296348643</v>
      </c>
      <c r="M165" s="266">
        <f t="shared" si="86"/>
        <v>-940.79416296348643</v>
      </c>
      <c r="N165" s="266">
        <f t="shared" si="87"/>
        <v>-940.79416296348643</v>
      </c>
      <c r="AR165" s="97"/>
    </row>
    <row r="166" spans="1:44">
      <c r="B166" s="3" t="s">
        <v>828</v>
      </c>
      <c r="C166" s="54"/>
      <c r="D166" s="3">
        <v>2023</v>
      </c>
      <c r="E166" s="54"/>
      <c r="J166" s="10"/>
      <c r="K166" s="10"/>
      <c r="L166" s="10"/>
      <c r="M166" s="10"/>
      <c r="N166" s="10"/>
      <c r="AR166" s="97"/>
    </row>
    <row r="167" spans="1:44">
      <c r="B167" s="3" t="s">
        <v>828</v>
      </c>
      <c r="C167" s="54"/>
      <c r="D167" s="3">
        <v>2024</v>
      </c>
      <c r="E167" s="54"/>
      <c r="J167" s="10"/>
      <c r="K167" s="10"/>
      <c r="L167" s="10"/>
      <c r="M167" s="10"/>
      <c r="N167" s="10"/>
      <c r="AR167" s="97"/>
    </row>
    <row r="168" spans="1:44">
      <c r="B168" s="3" t="s">
        <v>828</v>
      </c>
      <c r="C168" s="54"/>
      <c r="D168" s="3">
        <v>2025</v>
      </c>
      <c r="E168" s="54"/>
      <c r="J168" s="10"/>
      <c r="K168" s="10"/>
      <c r="L168" s="10"/>
      <c r="M168" s="10"/>
      <c r="N168" s="10"/>
      <c r="AR168" s="97"/>
    </row>
    <row r="169" spans="1:44">
      <c r="B169" s="3" t="s">
        <v>828</v>
      </c>
      <c r="C169" s="54"/>
      <c r="D169" s="3">
        <v>2026</v>
      </c>
      <c r="E169" s="54"/>
      <c r="J169" s="10"/>
      <c r="K169" s="10"/>
      <c r="L169" s="10"/>
      <c r="M169" s="10"/>
      <c r="N169" s="10"/>
      <c r="AR169" s="97"/>
    </row>
    <row r="170" spans="1:44">
      <c r="C170" s="54"/>
      <c r="E170" s="54"/>
      <c r="AR170" s="97"/>
    </row>
    <row r="171" spans="1:44">
      <c r="B171" s="3" t="s">
        <v>829</v>
      </c>
      <c r="C171" s="54"/>
      <c r="D171" s="3">
        <v>2020</v>
      </c>
      <c r="E171" s="54"/>
      <c r="J171" s="53">
        <f>SUMIFS(AZ$61:AZ$158, $H$61:$H$158, $D171, $J$61:$J$158, "&gt;0")</f>
        <v>14052993.178738829</v>
      </c>
      <c r="K171" s="53">
        <f t="shared" ref="K171:N171" si="88">SUMIFS(BA$61:BA$158, $H$61:$H$158, $D171, $J$61:$J$158, "&gt;0")</f>
        <v>13376603.554212186</v>
      </c>
      <c r="L171" s="53">
        <f t="shared" si="88"/>
        <v>12940820.625871401</v>
      </c>
      <c r="M171" s="53">
        <f t="shared" si="88"/>
        <v>12428409.614309341</v>
      </c>
      <c r="N171" s="53">
        <f t="shared" si="88"/>
        <v>12115072.950440388</v>
      </c>
      <c r="AR171" s="97"/>
    </row>
    <row r="172" spans="1:44">
      <c r="B172" s="3" t="s">
        <v>829</v>
      </c>
      <c r="C172" s="54"/>
      <c r="D172" s="3">
        <v>2021</v>
      </c>
      <c r="E172" s="54"/>
      <c r="J172" s="53">
        <f t="shared" ref="J172:J173" si="89">SUMIFS(AZ$61:AZ$158, $H$61:$H$158, $D172, $J$61:$J$158, "&gt;0")</f>
        <v>14220323.105890617</v>
      </c>
      <c r="K172" s="53">
        <f t="shared" ref="K172:K173" si="90">SUMIFS(BA$61:BA$158, $H$61:$H$158, $D172, $J$61:$J$158, "&gt;0")</f>
        <v>13560674.182972176</v>
      </c>
      <c r="L172" s="53">
        <f t="shared" ref="L172:L173" si="91">SUMIFS(BB$61:BB$158, $H$61:$H$158, $D172, $J$61:$J$158, "&gt;0")</f>
        <v>13142954.692162119</v>
      </c>
      <c r="M172" s="53">
        <f t="shared" ref="M172:M173" si="92">SUMIFS(BC$61:BC$158, $H$61:$H$158, $D172, $J$61:$J$158, "&gt;0")</f>
        <v>12644884.077995995</v>
      </c>
      <c r="N172" s="53">
        <f t="shared" ref="N172:N173" si="93">SUMIFS(BD$61:BD$158, $H$61:$H$158, $D172, $J$61:$J$158, "&gt;0")</f>
        <v>12291827.926217539</v>
      </c>
      <c r="AR172" s="97"/>
    </row>
    <row r="173" spans="1:44">
      <c r="B173" s="3" t="s">
        <v>829</v>
      </c>
      <c r="C173" s="54"/>
      <c r="D173" s="3">
        <v>2022</v>
      </c>
      <c r="E173" s="54"/>
      <c r="J173" s="53">
        <f t="shared" si="89"/>
        <v>10859339.648423286</v>
      </c>
      <c r="K173" s="53">
        <f t="shared" si="90"/>
        <v>14105698.699192781</v>
      </c>
      <c r="L173" s="53">
        <f t="shared" si="91"/>
        <v>13670355.249209186</v>
      </c>
      <c r="M173" s="53">
        <f t="shared" si="92"/>
        <v>13154958.809846381</v>
      </c>
      <c r="N173" s="53">
        <f t="shared" si="93"/>
        <v>12679204.993634626</v>
      </c>
      <c r="AR173" s="97"/>
    </row>
    <row r="174" spans="1:44">
      <c r="B174" s="3" t="s">
        <v>829</v>
      </c>
      <c r="C174" s="54"/>
      <c r="D174" s="3">
        <v>2023</v>
      </c>
      <c r="E174" s="54"/>
      <c r="J174" s="105"/>
      <c r="K174" s="105"/>
      <c r="L174" s="105"/>
      <c r="M174" s="105"/>
      <c r="N174" s="105"/>
      <c r="AR174" s="97"/>
    </row>
    <row r="175" spans="1:44">
      <c r="B175" s="3" t="s">
        <v>829</v>
      </c>
      <c r="C175" s="54"/>
      <c r="D175" s="3">
        <v>2024</v>
      </c>
      <c r="E175" s="54"/>
      <c r="J175" s="105"/>
      <c r="K175" s="105"/>
      <c r="L175" s="105"/>
      <c r="M175" s="105"/>
      <c r="N175" s="105"/>
      <c r="AR175" s="97"/>
    </row>
    <row r="176" spans="1:44">
      <c r="B176" s="3" t="s">
        <v>829</v>
      </c>
      <c r="C176" s="54"/>
      <c r="D176" s="3">
        <v>2025</v>
      </c>
      <c r="E176" s="54"/>
      <c r="J176" s="105"/>
      <c r="K176" s="105"/>
      <c r="L176" s="105"/>
      <c r="M176" s="105"/>
      <c r="N176" s="105"/>
      <c r="AR176" s="97"/>
    </row>
    <row r="177" spans="2:56">
      <c r="B177" s="3" t="s">
        <v>829</v>
      </c>
      <c r="C177" s="54"/>
      <c r="D177" s="3">
        <v>2026</v>
      </c>
      <c r="E177" s="54"/>
      <c r="J177" s="105"/>
      <c r="K177" s="105"/>
      <c r="L177" s="105"/>
      <c r="M177" s="105"/>
      <c r="N177" s="105"/>
      <c r="AR177" s="97"/>
    </row>
    <row r="178" spans="2:56">
      <c r="C178" s="54"/>
      <c r="E178" s="54"/>
      <c r="AR178" s="97"/>
    </row>
    <row r="179" spans="2:56" s="39" customFormat="1">
      <c r="B179" s="39" t="s">
        <v>830</v>
      </c>
    </row>
    <row r="180" spans="2:56" s="42" customFormat="1">
      <c r="M180" s="42" t="s">
        <v>801</v>
      </c>
      <c r="P180" s="42" t="s">
        <v>802</v>
      </c>
      <c r="S180" s="42" t="s">
        <v>803</v>
      </c>
      <c r="V180" s="42" t="s">
        <v>804</v>
      </c>
      <c r="AB180" s="42" t="s">
        <v>805</v>
      </c>
      <c r="AH180" s="42" t="s">
        <v>806</v>
      </c>
      <c r="AN180" s="42" t="s">
        <v>807</v>
      </c>
      <c r="AT180" s="42" t="s">
        <v>823</v>
      </c>
      <c r="AZ180" s="42" t="s">
        <v>824</v>
      </c>
    </row>
    <row r="181" spans="2:56" s="45" customFormat="1">
      <c r="B181" s="45" t="s">
        <v>811</v>
      </c>
      <c r="F181" s="45" t="s">
        <v>331</v>
      </c>
      <c r="H181" s="46" t="s">
        <v>332</v>
      </c>
      <c r="I181" s="45" t="s">
        <v>255</v>
      </c>
      <c r="J181" s="46" t="s">
        <v>256</v>
      </c>
      <c r="K181" s="47"/>
      <c r="M181" s="51">
        <v>2020</v>
      </c>
      <c r="N181" s="51">
        <v>2021</v>
      </c>
      <c r="P181" s="51">
        <v>2020</v>
      </c>
      <c r="Q181" s="51">
        <v>2021</v>
      </c>
      <c r="S181" s="45" t="s">
        <v>816</v>
      </c>
      <c r="T181" s="45" t="s">
        <v>817</v>
      </c>
      <c r="V181" s="51">
        <v>2022</v>
      </c>
      <c r="W181" s="51">
        <v>2023</v>
      </c>
      <c r="X181" s="51">
        <v>2024</v>
      </c>
      <c r="Y181" s="51">
        <v>2025</v>
      </c>
      <c r="Z181" s="51">
        <v>2026</v>
      </c>
      <c r="AB181" s="51">
        <v>2022</v>
      </c>
      <c r="AC181" s="51">
        <v>2023</v>
      </c>
      <c r="AD181" s="51">
        <v>2024</v>
      </c>
      <c r="AE181" s="51">
        <v>2025</v>
      </c>
      <c r="AF181" s="51">
        <v>2026</v>
      </c>
      <c r="AH181" s="51">
        <v>2022</v>
      </c>
      <c r="AI181" s="51">
        <v>2023</v>
      </c>
      <c r="AJ181" s="51">
        <v>2024</v>
      </c>
      <c r="AK181" s="51">
        <v>2025</v>
      </c>
      <c r="AL181" s="51">
        <v>2026</v>
      </c>
      <c r="AN181" s="51">
        <v>2022</v>
      </c>
      <c r="AO181" s="51">
        <v>2023</v>
      </c>
      <c r="AP181" s="51">
        <v>2024</v>
      </c>
      <c r="AQ181" s="51">
        <v>2025</v>
      </c>
      <c r="AR181" s="51">
        <v>2026</v>
      </c>
      <c r="AT181" s="45" t="s">
        <v>412</v>
      </c>
      <c r="AU181" s="45" t="s">
        <v>413</v>
      </c>
      <c r="AV181" s="45" t="s">
        <v>414</v>
      </c>
      <c r="AW181" s="45" t="s">
        <v>415</v>
      </c>
      <c r="AX181" s="45" t="s">
        <v>416</v>
      </c>
      <c r="AZ181" s="51">
        <v>2022</v>
      </c>
      <c r="BA181" s="51">
        <v>2023</v>
      </c>
      <c r="BB181" s="51">
        <v>2024</v>
      </c>
      <c r="BC181" s="51">
        <v>2025</v>
      </c>
      <c r="BD181" s="51">
        <v>2026</v>
      </c>
    </row>
    <row r="182" spans="2:56">
      <c r="C182" s="54"/>
      <c r="E182" s="54"/>
      <c r="AR182" s="97"/>
      <c r="AT182" s="54"/>
      <c r="AU182" s="54"/>
      <c r="AV182" s="54"/>
      <c r="AW182" s="54"/>
      <c r="AX182" s="54"/>
    </row>
    <row r="183" spans="2:56">
      <c r="B183" s="43">
        <f>'10. Investeringen (bijschatten)'!B20</f>
        <v>1</v>
      </c>
      <c r="C183" s="54"/>
      <c r="E183" s="54"/>
      <c r="F183" s="160">
        <f>'10. Investeringen (bijschatten)'!C20</f>
        <v>31360107.14852399</v>
      </c>
      <c r="H183" s="43">
        <f>'10. Investeringen (bijschatten)'!D20</f>
        <v>2020</v>
      </c>
      <c r="I183" s="43" t="str">
        <f>'10. Investeringen (bijschatten)'!E20</f>
        <v>01 Regionale leidingen</v>
      </c>
      <c r="J183" s="180">
        <f>_xlfn.XLOOKUP(I183,'3. Input (des)investeringen '!$B$11:$B$80,'3. Input (des)investeringen '!$D$11:$D$80)</f>
        <v>55</v>
      </c>
      <c r="K183" s="166"/>
      <c r="L183" s="166"/>
      <c r="M183" s="49">
        <f>IF($J183 = 0, 0, IF($H183&lt;=M$181,
VDB($F183,0,$J183,MAX(0,M$59-$H183-0.5),MIN($J183,M$59-$H183+0.5),1)*INDEX(H$40:H$46,$H183-2019,1),
0))</f>
        <v>285091.88316839992</v>
      </c>
      <c r="N183" s="49">
        <f>IF($J183 = 0, 0, IF($H183&lt;=N$181,
VDB($F183,0,$J183,MAX(0,N$59-$H183-0.5),MIN($J183,N$59-$H183+0.5),1)*INDEX(I$40:I$46,$H183-2019,1),
0))</f>
        <v>579306.70659818861</v>
      </c>
      <c r="P183" s="147">
        <f>IF($J183=0, IF($H183 = M$181, $F183, 0), IF(OR($H183&gt;P$59,$H183+$J183&lt;=P$59),0,
F183-M183))</f>
        <v>31075015.265355591</v>
      </c>
      <c r="Q183" s="147">
        <f>IF($J183=0, IF($H183 &gt; N$181, 0, IF($H183=N$181, $F183, $P183*I$40)), IF(OR($H183&gt;Q$59,$H183+$J183&lt;=Q$59),0,
IF($H183=Q$59,F183-N183,P183*I$40-N183)))</f>
        <v>30992908.803003091</v>
      </c>
      <c r="S183" s="49">
        <f>IF($J183=0, IF(H183&lt;=2021, $Q183, IF(H183=2022, $F183,0)), IF(H183&lt;=2021,Q183,F183))</f>
        <v>30992908.803003091</v>
      </c>
      <c r="T183" s="44">
        <f>IF($J183=0, 0, IF(H183&lt;2022,J183-2021+H183-0.5,J183))</f>
        <v>53.5</v>
      </c>
      <c r="V183" s="49">
        <f>IF($J183=0, 0, IF(OR($H183&gt;V$59,$H183+$J183&lt;V$59),0,
IF(OR($H183=2020,$H183=2021),VDB($S183*(1-$F$28),0,$T183,V$59-2022,MIN($T183,V$59-2021),$F$22),
VDB($S183*(1-$F$28),0,$T183,MAX(0,V$59-$H183-0.5),MIN($T183,V$59-$H183+0.5),$F$22,FALSE))))</f>
        <v>677788.8467198807</v>
      </c>
      <c r="W183" s="49">
        <f>IF($J183=0, 0, IF(OR($H183&gt;W$59,$H183+$J183&lt;W$59),0,
IF(OR($H183=2020,$H183=2021),VDB($S183*(1-$F$28),0,$T183,W$59-2022,MIN($T183,W$59-2021),$F$22),
VDB($S183*(1-$F$28),0,$T183,MAX(0,W$59-$H183-0.5),MIN($T183,W$59-$H183+0.5),$F$22,FALSE))))</f>
        <v>661319.21119210788</v>
      </c>
      <c r="X183" s="49">
        <f t="shared" ref="X183:Z198" si="94">IF($J183=0, 0, IF(OR($H183&gt;X$59,$H183+$J183&lt;X$59),0,
IF(OR($H183=2020,$H183=2021),VDB($S183*(1-$F$28),0,$T183,X$59-2022,MIN($T183,X$59-2021),$F$22),
VDB($S183*(1-$F$28),0,$T183,MAX(0,X$59-$H183-0.5),MIN($T183,X$59-$H183+0.5),$F$22,FALSE))))</f>
        <v>645249.7724154772</v>
      </c>
      <c r="Y183" s="49">
        <f t="shared" si="94"/>
        <v>629570.80598295154</v>
      </c>
      <c r="Z183" s="49">
        <f t="shared" si="94"/>
        <v>614272.82378149673</v>
      </c>
      <c r="AB183" s="49">
        <f>IF($J183 = 0, 0, IF(OR($H183&gt;AB$59,$H183+$J183&lt;AB$59),0,
IF(OR($H183=2020,$H183=2021),VDB($S183*$F$28,0,$T183,AB$59-2022,MIN($T183,AB$59-2021),1),
VDB($S183*$F$28,0,$T183,MAX(0,AB$59-$H183-0.5),MIN($T183,AB$59-$H183+0.5),1))))</f>
        <v>57930.670659818868</v>
      </c>
      <c r="AC183" s="49">
        <f>IF($J183 = 0, 0, IF(OR($H183&gt;AC$59,$H183+$J183&lt;AC$59),0,
IF(OR($H183=2020,$H183=2021),VDB($S183*$F$28,0,$T183,AC$59-2022,MIN($T183,AC$59-2021),1),
VDB($S183*$F$28,0,$T183,MAX(0,AC$59-$H183-0.5),MIN($T183,AC$59-$H183+0.5),1))))</f>
        <v>57930.670659818876</v>
      </c>
      <c r="AD183" s="49">
        <f t="shared" ref="AD183:AF198" si="95">IF($J183 = 0, 0, IF(OR($H183&gt;AD$59,$H183+$J183&lt;AD$59),0,
IF(OR($H183=2020,$H183=2021),VDB($S183*$F$28,0,$T183,AD$59-2022,MIN($T183,AD$59-2021),1),
VDB($S183*$F$28,0,$T183,MAX(0,AD$59-$H183-0.5),MIN($T183,AD$59-$H183+0.5),1))))</f>
        <v>57930.670659818876</v>
      </c>
      <c r="AE183" s="49">
        <f t="shared" si="95"/>
        <v>57930.670659818876</v>
      </c>
      <c r="AF183" s="49">
        <f t="shared" si="95"/>
        <v>57930.670659818876</v>
      </c>
      <c r="AH183" s="49">
        <f>V183+AB183</f>
        <v>735719.51737969962</v>
      </c>
      <c r="AI183" s="49">
        <f t="shared" ref="AI183:AL183" si="96">W183+AC183</f>
        <v>719249.8818519268</v>
      </c>
      <c r="AJ183" s="49">
        <f t="shared" si="96"/>
        <v>703180.44307529612</v>
      </c>
      <c r="AK183" s="49">
        <f t="shared" si="96"/>
        <v>687501.47664277046</v>
      </c>
      <c r="AL183" s="49">
        <f t="shared" si="96"/>
        <v>672203.49444131565</v>
      </c>
      <c r="AN183" s="49">
        <f>IF($J183=0,$S183,IF(OR($H183&gt;AN$59,$H183+$J183&lt;=AN$59),0,
IF($H183=AN$59,$S183-AH183,
S183-AH183)))</f>
        <v>30257189.28562339</v>
      </c>
      <c r="AO183" s="49">
        <f>IF($J183 = 0, IF($H183 &gt; AO$181, 0, IF($H183=AO$181, $F183, AN183)), IF(OR($H183&gt;AO$59,$H183+$J183&lt;=AO$59),0,
IF($H183=AO$59,$J183-AI183,
AN183-AI183)))</f>
        <v>29537939.403771464</v>
      </c>
      <c r="AP183" s="49">
        <f t="shared" ref="AP183:AR183" si="97">IF($J183 = 0, IF($H183 &gt; AP$181, 0, IF($H183=AP$181, $F183, AO183)), IF(OR($H183&gt;AP$59,$H183+$J183&lt;=AP$59),0,
IF($H183=AP$59,$J183-AJ183,
AO183-AJ183)))</f>
        <v>28834758.960696168</v>
      </c>
      <c r="AQ183" s="49">
        <f t="shared" si="97"/>
        <v>28147257.484053399</v>
      </c>
      <c r="AR183" s="49">
        <f t="shared" si="97"/>
        <v>27475053.989612084</v>
      </c>
      <c r="AT183" s="49">
        <f>IF(AH183&gt;0,$F183*INDEX($H$40:$N$46,$H183-2019,AT$181-2019)*INDEX($H$49:$N$55,$H183-2019,AT$181-2019)*$F$19,0)</f>
        <v>322733.35331450432</v>
      </c>
      <c r="AU183" s="49">
        <f t="shared" ref="AU183:AX183" si="98">IF(AI183&gt;0,$F183*INDEX($H$40:$N$46,$H183-2019,AU$59-2019)*INDEX($H$49:$N$55,$H183-2019,AU$59-2019)*$F$19,0)</f>
        <v>341371.84993512358</v>
      </c>
      <c r="AV183" s="49">
        <f t="shared" si="98"/>
        <v>367206.8715382138</v>
      </c>
      <c r="AW183" s="49">
        <f t="shared" si="98"/>
        <v>371955.59080094594</v>
      </c>
      <c r="AX183" s="49">
        <f t="shared" si="98"/>
        <v>376765.72050118371</v>
      </c>
      <c r="AZ183" s="53">
        <f>AH183+AN183*J$16+AT183</f>
        <v>1996425.7385485291</v>
      </c>
      <c r="BA183" s="53">
        <f t="shared" ref="BA183:BD183" si="99">AI183+AO183*K$16+AU183</f>
        <v>1946759.9139001942</v>
      </c>
      <c r="BB183" s="53">
        <f t="shared" si="99"/>
        <v>1935430.083434395</v>
      </c>
      <c r="BC183" s="53">
        <f t="shared" si="99"/>
        <v>1903874.7919653181</v>
      </c>
      <c r="BD183" s="53">
        <f t="shared" si="99"/>
        <v>1873220.8346308619</v>
      </c>
    </row>
    <row r="184" spans="2:56">
      <c r="B184" s="43">
        <f>'10. Investeringen (bijschatten)'!B21</f>
        <v>2</v>
      </c>
      <c r="C184" s="54"/>
      <c r="E184" s="54"/>
      <c r="F184" s="160">
        <f>'10. Investeringen (bijschatten)'!C21</f>
        <v>4529775.5276718521</v>
      </c>
      <c r="H184" s="43">
        <f>'10. Investeringen (bijschatten)'!D21</f>
        <v>2020</v>
      </c>
      <c r="I184" s="43" t="str">
        <f>'10. Investeringen (bijschatten)'!E21</f>
        <v>02 Gasontvangststations</v>
      </c>
      <c r="J184" s="180">
        <f>_xlfn.XLOOKUP(I184,'3. Input (des)investeringen '!$B$11:$B$80,'3. Input (des)investeringen '!$D$11:$D$80)</f>
        <v>30</v>
      </c>
      <c r="K184" s="166"/>
      <c r="L184" s="166"/>
      <c r="M184" s="49">
        <f t="shared" ref="M184:M239" si="100">IF($J184 = 0, 0, IF($H184&lt;=M$181,
VDB($F184,0,$J184,MAX(0,M$59-$H184-0.5),MIN($J184,M$59-$H184+0.5),1)*INDEX(H$40:H$46,$H184-2019,1),
0))</f>
        <v>75496.258794530862</v>
      </c>
      <c r="N184" s="49">
        <f t="shared" ref="N184:N239" si="101">IF($J184 = 0, 0, IF($H184&lt;=N$181,
VDB($F184,0,$J184,MAX(0,N$59-$H184-0.5),MIN($J184,N$59-$H184+0.5),1)*INDEX(I$40:I$46,$H184-2019,1),
0))</f>
        <v>153408.39787048672</v>
      </c>
      <c r="P184" s="147">
        <f t="shared" ref="P184:P239" si="102">IF($J184=0, IF($H184 = M$181, $F184, 0), IF(OR($H184&gt;P$59,$H184+$J184&lt;=P$59),0,
F184-M184))</f>
        <v>4454279.2688773209</v>
      </c>
      <c r="Q184" s="147">
        <f t="shared" ref="Q184:Q239" si="103">IF($J184=0, IF($H184 &gt; N$181, 0, IF($H184=N$181, $F184, $P184*I$40)), IF(OR($H184&gt;Q$59,$H184+$J184&lt;=Q$59),0,
IF($H184=Q$59,F184-N184,P184*I$40-N184)))</f>
        <v>4372139.3393088719</v>
      </c>
      <c r="S184" s="49">
        <f t="shared" ref="S184:S239" si="104">IF($J184=0, IF(H184&lt;=2021, $Q184, IF(H184=2022, $F184,0)), IF(H184&lt;=2021,Q184,F184))</f>
        <v>4372139.3393088719</v>
      </c>
      <c r="T184" s="44">
        <f t="shared" ref="T184:T239" si="105">IF($J184=0, 0, IF(H184&lt;2022,J184-2021+H184-0.5,J184))</f>
        <v>28.5</v>
      </c>
      <c r="V184" s="49">
        <f t="shared" ref="V184:Z215" si="106">IF($J184=0, 0, IF(OR($H184&gt;V$59,$H184+$J184&lt;V$59),0,
IF(OR($H184=2020,$H184=2021),VDB($S184*(1-$F$28),0,$T184,V$59-2022,MIN($T184,V$59-2021),$F$22),
VDB($S184*(1-$F$28),0,$T184,MAX(0,V$59-$H184-0.5),MIN($T184,V$59-$H184+0.5),$F$22,FALSE))))</f>
        <v>179487.82550846951</v>
      </c>
      <c r="W184" s="49">
        <f t="shared" si="106"/>
        <v>171300.66153790773</v>
      </c>
      <c r="X184" s="49">
        <f t="shared" si="94"/>
        <v>163486.94715196808</v>
      </c>
      <c r="Y184" s="49">
        <f t="shared" si="94"/>
        <v>156029.6478081941</v>
      </c>
      <c r="Z184" s="49">
        <f t="shared" si="94"/>
        <v>148912.50597834663</v>
      </c>
      <c r="AB184" s="49">
        <f t="shared" ref="AB184:AF215" si="107">IF($J184 = 0, 0, IF(OR($H184&gt;AB$59,$H184+$J184&lt;AB$59),0,
IF(OR($H184=2020,$H184=2021),VDB($S184*$F$28,0,$T184,AB$59-2022,MIN($T184,AB$59-2021),1),
VDB($S184*$F$28,0,$T184,MAX(0,AB$59-$H184-0.5),MIN($T184,AB$59-$H184+0.5),1))))</f>
        <v>15340.839787048673</v>
      </c>
      <c r="AC184" s="49">
        <f t="shared" si="107"/>
        <v>15340.839787048673</v>
      </c>
      <c r="AD184" s="49">
        <f t="shared" si="95"/>
        <v>15340.839787048673</v>
      </c>
      <c r="AE184" s="49">
        <f t="shared" si="95"/>
        <v>15340.839787048673</v>
      </c>
      <c r="AF184" s="49">
        <f t="shared" si="95"/>
        <v>15340.839787048673</v>
      </c>
      <c r="AH184" s="49">
        <f t="shared" ref="AH184:AH239" si="108">V184+AB184</f>
        <v>194828.66529551818</v>
      </c>
      <c r="AI184" s="49">
        <f t="shared" ref="AI184:AI239" si="109">W184+AC184</f>
        <v>186641.50132495639</v>
      </c>
      <c r="AJ184" s="49">
        <f t="shared" ref="AJ184:AJ239" si="110">X184+AD184</f>
        <v>178827.78693901675</v>
      </c>
      <c r="AK184" s="49">
        <f t="shared" ref="AK184:AK239" si="111">Y184+AE184</f>
        <v>171370.48759524277</v>
      </c>
      <c r="AL184" s="49">
        <f t="shared" ref="AL184:AL239" si="112">Z184+AF184</f>
        <v>164253.34576539529</v>
      </c>
      <c r="AN184" s="49">
        <f t="shared" ref="AN184:AN239" si="113">IF($J184=0,$S184,IF(OR($H184&gt;AN$59,$H184+$J184&lt;=AN$59),0,
IF($H184=AN$59,$S184-AH184,
S184-AH184)))</f>
        <v>4177310.6740133539</v>
      </c>
      <c r="AO184" s="49">
        <f t="shared" ref="AO184:AO239" si="114">IF($J184 = 0, IF($H184 &gt; AO$181, 0, IF($H184=AO$181, $F184, AN184)), IF(OR($H184&gt;AO$59,$H184+$J184&lt;=AO$59),0,
IF($H184=AO$59,$J184-AI184,
AN184-AI184)))</f>
        <v>3990669.1726883976</v>
      </c>
      <c r="AP184" s="49">
        <f t="shared" ref="AP184:AP239" si="115">IF($J184 = 0, IF($H184 &gt; AP$181, 0, IF($H184=AP$181, $F184, AO184)), IF(OR($H184&gt;AP$59,$H184+$J184&lt;=AP$59),0,
IF($H184=AP$59,$J184-AJ184,
AO184-AJ184)))</f>
        <v>3811841.385749381</v>
      </c>
      <c r="AQ184" s="49">
        <f t="shared" ref="AQ184:AQ239" si="116">IF($J184 = 0, IF($H184 &gt; AQ$181, 0, IF($H184=AQ$181, $F184, AP184)), IF(OR($H184&gt;AQ$59,$H184+$J184&lt;=AQ$59),0,
IF($H184=AQ$59,$J184-AK184,
AP184-AK184)))</f>
        <v>3640470.8981541381</v>
      </c>
      <c r="AR184" s="49">
        <f t="shared" ref="AR184:AR239" si="117">IF($J184 = 0, IF($H184 &gt; AR$181, 0, IF($H184=AR$181, $F184, AQ184)), IF(OR($H184&gt;AR$59,$H184+$J184&lt;=AR$59),0,
IF($H184=AR$59,$J184-AL184,
AQ184-AL184)))</f>
        <v>3476217.552388743</v>
      </c>
      <c r="AT184" s="49">
        <f t="shared" ref="AT184:AT239" si="118">IF(AH184&gt;0,$F184*INDEX($H$40:$N$46,$H184-2019,AT$181-2019)*INDEX($H$49:$N$55,$H184-2019,AT$181-2019)*$F$19,0)</f>
        <v>46616.85748979725</v>
      </c>
      <c r="AU184" s="49">
        <f t="shared" ref="AU184:AU239" si="119">IF(AI184&gt;0,$F184*INDEX($H$40:$N$46,$H184-2019,AU$59-2019)*INDEX($H$49:$N$55,$H184-2019,AU$59-2019)*$F$19,0)</f>
        <v>49309.074243548028</v>
      </c>
      <c r="AV184" s="49">
        <f t="shared" ref="AV184:AV239" si="120">IF(AJ184&gt;0,$F184*INDEX($H$40:$N$46,$H184-2019,AV$59-2019)*INDEX($H$49:$N$55,$H184-2019,AV$59-2019)*$F$19,0)</f>
        <v>53040.784982299752</v>
      </c>
      <c r="AW184" s="49">
        <f t="shared" ref="AW184:AW239" si="121">IF(AK184&gt;0,$F184*INDEX($H$40:$N$46,$H184-2019,AW$59-2019)*INDEX($H$49:$N$55,$H184-2019,AW$59-2019)*$F$19,0)</f>
        <v>53726.708413690852</v>
      </c>
      <c r="AX184" s="49">
        <f t="shared" ref="AX184:AX239" si="122">IF(AL184&gt;0,$F184*INDEX($H$40:$N$46,$H184-2019,AX$59-2019)*INDEX($H$49:$N$55,$H184-2019,AX$59-2019)*$F$19,0)</f>
        <v>54421.502206896694</v>
      </c>
      <c r="AZ184" s="53">
        <f t="shared" ref="AZ184:AZ239" si="123">AH184+AN184*J$16+AT184</f>
        <v>370942.15367972938</v>
      </c>
      <c r="BA184" s="53">
        <f t="shared" ref="BA184:BA239" si="124">AI184+AO184*K$16+AU184</f>
        <v>355670.65074915637</v>
      </c>
      <c r="BB184" s="53">
        <f t="shared" ref="BB184:BB239" si="125">AJ184+AP184*L$16+AV184</f>
        <v>346223.8134937979</v>
      </c>
      <c r="BC184" s="53">
        <f t="shared" ref="BC184:BC239" si="126">AK184+AQ184*M$16+AW184</f>
        <v>334311.32295355777</v>
      </c>
      <c r="BD184" s="53">
        <f t="shared" ref="BD184:BD239" si="127">AL184+AR184*N$16+AX184</f>
        <v>322961.37454395427</v>
      </c>
    </row>
    <row r="185" spans="2:56">
      <c r="B185" s="43">
        <f>'10. Investeringen (bijschatten)'!B22</f>
        <v>3</v>
      </c>
      <c r="C185" s="54"/>
      <c r="E185" s="54"/>
      <c r="F185" s="160">
        <f>'10. Investeringen (bijschatten)'!C22</f>
        <v>1155721.8280173452</v>
      </c>
      <c r="H185" s="43">
        <f>'10. Investeringen (bijschatten)'!D22</f>
        <v>2020</v>
      </c>
      <c r="I185" s="43" t="str">
        <f>'10. Investeringen (bijschatten)'!E22</f>
        <v>04 Terreinen</v>
      </c>
      <c r="J185" s="180">
        <f>_xlfn.XLOOKUP(I185,'3. Input (des)investeringen '!$B$11:$B$80,'3. Input (des)investeringen '!$D$11:$D$80)</f>
        <v>0</v>
      </c>
      <c r="K185" s="166"/>
      <c r="L185" s="166"/>
      <c r="M185" s="49">
        <f t="shared" si="100"/>
        <v>0</v>
      </c>
      <c r="N185" s="49">
        <f t="shared" si="101"/>
        <v>0</v>
      </c>
      <c r="P185" s="147">
        <f t="shared" si="102"/>
        <v>1155721.8280173452</v>
      </c>
      <c r="Q185" s="147">
        <f t="shared" si="103"/>
        <v>1174213.3772656226</v>
      </c>
      <c r="S185" s="49">
        <f t="shared" si="104"/>
        <v>1174213.3772656226</v>
      </c>
      <c r="T185" s="44">
        <f t="shared" si="105"/>
        <v>0</v>
      </c>
      <c r="V185" s="49">
        <f t="shared" si="106"/>
        <v>0</v>
      </c>
      <c r="W185" s="49">
        <f t="shared" si="106"/>
        <v>0</v>
      </c>
      <c r="X185" s="49">
        <f t="shared" si="94"/>
        <v>0</v>
      </c>
      <c r="Y185" s="49">
        <f t="shared" si="94"/>
        <v>0</v>
      </c>
      <c r="Z185" s="49">
        <f t="shared" si="94"/>
        <v>0</v>
      </c>
      <c r="AB185" s="49">
        <f t="shared" si="107"/>
        <v>0</v>
      </c>
      <c r="AC185" s="49">
        <f t="shared" si="107"/>
        <v>0</v>
      </c>
      <c r="AD185" s="49">
        <f t="shared" si="95"/>
        <v>0</v>
      </c>
      <c r="AE185" s="49">
        <f t="shared" si="95"/>
        <v>0</v>
      </c>
      <c r="AF185" s="49">
        <f t="shared" si="95"/>
        <v>0</v>
      </c>
      <c r="AH185" s="49">
        <f t="shared" si="108"/>
        <v>0</v>
      </c>
      <c r="AI185" s="49">
        <f t="shared" si="109"/>
        <v>0</v>
      </c>
      <c r="AJ185" s="49">
        <f t="shared" si="110"/>
        <v>0</v>
      </c>
      <c r="AK185" s="49">
        <f t="shared" si="111"/>
        <v>0</v>
      </c>
      <c r="AL185" s="49">
        <f t="shared" si="112"/>
        <v>0</v>
      </c>
      <c r="AN185" s="49">
        <f t="shared" si="113"/>
        <v>1174213.3772656226</v>
      </c>
      <c r="AO185" s="49">
        <f t="shared" si="114"/>
        <v>1174213.3772656226</v>
      </c>
      <c r="AP185" s="49">
        <f t="shared" si="115"/>
        <v>1174213.3772656226</v>
      </c>
      <c r="AQ185" s="49">
        <f t="shared" si="116"/>
        <v>1174213.3772656226</v>
      </c>
      <c r="AR185" s="49">
        <f t="shared" si="117"/>
        <v>1174213.3772656226</v>
      </c>
      <c r="AT185" s="49">
        <f t="shared" si="118"/>
        <v>0</v>
      </c>
      <c r="AU185" s="49">
        <f t="shared" si="119"/>
        <v>0</v>
      </c>
      <c r="AV185" s="49">
        <f t="shared" si="120"/>
        <v>0</v>
      </c>
      <c r="AW185" s="49">
        <f t="shared" si="121"/>
        <v>0</v>
      </c>
      <c r="AX185" s="49">
        <f t="shared" si="122"/>
        <v>0</v>
      </c>
      <c r="AZ185" s="53">
        <f t="shared" si="123"/>
        <v>36400.614695234297</v>
      </c>
      <c r="BA185" s="53">
        <f t="shared" si="124"/>
        <v>35226.401317968674</v>
      </c>
      <c r="BB185" s="53">
        <f t="shared" si="125"/>
        <v>35226.401317968674</v>
      </c>
      <c r="BC185" s="53">
        <f t="shared" si="126"/>
        <v>35226.401317968674</v>
      </c>
      <c r="BD185" s="53">
        <f t="shared" si="127"/>
        <v>35226.401317968674</v>
      </c>
    </row>
    <row r="186" spans="2:56">
      <c r="B186" s="43">
        <f>'10. Investeringen (bijschatten)'!B23</f>
        <v>4</v>
      </c>
      <c r="C186" s="54"/>
      <c r="E186" s="54"/>
      <c r="F186" s="160">
        <f>'10. Investeringen (bijschatten)'!C23</f>
        <v>1555027.7495395842</v>
      </c>
      <c r="H186" s="43">
        <f>'10. Investeringen (bijschatten)'!D23</f>
        <v>2020</v>
      </c>
      <c r="I186" s="43" t="str">
        <f>'10. Investeringen (bijschatten)'!E23</f>
        <v>06 Utiliteitsgebouwen</v>
      </c>
      <c r="J186" s="180">
        <f>_xlfn.XLOOKUP(I186,'3. Input (des)investeringen '!$B$11:$B$80,'3. Input (des)investeringen '!$D$11:$D$80)</f>
        <v>30</v>
      </c>
      <c r="K186" s="166"/>
      <c r="L186" s="166"/>
      <c r="M186" s="49">
        <f t="shared" si="100"/>
        <v>25917.12915899307</v>
      </c>
      <c r="N186" s="49">
        <f t="shared" si="101"/>
        <v>52663.606451073916</v>
      </c>
      <c r="P186" s="147">
        <f t="shared" si="102"/>
        <v>1529110.6203805911</v>
      </c>
      <c r="Q186" s="147">
        <f t="shared" si="103"/>
        <v>1500912.7838556068</v>
      </c>
      <c r="S186" s="49">
        <f t="shared" si="104"/>
        <v>1500912.7838556068</v>
      </c>
      <c r="T186" s="44">
        <f t="shared" si="105"/>
        <v>28.5</v>
      </c>
      <c r="V186" s="49">
        <f t="shared" si="106"/>
        <v>61616.419547756494</v>
      </c>
      <c r="W186" s="49">
        <f t="shared" si="106"/>
        <v>58805.846024525497</v>
      </c>
      <c r="X186" s="49">
        <f t="shared" si="94"/>
        <v>56123.474100599771</v>
      </c>
      <c r="Y186" s="49">
        <f t="shared" si="94"/>
        <v>53563.455983730302</v>
      </c>
      <c r="Z186" s="49">
        <f t="shared" si="94"/>
        <v>51120.210623068924</v>
      </c>
      <c r="AB186" s="49">
        <f t="shared" si="107"/>
        <v>5266.3606451073929</v>
      </c>
      <c r="AC186" s="49">
        <f t="shared" si="107"/>
        <v>5266.3606451073929</v>
      </c>
      <c r="AD186" s="49">
        <f t="shared" si="95"/>
        <v>5266.3606451073929</v>
      </c>
      <c r="AE186" s="49">
        <f t="shared" si="95"/>
        <v>5266.3606451073929</v>
      </c>
      <c r="AF186" s="49">
        <f t="shared" si="95"/>
        <v>5266.3606451073929</v>
      </c>
      <c r="AH186" s="49">
        <f t="shared" si="108"/>
        <v>66882.78019286388</v>
      </c>
      <c r="AI186" s="49">
        <f t="shared" si="109"/>
        <v>64072.206669632891</v>
      </c>
      <c r="AJ186" s="49">
        <f t="shared" si="110"/>
        <v>61389.834745707165</v>
      </c>
      <c r="AK186" s="49">
        <f t="shared" si="111"/>
        <v>58829.816628837696</v>
      </c>
      <c r="AL186" s="49">
        <f t="shared" si="112"/>
        <v>56386.571268176318</v>
      </c>
      <c r="AN186" s="49">
        <f t="shared" si="113"/>
        <v>1434030.0036627429</v>
      </c>
      <c r="AO186" s="49">
        <f t="shared" si="114"/>
        <v>1369957.7969931101</v>
      </c>
      <c r="AP186" s="49">
        <f t="shared" si="115"/>
        <v>1308567.9622474029</v>
      </c>
      <c r="AQ186" s="49">
        <f t="shared" si="116"/>
        <v>1249738.1456185651</v>
      </c>
      <c r="AR186" s="49">
        <f t="shared" si="117"/>
        <v>1193351.5743503887</v>
      </c>
      <c r="AT186" s="49">
        <f t="shared" si="118"/>
        <v>16003.112416968826</v>
      </c>
      <c r="AU186" s="49">
        <f t="shared" si="119"/>
        <v>16927.324165273611</v>
      </c>
      <c r="AV186" s="49">
        <f t="shared" si="120"/>
        <v>18208.384058101521</v>
      </c>
      <c r="AW186" s="49">
        <f t="shared" si="121"/>
        <v>18443.854880740888</v>
      </c>
      <c r="AX186" s="49">
        <f t="shared" si="122"/>
        <v>18682.370812058627</v>
      </c>
      <c r="AZ186" s="53">
        <f t="shared" si="123"/>
        <v>127340.82272337773</v>
      </c>
      <c r="BA186" s="53">
        <f t="shared" si="124"/>
        <v>122098.26474469979</v>
      </c>
      <c r="BB186" s="53">
        <f t="shared" si="125"/>
        <v>118855.25767123078</v>
      </c>
      <c r="BC186" s="53">
        <f t="shared" si="126"/>
        <v>114765.81587813553</v>
      </c>
      <c r="BD186" s="53">
        <f t="shared" si="127"/>
        <v>110869.48931074661</v>
      </c>
    </row>
    <row r="187" spans="2:56">
      <c r="B187" s="43">
        <f>'10. Investeringen (bijschatten)'!B24</f>
        <v>5</v>
      </c>
      <c r="C187" s="54"/>
      <c r="E187" s="54"/>
      <c r="F187" s="160">
        <f>'10. Investeringen (bijschatten)'!C24</f>
        <v>847435.58289065212</v>
      </c>
      <c r="H187" s="43">
        <f>'10. Investeringen (bijschatten)'!D24</f>
        <v>2020</v>
      </c>
      <c r="I187" s="43" t="str">
        <f>'10. Investeringen (bijschatten)'!E24</f>
        <v>15 Compressorstations (KC)</v>
      </c>
      <c r="J187" s="180">
        <f>_xlfn.XLOOKUP(I187,'3. Input (des)investeringen '!$B$11:$B$80,'3. Input (des)investeringen '!$D$11:$D$80)</f>
        <v>30</v>
      </c>
      <c r="K187" s="166"/>
      <c r="L187" s="166"/>
      <c r="M187" s="49">
        <f t="shared" si="100"/>
        <v>14123.926381510868</v>
      </c>
      <c r="N187" s="49">
        <f t="shared" si="101"/>
        <v>28699.818407230083</v>
      </c>
      <c r="P187" s="147">
        <f t="shared" si="102"/>
        <v>833311.6565091412</v>
      </c>
      <c r="Q187" s="147">
        <f t="shared" si="103"/>
        <v>817944.82460605737</v>
      </c>
      <c r="S187" s="49">
        <f t="shared" si="104"/>
        <v>817944.82460605737</v>
      </c>
      <c r="T187" s="44">
        <f t="shared" si="105"/>
        <v>28.5</v>
      </c>
      <c r="V187" s="49">
        <f t="shared" si="106"/>
        <v>33578.787536459204</v>
      </c>
      <c r="W187" s="49">
        <f t="shared" si="106"/>
        <v>32047.123543568083</v>
      </c>
      <c r="X187" s="49">
        <f t="shared" si="94"/>
        <v>30585.324925791294</v>
      </c>
      <c r="Y187" s="49">
        <f t="shared" si="94"/>
        <v>29190.204841456954</v>
      </c>
      <c r="Z187" s="49">
        <f t="shared" si="94"/>
        <v>27858.721813601023</v>
      </c>
      <c r="AB187" s="49">
        <f t="shared" si="107"/>
        <v>2869.9818407230082</v>
      </c>
      <c r="AC187" s="49">
        <f t="shared" si="107"/>
        <v>2869.9818407230086</v>
      </c>
      <c r="AD187" s="49">
        <f t="shared" si="95"/>
        <v>2869.9818407230086</v>
      </c>
      <c r="AE187" s="49">
        <f t="shared" si="95"/>
        <v>2869.9818407230086</v>
      </c>
      <c r="AF187" s="49">
        <f t="shared" si="95"/>
        <v>2869.9818407230086</v>
      </c>
      <c r="AH187" s="49">
        <f t="shared" si="108"/>
        <v>36448.769377182209</v>
      </c>
      <c r="AI187" s="49">
        <f t="shared" si="109"/>
        <v>34917.105384291091</v>
      </c>
      <c r="AJ187" s="49">
        <f t="shared" si="110"/>
        <v>33455.306766514303</v>
      </c>
      <c r="AK187" s="49">
        <f t="shared" si="111"/>
        <v>32060.186682179963</v>
      </c>
      <c r="AL187" s="49">
        <f t="shared" si="112"/>
        <v>30728.703654324032</v>
      </c>
      <c r="AN187" s="49">
        <f t="shared" si="113"/>
        <v>781496.05522887514</v>
      </c>
      <c r="AO187" s="49">
        <f t="shared" si="114"/>
        <v>746578.9498445841</v>
      </c>
      <c r="AP187" s="49">
        <f t="shared" si="115"/>
        <v>713123.64307806978</v>
      </c>
      <c r="AQ187" s="49">
        <f t="shared" si="116"/>
        <v>681063.45639588987</v>
      </c>
      <c r="AR187" s="49">
        <f t="shared" si="117"/>
        <v>650334.75274156581</v>
      </c>
      <c r="AT187" s="49">
        <f t="shared" si="118"/>
        <v>8721.1349785583952</v>
      </c>
      <c r="AU187" s="49">
        <f t="shared" si="119"/>
        <v>9224.7979658401</v>
      </c>
      <c r="AV187" s="49">
        <f t="shared" si="120"/>
        <v>9922.9306758948787</v>
      </c>
      <c r="AW187" s="49">
        <f t="shared" si="121"/>
        <v>10051.254015395552</v>
      </c>
      <c r="AX187" s="49">
        <f t="shared" si="122"/>
        <v>10181.236832322646</v>
      </c>
      <c r="AZ187" s="53">
        <f t="shared" si="123"/>
        <v>69396.282067835738</v>
      </c>
      <c r="BA187" s="53">
        <f t="shared" si="124"/>
        <v>66539.271845468713</v>
      </c>
      <c r="BB187" s="53">
        <f t="shared" si="125"/>
        <v>64771.946734751276</v>
      </c>
      <c r="BC187" s="53">
        <f t="shared" si="126"/>
        <v>62543.344389452206</v>
      </c>
      <c r="BD187" s="53">
        <f t="shared" si="127"/>
        <v>60419.983068893656</v>
      </c>
    </row>
    <row r="188" spans="2:56">
      <c r="B188" s="43">
        <f>'10. Investeringen (bijschatten)'!B25</f>
        <v>6</v>
      </c>
      <c r="C188" s="54"/>
      <c r="E188" s="54"/>
      <c r="F188" s="160">
        <f>'10. Investeringen (bijschatten)'!C25</f>
        <v>9057966.2936882433</v>
      </c>
      <c r="H188" s="43">
        <f>'10. Investeringen (bijschatten)'!D25</f>
        <v>2020</v>
      </c>
      <c r="I188" s="43" t="str">
        <f>'10. Investeringen (bijschatten)'!E25</f>
        <v>15 Compressorstations (TT-BT-AT)</v>
      </c>
      <c r="J188" s="180">
        <f>_xlfn.XLOOKUP(I188,'3. Input (des)investeringen '!$B$11:$B$80,'3. Input (des)investeringen '!$D$11:$D$80)</f>
        <v>30</v>
      </c>
      <c r="K188" s="166"/>
      <c r="L188" s="166"/>
      <c r="M188" s="49">
        <f t="shared" si="100"/>
        <v>150966.10489480404</v>
      </c>
      <c r="N188" s="49">
        <f t="shared" si="101"/>
        <v>306763.12514624186</v>
      </c>
      <c r="P188" s="147">
        <f t="shared" si="102"/>
        <v>8907000.1887934394</v>
      </c>
      <c r="Q188" s="147">
        <f t="shared" si="103"/>
        <v>8742749.066667892</v>
      </c>
      <c r="S188" s="49">
        <f t="shared" si="104"/>
        <v>8742749.066667892</v>
      </c>
      <c r="T188" s="44">
        <f t="shared" si="105"/>
        <v>28.5</v>
      </c>
      <c r="V188" s="49">
        <f t="shared" si="106"/>
        <v>358912.85642110294</v>
      </c>
      <c r="W188" s="49">
        <f t="shared" si="106"/>
        <v>342541.39279487723</v>
      </c>
      <c r="X188" s="49">
        <f t="shared" si="94"/>
        <v>326916.69768493547</v>
      </c>
      <c r="Y188" s="49">
        <f t="shared" si="94"/>
        <v>312004.70796597347</v>
      </c>
      <c r="Z188" s="49">
        <f t="shared" si="94"/>
        <v>297772.91426927992</v>
      </c>
      <c r="AB188" s="49">
        <f t="shared" si="107"/>
        <v>30676.312514624184</v>
      </c>
      <c r="AC188" s="49">
        <f t="shared" si="107"/>
        <v>30676.312514624184</v>
      </c>
      <c r="AD188" s="49">
        <f t="shared" si="95"/>
        <v>30676.312514624184</v>
      </c>
      <c r="AE188" s="49">
        <f t="shared" si="95"/>
        <v>30676.312514624184</v>
      </c>
      <c r="AF188" s="49">
        <f t="shared" si="95"/>
        <v>30676.312514624184</v>
      </c>
      <c r="AH188" s="49">
        <f t="shared" si="108"/>
        <v>389589.16893572715</v>
      </c>
      <c r="AI188" s="49">
        <f t="shared" si="109"/>
        <v>373217.70530950144</v>
      </c>
      <c r="AJ188" s="49">
        <f t="shared" si="110"/>
        <v>357593.01019955968</v>
      </c>
      <c r="AK188" s="49">
        <f t="shared" si="111"/>
        <v>342681.02048059768</v>
      </c>
      <c r="AL188" s="49">
        <f t="shared" si="112"/>
        <v>328449.22678390413</v>
      </c>
      <c r="AN188" s="49">
        <f t="shared" si="113"/>
        <v>8353159.8977321647</v>
      </c>
      <c r="AO188" s="49">
        <f t="shared" si="114"/>
        <v>7979942.1924226629</v>
      </c>
      <c r="AP188" s="49">
        <f t="shared" si="115"/>
        <v>7622349.182223103</v>
      </c>
      <c r="AQ188" s="49">
        <f t="shared" si="116"/>
        <v>7279668.1617425056</v>
      </c>
      <c r="AR188" s="49">
        <f t="shared" si="117"/>
        <v>6951218.9349586014</v>
      </c>
      <c r="AT188" s="49">
        <f t="shared" si="118"/>
        <v>93217.40586939764</v>
      </c>
      <c r="AU188" s="49">
        <f t="shared" si="119"/>
        <v>98600.897493167082</v>
      </c>
      <c r="AV188" s="49">
        <f t="shared" si="120"/>
        <v>106063.01341545</v>
      </c>
      <c r="AW188" s="49">
        <f t="shared" si="121"/>
        <v>107434.62030493858</v>
      </c>
      <c r="AX188" s="49">
        <f t="shared" si="122"/>
        <v>108823.96481472204</v>
      </c>
      <c r="AZ188" s="53">
        <f t="shared" si="123"/>
        <v>741754.53163482191</v>
      </c>
      <c r="BA188" s="53">
        <f t="shared" si="124"/>
        <v>711216.8685753484</v>
      </c>
      <c r="BB188" s="53">
        <f t="shared" si="125"/>
        <v>692326.49908170279</v>
      </c>
      <c r="BC188" s="53">
        <f t="shared" si="126"/>
        <v>668505.68563781143</v>
      </c>
      <c r="BD188" s="53">
        <f t="shared" si="127"/>
        <v>645809.75964738429</v>
      </c>
    </row>
    <row r="189" spans="2:56">
      <c r="B189" s="43">
        <f>'10. Investeringen (bijschatten)'!B26</f>
        <v>7</v>
      </c>
      <c r="C189" s="54"/>
      <c r="E189" s="54"/>
      <c r="F189" s="160">
        <f>'10. Investeringen (bijschatten)'!C26</f>
        <v>505581.67726689682</v>
      </c>
      <c r="H189" s="43">
        <f>'10. Investeringen (bijschatten)'!D26</f>
        <v>2020</v>
      </c>
      <c r="I189" s="43" t="str">
        <f>'10. Investeringen (bijschatten)'!E26</f>
        <v>16 LNG installaties</v>
      </c>
      <c r="J189" s="180">
        <f>_xlfn.XLOOKUP(I189,'3. Input (des)investeringen '!$B$11:$B$80,'3. Input (des)investeringen '!$D$11:$D$80)</f>
        <v>30</v>
      </c>
      <c r="K189" s="166"/>
      <c r="L189" s="166"/>
      <c r="M189" s="49">
        <f t="shared" si="100"/>
        <v>8426.361287781614</v>
      </c>
      <c r="N189" s="49">
        <f t="shared" si="101"/>
        <v>17122.366136772242</v>
      </c>
      <c r="P189" s="147">
        <f t="shared" si="102"/>
        <v>497155.3159791152</v>
      </c>
      <c r="Q189" s="147">
        <f t="shared" si="103"/>
        <v>487987.43489800877</v>
      </c>
      <c r="S189" s="49">
        <f t="shared" si="104"/>
        <v>487987.43489800877</v>
      </c>
      <c r="T189" s="44">
        <f t="shared" si="105"/>
        <v>28.5</v>
      </c>
      <c r="V189" s="49">
        <f t="shared" si="106"/>
        <v>20033.168380023519</v>
      </c>
      <c r="W189" s="49">
        <f t="shared" si="106"/>
        <v>19119.374734618938</v>
      </c>
      <c r="X189" s="49">
        <f t="shared" si="94"/>
        <v>18247.262904618776</v>
      </c>
      <c r="Y189" s="49">
        <f t="shared" si="94"/>
        <v>17414.931614232657</v>
      </c>
      <c r="Z189" s="49">
        <f t="shared" si="94"/>
        <v>16620.566312530817</v>
      </c>
      <c r="AB189" s="49">
        <f t="shared" si="107"/>
        <v>1712.2366136772239</v>
      </c>
      <c r="AC189" s="49">
        <f t="shared" si="107"/>
        <v>1712.2366136772239</v>
      </c>
      <c r="AD189" s="49">
        <f t="shared" si="95"/>
        <v>1712.2366136772239</v>
      </c>
      <c r="AE189" s="49">
        <f t="shared" si="95"/>
        <v>1712.2366136772239</v>
      </c>
      <c r="AF189" s="49">
        <f t="shared" si="95"/>
        <v>1712.2366136772239</v>
      </c>
      <c r="AH189" s="49">
        <f t="shared" si="108"/>
        <v>21745.404993700744</v>
      </c>
      <c r="AI189" s="49">
        <f t="shared" si="109"/>
        <v>20831.611348296163</v>
      </c>
      <c r="AJ189" s="49">
        <f t="shared" si="110"/>
        <v>19959.499518296001</v>
      </c>
      <c r="AK189" s="49">
        <f t="shared" si="111"/>
        <v>19127.168227909882</v>
      </c>
      <c r="AL189" s="49">
        <f t="shared" si="112"/>
        <v>18332.802926208042</v>
      </c>
      <c r="AN189" s="49">
        <f t="shared" si="113"/>
        <v>466242.02990430803</v>
      </c>
      <c r="AO189" s="49">
        <f t="shared" si="114"/>
        <v>445410.41855601186</v>
      </c>
      <c r="AP189" s="49">
        <f t="shared" si="115"/>
        <v>425450.91903771588</v>
      </c>
      <c r="AQ189" s="49">
        <f t="shared" si="116"/>
        <v>406323.75080980599</v>
      </c>
      <c r="AR189" s="49">
        <f t="shared" si="117"/>
        <v>387990.94788359792</v>
      </c>
      <c r="AT189" s="49">
        <f t="shared" si="118"/>
        <v>5203.0456817618642</v>
      </c>
      <c r="AU189" s="49">
        <f t="shared" si="119"/>
        <v>5503.5319759749755</v>
      </c>
      <c r="AV189" s="49">
        <f t="shared" si="120"/>
        <v>5920.0392759167617</v>
      </c>
      <c r="AW189" s="49">
        <f t="shared" si="121"/>
        <v>5996.5972238329168</v>
      </c>
      <c r="AX189" s="49">
        <f t="shared" si="122"/>
        <v>6074.1452191315248</v>
      </c>
      <c r="AZ189" s="53">
        <f t="shared" si="123"/>
        <v>41401.953602496156</v>
      </c>
      <c r="BA189" s="53">
        <f t="shared" si="124"/>
        <v>39697.455880951493</v>
      </c>
      <c r="BB189" s="53">
        <f t="shared" si="125"/>
        <v>38643.066365344239</v>
      </c>
      <c r="BC189" s="53">
        <f t="shared" si="126"/>
        <v>37313.477976036978</v>
      </c>
      <c r="BD189" s="53">
        <f t="shared" si="127"/>
        <v>36046.676581847503</v>
      </c>
    </row>
    <row r="190" spans="2:56">
      <c r="B190" s="43">
        <f>'10. Investeringen (bijschatten)'!B27</f>
        <v>8</v>
      </c>
      <c r="C190" s="54"/>
      <c r="E190" s="54"/>
      <c r="F190" s="160">
        <f>'10. Investeringen (bijschatten)'!C27</f>
        <v>26405484.075497396</v>
      </c>
      <c r="H190" s="43">
        <f>'10. Investeringen (bijschatten)'!D27</f>
        <v>2020</v>
      </c>
      <c r="I190" s="43" t="str">
        <f>'10. Investeringen (bijschatten)'!E27</f>
        <v>17 Mengstations</v>
      </c>
      <c r="J190" s="180">
        <f>_xlfn.XLOOKUP(I190,'3. Input (des)investeringen '!$B$11:$B$80,'3. Input (des)investeringen '!$D$11:$D$80)</f>
        <v>30</v>
      </c>
      <c r="K190" s="166"/>
      <c r="L190" s="166"/>
      <c r="M190" s="49">
        <f t="shared" si="100"/>
        <v>440091.40125828993</v>
      </c>
      <c r="N190" s="49">
        <f t="shared" si="101"/>
        <v>894265.72735684516</v>
      </c>
      <c r="P190" s="147">
        <f t="shared" si="102"/>
        <v>25965392.674239106</v>
      </c>
      <c r="Q190" s="147">
        <f t="shared" si="103"/>
        <v>25486573.229670089</v>
      </c>
      <c r="S190" s="49">
        <f t="shared" si="104"/>
        <v>25486573.229670089</v>
      </c>
      <c r="T190" s="44">
        <f t="shared" si="105"/>
        <v>28.5</v>
      </c>
      <c r="V190" s="49">
        <f t="shared" si="106"/>
        <v>1046290.901007509</v>
      </c>
      <c r="W190" s="49">
        <f t="shared" si="106"/>
        <v>998565.35113699094</v>
      </c>
      <c r="X190" s="49">
        <f t="shared" si="94"/>
        <v>953016.75617284758</v>
      </c>
      <c r="Y190" s="49">
        <f t="shared" si="94"/>
        <v>909545.81641759491</v>
      </c>
      <c r="Z190" s="49">
        <f t="shared" si="94"/>
        <v>868057.76163363445</v>
      </c>
      <c r="AB190" s="49">
        <f t="shared" si="107"/>
        <v>89426.572735684531</v>
      </c>
      <c r="AC190" s="49">
        <f t="shared" si="107"/>
        <v>89426.572735684531</v>
      </c>
      <c r="AD190" s="49">
        <f t="shared" si="95"/>
        <v>89426.572735684531</v>
      </c>
      <c r="AE190" s="49">
        <f t="shared" si="95"/>
        <v>89426.572735684531</v>
      </c>
      <c r="AF190" s="49">
        <f t="shared" si="95"/>
        <v>89426.572735684531</v>
      </c>
      <c r="AH190" s="49">
        <f t="shared" si="108"/>
        <v>1135717.4737431936</v>
      </c>
      <c r="AI190" s="49">
        <f t="shared" si="109"/>
        <v>1087991.9238726755</v>
      </c>
      <c r="AJ190" s="49">
        <f t="shared" si="110"/>
        <v>1042443.3289085322</v>
      </c>
      <c r="AK190" s="49">
        <f t="shared" si="111"/>
        <v>998972.38915327948</v>
      </c>
      <c r="AL190" s="49">
        <f t="shared" si="112"/>
        <v>957484.33436931903</v>
      </c>
      <c r="AN190" s="49">
        <f t="shared" si="113"/>
        <v>24350855.755926896</v>
      </c>
      <c r="AO190" s="49">
        <f t="shared" si="114"/>
        <v>23262863.83205422</v>
      </c>
      <c r="AP190" s="49">
        <f t="shared" si="115"/>
        <v>22220420.503145687</v>
      </c>
      <c r="AQ190" s="49">
        <f t="shared" si="116"/>
        <v>21221448.113992408</v>
      </c>
      <c r="AR190" s="49">
        <f t="shared" si="117"/>
        <v>20263963.779623087</v>
      </c>
      <c r="AT190" s="49">
        <f t="shared" si="118"/>
        <v>271744.30180411914</v>
      </c>
      <c r="AU190" s="49">
        <f t="shared" si="119"/>
        <v>287438.07872191066</v>
      </c>
      <c r="AV190" s="49">
        <f t="shared" si="120"/>
        <v>309191.39251958492</v>
      </c>
      <c r="AW190" s="49">
        <f t="shared" si="121"/>
        <v>313189.85560764815</v>
      </c>
      <c r="AX190" s="49">
        <f t="shared" si="122"/>
        <v>317240.02682036621</v>
      </c>
      <c r="AZ190" s="53">
        <f t="shared" si="123"/>
        <v>2162338.3039810467</v>
      </c>
      <c r="BA190" s="53">
        <f t="shared" si="124"/>
        <v>2073315.9175562127</v>
      </c>
      <c r="BB190" s="53">
        <f t="shared" si="125"/>
        <v>2018247.3365224875</v>
      </c>
      <c r="BC190" s="53">
        <f t="shared" si="126"/>
        <v>1948805.6881806997</v>
      </c>
      <c r="BD190" s="53">
        <f t="shared" si="127"/>
        <v>1882643.2745783781</v>
      </c>
    </row>
    <row r="191" spans="2:56">
      <c r="B191" s="43">
        <f>'10. Investeringen (bijschatten)'!B28</f>
        <v>9</v>
      </c>
      <c r="C191" s="54"/>
      <c r="E191" s="54"/>
      <c r="F191" s="160">
        <f>'10. Investeringen (bijschatten)'!C28</f>
        <v>756400.94229177735</v>
      </c>
      <c r="H191" s="43">
        <f>'10. Investeringen (bijschatten)'!D28</f>
        <v>2020</v>
      </c>
      <c r="I191" s="43" t="str">
        <f>'10. Investeringen (bijschatten)'!E28</f>
        <v>20 Kantoorgebouwen</v>
      </c>
      <c r="J191" s="180">
        <f>_xlfn.XLOOKUP(I191,'3. Input (des)investeringen '!$B$11:$B$80,'3. Input (des)investeringen '!$D$11:$D$80)</f>
        <v>30</v>
      </c>
      <c r="K191" s="166"/>
      <c r="L191" s="166"/>
      <c r="M191" s="49">
        <f t="shared" si="100"/>
        <v>12606.682371529623</v>
      </c>
      <c r="N191" s="49">
        <f t="shared" si="101"/>
        <v>25616.77857894819</v>
      </c>
      <c r="P191" s="147">
        <f t="shared" si="102"/>
        <v>743794.25992024771</v>
      </c>
      <c r="Q191" s="147">
        <f t="shared" si="103"/>
        <v>730078.18950002349</v>
      </c>
      <c r="S191" s="49">
        <f t="shared" si="104"/>
        <v>730078.18950002349</v>
      </c>
      <c r="T191" s="44">
        <f t="shared" si="105"/>
        <v>28.5</v>
      </c>
      <c r="V191" s="49">
        <f t="shared" si="106"/>
        <v>29971.630937369388</v>
      </c>
      <c r="W191" s="49">
        <f t="shared" si="106"/>
        <v>28604.503912156048</v>
      </c>
      <c r="X191" s="49">
        <f t="shared" si="94"/>
        <v>27299.737067040154</v>
      </c>
      <c r="Y191" s="49">
        <f t="shared" si="94"/>
        <v>26054.485902578672</v>
      </c>
      <c r="Z191" s="49">
        <f t="shared" si="94"/>
        <v>24866.03566842596</v>
      </c>
      <c r="AB191" s="49">
        <f t="shared" si="107"/>
        <v>2561.6778578948197</v>
      </c>
      <c r="AC191" s="49">
        <f t="shared" si="107"/>
        <v>2561.6778578948197</v>
      </c>
      <c r="AD191" s="49">
        <f t="shared" si="95"/>
        <v>2561.6778578948197</v>
      </c>
      <c r="AE191" s="49">
        <f t="shared" si="95"/>
        <v>2561.6778578948197</v>
      </c>
      <c r="AF191" s="49">
        <f t="shared" si="95"/>
        <v>2561.6778578948197</v>
      </c>
      <c r="AH191" s="49">
        <f t="shared" si="108"/>
        <v>32533.308795264209</v>
      </c>
      <c r="AI191" s="49">
        <f t="shared" si="109"/>
        <v>31166.181770050869</v>
      </c>
      <c r="AJ191" s="49">
        <f t="shared" si="110"/>
        <v>29861.414924934972</v>
      </c>
      <c r="AK191" s="49">
        <f t="shared" si="111"/>
        <v>28616.163760473493</v>
      </c>
      <c r="AL191" s="49">
        <f t="shared" si="112"/>
        <v>27427.713526320782</v>
      </c>
      <c r="AN191" s="49">
        <f t="shared" si="113"/>
        <v>697544.88070475927</v>
      </c>
      <c r="AO191" s="49">
        <f t="shared" si="114"/>
        <v>666378.69893470837</v>
      </c>
      <c r="AP191" s="49">
        <f t="shared" si="115"/>
        <v>636517.2840097734</v>
      </c>
      <c r="AQ191" s="49">
        <f t="shared" si="116"/>
        <v>607901.12024929991</v>
      </c>
      <c r="AR191" s="49">
        <f t="shared" si="117"/>
        <v>580473.40672297915</v>
      </c>
      <c r="AT191" s="49">
        <f t="shared" si="118"/>
        <v>7784.2786505774366</v>
      </c>
      <c r="AU191" s="49">
        <f t="shared" si="119"/>
        <v>8233.8363112055868</v>
      </c>
      <c r="AV191" s="49">
        <f t="shared" si="120"/>
        <v>8856.9730432376236</v>
      </c>
      <c r="AW191" s="49">
        <f t="shared" si="121"/>
        <v>8971.5114186327737</v>
      </c>
      <c r="AX191" s="49">
        <f t="shared" si="122"/>
        <v>9087.5310042985329</v>
      </c>
      <c r="AZ191" s="53">
        <f t="shared" si="123"/>
        <v>61941.47874768918</v>
      </c>
      <c r="BA191" s="53">
        <f t="shared" si="124"/>
        <v>59391.379049297706</v>
      </c>
      <c r="BB191" s="53">
        <f t="shared" si="125"/>
        <v>57813.9064884658</v>
      </c>
      <c r="BC191" s="53">
        <f t="shared" si="126"/>
        <v>55824.708786585266</v>
      </c>
      <c r="BD191" s="53">
        <f t="shared" si="127"/>
        <v>53929.446732308686</v>
      </c>
    </row>
    <row r="192" spans="2:56">
      <c r="B192" s="43">
        <f>'10. Investeringen (bijschatten)'!B29</f>
        <v>10</v>
      </c>
      <c r="C192" s="54"/>
      <c r="E192" s="54"/>
      <c r="F192" s="160">
        <f>'10. Investeringen (bijschatten)'!C29</f>
        <v>12922329.119819744</v>
      </c>
      <c r="H192" s="43">
        <f>'10. Investeringen (bijschatten)'!D29</f>
        <v>2020</v>
      </c>
      <c r="I192" s="43" t="str">
        <f>'10. Investeringen (bijschatten)'!E29</f>
        <v>21 Hoofdtransportleiding</v>
      </c>
      <c r="J192" s="180">
        <f>_xlfn.XLOOKUP(I192,'3. Input (des)investeringen '!$B$11:$B$80,'3. Input (des)investeringen '!$D$11:$D$80)</f>
        <v>55</v>
      </c>
      <c r="K192" s="166"/>
      <c r="L192" s="166"/>
      <c r="M192" s="49">
        <f t="shared" si="100"/>
        <v>117475.71927108857</v>
      </c>
      <c r="N192" s="49">
        <f t="shared" si="101"/>
        <v>238710.66155885201</v>
      </c>
      <c r="P192" s="147">
        <f t="shared" si="102"/>
        <v>12804853.400548656</v>
      </c>
      <c r="Q192" s="147">
        <f t="shared" si="103"/>
        <v>12771020.393398583</v>
      </c>
      <c r="S192" s="49">
        <f t="shared" si="104"/>
        <v>12771020.393398583</v>
      </c>
      <c r="T192" s="44">
        <f t="shared" si="105"/>
        <v>53.5</v>
      </c>
      <c r="V192" s="49">
        <f t="shared" si="106"/>
        <v>279291.47402385686</v>
      </c>
      <c r="W192" s="49">
        <f t="shared" si="106"/>
        <v>272504.95222514635</v>
      </c>
      <c r="X192" s="49">
        <f t="shared" si="94"/>
        <v>265883.33656360075</v>
      </c>
      <c r="Y192" s="49">
        <f t="shared" si="94"/>
        <v>259422.61997420483</v>
      </c>
      <c r="Z192" s="49">
        <f t="shared" si="94"/>
        <v>253118.89275987836</v>
      </c>
      <c r="AB192" s="49">
        <f t="shared" si="107"/>
        <v>23871.066155885204</v>
      </c>
      <c r="AC192" s="49">
        <f t="shared" si="107"/>
        <v>23871.066155885204</v>
      </c>
      <c r="AD192" s="49">
        <f t="shared" si="95"/>
        <v>23871.066155885204</v>
      </c>
      <c r="AE192" s="49">
        <f t="shared" si="95"/>
        <v>23871.066155885204</v>
      </c>
      <c r="AF192" s="49">
        <f t="shared" si="95"/>
        <v>23871.066155885204</v>
      </c>
      <c r="AH192" s="49">
        <f t="shared" si="108"/>
        <v>303162.54017974209</v>
      </c>
      <c r="AI192" s="49">
        <f t="shared" si="109"/>
        <v>296376.01838103158</v>
      </c>
      <c r="AJ192" s="49">
        <f t="shared" si="110"/>
        <v>289754.40271948598</v>
      </c>
      <c r="AK192" s="49">
        <f t="shared" si="111"/>
        <v>283293.68613009003</v>
      </c>
      <c r="AL192" s="49">
        <f t="shared" si="112"/>
        <v>276989.95891576359</v>
      </c>
      <c r="AN192" s="49">
        <f t="shared" si="113"/>
        <v>12467857.85321884</v>
      </c>
      <c r="AO192" s="49">
        <f t="shared" si="114"/>
        <v>12171481.834837809</v>
      </c>
      <c r="AP192" s="49">
        <f t="shared" si="115"/>
        <v>11881727.432118323</v>
      </c>
      <c r="AQ192" s="49">
        <f t="shared" si="116"/>
        <v>11598433.745988233</v>
      </c>
      <c r="AR192" s="49">
        <f t="shared" si="117"/>
        <v>11321443.787072469</v>
      </c>
      <c r="AT192" s="49">
        <f t="shared" si="118"/>
        <v>132986.36352616485</v>
      </c>
      <c r="AU192" s="49">
        <f t="shared" si="119"/>
        <v>140666.59199252794</v>
      </c>
      <c r="AV192" s="49">
        <f t="shared" si="120"/>
        <v>151312.23967452248</v>
      </c>
      <c r="AW192" s="49">
        <f t="shared" si="121"/>
        <v>153269.00955799338</v>
      </c>
      <c r="AX192" s="49">
        <f t="shared" si="122"/>
        <v>155251.08438959735</v>
      </c>
      <c r="AZ192" s="53">
        <f t="shared" si="123"/>
        <v>822652.49715569103</v>
      </c>
      <c r="BA192" s="53">
        <f t="shared" si="124"/>
        <v>802187.0654186937</v>
      </c>
      <c r="BB192" s="53">
        <f t="shared" si="125"/>
        <v>797518.4653575581</v>
      </c>
      <c r="BC192" s="53">
        <f t="shared" si="126"/>
        <v>784515.70806773042</v>
      </c>
      <c r="BD192" s="53">
        <f t="shared" si="127"/>
        <v>771884.35691753495</v>
      </c>
    </row>
    <row r="193" spans="2:56">
      <c r="B193" s="43">
        <f>'10. Investeringen (bijschatten)'!B30</f>
        <v>11</v>
      </c>
      <c r="C193" s="54"/>
      <c r="E193" s="54"/>
      <c r="F193" s="160">
        <f>'10. Investeringen (bijschatten)'!C30</f>
        <v>686952.98173478153</v>
      </c>
      <c r="H193" s="43">
        <f>'10. Investeringen (bijschatten)'!D30</f>
        <v>2020</v>
      </c>
      <c r="I193" s="43" t="str">
        <f>'10. Investeringen (bijschatten)'!E30</f>
        <v>32 M&amp;R stations</v>
      </c>
      <c r="J193" s="180">
        <f>_xlfn.XLOOKUP(I193,'3. Input (des)investeringen '!$B$11:$B$80,'3. Input (des)investeringen '!$D$11:$D$80)</f>
        <v>30</v>
      </c>
      <c r="K193" s="166"/>
      <c r="L193" s="166"/>
      <c r="M193" s="49">
        <f t="shared" si="100"/>
        <v>11449.216362246359</v>
      </c>
      <c r="N193" s="49">
        <f t="shared" si="101"/>
        <v>23264.807648084603</v>
      </c>
      <c r="P193" s="147">
        <f t="shared" si="102"/>
        <v>675503.76537253521</v>
      </c>
      <c r="Q193" s="147">
        <f t="shared" si="103"/>
        <v>663047.01797041122</v>
      </c>
      <c r="S193" s="49">
        <f t="shared" si="104"/>
        <v>663047.01797041122</v>
      </c>
      <c r="T193" s="44">
        <f t="shared" si="105"/>
        <v>28.5</v>
      </c>
      <c r="V193" s="49">
        <f t="shared" si="106"/>
        <v>27219.824948258989</v>
      </c>
      <c r="W193" s="49">
        <f t="shared" si="106"/>
        <v>25978.218897987525</v>
      </c>
      <c r="X193" s="49">
        <f t="shared" si="94"/>
        <v>24793.247509658268</v>
      </c>
      <c r="Y193" s="49">
        <f t="shared" si="94"/>
        <v>23662.327447814208</v>
      </c>
      <c r="Z193" s="49">
        <f t="shared" si="94"/>
        <v>22582.993213352507</v>
      </c>
      <c r="AB193" s="49">
        <f t="shared" si="107"/>
        <v>2326.4807648084607</v>
      </c>
      <c r="AC193" s="49">
        <f t="shared" si="107"/>
        <v>2326.4807648084607</v>
      </c>
      <c r="AD193" s="49">
        <f t="shared" si="95"/>
        <v>2326.4807648084607</v>
      </c>
      <c r="AE193" s="49">
        <f t="shared" si="95"/>
        <v>2326.4807648084607</v>
      </c>
      <c r="AF193" s="49">
        <f t="shared" si="95"/>
        <v>2326.4807648084607</v>
      </c>
      <c r="AH193" s="49">
        <f t="shared" si="108"/>
        <v>29546.30571306745</v>
      </c>
      <c r="AI193" s="49">
        <f t="shared" si="109"/>
        <v>28304.699662795985</v>
      </c>
      <c r="AJ193" s="49">
        <f t="shared" si="110"/>
        <v>27119.728274466728</v>
      </c>
      <c r="AK193" s="49">
        <f t="shared" si="111"/>
        <v>25988.808212622669</v>
      </c>
      <c r="AL193" s="49">
        <f t="shared" si="112"/>
        <v>24909.473978160968</v>
      </c>
      <c r="AN193" s="49">
        <f t="shared" si="113"/>
        <v>633500.71225734381</v>
      </c>
      <c r="AO193" s="49">
        <f t="shared" si="114"/>
        <v>605196.01259454782</v>
      </c>
      <c r="AP193" s="49">
        <f t="shared" si="115"/>
        <v>578076.28432008112</v>
      </c>
      <c r="AQ193" s="49">
        <f t="shared" si="116"/>
        <v>552087.47610745847</v>
      </c>
      <c r="AR193" s="49">
        <f t="shared" si="117"/>
        <v>527178.00212929747</v>
      </c>
      <c r="AT193" s="49">
        <f t="shared" si="118"/>
        <v>7069.5753147354353</v>
      </c>
      <c r="AU193" s="49">
        <f t="shared" si="119"/>
        <v>7477.8574283120361</v>
      </c>
      <c r="AV193" s="49">
        <f t="shared" si="120"/>
        <v>8043.7816784866936</v>
      </c>
      <c r="AW193" s="49">
        <f t="shared" si="121"/>
        <v>8147.8038631528816</v>
      </c>
      <c r="AX193" s="49">
        <f t="shared" si="122"/>
        <v>8253.1712627111738</v>
      </c>
      <c r="AZ193" s="53">
        <f t="shared" si="123"/>
        <v>56254.403107780541</v>
      </c>
      <c r="BA193" s="53">
        <f t="shared" si="124"/>
        <v>53938.437468944452</v>
      </c>
      <c r="BB193" s="53">
        <f t="shared" si="125"/>
        <v>52505.79848255586</v>
      </c>
      <c r="BC193" s="53">
        <f t="shared" si="126"/>
        <v>50699.236358999311</v>
      </c>
      <c r="BD193" s="53">
        <f t="shared" si="127"/>
        <v>48977.98530475107</v>
      </c>
    </row>
    <row r="194" spans="2:56">
      <c r="B194" s="43">
        <f>'10. Investeringen (bijschatten)'!B31</f>
        <v>12</v>
      </c>
      <c r="C194" s="54"/>
      <c r="E194" s="54"/>
      <c r="F194" s="160">
        <f>'10. Investeringen (bijschatten)'!C31</f>
        <v>975839.82625029294</v>
      </c>
      <c r="H194" s="43">
        <f>'10. Investeringen (bijschatten)'!D31</f>
        <v>2020</v>
      </c>
      <c r="I194" s="43" t="str">
        <f>'10. Investeringen (bijschatten)'!E31</f>
        <v>33 Exportstations</v>
      </c>
      <c r="J194" s="180">
        <f>_xlfn.XLOOKUP(I194,'3. Input (des)investeringen '!$B$11:$B$80,'3. Input (des)investeringen '!$D$11:$D$80)</f>
        <v>30</v>
      </c>
      <c r="K194" s="166"/>
      <c r="L194" s="166"/>
      <c r="M194" s="49">
        <f t="shared" si="100"/>
        <v>16263.997104171549</v>
      </c>
      <c r="N194" s="49">
        <f t="shared" si="101"/>
        <v>33048.442115676589</v>
      </c>
      <c r="P194" s="147">
        <f t="shared" si="102"/>
        <v>959575.8291461214</v>
      </c>
      <c r="Q194" s="147">
        <f t="shared" si="103"/>
        <v>941880.6002967828</v>
      </c>
      <c r="S194" s="49">
        <f t="shared" si="104"/>
        <v>941880.6002967828</v>
      </c>
      <c r="T194" s="44">
        <f t="shared" si="105"/>
        <v>28.5</v>
      </c>
      <c r="V194" s="49">
        <f t="shared" si="106"/>
        <v>38666.677275341615</v>
      </c>
      <c r="W194" s="49">
        <f t="shared" si="106"/>
        <v>36902.934101378662</v>
      </c>
      <c r="X194" s="49">
        <f t="shared" si="94"/>
        <v>35219.642370438582</v>
      </c>
      <c r="Y194" s="49">
        <f t="shared" si="94"/>
        <v>33613.132367576472</v>
      </c>
      <c r="Z194" s="49">
        <f t="shared" si="94"/>
        <v>32079.901768353688</v>
      </c>
      <c r="AB194" s="49">
        <f t="shared" si="107"/>
        <v>3304.8442115676589</v>
      </c>
      <c r="AC194" s="49">
        <f t="shared" si="107"/>
        <v>3304.8442115676589</v>
      </c>
      <c r="AD194" s="49">
        <f t="shared" si="95"/>
        <v>3304.8442115676589</v>
      </c>
      <c r="AE194" s="49">
        <f t="shared" si="95"/>
        <v>3304.8442115676589</v>
      </c>
      <c r="AF194" s="49">
        <f t="shared" si="95"/>
        <v>3304.8442115676589</v>
      </c>
      <c r="AH194" s="49">
        <f t="shared" si="108"/>
        <v>41971.521486909274</v>
      </c>
      <c r="AI194" s="49">
        <f t="shared" si="109"/>
        <v>40207.778312946321</v>
      </c>
      <c r="AJ194" s="49">
        <f t="shared" si="110"/>
        <v>38524.48658200624</v>
      </c>
      <c r="AK194" s="49">
        <f t="shared" si="111"/>
        <v>36917.976579144131</v>
      </c>
      <c r="AL194" s="49">
        <f t="shared" si="112"/>
        <v>35384.745979921347</v>
      </c>
      <c r="AN194" s="49">
        <f t="shared" si="113"/>
        <v>899909.07880987355</v>
      </c>
      <c r="AO194" s="49">
        <f t="shared" si="114"/>
        <v>859701.30049692723</v>
      </c>
      <c r="AP194" s="49">
        <f t="shared" si="115"/>
        <v>821176.81391492102</v>
      </c>
      <c r="AQ194" s="49">
        <f t="shared" si="116"/>
        <v>784258.83733577689</v>
      </c>
      <c r="AR194" s="49">
        <f t="shared" si="117"/>
        <v>748874.09135585558</v>
      </c>
      <c r="AT194" s="49">
        <f t="shared" si="118"/>
        <v>10042.569622993882</v>
      </c>
      <c r="AU194" s="49">
        <f t="shared" si="119"/>
        <v>10622.548103861025</v>
      </c>
      <c r="AV194" s="49">
        <f t="shared" si="120"/>
        <v>11426.462544361228</v>
      </c>
      <c r="AW194" s="49">
        <f t="shared" si="121"/>
        <v>11574.229557984907</v>
      </c>
      <c r="AX194" s="49">
        <f t="shared" si="122"/>
        <v>11723.907494628767</v>
      </c>
      <c r="AZ194" s="53">
        <f t="shared" si="123"/>
        <v>79911.272553009228</v>
      </c>
      <c r="BA194" s="53">
        <f t="shared" si="124"/>
        <v>76621.365431715167</v>
      </c>
      <c r="BB194" s="53">
        <f t="shared" si="125"/>
        <v>74586.253543815095</v>
      </c>
      <c r="BC194" s="53">
        <f t="shared" si="126"/>
        <v>72019.971257202342</v>
      </c>
      <c r="BD194" s="53">
        <f t="shared" si="127"/>
        <v>69574.876215225784</v>
      </c>
    </row>
    <row r="195" spans="2:56">
      <c r="B195" s="43">
        <f>'10. Investeringen (bijschatten)'!B32</f>
        <v>13</v>
      </c>
      <c r="C195" s="54"/>
      <c r="E195" s="54"/>
      <c r="F195" s="160">
        <f>'10. Investeringen (bijschatten)'!C32</f>
        <v>31012.676750044764</v>
      </c>
      <c r="H195" s="43">
        <f>'10. Investeringen (bijschatten)'!D32</f>
        <v>2020</v>
      </c>
      <c r="I195" s="43" t="str">
        <f>'10. Investeringen (bijschatten)'!E32</f>
        <v>34 Reduceerstations</v>
      </c>
      <c r="J195" s="180">
        <f>_xlfn.XLOOKUP(I195,'3. Input (des)investeringen '!$B$11:$B$80,'3. Input (des)investeringen '!$D$11:$D$80)</f>
        <v>30</v>
      </c>
      <c r="K195" s="166"/>
      <c r="L195" s="166"/>
      <c r="M195" s="49">
        <f t="shared" si="100"/>
        <v>516.87794583407936</v>
      </c>
      <c r="N195" s="49">
        <f t="shared" si="101"/>
        <v>1050.2959859348493</v>
      </c>
      <c r="P195" s="147">
        <f t="shared" si="102"/>
        <v>30495.798804210684</v>
      </c>
      <c r="Q195" s="147">
        <f t="shared" si="103"/>
        <v>29933.435599143206</v>
      </c>
      <c r="S195" s="49">
        <f t="shared" si="104"/>
        <v>29933.435599143206</v>
      </c>
      <c r="T195" s="44">
        <f t="shared" si="105"/>
        <v>28.5</v>
      </c>
      <c r="V195" s="49">
        <f t="shared" si="106"/>
        <v>1228.8463035437737</v>
      </c>
      <c r="W195" s="49">
        <f t="shared" si="106"/>
        <v>1172.7936651365139</v>
      </c>
      <c r="X195" s="49">
        <f t="shared" si="94"/>
        <v>1119.2978137443222</v>
      </c>
      <c r="Y195" s="49">
        <f t="shared" si="94"/>
        <v>1068.2421239945811</v>
      </c>
      <c r="Z195" s="49">
        <f t="shared" si="94"/>
        <v>1019.5152902685127</v>
      </c>
      <c r="AB195" s="49">
        <f t="shared" si="107"/>
        <v>105.02959859348495</v>
      </c>
      <c r="AC195" s="49">
        <f t="shared" si="107"/>
        <v>105.02959859348495</v>
      </c>
      <c r="AD195" s="49">
        <f t="shared" si="95"/>
        <v>105.02959859348495</v>
      </c>
      <c r="AE195" s="49">
        <f t="shared" si="95"/>
        <v>105.02959859348495</v>
      </c>
      <c r="AF195" s="49">
        <f t="shared" si="95"/>
        <v>105.02959859348495</v>
      </c>
      <c r="AH195" s="49">
        <f t="shared" si="108"/>
        <v>1333.8759021372587</v>
      </c>
      <c r="AI195" s="49">
        <f t="shared" si="109"/>
        <v>1277.8232637299989</v>
      </c>
      <c r="AJ195" s="49">
        <f t="shared" si="110"/>
        <v>1224.3274123378071</v>
      </c>
      <c r="AK195" s="49">
        <f t="shared" si="111"/>
        <v>1173.271722588066</v>
      </c>
      <c r="AL195" s="49">
        <f t="shared" si="112"/>
        <v>1124.5448888619976</v>
      </c>
      <c r="AN195" s="49">
        <f t="shared" si="113"/>
        <v>28599.559697005949</v>
      </c>
      <c r="AO195" s="49">
        <f t="shared" si="114"/>
        <v>27321.73643327595</v>
      </c>
      <c r="AP195" s="49">
        <f t="shared" si="115"/>
        <v>26097.409020938143</v>
      </c>
      <c r="AQ195" s="49">
        <f t="shared" si="116"/>
        <v>24924.137298350077</v>
      </c>
      <c r="AR195" s="49">
        <f t="shared" si="117"/>
        <v>23799.592409488079</v>
      </c>
      <c r="AT195" s="49">
        <f t="shared" si="118"/>
        <v>319.15787517555697</v>
      </c>
      <c r="AU195" s="49">
        <f t="shared" si="119"/>
        <v>337.58988078269567</v>
      </c>
      <c r="AV195" s="49">
        <f t="shared" si="120"/>
        <v>363.13868296033019</v>
      </c>
      <c r="AW195" s="49">
        <f t="shared" si="121"/>
        <v>367.83479240837312</v>
      </c>
      <c r="AX195" s="49">
        <f t="shared" si="122"/>
        <v>372.59163194379812</v>
      </c>
      <c r="AZ195" s="53">
        <f t="shared" si="123"/>
        <v>2539.62012792</v>
      </c>
      <c r="BA195" s="53">
        <f t="shared" si="124"/>
        <v>2435.065237510973</v>
      </c>
      <c r="BB195" s="53">
        <f t="shared" si="125"/>
        <v>2370.3883659262815</v>
      </c>
      <c r="BC195" s="53">
        <f t="shared" si="126"/>
        <v>2288.8306339469414</v>
      </c>
      <c r="BD195" s="53">
        <f t="shared" si="127"/>
        <v>2211.1242930904382</v>
      </c>
    </row>
    <row r="196" spans="2:56">
      <c r="B196" s="43">
        <f>'10. Investeringen (bijschatten)'!B33</f>
        <v>14</v>
      </c>
      <c r="C196" s="54"/>
      <c r="E196" s="54"/>
      <c r="F196" s="160">
        <f>'10. Investeringen (bijschatten)'!C33</f>
        <v>12132.747993912169</v>
      </c>
      <c r="H196" s="43">
        <f>'10. Investeringen (bijschatten)'!D33</f>
        <v>2020</v>
      </c>
      <c r="I196" s="43" t="str">
        <f>'10. Investeringen (bijschatten)'!E33</f>
        <v>35 Injectiestations</v>
      </c>
      <c r="J196" s="180">
        <f>_xlfn.XLOOKUP(I196,'3. Input (des)investeringen '!$B$11:$B$80,'3. Input (des)investeringen '!$D$11:$D$80)</f>
        <v>30</v>
      </c>
      <c r="K196" s="166"/>
      <c r="L196" s="166"/>
      <c r="M196" s="49">
        <f t="shared" si="100"/>
        <v>202.21246656520282</v>
      </c>
      <c r="N196" s="49">
        <f t="shared" si="101"/>
        <v>410.89573206049215</v>
      </c>
      <c r="P196" s="147">
        <f t="shared" si="102"/>
        <v>11930.535527346967</v>
      </c>
      <c r="Q196" s="147">
        <f t="shared" si="103"/>
        <v>11710.528363724026</v>
      </c>
      <c r="S196" s="49">
        <f t="shared" si="104"/>
        <v>11710.528363724026</v>
      </c>
      <c r="T196" s="44">
        <f t="shared" si="105"/>
        <v>28.5</v>
      </c>
      <c r="V196" s="49">
        <f t="shared" si="106"/>
        <v>480.74800651077584</v>
      </c>
      <c r="W196" s="49">
        <f t="shared" si="106"/>
        <v>458.81915007344224</v>
      </c>
      <c r="X196" s="49">
        <f t="shared" si="94"/>
        <v>437.89055726307464</v>
      </c>
      <c r="Y196" s="49">
        <f t="shared" si="94"/>
        <v>417.91660201949583</v>
      </c>
      <c r="Z196" s="49">
        <f t="shared" si="94"/>
        <v>398.85373947123816</v>
      </c>
      <c r="AB196" s="49">
        <f t="shared" si="107"/>
        <v>41.089573206049216</v>
      </c>
      <c r="AC196" s="49">
        <f t="shared" si="107"/>
        <v>41.089573206049216</v>
      </c>
      <c r="AD196" s="49">
        <f t="shared" si="95"/>
        <v>41.089573206049216</v>
      </c>
      <c r="AE196" s="49">
        <f t="shared" si="95"/>
        <v>41.089573206049216</v>
      </c>
      <c r="AF196" s="49">
        <f t="shared" si="95"/>
        <v>41.089573206049216</v>
      </c>
      <c r="AH196" s="49">
        <f t="shared" si="108"/>
        <v>521.83757971682508</v>
      </c>
      <c r="AI196" s="49">
        <f t="shared" si="109"/>
        <v>499.90872327949148</v>
      </c>
      <c r="AJ196" s="49">
        <f t="shared" si="110"/>
        <v>478.98013046912388</v>
      </c>
      <c r="AK196" s="49">
        <f t="shared" si="111"/>
        <v>459.00617522554506</v>
      </c>
      <c r="AL196" s="49">
        <f t="shared" si="112"/>
        <v>439.94331267728739</v>
      </c>
      <c r="AN196" s="49">
        <f t="shared" si="113"/>
        <v>11188.690784007202</v>
      </c>
      <c r="AO196" s="49">
        <f t="shared" si="114"/>
        <v>10688.78206072771</v>
      </c>
      <c r="AP196" s="49">
        <f t="shared" si="115"/>
        <v>10209.801930258585</v>
      </c>
      <c r="AQ196" s="49">
        <f t="shared" si="116"/>
        <v>9750.7957550330411</v>
      </c>
      <c r="AR196" s="49">
        <f t="shared" si="117"/>
        <v>9310.8524423557537</v>
      </c>
      <c r="AT196" s="49">
        <f t="shared" si="118"/>
        <v>124.86062073864423</v>
      </c>
      <c r="AU196" s="49">
        <f t="shared" si="119"/>
        <v>132.07157130754243</v>
      </c>
      <c r="AV196" s="49">
        <f t="shared" si="120"/>
        <v>142.06674782409723</v>
      </c>
      <c r="AW196" s="49">
        <f t="shared" si="121"/>
        <v>143.90395500695845</v>
      </c>
      <c r="AX196" s="49">
        <f t="shared" si="122"/>
        <v>145.76492095310843</v>
      </c>
      <c r="AZ196" s="53">
        <f t="shared" si="123"/>
        <v>993.54761475969258</v>
      </c>
      <c r="BA196" s="53">
        <f t="shared" si="124"/>
        <v>952.6437564088651</v>
      </c>
      <c r="BB196" s="53">
        <f t="shared" si="125"/>
        <v>927.34093620097872</v>
      </c>
      <c r="BC196" s="53">
        <f t="shared" si="126"/>
        <v>895.43400288349471</v>
      </c>
      <c r="BD196" s="53">
        <f t="shared" si="127"/>
        <v>865.03380690106837</v>
      </c>
    </row>
    <row r="197" spans="2:56">
      <c r="B197" s="43">
        <f>'10. Investeringen (bijschatten)'!B34</f>
        <v>15</v>
      </c>
      <c r="C197" s="54"/>
      <c r="E197" s="54"/>
      <c r="F197" s="160">
        <f>'10. Investeringen (bijschatten)'!C34</f>
        <v>6654019.8779814392</v>
      </c>
      <c r="H197" s="43">
        <f>'10. Investeringen (bijschatten)'!D34</f>
        <v>2020</v>
      </c>
      <c r="I197" s="43" t="str">
        <f>'10. Investeringen (bijschatten)'!E34</f>
        <v>36 Luchtscheidingsunit</v>
      </c>
      <c r="J197" s="180">
        <f>_xlfn.XLOOKUP(I197,'3. Input (des)investeringen '!$B$11:$B$80,'3. Input (des)investeringen '!$D$11:$D$80)</f>
        <v>30</v>
      </c>
      <c r="K197" s="166"/>
      <c r="L197" s="166"/>
      <c r="M197" s="49">
        <f t="shared" si="100"/>
        <v>110900.33129969066</v>
      </c>
      <c r="N197" s="49">
        <f t="shared" si="101"/>
        <v>225349.47320097144</v>
      </c>
      <c r="P197" s="147">
        <f t="shared" si="102"/>
        <v>6543119.5466817487</v>
      </c>
      <c r="Q197" s="147">
        <f t="shared" si="103"/>
        <v>6422459.9862276856</v>
      </c>
      <c r="S197" s="49">
        <f t="shared" si="104"/>
        <v>6422459.9862276856</v>
      </c>
      <c r="T197" s="44">
        <f t="shared" si="105"/>
        <v>28.5</v>
      </c>
      <c r="V197" s="49">
        <f t="shared" si="106"/>
        <v>263658.88364513661</v>
      </c>
      <c r="W197" s="49">
        <f t="shared" si="106"/>
        <v>251632.33807535842</v>
      </c>
      <c r="X197" s="49">
        <f t="shared" si="94"/>
        <v>240154.37177718416</v>
      </c>
      <c r="Y197" s="49">
        <f t="shared" si="94"/>
        <v>229199.96183647049</v>
      </c>
      <c r="Z197" s="49">
        <f t="shared" si="94"/>
        <v>218745.2267351578</v>
      </c>
      <c r="AB197" s="49">
        <f t="shared" si="107"/>
        <v>22534.947320097141</v>
      </c>
      <c r="AC197" s="49">
        <f t="shared" si="107"/>
        <v>22534.947320097144</v>
      </c>
      <c r="AD197" s="49">
        <f t="shared" si="95"/>
        <v>22534.947320097144</v>
      </c>
      <c r="AE197" s="49">
        <f t="shared" si="95"/>
        <v>22534.947320097144</v>
      </c>
      <c r="AF197" s="49">
        <f t="shared" si="95"/>
        <v>22534.947320097144</v>
      </c>
      <c r="AH197" s="49">
        <f t="shared" si="108"/>
        <v>286193.83096523373</v>
      </c>
      <c r="AI197" s="49">
        <f t="shared" si="109"/>
        <v>274167.28539545555</v>
      </c>
      <c r="AJ197" s="49">
        <f t="shared" si="110"/>
        <v>262689.31909728132</v>
      </c>
      <c r="AK197" s="49">
        <f t="shared" si="111"/>
        <v>251734.90915656765</v>
      </c>
      <c r="AL197" s="49">
        <f t="shared" si="112"/>
        <v>241280.17405525496</v>
      </c>
      <c r="AN197" s="49">
        <f t="shared" si="113"/>
        <v>6136266.1552624516</v>
      </c>
      <c r="AO197" s="49">
        <f t="shared" si="114"/>
        <v>5862098.8698669961</v>
      </c>
      <c r="AP197" s="49">
        <f t="shared" si="115"/>
        <v>5599409.5507697146</v>
      </c>
      <c r="AQ197" s="49">
        <f t="shared" si="116"/>
        <v>5347674.6416131472</v>
      </c>
      <c r="AR197" s="49">
        <f t="shared" si="117"/>
        <v>5106394.4675578922</v>
      </c>
      <c r="AT197" s="49">
        <f t="shared" si="118"/>
        <v>68477.895756915255</v>
      </c>
      <c r="AU197" s="49">
        <f t="shared" si="119"/>
        <v>72432.631192668618</v>
      </c>
      <c r="AV197" s="49">
        <f t="shared" si="120"/>
        <v>77914.332721329803</v>
      </c>
      <c r="AW197" s="49">
        <f t="shared" si="121"/>
        <v>78921.920872082032</v>
      </c>
      <c r="AX197" s="49">
        <f t="shared" si="122"/>
        <v>79942.539152799785</v>
      </c>
      <c r="AZ197" s="53">
        <f t="shared" si="123"/>
        <v>544895.97753528494</v>
      </c>
      <c r="BA197" s="53">
        <f t="shared" si="124"/>
        <v>522462.88268413406</v>
      </c>
      <c r="BB197" s="53">
        <f t="shared" si="125"/>
        <v>508585.93834170257</v>
      </c>
      <c r="BC197" s="53">
        <f t="shared" si="126"/>
        <v>491087.06927704404</v>
      </c>
      <c r="BD197" s="53">
        <f t="shared" si="127"/>
        <v>474414.54723479145</v>
      </c>
    </row>
    <row r="198" spans="2:56">
      <c r="B198" s="43">
        <f>'10. Investeringen (bijschatten)'!B35</f>
        <v>16</v>
      </c>
      <c r="C198" s="54"/>
      <c r="E198" s="54"/>
      <c r="F198" s="160">
        <f>'10. Investeringen (bijschatten)'!C35</f>
        <v>437.7361508808076</v>
      </c>
      <c r="H198" s="43">
        <f>'10. Investeringen (bijschatten)'!D35</f>
        <v>2020</v>
      </c>
      <c r="I198" s="43" t="str">
        <f>'10. Investeringen (bijschatten)'!E35</f>
        <v>39 ICT middelen 3</v>
      </c>
      <c r="J198" s="180">
        <f>_xlfn.XLOOKUP(I198,'3. Input (des)investeringen '!$B$11:$B$80,'3. Input (des)investeringen '!$D$11:$D$80)</f>
        <v>15</v>
      </c>
      <c r="K198" s="166"/>
      <c r="L198" s="166"/>
      <c r="M198" s="49">
        <f t="shared" si="100"/>
        <v>14.591205029360253</v>
      </c>
      <c r="N198" s="49">
        <f t="shared" si="101"/>
        <v>29.649328619660036</v>
      </c>
      <c r="P198" s="147">
        <f t="shared" si="102"/>
        <v>423.14494585144735</v>
      </c>
      <c r="Q198" s="147">
        <f t="shared" si="103"/>
        <v>400.26593636541048</v>
      </c>
      <c r="S198" s="49">
        <f t="shared" si="104"/>
        <v>400.26593636541048</v>
      </c>
      <c r="T198" s="44">
        <f t="shared" si="105"/>
        <v>13.5</v>
      </c>
      <c r="V198" s="49">
        <f t="shared" si="106"/>
        <v>34.689714485002241</v>
      </c>
      <c r="W198" s="49">
        <f t="shared" si="106"/>
        <v>31.349223460520545</v>
      </c>
      <c r="X198" s="49">
        <f t="shared" si="94"/>
        <v>28.330409349507455</v>
      </c>
      <c r="Y198" s="49">
        <f t="shared" si="94"/>
        <v>25.602295856591919</v>
      </c>
      <c r="Z198" s="49">
        <f t="shared" si="94"/>
        <v>25.291336797604973</v>
      </c>
      <c r="AB198" s="49">
        <f t="shared" si="107"/>
        <v>2.9649328619660036</v>
      </c>
      <c r="AC198" s="49">
        <f t="shared" si="107"/>
        <v>2.9649328619660036</v>
      </c>
      <c r="AD198" s="49">
        <f t="shared" si="95"/>
        <v>2.9649328619660036</v>
      </c>
      <c r="AE198" s="49">
        <f t="shared" si="95"/>
        <v>2.9649328619660036</v>
      </c>
      <c r="AF198" s="49">
        <f t="shared" si="95"/>
        <v>2.9649328619660036</v>
      </c>
      <c r="AH198" s="49">
        <f t="shared" si="108"/>
        <v>37.654647346968247</v>
      </c>
      <c r="AI198" s="49">
        <f t="shared" si="109"/>
        <v>34.314156322486546</v>
      </c>
      <c r="AJ198" s="49">
        <f t="shared" si="110"/>
        <v>31.295342211473461</v>
      </c>
      <c r="AK198" s="49">
        <f t="shared" si="111"/>
        <v>28.567228718557921</v>
      </c>
      <c r="AL198" s="49">
        <f t="shared" si="112"/>
        <v>28.256269659570975</v>
      </c>
      <c r="AN198" s="49">
        <f t="shared" si="113"/>
        <v>362.61128901844222</v>
      </c>
      <c r="AO198" s="49">
        <f t="shared" si="114"/>
        <v>328.29713269595567</v>
      </c>
      <c r="AP198" s="49">
        <f t="shared" si="115"/>
        <v>297.00179048448223</v>
      </c>
      <c r="AQ198" s="49">
        <f t="shared" si="116"/>
        <v>268.43456176592429</v>
      </c>
      <c r="AR198" s="49">
        <f t="shared" si="117"/>
        <v>240.1782921063533</v>
      </c>
      <c r="AT198" s="49">
        <f t="shared" si="118"/>
        <v>4.5048333276308981</v>
      </c>
      <c r="AU198" s="49">
        <f t="shared" si="119"/>
        <v>4.7649964619682379</v>
      </c>
      <c r="AV198" s="49">
        <f t="shared" si="120"/>
        <v>5.1256113942099946</v>
      </c>
      <c r="AW198" s="49">
        <f t="shared" si="121"/>
        <v>5.1918958007599176</v>
      </c>
      <c r="AX198" s="49">
        <f t="shared" si="122"/>
        <v>5.2590373972553452</v>
      </c>
      <c r="AZ198" s="53">
        <f t="shared" si="123"/>
        <v>53.400430634170853</v>
      </c>
      <c r="BA198" s="53">
        <f t="shared" si="124"/>
        <v>48.928066765333455</v>
      </c>
      <c r="BB198" s="53">
        <f t="shared" si="125"/>
        <v>45.331007320217921</v>
      </c>
      <c r="BC198" s="53">
        <f t="shared" si="126"/>
        <v>41.812161372295563</v>
      </c>
      <c r="BD198" s="53">
        <f t="shared" si="127"/>
        <v>40.720655820016923</v>
      </c>
    </row>
    <row r="199" spans="2:56">
      <c r="B199" s="43">
        <f>'10. Investeringen (bijschatten)'!B36</f>
        <v>17</v>
      </c>
      <c r="C199" s="54"/>
      <c r="E199" s="54"/>
      <c r="F199" s="160">
        <f>'10. Investeringen (bijschatten)'!C36</f>
        <v>11388.804547887481</v>
      </c>
      <c r="H199" s="43">
        <f>'10. Investeringen (bijschatten)'!D36</f>
        <v>2020</v>
      </c>
      <c r="I199" s="43" t="str">
        <f>'10. Investeringen (bijschatten)'!E36</f>
        <v>41 Stikstofbuffer</v>
      </c>
      <c r="J199" s="180">
        <f>_xlfn.XLOOKUP(I199,'3. Input (des)investeringen '!$B$11:$B$80,'3. Input (des)investeringen '!$D$11:$D$80)</f>
        <v>30</v>
      </c>
      <c r="K199" s="166"/>
      <c r="L199" s="166"/>
      <c r="M199" s="49">
        <f t="shared" si="100"/>
        <v>189.81340913145803</v>
      </c>
      <c r="N199" s="49">
        <f t="shared" si="101"/>
        <v>385.70084735512273</v>
      </c>
      <c r="P199" s="147">
        <f t="shared" si="102"/>
        <v>11198.991138756022</v>
      </c>
      <c r="Q199" s="147">
        <f t="shared" si="103"/>
        <v>10992.474149620995</v>
      </c>
      <c r="S199" s="49">
        <f t="shared" si="104"/>
        <v>10992.474149620995</v>
      </c>
      <c r="T199" s="44">
        <f t="shared" si="105"/>
        <v>28.5</v>
      </c>
      <c r="V199" s="49">
        <f t="shared" si="106"/>
        <v>451.26999140549356</v>
      </c>
      <c r="W199" s="49">
        <f t="shared" si="106"/>
        <v>430.68574618348856</v>
      </c>
      <c r="X199" s="49">
        <f t="shared" si="106"/>
        <v>411.04043144529436</v>
      </c>
      <c r="Y199" s="49">
        <f t="shared" si="106"/>
        <v>392.29121878287748</v>
      </c>
      <c r="Z199" s="49">
        <f t="shared" si="106"/>
        <v>374.39723336471116</v>
      </c>
      <c r="AB199" s="49">
        <f t="shared" si="107"/>
        <v>38.570084735512268</v>
      </c>
      <c r="AC199" s="49">
        <f t="shared" si="107"/>
        <v>38.570084735512268</v>
      </c>
      <c r="AD199" s="49">
        <f t="shared" si="107"/>
        <v>38.570084735512268</v>
      </c>
      <c r="AE199" s="49">
        <f t="shared" si="107"/>
        <v>38.570084735512268</v>
      </c>
      <c r="AF199" s="49">
        <f t="shared" si="107"/>
        <v>38.570084735512268</v>
      </c>
      <c r="AH199" s="49">
        <f t="shared" si="108"/>
        <v>489.84007614100585</v>
      </c>
      <c r="AI199" s="49">
        <f t="shared" si="109"/>
        <v>469.2558309190008</v>
      </c>
      <c r="AJ199" s="49">
        <f t="shared" si="110"/>
        <v>449.6105161808066</v>
      </c>
      <c r="AK199" s="49">
        <f t="shared" si="111"/>
        <v>430.86130351838972</v>
      </c>
      <c r="AL199" s="49">
        <f t="shared" si="112"/>
        <v>412.96731810022345</v>
      </c>
      <c r="AN199" s="49">
        <f t="shared" si="113"/>
        <v>10502.634073479989</v>
      </c>
      <c r="AO199" s="49">
        <f t="shared" si="114"/>
        <v>10033.378242560988</v>
      </c>
      <c r="AP199" s="49">
        <f t="shared" si="115"/>
        <v>9583.7677263801816</v>
      </c>
      <c r="AQ199" s="49">
        <f t="shared" si="116"/>
        <v>9152.9064228617917</v>
      </c>
      <c r="AR199" s="49">
        <f t="shared" si="117"/>
        <v>8739.9391047615682</v>
      </c>
      <c r="AT199" s="49">
        <f t="shared" si="118"/>
        <v>117.20454476049834</v>
      </c>
      <c r="AU199" s="49">
        <f t="shared" si="119"/>
        <v>123.97334162950663</v>
      </c>
      <c r="AV199" s="49">
        <f t="shared" si="120"/>
        <v>133.35564412402772</v>
      </c>
      <c r="AW199" s="49">
        <f t="shared" si="121"/>
        <v>135.08019931383964</v>
      </c>
      <c r="AX199" s="49">
        <f t="shared" si="122"/>
        <v>136.82705645136622</v>
      </c>
      <c r="AZ199" s="53">
        <f t="shared" si="123"/>
        <v>932.62627717938392</v>
      </c>
      <c r="BA199" s="53">
        <f t="shared" si="124"/>
        <v>894.23051982533707</v>
      </c>
      <c r="BB199" s="53">
        <f t="shared" si="125"/>
        <v>870.47919209623979</v>
      </c>
      <c r="BC199" s="53">
        <f t="shared" si="126"/>
        <v>840.52869551808305</v>
      </c>
      <c r="BD199" s="53">
        <f t="shared" si="127"/>
        <v>811.99254769443678</v>
      </c>
    </row>
    <row r="200" spans="2:56">
      <c r="B200" s="43">
        <f>'10. Investeringen (bijschatten)'!B37</f>
        <v>18</v>
      </c>
      <c r="C200" s="54"/>
      <c r="E200" s="54"/>
      <c r="F200" s="160">
        <f>'10. Investeringen (bijschatten)'!C37</f>
        <v>629346.76893527061</v>
      </c>
      <c r="H200" s="43">
        <f>'10. Investeringen (bijschatten)'!D37</f>
        <v>2020</v>
      </c>
      <c r="I200" s="43" t="str">
        <f>'10. Investeringen (bijschatten)'!E37</f>
        <v>42 Vulgas</v>
      </c>
      <c r="J200" s="180">
        <f>_xlfn.XLOOKUP(I200,'3. Input (des)investeringen '!$B$11:$B$80,'3. Input (des)investeringen '!$D$11:$D$80)</f>
        <v>0</v>
      </c>
      <c r="K200" s="166"/>
      <c r="L200" s="166"/>
      <c r="M200" s="49">
        <f t="shared" si="100"/>
        <v>0</v>
      </c>
      <c r="N200" s="49">
        <f t="shared" si="101"/>
        <v>0</v>
      </c>
      <c r="P200" s="147">
        <f t="shared" si="102"/>
        <v>629346.76893527061</v>
      </c>
      <c r="Q200" s="147">
        <f t="shared" si="103"/>
        <v>639416.31723823491</v>
      </c>
      <c r="S200" s="49">
        <f t="shared" si="104"/>
        <v>639416.31723823491</v>
      </c>
      <c r="T200" s="44">
        <f t="shared" si="105"/>
        <v>0</v>
      </c>
      <c r="V200" s="49">
        <f t="shared" si="106"/>
        <v>0</v>
      </c>
      <c r="W200" s="49">
        <f t="shared" si="106"/>
        <v>0</v>
      </c>
      <c r="X200" s="49">
        <f t="shared" si="106"/>
        <v>0</v>
      </c>
      <c r="Y200" s="49">
        <f t="shared" si="106"/>
        <v>0</v>
      </c>
      <c r="Z200" s="49">
        <f t="shared" si="106"/>
        <v>0</v>
      </c>
      <c r="AB200" s="49">
        <f t="shared" si="107"/>
        <v>0</v>
      </c>
      <c r="AC200" s="49">
        <f t="shared" si="107"/>
        <v>0</v>
      </c>
      <c r="AD200" s="49">
        <f t="shared" si="107"/>
        <v>0</v>
      </c>
      <c r="AE200" s="49">
        <f t="shared" si="107"/>
        <v>0</v>
      </c>
      <c r="AF200" s="49">
        <f t="shared" si="107"/>
        <v>0</v>
      </c>
      <c r="AH200" s="49">
        <f t="shared" si="108"/>
        <v>0</v>
      </c>
      <c r="AI200" s="49">
        <f t="shared" si="109"/>
        <v>0</v>
      </c>
      <c r="AJ200" s="49">
        <f t="shared" si="110"/>
        <v>0</v>
      </c>
      <c r="AK200" s="49">
        <f t="shared" si="111"/>
        <v>0</v>
      </c>
      <c r="AL200" s="49">
        <f t="shared" si="112"/>
        <v>0</v>
      </c>
      <c r="AN200" s="49">
        <f t="shared" si="113"/>
        <v>639416.31723823491</v>
      </c>
      <c r="AO200" s="49">
        <f t="shared" si="114"/>
        <v>639416.31723823491</v>
      </c>
      <c r="AP200" s="49">
        <f t="shared" si="115"/>
        <v>639416.31723823491</v>
      </c>
      <c r="AQ200" s="49">
        <f t="shared" si="116"/>
        <v>639416.31723823491</v>
      </c>
      <c r="AR200" s="49">
        <f t="shared" si="117"/>
        <v>639416.31723823491</v>
      </c>
      <c r="AT200" s="49">
        <f t="shared" si="118"/>
        <v>0</v>
      </c>
      <c r="AU200" s="49">
        <f t="shared" si="119"/>
        <v>0</v>
      </c>
      <c r="AV200" s="49">
        <f t="shared" si="120"/>
        <v>0</v>
      </c>
      <c r="AW200" s="49">
        <f t="shared" si="121"/>
        <v>0</v>
      </c>
      <c r="AX200" s="49">
        <f t="shared" si="122"/>
        <v>0</v>
      </c>
      <c r="AZ200" s="53">
        <f t="shared" si="123"/>
        <v>19821.905834385281</v>
      </c>
      <c r="BA200" s="53">
        <f t="shared" si="124"/>
        <v>19182.489517147045</v>
      </c>
      <c r="BB200" s="53">
        <f t="shared" si="125"/>
        <v>19182.489517147045</v>
      </c>
      <c r="BC200" s="53">
        <f t="shared" si="126"/>
        <v>19182.489517147045</v>
      </c>
      <c r="BD200" s="53">
        <f t="shared" si="127"/>
        <v>19182.489517147045</v>
      </c>
    </row>
    <row r="201" spans="2:56">
      <c r="B201" s="43">
        <f>'10. Investeringen (bijschatten)'!B38</f>
        <v>19</v>
      </c>
      <c r="C201" s="54"/>
      <c r="E201" s="54"/>
      <c r="F201" s="160">
        <f>'10. Investeringen (bijschatten)'!C38</f>
        <v>17036.436079166462</v>
      </c>
      <c r="H201" s="43">
        <f>'10. Investeringen (bijschatten)'!D38</f>
        <v>2020</v>
      </c>
      <c r="I201" s="43" t="str">
        <f>'10. Investeringen (bijschatten)'!E38</f>
        <v>44 Stikstofleiding</v>
      </c>
      <c r="J201" s="180">
        <f>_xlfn.XLOOKUP(I201,'3. Input (des)investeringen '!$B$11:$B$80,'3. Input (des)investeringen '!$D$11:$D$80)</f>
        <v>55</v>
      </c>
      <c r="K201" s="166"/>
      <c r="L201" s="166"/>
      <c r="M201" s="49">
        <f t="shared" si="100"/>
        <v>154.87669162878601</v>
      </c>
      <c r="N201" s="49">
        <f t="shared" si="101"/>
        <v>314.70943738969322</v>
      </c>
      <c r="P201" s="147">
        <f t="shared" si="102"/>
        <v>16881.559387537676</v>
      </c>
      <c r="Q201" s="147">
        <f t="shared" si="103"/>
        <v>16836.954900348584</v>
      </c>
      <c r="S201" s="49">
        <f t="shared" si="104"/>
        <v>16836.954900348584</v>
      </c>
      <c r="T201" s="44">
        <f t="shared" si="105"/>
        <v>53.5</v>
      </c>
      <c r="V201" s="49">
        <f t="shared" si="106"/>
        <v>368.21004174594106</v>
      </c>
      <c r="W201" s="49">
        <f t="shared" si="106"/>
        <v>359.26288185304901</v>
      </c>
      <c r="X201" s="49">
        <f t="shared" si="106"/>
        <v>350.5331295837226</v>
      </c>
      <c r="Y201" s="49">
        <f t="shared" si="106"/>
        <v>342.01550213589383</v>
      </c>
      <c r="Z201" s="49">
        <f t="shared" si="106"/>
        <v>333.70484507464784</v>
      </c>
      <c r="AB201" s="49">
        <f t="shared" si="107"/>
        <v>31.470943738969318</v>
      </c>
      <c r="AC201" s="49">
        <f t="shared" si="107"/>
        <v>31.470943738969318</v>
      </c>
      <c r="AD201" s="49">
        <f t="shared" si="107"/>
        <v>31.470943738969318</v>
      </c>
      <c r="AE201" s="49">
        <f t="shared" si="107"/>
        <v>31.470943738969318</v>
      </c>
      <c r="AF201" s="49">
        <f t="shared" si="107"/>
        <v>31.470943738969318</v>
      </c>
      <c r="AH201" s="49">
        <f t="shared" si="108"/>
        <v>399.68098548491037</v>
      </c>
      <c r="AI201" s="49">
        <f t="shared" si="109"/>
        <v>390.73382559201832</v>
      </c>
      <c r="AJ201" s="49">
        <f t="shared" si="110"/>
        <v>382.00407332269191</v>
      </c>
      <c r="AK201" s="49">
        <f t="shared" si="111"/>
        <v>373.48644587486314</v>
      </c>
      <c r="AL201" s="49">
        <f t="shared" si="112"/>
        <v>365.17578881361715</v>
      </c>
      <c r="AN201" s="49">
        <f t="shared" si="113"/>
        <v>16437.273914863676</v>
      </c>
      <c r="AO201" s="49">
        <f t="shared" si="114"/>
        <v>16046.540089271657</v>
      </c>
      <c r="AP201" s="49">
        <f t="shared" si="115"/>
        <v>15664.536015948965</v>
      </c>
      <c r="AQ201" s="49">
        <f t="shared" si="116"/>
        <v>15291.049570074101</v>
      </c>
      <c r="AR201" s="49">
        <f t="shared" si="117"/>
        <v>14925.873781260485</v>
      </c>
      <c r="AT201" s="49">
        <f t="shared" si="118"/>
        <v>175.32548974777274</v>
      </c>
      <c r="AU201" s="49">
        <f t="shared" si="119"/>
        <v>185.45088743168614</v>
      </c>
      <c r="AV201" s="49">
        <f t="shared" si="120"/>
        <v>199.4858105925162</v>
      </c>
      <c r="AW201" s="49">
        <f t="shared" si="121"/>
        <v>202.06556109509856</v>
      </c>
      <c r="AX201" s="49">
        <f t="shared" si="122"/>
        <v>204.67867293118039</v>
      </c>
      <c r="AZ201" s="53">
        <f t="shared" si="123"/>
        <v>1084.5619665934571</v>
      </c>
      <c r="BA201" s="53">
        <f t="shared" si="124"/>
        <v>1057.5809157018541</v>
      </c>
      <c r="BB201" s="53">
        <f t="shared" si="125"/>
        <v>1051.4259643936771</v>
      </c>
      <c r="BC201" s="53">
        <f t="shared" si="126"/>
        <v>1034.2834940721846</v>
      </c>
      <c r="BD201" s="53">
        <f t="shared" si="127"/>
        <v>1017.630675182612</v>
      </c>
    </row>
    <row r="202" spans="2:56">
      <c r="B202" s="43">
        <f>'10. Investeringen (bijschatten)'!B39</f>
        <v>20</v>
      </c>
      <c r="C202" s="54"/>
      <c r="E202" s="54"/>
      <c r="F202" s="160">
        <f>'10. Investeringen (bijschatten)'!C39</f>
        <v>25706134.090591587</v>
      </c>
      <c r="H202" s="43">
        <f>'10. Investeringen (bijschatten)'!D39</f>
        <v>2021</v>
      </c>
      <c r="I202" s="43" t="str">
        <f>'10. Investeringen (bijschatten)'!E39</f>
        <v>01 Regionale leidingen</v>
      </c>
      <c r="J202" s="180">
        <f>_xlfn.XLOOKUP(I202,'3. Input (des)investeringen '!$B$11:$B$80,'3. Input (des)investeringen '!$D$11:$D$80)</f>
        <v>55</v>
      </c>
      <c r="K202" s="166"/>
      <c r="L202" s="166"/>
      <c r="M202" s="49">
        <f t="shared" si="100"/>
        <v>0</v>
      </c>
      <c r="N202" s="49">
        <f t="shared" si="101"/>
        <v>233692.12809628717</v>
      </c>
      <c r="P202" s="147">
        <f t="shared" si="102"/>
        <v>0</v>
      </c>
      <c r="Q202" s="147">
        <f t="shared" si="103"/>
        <v>25472441.962495301</v>
      </c>
      <c r="S202" s="49">
        <f t="shared" si="104"/>
        <v>25472441.962495301</v>
      </c>
      <c r="T202" s="44">
        <f t="shared" si="105"/>
        <v>54.5</v>
      </c>
      <c r="V202" s="49">
        <f t="shared" si="106"/>
        <v>546839.57974531199</v>
      </c>
      <c r="W202" s="49">
        <f t="shared" si="106"/>
        <v>533795.69986147888</v>
      </c>
      <c r="X202" s="49">
        <f t="shared" si="106"/>
        <v>521062.95839689317</v>
      </c>
      <c r="Y202" s="49">
        <f t="shared" si="106"/>
        <v>508633.93370118749</v>
      </c>
      <c r="Z202" s="49">
        <f t="shared" si="106"/>
        <v>496501.38115418667</v>
      </c>
      <c r="AB202" s="49">
        <f t="shared" si="107"/>
        <v>46738.425619257439</v>
      </c>
      <c r="AC202" s="49">
        <f t="shared" si="107"/>
        <v>46738.425619257432</v>
      </c>
      <c r="AD202" s="49">
        <f t="shared" si="107"/>
        <v>46738.425619257432</v>
      </c>
      <c r="AE202" s="49">
        <f t="shared" si="107"/>
        <v>46738.425619257432</v>
      </c>
      <c r="AF202" s="49">
        <f t="shared" si="107"/>
        <v>46738.425619257432</v>
      </c>
      <c r="AH202" s="49">
        <f t="shared" si="108"/>
        <v>593578.00536456937</v>
      </c>
      <c r="AI202" s="49">
        <f t="shared" si="109"/>
        <v>580534.12548073626</v>
      </c>
      <c r="AJ202" s="49">
        <f t="shared" si="110"/>
        <v>567801.38401615061</v>
      </c>
      <c r="AK202" s="49">
        <f t="shared" si="111"/>
        <v>555372.35932044487</v>
      </c>
      <c r="AL202" s="49">
        <f t="shared" si="112"/>
        <v>543239.80677344406</v>
      </c>
      <c r="AN202" s="49">
        <f t="shared" si="113"/>
        <v>24878863.95713073</v>
      </c>
      <c r="AO202" s="49">
        <f t="shared" si="114"/>
        <v>24298329.831649993</v>
      </c>
      <c r="AP202" s="49">
        <f t="shared" si="115"/>
        <v>23730528.44763384</v>
      </c>
      <c r="AQ202" s="49">
        <f t="shared" si="116"/>
        <v>23175156.088313397</v>
      </c>
      <c r="AR202" s="49">
        <f t="shared" si="117"/>
        <v>22631916.281539954</v>
      </c>
      <c r="AT202" s="49">
        <f t="shared" si="118"/>
        <v>260641.69126205347</v>
      </c>
      <c r="AU202" s="49">
        <f t="shared" si="119"/>
        <v>275694.27021581959</v>
      </c>
      <c r="AV202" s="49">
        <f t="shared" si="120"/>
        <v>296558.81258575281</v>
      </c>
      <c r="AW202" s="49">
        <f t="shared" si="121"/>
        <v>300393.91115011176</v>
      </c>
      <c r="AX202" s="49">
        <f t="shared" si="122"/>
        <v>304278.60520910501</v>
      </c>
      <c r="AZ202" s="53">
        <f t="shared" si="123"/>
        <v>1625464.4792976754</v>
      </c>
      <c r="BA202" s="53">
        <f t="shared" si="124"/>
        <v>1585178.2906460557</v>
      </c>
      <c r="BB202" s="53">
        <f t="shared" si="125"/>
        <v>1576276.0500309188</v>
      </c>
      <c r="BC202" s="53">
        <f t="shared" si="126"/>
        <v>1551020.9531199585</v>
      </c>
      <c r="BD202" s="53">
        <f t="shared" si="127"/>
        <v>1526475.9004287475</v>
      </c>
    </row>
    <row r="203" spans="2:56">
      <c r="B203" s="43">
        <f>'10. Investeringen (bijschatten)'!B40</f>
        <v>21</v>
      </c>
      <c r="C203" s="54"/>
      <c r="E203" s="54"/>
      <c r="F203" s="160">
        <f>'10. Investeringen (bijschatten)'!C40</f>
        <v>4851611.3998010792</v>
      </c>
      <c r="H203" s="43">
        <f>'10. Investeringen (bijschatten)'!D40</f>
        <v>2021</v>
      </c>
      <c r="I203" s="43" t="str">
        <f>'10. Investeringen (bijschatten)'!E40</f>
        <v>02 Gasontvangststations</v>
      </c>
      <c r="J203" s="180">
        <f>_xlfn.XLOOKUP(I203,'3. Input (des)investeringen '!$B$11:$B$80,'3. Input (des)investeringen '!$D$11:$D$80)</f>
        <v>30</v>
      </c>
      <c r="K203" s="166"/>
      <c r="L203" s="166"/>
      <c r="M203" s="49">
        <f t="shared" si="100"/>
        <v>0</v>
      </c>
      <c r="N203" s="49">
        <f t="shared" si="101"/>
        <v>80860.189996684654</v>
      </c>
      <c r="P203" s="147">
        <f t="shared" si="102"/>
        <v>0</v>
      </c>
      <c r="Q203" s="147">
        <f t="shared" si="103"/>
        <v>4770751.2098043943</v>
      </c>
      <c r="S203" s="49">
        <f t="shared" si="104"/>
        <v>4770751.2098043943</v>
      </c>
      <c r="T203" s="44">
        <f t="shared" si="105"/>
        <v>29.5</v>
      </c>
      <c r="V203" s="49">
        <f t="shared" si="106"/>
        <v>189212.84459224207</v>
      </c>
      <c r="W203" s="49">
        <f t="shared" si="106"/>
        <v>180874.65144071952</v>
      </c>
      <c r="X203" s="49">
        <f t="shared" si="106"/>
        <v>172903.90408909461</v>
      </c>
      <c r="Y203" s="49">
        <f t="shared" si="106"/>
        <v>165284.41001059214</v>
      </c>
      <c r="Z203" s="49">
        <f t="shared" si="106"/>
        <v>158000.6902474135</v>
      </c>
      <c r="AB203" s="49">
        <f t="shared" si="107"/>
        <v>16172.037999336932</v>
      </c>
      <c r="AC203" s="49">
        <f t="shared" si="107"/>
        <v>16172.03799933693</v>
      </c>
      <c r="AD203" s="49">
        <f t="shared" si="107"/>
        <v>16172.03799933693</v>
      </c>
      <c r="AE203" s="49">
        <f t="shared" si="107"/>
        <v>16172.03799933693</v>
      </c>
      <c r="AF203" s="49">
        <f t="shared" si="107"/>
        <v>16172.03799933693</v>
      </c>
      <c r="AH203" s="49">
        <f t="shared" si="108"/>
        <v>205384.88259157899</v>
      </c>
      <c r="AI203" s="49">
        <f t="shared" si="109"/>
        <v>197046.68944005645</v>
      </c>
      <c r="AJ203" s="49">
        <f t="shared" si="110"/>
        <v>189075.94208843153</v>
      </c>
      <c r="AK203" s="49">
        <f t="shared" si="111"/>
        <v>181456.44800992907</v>
      </c>
      <c r="AL203" s="49">
        <f t="shared" si="112"/>
        <v>174172.72824675043</v>
      </c>
      <c r="AN203" s="49">
        <f t="shared" si="113"/>
        <v>4565366.3272128152</v>
      </c>
      <c r="AO203" s="49">
        <f t="shared" si="114"/>
        <v>4368319.6377727585</v>
      </c>
      <c r="AP203" s="49">
        <f t="shared" si="115"/>
        <v>4179243.6956843268</v>
      </c>
      <c r="AQ203" s="49">
        <f t="shared" si="116"/>
        <v>3997787.2476743977</v>
      </c>
      <c r="AR203" s="49">
        <f t="shared" si="117"/>
        <v>3823614.5194276473</v>
      </c>
      <c r="AT203" s="49">
        <f t="shared" si="118"/>
        <v>49191.846433775092</v>
      </c>
      <c r="AU203" s="49">
        <f t="shared" si="119"/>
        <v>52032.773949018469</v>
      </c>
      <c r="AV203" s="49">
        <f t="shared" si="120"/>
        <v>55970.614281480186</v>
      </c>
      <c r="AW203" s="49">
        <f t="shared" si="121"/>
        <v>56694.426265368289</v>
      </c>
      <c r="AX203" s="49">
        <f t="shared" si="122"/>
        <v>57427.59858583202</v>
      </c>
      <c r="AZ203" s="53">
        <f t="shared" si="123"/>
        <v>396103.08516895137</v>
      </c>
      <c r="BA203" s="53">
        <f t="shared" si="124"/>
        <v>380129.05252225767</v>
      </c>
      <c r="BB203" s="53">
        <f t="shared" si="125"/>
        <v>370423.8672404415</v>
      </c>
      <c r="BC203" s="53">
        <f t="shared" si="126"/>
        <v>358084.49170552928</v>
      </c>
      <c r="BD203" s="53">
        <f t="shared" si="127"/>
        <v>346308.76241541188</v>
      </c>
    </row>
    <row r="204" spans="2:56">
      <c r="B204" s="43">
        <f>'10. Investeringen (bijschatten)'!B41</f>
        <v>22</v>
      </c>
      <c r="C204" s="54"/>
      <c r="E204" s="54"/>
      <c r="F204" s="160">
        <f>'10. Investeringen (bijschatten)'!C41</f>
        <v>1383899.1314390239</v>
      </c>
      <c r="H204" s="43">
        <f>'10. Investeringen (bijschatten)'!D41</f>
        <v>2021</v>
      </c>
      <c r="I204" s="43" t="str">
        <f>'10. Investeringen (bijschatten)'!E41</f>
        <v>02 Gasontvangststations (EHD)</v>
      </c>
      <c r="J204" s="180">
        <f>_xlfn.XLOOKUP(I204,'3. Input (des)investeringen '!$B$11:$B$80,'3. Input (des)investeringen '!$D$11:$D$80)</f>
        <v>30</v>
      </c>
      <c r="K204" s="166"/>
      <c r="L204" s="166"/>
      <c r="M204" s="49">
        <f t="shared" si="100"/>
        <v>0</v>
      </c>
      <c r="N204" s="49">
        <f t="shared" si="101"/>
        <v>23064.985523983731</v>
      </c>
      <c r="P204" s="147">
        <f t="shared" si="102"/>
        <v>0</v>
      </c>
      <c r="Q204" s="147">
        <f t="shared" si="103"/>
        <v>1360834.14591504</v>
      </c>
      <c r="S204" s="49">
        <f t="shared" si="104"/>
        <v>1360834.14591504</v>
      </c>
      <c r="T204" s="44">
        <f t="shared" si="105"/>
        <v>29.5</v>
      </c>
      <c r="V204" s="49">
        <f t="shared" si="106"/>
        <v>53972.066126121928</v>
      </c>
      <c r="W204" s="49">
        <f t="shared" si="106"/>
        <v>51593.63609344537</v>
      </c>
      <c r="X204" s="49">
        <f t="shared" si="106"/>
        <v>49320.01823170032</v>
      </c>
      <c r="Y204" s="49">
        <f t="shared" si="106"/>
        <v>47146.593699455894</v>
      </c>
      <c r="Z204" s="49">
        <f t="shared" si="106"/>
        <v>45068.947197445974</v>
      </c>
      <c r="AB204" s="49">
        <f t="shared" si="107"/>
        <v>4612.9971047967456</v>
      </c>
      <c r="AC204" s="49">
        <f t="shared" si="107"/>
        <v>4612.9971047967456</v>
      </c>
      <c r="AD204" s="49">
        <f t="shared" si="107"/>
        <v>4612.9971047967456</v>
      </c>
      <c r="AE204" s="49">
        <f t="shared" si="107"/>
        <v>4612.9971047967456</v>
      </c>
      <c r="AF204" s="49">
        <f t="shared" si="107"/>
        <v>4612.9971047967456</v>
      </c>
      <c r="AH204" s="49">
        <f t="shared" si="108"/>
        <v>58585.063230918677</v>
      </c>
      <c r="AI204" s="49">
        <f t="shared" si="109"/>
        <v>56206.633198242118</v>
      </c>
      <c r="AJ204" s="49">
        <f t="shared" si="110"/>
        <v>53933.015336497068</v>
      </c>
      <c r="AK204" s="49">
        <f t="shared" si="111"/>
        <v>51759.590804252643</v>
      </c>
      <c r="AL204" s="49">
        <f t="shared" si="112"/>
        <v>49681.944302242722</v>
      </c>
      <c r="AN204" s="49">
        <f t="shared" si="113"/>
        <v>1302249.0826841213</v>
      </c>
      <c r="AO204" s="49">
        <f t="shared" si="114"/>
        <v>1246042.4494858792</v>
      </c>
      <c r="AP204" s="49">
        <f t="shared" si="115"/>
        <v>1192109.4341493822</v>
      </c>
      <c r="AQ204" s="49">
        <f t="shared" si="116"/>
        <v>1140349.8433451296</v>
      </c>
      <c r="AR204" s="49">
        <f t="shared" si="117"/>
        <v>1090667.8990428869</v>
      </c>
      <c r="AT204" s="49">
        <f t="shared" si="118"/>
        <v>14031.740785417069</v>
      </c>
      <c r="AU204" s="49">
        <f t="shared" si="119"/>
        <v>14842.10187925647</v>
      </c>
      <c r="AV204" s="49">
        <f t="shared" si="120"/>
        <v>15965.352149478602</v>
      </c>
      <c r="AW204" s="49">
        <f t="shared" si="121"/>
        <v>16171.816083475658</v>
      </c>
      <c r="AX204" s="49">
        <f t="shared" si="122"/>
        <v>16380.950009067166</v>
      </c>
      <c r="AZ204" s="53">
        <f t="shared" si="123"/>
        <v>112986.52557954351</v>
      </c>
      <c r="BA204" s="53">
        <f t="shared" si="124"/>
        <v>108430.00856207496</v>
      </c>
      <c r="BB204" s="53">
        <f t="shared" si="125"/>
        <v>105661.65051045713</v>
      </c>
      <c r="BC204" s="53">
        <f t="shared" si="126"/>
        <v>102141.9021880822</v>
      </c>
      <c r="BD204" s="53">
        <f t="shared" si="127"/>
        <v>98782.931282596488</v>
      </c>
    </row>
    <row r="205" spans="2:56">
      <c r="B205" s="43">
        <f>'10. Investeringen (bijschatten)'!B42</f>
        <v>23</v>
      </c>
      <c r="C205" s="54"/>
      <c r="E205" s="54"/>
      <c r="F205" s="160">
        <f>'10. Investeringen (bijschatten)'!C42</f>
        <v>36.126161654819548</v>
      </c>
      <c r="H205" s="43">
        <f>'10. Investeringen (bijschatten)'!D42</f>
        <v>2021</v>
      </c>
      <c r="I205" s="43" t="str">
        <f>'10. Investeringen (bijschatten)'!E42</f>
        <v>04 Terreinen (EHD)</v>
      </c>
      <c r="J205" s="180">
        <f>_xlfn.XLOOKUP(I205,'3. Input (des)investeringen '!$B$11:$B$80,'3. Input (des)investeringen '!$D$11:$D$80)</f>
        <v>0</v>
      </c>
      <c r="K205" s="166"/>
      <c r="L205" s="166"/>
      <c r="M205" s="49">
        <f t="shared" si="100"/>
        <v>0</v>
      </c>
      <c r="N205" s="49">
        <f t="shared" si="101"/>
        <v>0</v>
      </c>
      <c r="P205" s="147">
        <f t="shared" si="102"/>
        <v>0</v>
      </c>
      <c r="Q205" s="147">
        <f t="shared" si="103"/>
        <v>36.126161654819548</v>
      </c>
      <c r="S205" s="49">
        <f t="shared" si="104"/>
        <v>36.126161654819548</v>
      </c>
      <c r="T205" s="44">
        <f t="shared" si="105"/>
        <v>0</v>
      </c>
      <c r="V205" s="49">
        <f t="shared" si="106"/>
        <v>0</v>
      </c>
      <c r="W205" s="49">
        <f t="shared" si="106"/>
        <v>0</v>
      </c>
      <c r="X205" s="49">
        <f t="shared" si="106"/>
        <v>0</v>
      </c>
      <c r="Y205" s="49">
        <f t="shared" si="106"/>
        <v>0</v>
      </c>
      <c r="Z205" s="49">
        <f t="shared" si="106"/>
        <v>0</v>
      </c>
      <c r="AB205" s="49">
        <f t="shared" si="107"/>
        <v>0</v>
      </c>
      <c r="AC205" s="49">
        <f t="shared" si="107"/>
        <v>0</v>
      </c>
      <c r="AD205" s="49">
        <f t="shared" si="107"/>
        <v>0</v>
      </c>
      <c r="AE205" s="49">
        <f t="shared" si="107"/>
        <v>0</v>
      </c>
      <c r="AF205" s="49">
        <f t="shared" si="107"/>
        <v>0</v>
      </c>
      <c r="AH205" s="49">
        <f t="shared" si="108"/>
        <v>0</v>
      </c>
      <c r="AI205" s="49">
        <f t="shared" si="109"/>
        <v>0</v>
      </c>
      <c r="AJ205" s="49">
        <f t="shared" si="110"/>
        <v>0</v>
      </c>
      <c r="AK205" s="49">
        <f t="shared" si="111"/>
        <v>0</v>
      </c>
      <c r="AL205" s="49">
        <f t="shared" si="112"/>
        <v>0</v>
      </c>
      <c r="AN205" s="49">
        <f t="shared" si="113"/>
        <v>36.126161654819548</v>
      </c>
      <c r="AO205" s="49">
        <f t="shared" si="114"/>
        <v>36.126161654819548</v>
      </c>
      <c r="AP205" s="49">
        <f t="shared" si="115"/>
        <v>36.126161654819548</v>
      </c>
      <c r="AQ205" s="49">
        <f t="shared" si="116"/>
        <v>36.126161654819548</v>
      </c>
      <c r="AR205" s="49">
        <f t="shared" si="117"/>
        <v>36.126161654819548</v>
      </c>
      <c r="AT205" s="49">
        <f t="shared" si="118"/>
        <v>0</v>
      </c>
      <c r="AU205" s="49">
        <f t="shared" si="119"/>
        <v>0</v>
      </c>
      <c r="AV205" s="49">
        <f t="shared" si="120"/>
        <v>0</v>
      </c>
      <c r="AW205" s="49">
        <f t="shared" si="121"/>
        <v>0</v>
      </c>
      <c r="AX205" s="49">
        <f t="shared" si="122"/>
        <v>0</v>
      </c>
      <c r="AZ205" s="53">
        <f t="shared" si="123"/>
        <v>1.119911011299406</v>
      </c>
      <c r="BA205" s="53">
        <f t="shared" si="124"/>
        <v>1.0837848496445863</v>
      </c>
      <c r="BB205" s="53">
        <f t="shared" si="125"/>
        <v>1.0837848496445863</v>
      </c>
      <c r="BC205" s="53">
        <f t="shared" si="126"/>
        <v>1.0837848496445863</v>
      </c>
      <c r="BD205" s="53">
        <f t="shared" si="127"/>
        <v>1.0837848496445863</v>
      </c>
    </row>
    <row r="206" spans="2:56">
      <c r="B206" s="43">
        <f>'10. Investeringen (bijschatten)'!B43</f>
        <v>24</v>
      </c>
      <c r="C206" s="54"/>
      <c r="E206" s="54"/>
      <c r="F206" s="160">
        <f>'10. Investeringen (bijschatten)'!C43</f>
        <v>1097396.6149389972</v>
      </c>
      <c r="H206" s="43">
        <f>'10. Investeringen (bijschatten)'!D43</f>
        <v>2021</v>
      </c>
      <c r="I206" s="43" t="str">
        <f>'10. Investeringen (bijschatten)'!E43</f>
        <v>06 Utiliteitsgebouwen</v>
      </c>
      <c r="J206" s="180">
        <f>_xlfn.XLOOKUP(I206,'3. Input (des)investeringen '!$B$11:$B$80,'3. Input (des)investeringen '!$D$11:$D$80)</f>
        <v>30</v>
      </c>
      <c r="K206" s="166"/>
      <c r="L206" s="166"/>
      <c r="M206" s="49">
        <f t="shared" si="100"/>
        <v>0</v>
      </c>
      <c r="N206" s="49">
        <f t="shared" si="101"/>
        <v>18289.94358231662</v>
      </c>
      <c r="P206" s="147">
        <f t="shared" si="102"/>
        <v>0</v>
      </c>
      <c r="Q206" s="147">
        <f t="shared" si="103"/>
        <v>1079106.6713566806</v>
      </c>
      <c r="S206" s="49">
        <f t="shared" si="104"/>
        <v>1079106.6713566806</v>
      </c>
      <c r="T206" s="44">
        <f t="shared" si="105"/>
        <v>29.5</v>
      </c>
      <c r="V206" s="49">
        <f t="shared" si="106"/>
        <v>42798.467982620896</v>
      </c>
      <c r="W206" s="49">
        <f t="shared" si="106"/>
        <v>40912.433800335901</v>
      </c>
      <c r="X206" s="49">
        <f t="shared" si="106"/>
        <v>39109.512988795679</v>
      </c>
      <c r="Y206" s="49">
        <f t="shared" si="106"/>
        <v>37386.042924882648</v>
      </c>
      <c r="Z206" s="49">
        <f t="shared" si="106"/>
        <v>35738.522389209858</v>
      </c>
      <c r="AB206" s="49">
        <f t="shared" si="107"/>
        <v>3657.9887164633242</v>
      </c>
      <c r="AC206" s="49">
        <f t="shared" si="107"/>
        <v>3657.9887164633242</v>
      </c>
      <c r="AD206" s="49">
        <f t="shared" si="107"/>
        <v>3657.9887164633242</v>
      </c>
      <c r="AE206" s="49">
        <f t="shared" si="107"/>
        <v>3657.9887164633242</v>
      </c>
      <c r="AF206" s="49">
        <f t="shared" si="107"/>
        <v>3657.9887164633242</v>
      </c>
      <c r="AH206" s="49">
        <f t="shared" si="108"/>
        <v>46456.456699084221</v>
      </c>
      <c r="AI206" s="49">
        <f t="shared" si="109"/>
        <v>44570.422516799226</v>
      </c>
      <c r="AJ206" s="49">
        <f t="shared" si="110"/>
        <v>42767.501705259005</v>
      </c>
      <c r="AK206" s="49">
        <f t="shared" si="111"/>
        <v>41044.031641345973</v>
      </c>
      <c r="AL206" s="49">
        <f t="shared" si="112"/>
        <v>39396.511105673184</v>
      </c>
      <c r="AN206" s="49">
        <f t="shared" si="113"/>
        <v>1032650.2146575963</v>
      </c>
      <c r="AO206" s="49">
        <f t="shared" si="114"/>
        <v>988079.79214079713</v>
      </c>
      <c r="AP206" s="49">
        <f t="shared" si="115"/>
        <v>945312.29043553816</v>
      </c>
      <c r="AQ206" s="49">
        <f t="shared" si="116"/>
        <v>904268.25879419222</v>
      </c>
      <c r="AR206" s="49">
        <f t="shared" si="117"/>
        <v>864871.74768851907</v>
      </c>
      <c r="AT206" s="49">
        <f t="shared" si="118"/>
        <v>11126.811549918675</v>
      </c>
      <c r="AU206" s="49">
        <f t="shared" si="119"/>
        <v>11769.407170549581</v>
      </c>
      <c r="AV206" s="49">
        <f t="shared" si="120"/>
        <v>12660.115905216771</v>
      </c>
      <c r="AW206" s="49">
        <f t="shared" si="121"/>
        <v>12823.836524103035</v>
      </c>
      <c r="AX206" s="49">
        <f t="shared" si="122"/>
        <v>12989.674378032734</v>
      </c>
      <c r="AZ206" s="53">
        <f t="shared" si="123"/>
        <v>89595.424903388368</v>
      </c>
      <c r="BA206" s="53">
        <f t="shared" si="124"/>
        <v>85982.223451572732</v>
      </c>
      <c r="BB206" s="53">
        <f t="shared" si="125"/>
        <v>83786.986323541933</v>
      </c>
      <c r="BC206" s="53">
        <f t="shared" si="126"/>
        <v>80995.915929274779</v>
      </c>
      <c r="BD206" s="53">
        <f t="shared" si="127"/>
        <v>78332.337914361487</v>
      </c>
    </row>
    <row r="207" spans="2:56">
      <c r="B207" s="43">
        <f>'10. Investeringen (bijschatten)'!B44</f>
        <v>25</v>
      </c>
      <c r="C207" s="54"/>
      <c r="E207" s="54"/>
      <c r="F207" s="160">
        <f>'10. Investeringen (bijschatten)'!C44</f>
        <v>21.673674251477685</v>
      </c>
      <c r="H207" s="43">
        <f>'10. Investeringen (bijschatten)'!D44</f>
        <v>2021</v>
      </c>
      <c r="I207" s="43" t="str">
        <f>'10. Investeringen (bijschatten)'!E44</f>
        <v>06 Utiliteitsgebouwen (EHD)</v>
      </c>
      <c r="J207" s="180">
        <f>_xlfn.XLOOKUP(I207,'3. Input (des)investeringen '!$B$11:$B$80,'3. Input (des)investeringen '!$D$11:$D$80)</f>
        <v>30</v>
      </c>
      <c r="K207" s="166"/>
      <c r="L207" s="166"/>
      <c r="M207" s="49">
        <f t="shared" si="100"/>
        <v>0</v>
      </c>
      <c r="N207" s="49">
        <f t="shared" si="101"/>
        <v>0.36122790419129475</v>
      </c>
      <c r="P207" s="147">
        <f t="shared" si="102"/>
        <v>0</v>
      </c>
      <c r="Q207" s="147">
        <f t="shared" si="103"/>
        <v>21.312446347286389</v>
      </c>
      <c r="S207" s="49">
        <f t="shared" si="104"/>
        <v>21.312446347286389</v>
      </c>
      <c r="T207" s="44">
        <f t="shared" si="105"/>
        <v>29.5</v>
      </c>
      <c r="V207" s="49">
        <f t="shared" si="106"/>
        <v>0.84527329580762967</v>
      </c>
      <c r="W207" s="49">
        <f t="shared" si="106"/>
        <v>0.80802396412797139</v>
      </c>
      <c r="X207" s="49">
        <f t="shared" si="106"/>
        <v>0.77241612842063712</v>
      </c>
      <c r="Y207" s="49">
        <f t="shared" si="106"/>
        <v>0.7383774515749818</v>
      </c>
      <c r="Z207" s="49">
        <f t="shared" si="106"/>
        <v>0.70583878421744017</v>
      </c>
      <c r="AB207" s="49">
        <f t="shared" si="107"/>
        <v>7.2245580838258952E-2</v>
      </c>
      <c r="AC207" s="49">
        <f t="shared" si="107"/>
        <v>7.2245580838258952E-2</v>
      </c>
      <c r="AD207" s="49">
        <f t="shared" si="107"/>
        <v>7.2245580838258952E-2</v>
      </c>
      <c r="AE207" s="49">
        <f t="shared" si="107"/>
        <v>7.2245580838258952E-2</v>
      </c>
      <c r="AF207" s="49">
        <f t="shared" si="107"/>
        <v>7.2245580838258952E-2</v>
      </c>
      <c r="AH207" s="49">
        <f t="shared" si="108"/>
        <v>0.9175188766458886</v>
      </c>
      <c r="AI207" s="49">
        <f t="shared" si="109"/>
        <v>0.88026954496623033</v>
      </c>
      <c r="AJ207" s="49">
        <f t="shared" si="110"/>
        <v>0.84466170925889605</v>
      </c>
      <c r="AK207" s="49">
        <f t="shared" si="111"/>
        <v>0.81062303241324074</v>
      </c>
      <c r="AL207" s="49">
        <f t="shared" si="112"/>
        <v>0.77808436505569911</v>
      </c>
      <c r="AN207" s="49">
        <f t="shared" si="113"/>
        <v>20.3949274706405</v>
      </c>
      <c r="AO207" s="49">
        <f t="shared" si="114"/>
        <v>19.514657925674271</v>
      </c>
      <c r="AP207" s="49">
        <f t="shared" si="115"/>
        <v>18.669996216415374</v>
      </c>
      <c r="AQ207" s="49">
        <f t="shared" si="116"/>
        <v>17.859373184002134</v>
      </c>
      <c r="AR207" s="49">
        <f t="shared" si="117"/>
        <v>17.081288818946437</v>
      </c>
      <c r="AT207" s="49">
        <f t="shared" si="118"/>
        <v>0.21975545186452269</v>
      </c>
      <c r="AU207" s="49">
        <f t="shared" si="119"/>
        <v>0.23244676872060258</v>
      </c>
      <c r="AV207" s="49">
        <f t="shared" si="120"/>
        <v>0.2500383401773778</v>
      </c>
      <c r="AW207" s="49">
        <f t="shared" si="121"/>
        <v>0.25327183599255165</v>
      </c>
      <c r="AX207" s="49">
        <f t="shared" si="122"/>
        <v>0.2565471473756073</v>
      </c>
      <c r="AZ207" s="53">
        <f t="shared" si="123"/>
        <v>1.7695170801002666</v>
      </c>
      <c r="BA207" s="53">
        <f t="shared" si="124"/>
        <v>1.6981560514570611</v>
      </c>
      <c r="BB207" s="53">
        <f t="shared" si="125"/>
        <v>1.6547999359287351</v>
      </c>
      <c r="BC207" s="53">
        <f t="shared" si="126"/>
        <v>1.5996760639258565</v>
      </c>
      <c r="BD207" s="53">
        <f t="shared" si="127"/>
        <v>1.5470701769996995</v>
      </c>
    </row>
    <row r="208" spans="2:56">
      <c r="B208" s="43">
        <f>'10. Investeringen (bijschatten)'!B45</f>
        <v>26</v>
      </c>
      <c r="C208" s="54"/>
      <c r="E208" s="54"/>
      <c r="F208" s="160">
        <f>'10. Investeringen (bijschatten)'!C45</f>
        <v>503372.15987408569</v>
      </c>
      <c r="H208" s="43">
        <f>'10. Investeringen (bijschatten)'!D45</f>
        <v>2021</v>
      </c>
      <c r="I208" s="43" t="str">
        <f>'10. Investeringen (bijschatten)'!E45</f>
        <v>15 Compressorstations (KC)</v>
      </c>
      <c r="J208" s="180">
        <f>_xlfn.XLOOKUP(I208,'3. Input (des)investeringen '!$B$11:$B$80,'3. Input (des)investeringen '!$D$11:$D$80)</f>
        <v>30</v>
      </c>
      <c r="K208" s="166"/>
      <c r="L208" s="166"/>
      <c r="M208" s="49">
        <f t="shared" si="100"/>
        <v>0</v>
      </c>
      <c r="N208" s="49">
        <f t="shared" si="101"/>
        <v>8389.5359979014283</v>
      </c>
      <c r="P208" s="147">
        <f t="shared" si="102"/>
        <v>0</v>
      </c>
      <c r="Q208" s="147">
        <f t="shared" si="103"/>
        <v>494982.62387618428</v>
      </c>
      <c r="S208" s="49">
        <f t="shared" si="104"/>
        <v>494982.62387618428</v>
      </c>
      <c r="T208" s="44">
        <f t="shared" si="105"/>
        <v>29.5</v>
      </c>
      <c r="V208" s="49">
        <f t="shared" si="106"/>
        <v>19631.514235089344</v>
      </c>
      <c r="W208" s="49">
        <f t="shared" si="106"/>
        <v>18766.396658627778</v>
      </c>
      <c r="X208" s="49">
        <f t="shared" si="106"/>
        <v>17939.402907569605</v>
      </c>
      <c r="Y208" s="49">
        <f t="shared" si="106"/>
        <v>17148.852948930944</v>
      </c>
      <c r="Z208" s="49">
        <f t="shared" si="106"/>
        <v>16393.140785079751</v>
      </c>
      <c r="AB208" s="49">
        <f t="shared" si="107"/>
        <v>1677.9071995802858</v>
      </c>
      <c r="AC208" s="49">
        <f t="shared" si="107"/>
        <v>1677.9071995802856</v>
      </c>
      <c r="AD208" s="49">
        <f t="shared" si="107"/>
        <v>1677.9071995802856</v>
      </c>
      <c r="AE208" s="49">
        <f t="shared" si="107"/>
        <v>1677.9071995802856</v>
      </c>
      <c r="AF208" s="49">
        <f t="shared" si="107"/>
        <v>1677.9071995802856</v>
      </c>
      <c r="AH208" s="49">
        <f t="shared" si="108"/>
        <v>21309.421434669628</v>
      </c>
      <c r="AI208" s="49">
        <f t="shared" si="109"/>
        <v>20444.303858208063</v>
      </c>
      <c r="AJ208" s="49">
        <f t="shared" si="110"/>
        <v>19617.31010714989</v>
      </c>
      <c r="AK208" s="49">
        <f t="shared" si="111"/>
        <v>18826.760148511228</v>
      </c>
      <c r="AL208" s="49">
        <f t="shared" si="112"/>
        <v>18071.047984660036</v>
      </c>
      <c r="AN208" s="49">
        <f t="shared" si="113"/>
        <v>473673.20244151464</v>
      </c>
      <c r="AO208" s="49">
        <f t="shared" si="114"/>
        <v>453228.89858330658</v>
      </c>
      <c r="AP208" s="49">
        <f t="shared" si="115"/>
        <v>433611.5884761567</v>
      </c>
      <c r="AQ208" s="49">
        <f t="shared" si="116"/>
        <v>414784.82832764549</v>
      </c>
      <c r="AR208" s="49">
        <f t="shared" si="117"/>
        <v>396713.78034298547</v>
      </c>
      <c r="AT208" s="49">
        <f t="shared" si="118"/>
        <v>5103.8312731681199</v>
      </c>
      <c r="AU208" s="49">
        <f t="shared" si="119"/>
        <v>5398.587736856125</v>
      </c>
      <c r="AV208" s="49">
        <f t="shared" si="120"/>
        <v>5807.1528567813966</v>
      </c>
      <c r="AW208" s="49">
        <f t="shared" si="121"/>
        <v>5882.2509575252943</v>
      </c>
      <c r="AX208" s="49">
        <f t="shared" si="122"/>
        <v>5958.3202269080093</v>
      </c>
      <c r="AZ208" s="53">
        <f t="shared" si="123"/>
        <v>41097.121983524703</v>
      </c>
      <c r="BA208" s="53">
        <f t="shared" si="124"/>
        <v>39439.758552563384</v>
      </c>
      <c r="BB208" s="53">
        <f t="shared" si="125"/>
        <v>38432.810618215983</v>
      </c>
      <c r="BC208" s="53">
        <f t="shared" si="126"/>
        <v>37152.555955865886</v>
      </c>
      <c r="BD208" s="53">
        <f t="shared" si="127"/>
        <v>35930.781621857604</v>
      </c>
    </row>
    <row r="209" spans="2:56">
      <c r="B209" s="43">
        <f>'10. Investeringen (bijschatten)'!B46</f>
        <v>27</v>
      </c>
      <c r="C209" s="54"/>
      <c r="E209" s="54"/>
      <c r="F209" s="160">
        <f>'10. Investeringen (bijschatten)'!C46</f>
        <v>8924117.8015749026</v>
      </c>
      <c r="H209" s="43">
        <f>'10. Investeringen (bijschatten)'!D46</f>
        <v>2021</v>
      </c>
      <c r="I209" s="43" t="str">
        <f>'10. Investeringen (bijschatten)'!E46</f>
        <v>15 Compressorstations (TT-BT-AT)</v>
      </c>
      <c r="J209" s="180">
        <f>_xlfn.XLOOKUP(I209,'3. Input (des)investeringen '!$B$11:$B$80,'3. Input (des)investeringen '!$D$11:$D$80)</f>
        <v>30</v>
      </c>
      <c r="K209" s="166"/>
      <c r="L209" s="166"/>
      <c r="M209" s="49">
        <f t="shared" si="100"/>
        <v>0</v>
      </c>
      <c r="N209" s="49">
        <f t="shared" si="101"/>
        <v>148735.29669291506</v>
      </c>
      <c r="P209" s="147">
        <f t="shared" si="102"/>
        <v>0</v>
      </c>
      <c r="Q209" s="147">
        <f t="shared" si="103"/>
        <v>8775382.5048819873</v>
      </c>
      <c r="S209" s="49">
        <f t="shared" si="104"/>
        <v>8775382.5048819873</v>
      </c>
      <c r="T209" s="44">
        <f t="shared" si="105"/>
        <v>29.5</v>
      </c>
      <c r="V209" s="49">
        <f t="shared" si="106"/>
        <v>348040.59426142118</v>
      </c>
      <c r="W209" s="49">
        <f t="shared" si="106"/>
        <v>332703.2121414264</v>
      </c>
      <c r="X209" s="49">
        <f t="shared" si="106"/>
        <v>318041.71465722792</v>
      </c>
      <c r="Y209" s="49">
        <f t="shared" si="106"/>
        <v>304026.31706216367</v>
      </c>
      <c r="Z209" s="49">
        <f t="shared" si="106"/>
        <v>290628.54715772934</v>
      </c>
      <c r="AB209" s="49">
        <f t="shared" si="107"/>
        <v>29747.059338583011</v>
      </c>
      <c r="AC209" s="49">
        <f t="shared" si="107"/>
        <v>29747.059338583011</v>
      </c>
      <c r="AD209" s="49">
        <f t="shared" si="107"/>
        <v>29747.059338583011</v>
      </c>
      <c r="AE209" s="49">
        <f t="shared" si="107"/>
        <v>29747.059338583011</v>
      </c>
      <c r="AF209" s="49">
        <f t="shared" si="107"/>
        <v>29747.059338583011</v>
      </c>
      <c r="AH209" s="49">
        <f t="shared" si="108"/>
        <v>377787.65360000421</v>
      </c>
      <c r="AI209" s="49">
        <f t="shared" si="109"/>
        <v>362450.27148000943</v>
      </c>
      <c r="AJ209" s="49">
        <f t="shared" si="110"/>
        <v>347788.77399581095</v>
      </c>
      <c r="AK209" s="49">
        <f t="shared" si="111"/>
        <v>333773.3764007467</v>
      </c>
      <c r="AL209" s="49">
        <f t="shared" si="112"/>
        <v>320375.60649631236</v>
      </c>
      <c r="AN209" s="49">
        <f t="shared" si="113"/>
        <v>8397594.8512819838</v>
      </c>
      <c r="AO209" s="49">
        <f t="shared" si="114"/>
        <v>8035144.5798019748</v>
      </c>
      <c r="AP209" s="49">
        <f t="shared" si="115"/>
        <v>7687355.8058061637</v>
      </c>
      <c r="AQ209" s="49">
        <f t="shared" si="116"/>
        <v>7353582.4294054173</v>
      </c>
      <c r="AR209" s="49">
        <f t="shared" si="117"/>
        <v>7033206.8229091046</v>
      </c>
      <c r="AT209" s="49">
        <f t="shared" si="118"/>
        <v>90484.129143152371</v>
      </c>
      <c r="AU209" s="49">
        <f t="shared" si="119"/>
        <v>95709.768569427732</v>
      </c>
      <c r="AV209" s="49">
        <f t="shared" si="120"/>
        <v>102953.08385476201</v>
      </c>
      <c r="AW209" s="49">
        <f t="shared" si="121"/>
        <v>104284.47313517178</v>
      </c>
      <c r="AX209" s="49">
        <f t="shared" si="122"/>
        <v>105633.07994175582</v>
      </c>
      <c r="AZ209" s="53">
        <f t="shared" si="123"/>
        <v>728597.2231328981</v>
      </c>
      <c r="BA209" s="53">
        <f t="shared" si="124"/>
        <v>699214.37744349637</v>
      </c>
      <c r="BB209" s="53">
        <f t="shared" si="125"/>
        <v>681362.53202475782</v>
      </c>
      <c r="BC209" s="53">
        <f t="shared" si="126"/>
        <v>658665.32241808099</v>
      </c>
      <c r="BD209" s="53">
        <f t="shared" si="127"/>
        <v>637004.89112534141</v>
      </c>
    </row>
    <row r="210" spans="2:56">
      <c r="B210" s="43">
        <f>'10. Investeringen (bijschatten)'!B47</f>
        <v>28</v>
      </c>
      <c r="C210" s="54"/>
      <c r="E210" s="54"/>
      <c r="F210" s="160">
        <f>'10. Investeringen (bijschatten)'!C47</f>
        <v>302473.20248261362</v>
      </c>
      <c r="H210" s="43">
        <f>'10. Investeringen (bijschatten)'!D47</f>
        <v>2021</v>
      </c>
      <c r="I210" s="43" t="str">
        <f>'10. Investeringen (bijschatten)'!E47</f>
        <v>16 LNG installaties</v>
      </c>
      <c r="J210" s="180">
        <f>_xlfn.XLOOKUP(I210,'3. Input (des)investeringen '!$B$11:$B$80,'3. Input (des)investeringen '!$D$11:$D$80)</f>
        <v>30</v>
      </c>
      <c r="K210" s="166"/>
      <c r="L210" s="166"/>
      <c r="M210" s="49">
        <f t="shared" si="100"/>
        <v>0</v>
      </c>
      <c r="N210" s="49">
        <f t="shared" si="101"/>
        <v>5041.2200413768933</v>
      </c>
      <c r="P210" s="147">
        <f t="shared" si="102"/>
        <v>0</v>
      </c>
      <c r="Q210" s="147">
        <f t="shared" si="103"/>
        <v>297431.98244123673</v>
      </c>
      <c r="S210" s="49">
        <f t="shared" si="104"/>
        <v>297431.98244123673</v>
      </c>
      <c r="T210" s="44">
        <f t="shared" si="105"/>
        <v>29.5</v>
      </c>
      <c r="V210" s="49">
        <f t="shared" si="106"/>
        <v>11796.454896821931</v>
      </c>
      <c r="W210" s="49">
        <f t="shared" si="106"/>
        <v>11276.611121707745</v>
      </c>
      <c r="X210" s="49">
        <f t="shared" si="106"/>
        <v>10779.675716344353</v>
      </c>
      <c r="Y210" s="49">
        <f t="shared" si="106"/>
        <v>10304.639159352906</v>
      </c>
      <c r="Z210" s="49">
        <f t="shared" si="106"/>
        <v>9850.5364167373555</v>
      </c>
      <c r="AB210" s="49">
        <f t="shared" si="107"/>
        <v>1008.2440082753789</v>
      </c>
      <c r="AC210" s="49">
        <f t="shared" si="107"/>
        <v>1008.2440082753789</v>
      </c>
      <c r="AD210" s="49">
        <f t="shared" si="107"/>
        <v>1008.2440082753789</v>
      </c>
      <c r="AE210" s="49">
        <f t="shared" si="107"/>
        <v>1008.2440082753789</v>
      </c>
      <c r="AF210" s="49">
        <f t="shared" si="107"/>
        <v>1008.2440082753789</v>
      </c>
      <c r="AH210" s="49">
        <f t="shared" si="108"/>
        <v>12804.69890509731</v>
      </c>
      <c r="AI210" s="49">
        <f t="shared" si="109"/>
        <v>12284.855129983123</v>
      </c>
      <c r="AJ210" s="49">
        <f t="shared" si="110"/>
        <v>11787.919724619731</v>
      </c>
      <c r="AK210" s="49">
        <f t="shared" si="111"/>
        <v>11312.883167628284</v>
      </c>
      <c r="AL210" s="49">
        <f t="shared" si="112"/>
        <v>10858.780425012734</v>
      </c>
      <c r="AN210" s="49">
        <f t="shared" si="113"/>
        <v>284627.28353613941</v>
      </c>
      <c r="AO210" s="49">
        <f t="shared" si="114"/>
        <v>272342.42840615631</v>
      </c>
      <c r="AP210" s="49">
        <f t="shared" si="115"/>
        <v>260554.50868153656</v>
      </c>
      <c r="AQ210" s="49">
        <f t="shared" si="116"/>
        <v>249241.62551390828</v>
      </c>
      <c r="AR210" s="49">
        <f t="shared" si="117"/>
        <v>238382.84508889556</v>
      </c>
      <c r="AT210" s="49">
        <f t="shared" si="118"/>
        <v>3066.8604924679148</v>
      </c>
      <c r="AU210" s="49">
        <f t="shared" si="119"/>
        <v>3243.9778196289217</v>
      </c>
      <c r="AV210" s="49">
        <f t="shared" si="120"/>
        <v>3489.4820610184379</v>
      </c>
      <c r="AW210" s="49">
        <f t="shared" si="121"/>
        <v>3534.6080430315292</v>
      </c>
      <c r="AX210" s="49">
        <f t="shared" si="122"/>
        <v>3580.3175942440116</v>
      </c>
      <c r="AZ210" s="53">
        <f t="shared" si="123"/>
        <v>24695.005187185547</v>
      </c>
      <c r="BA210" s="53">
        <f t="shared" si="124"/>
        <v>23699.105801796733</v>
      </c>
      <c r="BB210" s="53">
        <f t="shared" si="125"/>
        <v>23094.037046084268</v>
      </c>
      <c r="BC210" s="53">
        <f t="shared" si="126"/>
        <v>22324.739976077064</v>
      </c>
      <c r="BD210" s="53">
        <f t="shared" si="127"/>
        <v>21590.583371923611</v>
      </c>
    </row>
    <row r="211" spans="2:56">
      <c r="B211" s="43">
        <f>'10. Investeringen (bijschatten)'!B48</f>
        <v>29</v>
      </c>
      <c r="C211" s="54"/>
      <c r="E211" s="54"/>
      <c r="F211" s="160">
        <f>'10. Investeringen (bijschatten)'!C48</f>
        <v>2052183.8724388792</v>
      </c>
      <c r="H211" s="43">
        <f>'10. Investeringen (bijschatten)'!D48</f>
        <v>2021</v>
      </c>
      <c r="I211" s="43" t="str">
        <f>'10. Investeringen (bijschatten)'!E48</f>
        <v>17 Mengstations</v>
      </c>
      <c r="J211" s="180">
        <f>_xlfn.XLOOKUP(I211,'3. Input (des)investeringen '!$B$11:$B$80,'3. Input (des)investeringen '!$D$11:$D$80)</f>
        <v>30</v>
      </c>
      <c r="K211" s="166"/>
      <c r="L211" s="166"/>
      <c r="M211" s="49">
        <f t="shared" si="100"/>
        <v>0</v>
      </c>
      <c r="N211" s="49">
        <f t="shared" si="101"/>
        <v>34203.064540647989</v>
      </c>
      <c r="P211" s="147">
        <f t="shared" si="102"/>
        <v>0</v>
      </c>
      <c r="Q211" s="147">
        <f t="shared" si="103"/>
        <v>2017980.8078982313</v>
      </c>
      <c r="S211" s="49">
        <f t="shared" si="104"/>
        <v>2017980.8078982313</v>
      </c>
      <c r="T211" s="44">
        <f t="shared" si="105"/>
        <v>29.5</v>
      </c>
      <c r="V211" s="49">
        <f t="shared" si="106"/>
        <v>80035.171025116288</v>
      </c>
      <c r="W211" s="49">
        <f t="shared" si="106"/>
        <v>76508.197386721338</v>
      </c>
      <c r="X211" s="49">
        <f t="shared" si="106"/>
        <v>73136.649705272604</v>
      </c>
      <c r="Y211" s="49">
        <f t="shared" si="106"/>
        <v>69913.678701311437</v>
      </c>
      <c r="Z211" s="49">
        <f t="shared" si="106"/>
        <v>66832.736928033308</v>
      </c>
      <c r="AB211" s="49">
        <f t="shared" si="107"/>
        <v>6840.6129081295985</v>
      </c>
      <c r="AC211" s="49">
        <f t="shared" si="107"/>
        <v>6840.6129081295985</v>
      </c>
      <c r="AD211" s="49">
        <f t="shared" si="107"/>
        <v>6840.6129081295985</v>
      </c>
      <c r="AE211" s="49">
        <f t="shared" si="107"/>
        <v>6840.6129081295985</v>
      </c>
      <c r="AF211" s="49">
        <f t="shared" si="107"/>
        <v>6840.6129081295985</v>
      </c>
      <c r="AH211" s="49">
        <f t="shared" si="108"/>
        <v>86875.783933245883</v>
      </c>
      <c r="AI211" s="49">
        <f t="shared" si="109"/>
        <v>83348.810294850933</v>
      </c>
      <c r="AJ211" s="49">
        <f t="shared" si="110"/>
        <v>79977.262613402199</v>
      </c>
      <c r="AK211" s="49">
        <f t="shared" si="111"/>
        <v>76754.291609441032</v>
      </c>
      <c r="AL211" s="49">
        <f t="shared" si="112"/>
        <v>73673.349836162903</v>
      </c>
      <c r="AN211" s="49">
        <f t="shared" si="113"/>
        <v>1931105.0239649855</v>
      </c>
      <c r="AO211" s="49">
        <f t="shared" si="114"/>
        <v>1847756.2136701345</v>
      </c>
      <c r="AP211" s="49">
        <f t="shared" si="115"/>
        <v>1767778.9510567323</v>
      </c>
      <c r="AQ211" s="49">
        <f t="shared" si="116"/>
        <v>1691024.6594472914</v>
      </c>
      <c r="AR211" s="49">
        <f t="shared" si="117"/>
        <v>1617351.3096111284</v>
      </c>
      <c r="AT211" s="49">
        <f t="shared" si="118"/>
        <v>20807.666894142079</v>
      </c>
      <c r="AU211" s="49">
        <f t="shared" si="119"/>
        <v>22009.351272612574</v>
      </c>
      <c r="AV211" s="49">
        <f t="shared" si="120"/>
        <v>23675.018976923893</v>
      </c>
      <c r="AW211" s="49">
        <f t="shared" si="121"/>
        <v>23981.184322333476</v>
      </c>
      <c r="AX211" s="49">
        <f t="shared" si="122"/>
        <v>24291.308997989883</v>
      </c>
      <c r="AZ211" s="53">
        <f t="shared" si="123"/>
        <v>167547.70657030251</v>
      </c>
      <c r="BA211" s="53">
        <f t="shared" si="124"/>
        <v>160790.84797756755</v>
      </c>
      <c r="BB211" s="53">
        <f t="shared" si="125"/>
        <v>156685.65012202808</v>
      </c>
      <c r="BC211" s="53">
        <f t="shared" si="126"/>
        <v>151466.21571519325</v>
      </c>
      <c r="BD211" s="53">
        <f t="shared" si="127"/>
        <v>146485.19812248665</v>
      </c>
    </row>
    <row r="212" spans="2:56">
      <c r="B212" s="43">
        <f>'10. Investeringen (bijschatten)'!B49</f>
        <v>30</v>
      </c>
      <c r="C212" s="54"/>
      <c r="E212" s="54"/>
      <c r="F212" s="160">
        <f>'10. Investeringen (bijschatten)'!C49</f>
        <v>2389093.2206175276</v>
      </c>
      <c r="H212" s="43">
        <f>'10. Investeringen (bijschatten)'!D49</f>
        <v>2021</v>
      </c>
      <c r="I212" s="43" t="str">
        <f>'10. Investeringen (bijschatten)'!E49</f>
        <v>20 Kantoorgebouwen</v>
      </c>
      <c r="J212" s="180">
        <f>_xlfn.XLOOKUP(I212,'3. Input (des)investeringen '!$B$11:$B$80,'3. Input (des)investeringen '!$D$11:$D$80)</f>
        <v>30</v>
      </c>
      <c r="K212" s="166"/>
      <c r="L212" s="166"/>
      <c r="M212" s="49">
        <f t="shared" si="100"/>
        <v>0</v>
      </c>
      <c r="N212" s="49">
        <f t="shared" si="101"/>
        <v>39818.220343625457</v>
      </c>
      <c r="P212" s="147">
        <f t="shared" si="102"/>
        <v>0</v>
      </c>
      <c r="Q212" s="147">
        <f t="shared" si="103"/>
        <v>2349275.000273902</v>
      </c>
      <c r="S212" s="49">
        <f t="shared" si="104"/>
        <v>2349275.000273902</v>
      </c>
      <c r="T212" s="44">
        <f t="shared" si="105"/>
        <v>29.5</v>
      </c>
      <c r="V212" s="49">
        <f t="shared" si="106"/>
        <v>93174.635604083567</v>
      </c>
      <c r="W212" s="49">
        <f t="shared" si="106"/>
        <v>89068.634713056163</v>
      </c>
      <c r="X212" s="49">
        <f t="shared" si="106"/>
        <v>85143.576234175707</v>
      </c>
      <c r="Y212" s="49">
        <f t="shared" si="106"/>
        <v>81391.486434025603</v>
      </c>
      <c r="Z212" s="49">
        <f t="shared" si="106"/>
        <v>77804.742964051591</v>
      </c>
      <c r="AB212" s="49">
        <f t="shared" si="107"/>
        <v>7963.6440687250915</v>
      </c>
      <c r="AC212" s="49">
        <f t="shared" si="107"/>
        <v>7963.6440687250915</v>
      </c>
      <c r="AD212" s="49">
        <f t="shared" si="107"/>
        <v>7963.6440687250915</v>
      </c>
      <c r="AE212" s="49">
        <f t="shared" si="107"/>
        <v>7963.6440687250915</v>
      </c>
      <c r="AF212" s="49">
        <f t="shared" si="107"/>
        <v>7963.6440687250915</v>
      </c>
      <c r="AH212" s="49">
        <f t="shared" si="108"/>
        <v>101138.27967280865</v>
      </c>
      <c r="AI212" s="49">
        <f t="shared" si="109"/>
        <v>97032.27878178125</v>
      </c>
      <c r="AJ212" s="49">
        <f t="shared" si="110"/>
        <v>93107.220302900794</v>
      </c>
      <c r="AK212" s="49">
        <f t="shared" si="111"/>
        <v>89355.13050275069</v>
      </c>
      <c r="AL212" s="49">
        <f t="shared" si="112"/>
        <v>85768.387032776678</v>
      </c>
      <c r="AN212" s="49">
        <f t="shared" si="113"/>
        <v>2248136.7206010935</v>
      </c>
      <c r="AO212" s="49">
        <f t="shared" si="114"/>
        <v>2151104.4418193121</v>
      </c>
      <c r="AP212" s="49">
        <f t="shared" si="115"/>
        <v>2057997.2215164113</v>
      </c>
      <c r="AQ212" s="49">
        <f t="shared" si="116"/>
        <v>1968642.0910136607</v>
      </c>
      <c r="AR212" s="49">
        <f t="shared" si="117"/>
        <v>1882873.703980884</v>
      </c>
      <c r="AT212" s="49">
        <f t="shared" si="118"/>
        <v>24223.685109942882</v>
      </c>
      <c r="AU212" s="49">
        <f t="shared" si="119"/>
        <v>25622.651372412307</v>
      </c>
      <c r="AV212" s="49">
        <f t="shared" si="120"/>
        <v>27561.773628276471</v>
      </c>
      <c r="AW212" s="49">
        <f t="shared" si="121"/>
        <v>27918.202484837344</v>
      </c>
      <c r="AX212" s="49">
        <f t="shared" si="122"/>
        <v>28279.240679371254</v>
      </c>
      <c r="AZ212" s="53">
        <f t="shared" si="123"/>
        <v>195054.20312138545</v>
      </c>
      <c r="BA212" s="53">
        <f t="shared" si="124"/>
        <v>187188.0634087729</v>
      </c>
      <c r="BB212" s="53">
        <f t="shared" si="125"/>
        <v>182408.91057666962</v>
      </c>
      <c r="BC212" s="53">
        <f t="shared" si="126"/>
        <v>176332.59571799787</v>
      </c>
      <c r="BD212" s="53">
        <f t="shared" si="127"/>
        <v>170533.83883157445</v>
      </c>
    </row>
    <row r="213" spans="2:56">
      <c r="B213" s="43">
        <f>'10. Investeringen (bijschatten)'!B50</f>
        <v>31</v>
      </c>
      <c r="C213" s="54"/>
      <c r="E213" s="54"/>
      <c r="F213" s="160">
        <f>'10. Investeringen (bijschatten)'!C50</f>
        <v>2623152.226809788</v>
      </c>
      <c r="H213" s="43">
        <f>'10. Investeringen (bijschatten)'!D50</f>
        <v>2021</v>
      </c>
      <c r="I213" s="43" t="str">
        <f>'10. Investeringen (bijschatten)'!E50</f>
        <v>21 Hoofdtransportleiding</v>
      </c>
      <c r="J213" s="180">
        <f>_xlfn.XLOOKUP(I213,'3. Input (des)investeringen '!$B$11:$B$80,'3. Input (des)investeringen '!$D$11:$D$80)</f>
        <v>55</v>
      </c>
      <c r="K213" s="166"/>
      <c r="L213" s="166"/>
      <c r="M213" s="49">
        <f t="shared" si="100"/>
        <v>0</v>
      </c>
      <c r="N213" s="49">
        <f t="shared" si="101"/>
        <v>23846.838425543527</v>
      </c>
      <c r="P213" s="147">
        <f t="shared" si="102"/>
        <v>0</v>
      </c>
      <c r="Q213" s="147">
        <f t="shared" si="103"/>
        <v>2599305.3883842444</v>
      </c>
      <c r="S213" s="49">
        <f t="shared" si="104"/>
        <v>2599305.3883842444</v>
      </c>
      <c r="T213" s="44">
        <f t="shared" si="105"/>
        <v>54.5</v>
      </c>
      <c r="V213" s="49">
        <f t="shared" si="106"/>
        <v>55801.601915771862</v>
      </c>
      <c r="W213" s="49">
        <f t="shared" si="106"/>
        <v>54470.554530625006</v>
      </c>
      <c r="X213" s="49">
        <f t="shared" si="106"/>
        <v>53171.256899619264</v>
      </c>
      <c r="Y213" s="49">
        <f t="shared" si="106"/>
        <v>51902.951689169626</v>
      </c>
      <c r="Z213" s="49">
        <f t="shared" si="106"/>
        <v>50664.899630528882</v>
      </c>
      <c r="AB213" s="49">
        <f t="shared" si="107"/>
        <v>4769.3676851087057</v>
      </c>
      <c r="AC213" s="49">
        <f t="shared" si="107"/>
        <v>4769.3676851087057</v>
      </c>
      <c r="AD213" s="49">
        <f t="shared" si="107"/>
        <v>4769.3676851087057</v>
      </c>
      <c r="AE213" s="49">
        <f t="shared" si="107"/>
        <v>4769.3676851087057</v>
      </c>
      <c r="AF213" s="49">
        <f t="shared" si="107"/>
        <v>4769.3676851087057</v>
      </c>
      <c r="AH213" s="49">
        <f t="shared" si="108"/>
        <v>60570.969600880569</v>
      </c>
      <c r="AI213" s="49">
        <f t="shared" si="109"/>
        <v>59239.922215733714</v>
      </c>
      <c r="AJ213" s="49">
        <f t="shared" si="110"/>
        <v>57940.624584727972</v>
      </c>
      <c r="AK213" s="49">
        <f t="shared" si="111"/>
        <v>56672.319374278333</v>
      </c>
      <c r="AL213" s="49">
        <f t="shared" si="112"/>
        <v>55434.267315637589</v>
      </c>
      <c r="AN213" s="49">
        <f t="shared" si="113"/>
        <v>2538734.4187833639</v>
      </c>
      <c r="AO213" s="49">
        <f t="shared" si="114"/>
        <v>2479494.4965676302</v>
      </c>
      <c r="AP213" s="49">
        <f t="shared" si="115"/>
        <v>2421553.8719829023</v>
      </c>
      <c r="AQ213" s="49">
        <f t="shared" si="116"/>
        <v>2364881.5526086241</v>
      </c>
      <c r="AR213" s="49">
        <f t="shared" si="117"/>
        <v>2309447.2852929863</v>
      </c>
      <c r="AT213" s="49">
        <f t="shared" si="118"/>
        <v>26596.874910247949</v>
      </c>
      <c r="AU213" s="49">
        <f t="shared" si="119"/>
        <v>28132.897630064592</v>
      </c>
      <c r="AV213" s="49">
        <f t="shared" si="120"/>
        <v>30261.995322707877</v>
      </c>
      <c r="AW213" s="49">
        <f t="shared" si="121"/>
        <v>30653.343446221137</v>
      </c>
      <c r="AX213" s="49">
        <f t="shared" si="122"/>
        <v>31049.75248366766</v>
      </c>
      <c r="AZ213" s="53">
        <f t="shared" si="123"/>
        <v>165868.61149341278</v>
      </c>
      <c r="BA213" s="53">
        <f t="shared" si="124"/>
        <v>161757.65474282723</v>
      </c>
      <c r="BB213" s="53">
        <f t="shared" si="125"/>
        <v>160849.23606692289</v>
      </c>
      <c r="BC213" s="53">
        <f t="shared" si="126"/>
        <v>158272.10939875818</v>
      </c>
      <c r="BD213" s="53">
        <f t="shared" si="127"/>
        <v>155767.43835809483</v>
      </c>
    </row>
    <row r="214" spans="2:56">
      <c r="B214" s="43">
        <f>'10. Investeringen (bijschatten)'!B51</f>
        <v>32</v>
      </c>
      <c r="C214" s="54"/>
      <c r="E214" s="54"/>
      <c r="F214" s="160">
        <f>'10. Investeringen (bijschatten)'!C51</f>
        <v>1633023.1294499158</v>
      </c>
      <c r="H214" s="43">
        <f>'10. Investeringen (bijschatten)'!D51</f>
        <v>2021</v>
      </c>
      <c r="I214" s="43" t="str">
        <f>'10. Investeringen (bijschatten)'!E51</f>
        <v>21 Hoofdtransportleiding (EHD)</v>
      </c>
      <c r="J214" s="180">
        <f>_xlfn.XLOOKUP(I214,'3. Input (des)investeringen '!$B$11:$B$80,'3. Input (des)investeringen '!$D$11:$D$80)</f>
        <v>55</v>
      </c>
      <c r="K214" s="166"/>
      <c r="L214" s="166"/>
      <c r="M214" s="49">
        <f t="shared" si="100"/>
        <v>0</v>
      </c>
      <c r="N214" s="49">
        <f t="shared" si="101"/>
        <v>14845.664813181053</v>
      </c>
      <c r="P214" s="147">
        <f t="shared" si="102"/>
        <v>0</v>
      </c>
      <c r="Q214" s="147">
        <f t="shared" si="103"/>
        <v>1618177.4646367347</v>
      </c>
      <c r="S214" s="49">
        <f t="shared" si="104"/>
        <v>1618177.4646367347</v>
      </c>
      <c r="T214" s="44">
        <f t="shared" si="105"/>
        <v>54.5</v>
      </c>
      <c r="V214" s="49">
        <f t="shared" si="106"/>
        <v>34738.855662843664</v>
      </c>
      <c r="W214" s="49">
        <f t="shared" si="106"/>
        <v>33910.222408500602</v>
      </c>
      <c r="X214" s="49">
        <f t="shared" si="106"/>
        <v>33101.354718022609</v>
      </c>
      <c r="Y214" s="49">
        <f t="shared" si="106"/>
        <v>32311.781119244093</v>
      </c>
      <c r="Z214" s="49">
        <f t="shared" si="106"/>
        <v>31541.041386124507</v>
      </c>
      <c r="AB214" s="49">
        <f t="shared" si="107"/>
        <v>2969.1329626362108</v>
      </c>
      <c r="AC214" s="49">
        <f t="shared" si="107"/>
        <v>2969.1329626362108</v>
      </c>
      <c r="AD214" s="49">
        <f t="shared" si="107"/>
        <v>2969.1329626362108</v>
      </c>
      <c r="AE214" s="49">
        <f t="shared" si="107"/>
        <v>2969.1329626362108</v>
      </c>
      <c r="AF214" s="49">
        <f t="shared" si="107"/>
        <v>2969.1329626362108</v>
      </c>
      <c r="AH214" s="49">
        <f t="shared" si="108"/>
        <v>37707.988625479877</v>
      </c>
      <c r="AI214" s="49">
        <f t="shared" si="109"/>
        <v>36879.355371136815</v>
      </c>
      <c r="AJ214" s="49">
        <f t="shared" si="110"/>
        <v>36070.487680658822</v>
      </c>
      <c r="AK214" s="49">
        <f t="shared" si="111"/>
        <v>35280.914081880306</v>
      </c>
      <c r="AL214" s="49">
        <f t="shared" si="112"/>
        <v>34510.174348760716</v>
      </c>
      <c r="AN214" s="49">
        <f t="shared" si="113"/>
        <v>1580469.4760112548</v>
      </c>
      <c r="AO214" s="49">
        <f t="shared" si="114"/>
        <v>1543590.1206401179</v>
      </c>
      <c r="AP214" s="49">
        <f t="shared" si="115"/>
        <v>1507519.632959459</v>
      </c>
      <c r="AQ214" s="49">
        <f t="shared" si="116"/>
        <v>1472238.7188775786</v>
      </c>
      <c r="AR214" s="49">
        <f t="shared" si="117"/>
        <v>1437728.544528818</v>
      </c>
      <c r="AT214" s="49">
        <f t="shared" si="118"/>
        <v>16557.678755968944</v>
      </c>
      <c r="AU214" s="49">
        <f t="shared" si="119"/>
        <v>17513.91781948366</v>
      </c>
      <c r="AV214" s="49">
        <f t="shared" si="120"/>
        <v>18839.371120062184</v>
      </c>
      <c r="AW214" s="49">
        <f t="shared" si="121"/>
        <v>19083.001867386829</v>
      </c>
      <c r="AX214" s="49">
        <f t="shared" si="122"/>
        <v>19329.78324753587</v>
      </c>
      <c r="AZ214" s="53">
        <f t="shared" si="123"/>
        <v>103260.22113779771</v>
      </c>
      <c r="BA214" s="53">
        <f t="shared" si="124"/>
        <v>100700.97680982402</v>
      </c>
      <c r="BB214" s="53">
        <f t="shared" si="125"/>
        <v>100135.44778950477</v>
      </c>
      <c r="BC214" s="53">
        <f t="shared" si="126"/>
        <v>98531.077515594487</v>
      </c>
      <c r="BD214" s="53">
        <f t="shared" si="127"/>
        <v>96971.813932161138</v>
      </c>
    </row>
    <row r="215" spans="2:56">
      <c r="B215" s="43">
        <f>'10. Investeringen (bijschatten)'!B52</f>
        <v>33</v>
      </c>
      <c r="C215" s="54"/>
      <c r="E215" s="54"/>
      <c r="F215" s="160">
        <f>'10. Investeringen (bijschatten)'!C52</f>
        <v>1234463.3646877937</v>
      </c>
      <c r="H215" s="43">
        <f>'10. Investeringen (bijschatten)'!D52</f>
        <v>2021</v>
      </c>
      <c r="I215" s="43" t="str">
        <f>'10. Investeringen (bijschatten)'!E52</f>
        <v>32 M&amp;R stations</v>
      </c>
      <c r="J215" s="180">
        <f>_xlfn.XLOOKUP(I215,'3. Input (des)investeringen '!$B$11:$B$80,'3. Input (des)investeringen '!$D$11:$D$80)</f>
        <v>30</v>
      </c>
      <c r="K215" s="166"/>
      <c r="L215" s="166"/>
      <c r="M215" s="49">
        <f t="shared" si="100"/>
        <v>0</v>
      </c>
      <c r="N215" s="49">
        <f t="shared" si="101"/>
        <v>20574.389411463228</v>
      </c>
      <c r="P215" s="147">
        <f t="shared" si="102"/>
        <v>0</v>
      </c>
      <c r="Q215" s="147">
        <f t="shared" si="103"/>
        <v>1213888.9752763305</v>
      </c>
      <c r="S215" s="49">
        <f t="shared" si="104"/>
        <v>1213888.9752763305</v>
      </c>
      <c r="T215" s="44">
        <f t="shared" si="105"/>
        <v>29.5</v>
      </c>
      <c r="V215" s="49">
        <f t="shared" si="106"/>
        <v>48144.071222823957</v>
      </c>
      <c r="W215" s="49">
        <f t="shared" si="106"/>
        <v>46022.468084191038</v>
      </c>
      <c r="X215" s="49">
        <f t="shared" si="106"/>
        <v>43994.359321158889</v>
      </c>
      <c r="Y215" s="49">
        <f t="shared" si="106"/>
        <v>42055.624842599347</v>
      </c>
      <c r="Z215" s="49">
        <f t="shared" si="106"/>
        <v>40202.326120722086</v>
      </c>
      <c r="AB215" s="49">
        <f t="shared" si="107"/>
        <v>4114.8778822926461</v>
      </c>
      <c r="AC215" s="49">
        <f t="shared" si="107"/>
        <v>4114.8778822926461</v>
      </c>
      <c r="AD215" s="49">
        <f t="shared" si="107"/>
        <v>4114.8778822926461</v>
      </c>
      <c r="AE215" s="49">
        <f t="shared" si="107"/>
        <v>4114.8778822926461</v>
      </c>
      <c r="AF215" s="49">
        <f t="shared" si="107"/>
        <v>4114.8778822926461</v>
      </c>
      <c r="AH215" s="49">
        <f t="shared" si="108"/>
        <v>52258.949105116604</v>
      </c>
      <c r="AI215" s="49">
        <f t="shared" si="109"/>
        <v>50137.345966483685</v>
      </c>
      <c r="AJ215" s="49">
        <f t="shared" si="110"/>
        <v>48109.237203451536</v>
      </c>
      <c r="AK215" s="49">
        <f t="shared" si="111"/>
        <v>46170.502724891994</v>
      </c>
      <c r="AL215" s="49">
        <f t="shared" si="112"/>
        <v>44317.204003014733</v>
      </c>
      <c r="AN215" s="49">
        <f t="shared" si="113"/>
        <v>1161630.0261712139</v>
      </c>
      <c r="AO215" s="49">
        <f t="shared" si="114"/>
        <v>1111492.6802047302</v>
      </c>
      <c r="AP215" s="49">
        <f t="shared" si="115"/>
        <v>1063383.4430012787</v>
      </c>
      <c r="AQ215" s="49">
        <f t="shared" si="116"/>
        <v>1017212.9402763867</v>
      </c>
      <c r="AR215" s="49">
        <f t="shared" si="117"/>
        <v>972895.73627337196</v>
      </c>
      <c r="AT215" s="49">
        <f t="shared" si="118"/>
        <v>12516.569704311652</v>
      </c>
      <c r="AU215" s="49">
        <f t="shared" si="119"/>
        <v>13239.426637875058</v>
      </c>
      <c r="AV215" s="49">
        <f t="shared" si="120"/>
        <v>14241.386445829445</v>
      </c>
      <c r="AW215" s="49">
        <f t="shared" si="121"/>
        <v>14425.556055346911</v>
      </c>
      <c r="AX215" s="49">
        <f t="shared" si="122"/>
        <v>14612.107346254656</v>
      </c>
      <c r="AZ215" s="53">
        <f t="shared" si="123"/>
        <v>100786.04962073588</v>
      </c>
      <c r="BA215" s="53">
        <f t="shared" si="124"/>
        <v>96721.553010500647</v>
      </c>
      <c r="BB215" s="53">
        <f t="shared" si="125"/>
        <v>94252.126939319336</v>
      </c>
      <c r="BC215" s="53">
        <f t="shared" si="126"/>
        <v>91112.446988530501</v>
      </c>
      <c r="BD215" s="53">
        <f t="shared" si="127"/>
        <v>88116.18343747055</v>
      </c>
    </row>
    <row r="216" spans="2:56">
      <c r="B216" s="43">
        <f>'10. Investeringen (bijschatten)'!B53</f>
        <v>34</v>
      </c>
      <c r="C216" s="54"/>
      <c r="E216" s="54"/>
      <c r="F216" s="160">
        <f>'10. Investeringen (bijschatten)'!C53</f>
        <v>374278.37821483467</v>
      </c>
      <c r="H216" s="43">
        <f>'10. Investeringen (bijschatten)'!D53</f>
        <v>2021</v>
      </c>
      <c r="I216" s="43" t="str">
        <f>'10. Investeringen (bijschatten)'!E53</f>
        <v>33 Exportstations</v>
      </c>
      <c r="J216" s="180">
        <f>_xlfn.XLOOKUP(I216,'3. Input (des)investeringen '!$B$11:$B$80,'3. Input (des)investeringen '!$D$11:$D$80)</f>
        <v>30</v>
      </c>
      <c r="K216" s="166"/>
      <c r="L216" s="166"/>
      <c r="M216" s="49">
        <f t="shared" si="100"/>
        <v>0</v>
      </c>
      <c r="N216" s="49">
        <f t="shared" si="101"/>
        <v>6237.9729702472441</v>
      </c>
      <c r="P216" s="147">
        <f t="shared" si="102"/>
        <v>0</v>
      </c>
      <c r="Q216" s="147">
        <f t="shared" si="103"/>
        <v>368040.4052445874</v>
      </c>
      <c r="S216" s="49">
        <f t="shared" si="104"/>
        <v>368040.4052445874</v>
      </c>
      <c r="T216" s="44">
        <f t="shared" si="105"/>
        <v>29.5</v>
      </c>
      <c r="V216" s="49">
        <f t="shared" ref="V216:Z239" si="128">IF($J216=0, 0, IF(OR($H216&gt;V$59,$H216+$J216&lt;V$59),0,
IF(OR($H216=2020,$H216=2021),VDB($S216*(1-$F$28),0,$T216,V$59-2022,MIN($T216,V$59-2021),$F$22),
VDB($S216*(1-$F$28),0,$T216,MAX(0,V$59-$H216-0.5),MIN($T216,V$59-$H216+0.5),$F$22,FALSE))))</f>
        <v>14596.856750378551</v>
      </c>
      <c r="W216" s="49">
        <f t="shared" si="128"/>
        <v>13953.605435955089</v>
      </c>
      <c r="X216" s="49">
        <f t="shared" si="128"/>
        <v>13338.700789624863</v>
      </c>
      <c r="Y216" s="49">
        <f t="shared" si="128"/>
        <v>12750.893636183768</v>
      </c>
      <c r="Z216" s="49">
        <f t="shared" si="128"/>
        <v>12188.989848826517</v>
      </c>
      <c r="AB216" s="49">
        <f t="shared" ref="AB216:AF239" si="129">IF($J216 = 0, 0, IF(OR($H216&gt;AB$59,$H216+$J216&lt;AB$59),0,
IF(OR($H216=2020,$H216=2021),VDB($S216*$F$28,0,$T216,AB$59-2022,MIN($T216,AB$59-2021),1),
VDB($S216*$F$28,0,$T216,MAX(0,AB$59-$H216-0.5),MIN($T216,AB$59-$H216+0.5),1))))</f>
        <v>1247.5945940494487</v>
      </c>
      <c r="AC216" s="49">
        <f t="shared" si="129"/>
        <v>1247.5945940494487</v>
      </c>
      <c r="AD216" s="49">
        <f t="shared" si="129"/>
        <v>1247.5945940494487</v>
      </c>
      <c r="AE216" s="49">
        <f t="shared" si="129"/>
        <v>1247.5945940494487</v>
      </c>
      <c r="AF216" s="49">
        <f t="shared" si="129"/>
        <v>1247.5945940494487</v>
      </c>
      <c r="AH216" s="49">
        <f t="shared" si="108"/>
        <v>15844.451344428</v>
      </c>
      <c r="AI216" s="49">
        <f t="shared" si="109"/>
        <v>15201.200030004538</v>
      </c>
      <c r="AJ216" s="49">
        <f t="shared" si="110"/>
        <v>14586.295383674313</v>
      </c>
      <c r="AK216" s="49">
        <f t="shared" si="111"/>
        <v>13998.488230233217</v>
      </c>
      <c r="AL216" s="49">
        <f t="shared" si="112"/>
        <v>13436.584442875966</v>
      </c>
      <c r="AN216" s="49">
        <f t="shared" si="113"/>
        <v>352195.95390015939</v>
      </c>
      <c r="AO216" s="49">
        <f t="shared" si="114"/>
        <v>336994.75387015485</v>
      </c>
      <c r="AP216" s="49">
        <f t="shared" si="115"/>
        <v>322408.45848648052</v>
      </c>
      <c r="AQ216" s="49">
        <f t="shared" si="116"/>
        <v>308409.97025624732</v>
      </c>
      <c r="AR216" s="49">
        <f t="shared" si="117"/>
        <v>294973.38581337134</v>
      </c>
      <c r="AT216" s="49">
        <f t="shared" si="118"/>
        <v>3794.9132746661089</v>
      </c>
      <c r="AU216" s="49">
        <f t="shared" si="119"/>
        <v>4014.0771061046257</v>
      </c>
      <c r="AV216" s="49">
        <f t="shared" si="120"/>
        <v>4317.8624614946239</v>
      </c>
      <c r="AW216" s="49">
        <f t="shared" si="121"/>
        <v>4373.7010588466728</v>
      </c>
      <c r="AX216" s="49">
        <f t="shared" si="122"/>
        <v>4430.2617609396766</v>
      </c>
      <c r="AZ216" s="53">
        <f t="shared" si="123"/>
        <v>30557.439189999048</v>
      </c>
      <c r="BA216" s="53">
        <f t="shared" si="124"/>
        <v>29325.11975221381</v>
      </c>
      <c r="BB216" s="53">
        <f t="shared" si="125"/>
        <v>28576.411599763353</v>
      </c>
      <c r="BC216" s="53">
        <f t="shared" si="126"/>
        <v>27624.488396767309</v>
      </c>
      <c r="BD216" s="53">
        <f t="shared" si="127"/>
        <v>26716.047778216784</v>
      </c>
    </row>
    <row r="217" spans="2:56">
      <c r="B217" s="43">
        <f>'10. Investeringen (bijschatten)'!B54</f>
        <v>35</v>
      </c>
      <c r="C217" s="54"/>
      <c r="E217" s="54"/>
      <c r="F217" s="160">
        <f>'10. Investeringen (bijschatten)'!C54</f>
        <v>889564.28597105667</v>
      </c>
      <c r="H217" s="43">
        <f>'10. Investeringen (bijschatten)'!D54</f>
        <v>2021</v>
      </c>
      <c r="I217" s="43" t="str">
        <f>'10. Investeringen (bijschatten)'!E54</f>
        <v>34 Reduceerstations</v>
      </c>
      <c r="J217" s="180">
        <f>_xlfn.XLOOKUP(I217,'3. Input (des)investeringen '!$B$11:$B$80,'3. Input (des)investeringen '!$D$11:$D$80)</f>
        <v>30</v>
      </c>
      <c r="K217" s="166"/>
      <c r="L217" s="166"/>
      <c r="M217" s="49">
        <f t="shared" si="100"/>
        <v>0</v>
      </c>
      <c r="N217" s="49">
        <f t="shared" si="101"/>
        <v>14826.071432850944</v>
      </c>
      <c r="P217" s="147">
        <f t="shared" si="102"/>
        <v>0</v>
      </c>
      <c r="Q217" s="147">
        <f t="shared" si="103"/>
        <v>874738.21453820576</v>
      </c>
      <c r="S217" s="49">
        <f t="shared" si="104"/>
        <v>874738.21453820576</v>
      </c>
      <c r="T217" s="44">
        <f t="shared" si="105"/>
        <v>29.5</v>
      </c>
      <c r="V217" s="49">
        <f t="shared" si="128"/>
        <v>34693.007152871214</v>
      </c>
      <c r="W217" s="49">
        <f t="shared" si="128"/>
        <v>33164.162769863324</v>
      </c>
      <c r="X217" s="49">
        <f t="shared" si="128"/>
        <v>31702.691190174432</v>
      </c>
      <c r="Y217" s="49">
        <f t="shared" si="128"/>
        <v>30305.623442810815</v>
      </c>
      <c r="Z217" s="49">
        <f t="shared" si="128"/>
        <v>28970.121392788642</v>
      </c>
      <c r="AB217" s="49">
        <f t="shared" si="129"/>
        <v>2965.214286570189</v>
      </c>
      <c r="AC217" s="49">
        <f t="shared" si="129"/>
        <v>2965.214286570189</v>
      </c>
      <c r="AD217" s="49">
        <f t="shared" si="129"/>
        <v>2965.214286570189</v>
      </c>
      <c r="AE217" s="49">
        <f t="shared" si="129"/>
        <v>2965.214286570189</v>
      </c>
      <c r="AF217" s="49">
        <f t="shared" si="129"/>
        <v>2965.214286570189</v>
      </c>
      <c r="AH217" s="49">
        <f t="shared" si="108"/>
        <v>37658.221439441404</v>
      </c>
      <c r="AI217" s="49">
        <f t="shared" si="109"/>
        <v>36129.377056433514</v>
      </c>
      <c r="AJ217" s="49">
        <f t="shared" si="110"/>
        <v>34667.905476744621</v>
      </c>
      <c r="AK217" s="49">
        <f t="shared" si="111"/>
        <v>33270.837729381004</v>
      </c>
      <c r="AL217" s="49">
        <f t="shared" si="112"/>
        <v>31935.335679358832</v>
      </c>
      <c r="AN217" s="49">
        <f t="shared" si="113"/>
        <v>837079.99309876433</v>
      </c>
      <c r="AO217" s="49">
        <f t="shared" si="114"/>
        <v>800950.61604233086</v>
      </c>
      <c r="AP217" s="49">
        <f t="shared" si="115"/>
        <v>766282.71056558623</v>
      </c>
      <c r="AQ217" s="49">
        <f t="shared" si="116"/>
        <v>733011.87283620518</v>
      </c>
      <c r="AR217" s="49">
        <f t="shared" si="117"/>
        <v>701076.53715684637</v>
      </c>
      <c r="AT217" s="49">
        <f t="shared" si="118"/>
        <v>9019.5413734606154</v>
      </c>
      <c r="AU217" s="49">
        <f t="shared" si="119"/>
        <v>9540.4379268607136</v>
      </c>
      <c r="AV217" s="49">
        <f t="shared" si="120"/>
        <v>10262.458269165532</v>
      </c>
      <c r="AW217" s="49">
        <f t="shared" si="121"/>
        <v>10395.172379502379</v>
      </c>
      <c r="AX217" s="49">
        <f t="shared" si="122"/>
        <v>10529.602748714104</v>
      </c>
      <c r="AZ217" s="53">
        <f t="shared" si="123"/>
        <v>72627.242598963712</v>
      </c>
      <c r="BA217" s="53">
        <f t="shared" si="124"/>
        <v>69698.333464564159</v>
      </c>
      <c r="BB217" s="53">
        <f t="shared" si="125"/>
        <v>67918.84506287775</v>
      </c>
      <c r="BC217" s="53">
        <f t="shared" si="126"/>
        <v>65656.366293969535</v>
      </c>
      <c r="BD217" s="53">
        <f t="shared" si="127"/>
        <v>63497.234542778322</v>
      </c>
    </row>
    <row r="218" spans="2:56">
      <c r="B218" s="43">
        <f>'10. Investeringen (bijschatten)'!B55</f>
        <v>36</v>
      </c>
      <c r="C218" s="54"/>
      <c r="E218" s="54"/>
      <c r="F218" s="160">
        <f>'10. Investeringen (bijschatten)'!C55</f>
        <v>21.673674251477685</v>
      </c>
      <c r="H218" s="43">
        <f>'10. Investeringen (bijschatten)'!D55</f>
        <v>2021</v>
      </c>
      <c r="I218" s="43" t="str">
        <f>'10. Investeringen (bijschatten)'!E55</f>
        <v>34 Reduceerstations (EHD)</v>
      </c>
      <c r="J218" s="180">
        <f>_xlfn.XLOOKUP(I218,'3. Input (des)investeringen '!$B$11:$B$80,'3. Input (des)investeringen '!$D$11:$D$80)</f>
        <v>30</v>
      </c>
      <c r="K218" s="166"/>
      <c r="L218" s="166"/>
      <c r="M218" s="49">
        <f t="shared" si="100"/>
        <v>0</v>
      </c>
      <c r="N218" s="49">
        <f t="shared" si="101"/>
        <v>0.36122790419129475</v>
      </c>
      <c r="P218" s="147">
        <f t="shared" si="102"/>
        <v>0</v>
      </c>
      <c r="Q218" s="147">
        <f t="shared" si="103"/>
        <v>21.312446347286389</v>
      </c>
      <c r="S218" s="49">
        <f t="shared" si="104"/>
        <v>21.312446347286389</v>
      </c>
      <c r="T218" s="44">
        <f t="shared" si="105"/>
        <v>29.5</v>
      </c>
      <c r="V218" s="49">
        <f t="shared" si="128"/>
        <v>0.84527329580762967</v>
      </c>
      <c r="W218" s="49">
        <f t="shared" si="128"/>
        <v>0.80802396412797139</v>
      </c>
      <c r="X218" s="49">
        <f t="shared" si="128"/>
        <v>0.77241612842063712</v>
      </c>
      <c r="Y218" s="49">
        <f t="shared" si="128"/>
        <v>0.7383774515749818</v>
      </c>
      <c r="Z218" s="49">
        <f t="shared" si="128"/>
        <v>0.70583878421744017</v>
      </c>
      <c r="AB218" s="49">
        <f t="shared" si="129"/>
        <v>7.2245580838258952E-2</v>
      </c>
      <c r="AC218" s="49">
        <f t="shared" si="129"/>
        <v>7.2245580838258952E-2</v>
      </c>
      <c r="AD218" s="49">
        <f t="shared" si="129"/>
        <v>7.2245580838258952E-2</v>
      </c>
      <c r="AE218" s="49">
        <f t="shared" si="129"/>
        <v>7.2245580838258952E-2</v>
      </c>
      <c r="AF218" s="49">
        <f t="shared" si="129"/>
        <v>7.2245580838258952E-2</v>
      </c>
      <c r="AH218" s="49">
        <f t="shared" si="108"/>
        <v>0.9175188766458886</v>
      </c>
      <c r="AI218" s="49">
        <f t="shared" si="109"/>
        <v>0.88026954496623033</v>
      </c>
      <c r="AJ218" s="49">
        <f t="shared" si="110"/>
        <v>0.84466170925889605</v>
      </c>
      <c r="AK218" s="49">
        <f t="shared" si="111"/>
        <v>0.81062303241324074</v>
      </c>
      <c r="AL218" s="49">
        <f t="shared" si="112"/>
        <v>0.77808436505569911</v>
      </c>
      <c r="AN218" s="49">
        <f t="shared" si="113"/>
        <v>20.3949274706405</v>
      </c>
      <c r="AO218" s="49">
        <f t="shared" si="114"/>
        <v>19.514657925674271</v>
      </c>
      <c r="AP218" s="49">
        <f t="shared" si="115"/>
        <v>18.669996216415374</v>
      </c>
      <c r="AQ218" s="49">
        <f t="shared" si="116"/>
        <v>17.859373184002134</v>
      </c>
      <c r="AR218" s="49">
        <f t="shared" si="117"/>
        <v>17.081288818946437</v>
      </c>
      <c r="AT218" s="49">
        <f t="shared" si="118"/>
        <v>0.21975545186452269</v>
      </c>
      <c r="AU218" s="49">
        <f t="shared" si="119"/>
        <v>0.23244676872060258</v>
      </c>
      <c r="AV218" s="49">
        <f t="shared" si="120"/>
        <v>0.2500383401773778</v>
      </c>
      <c r="AW218" s="49">
        <f t="shared" si="121"/>
        <v>0.25327183599255165</v>
      </c>
      <c r="AX218" s="49">
        <f t="shared" si="122"/>
        <v>0.2565471473756073</v>
      </c>
      <c r="AZ218" s="53">
        <f t="shared" si="123"/>
        <v>1.7695170801002666</v>
      </c>
      <c r="BA218" s="53">
        <f t="shared" si="124"/>
        <v>1.6981560514570611</v>
      </c>
      <c r="BB218" s="53">
        <f t="shared" si="125"/>
        <v>1.6547999359287351</v>
      </c>
      <c r="BC218" s="53">
        <f t="shared" si="126"/>
        <v>1.5996760639258565</v>
      </c>
      <c r="BD218" s="53">
        <f t="shared" si="127"/>
        <v>1.5470701769996995</v>
      </c>
    </row>
    <row r="219" spans="2:56">
      <c r="B219" s="43">
        <f>'10. Investeringen (bijschatten)'!B56</f>
        <v>37</v>
      </c>
      <c r="C219" s="54"/>
      <c r="E219" s="54"/>
      <c r="F219" s="160">
        <f>'10. Investeringen (bijschatten)'!C56</f>
        <v>66907.138099665128</v>
      </c>
      <c r="H219" s="43">
        <f>'10. Investeringen (bijschatten)'!D56</f>
        <v>2021</v>
      </c>
      <c r="I219" s="43" t="str">
        <f>'10. Investeringen (bijschatten)'!E56</f>
        <v>36 Luchtscheidingsunit</v>
      </c>
      <c r="J219" s="180">
        <f>_xlfn.XLOOKUP(I219,'3. Input (des)investeringen '!$B$11:$B$80,'3. Input (des)investeringen '!$D$11:$D$80)</f>
        <v>30</v>
      </c>
      <c r="K219" s="166"/>
      <c r="L219" s="166"/>
      <c r="M219" s="49">
        <f t="shared" si="100"/>
        <v>0</v>
      </c>
      <c r="N219" s="49">
        <f t="shared" si="101"/>
        <v>1115.1189683277521</v>
      </c>
      <c r="P219" s="147">
        <f t="shared" si="102"/>
        <v>0</v>
      </c>
      <c r="Q219" s="147">
        <f t="shared" si="103"/>
        <v>65792.01913133738</v>
      </c>
      <c r="S219" s="49">
        <f t="shared" si="104"/>
        <v>65792.01913133738</v>
      </c>
      <c r="T219" s="44">
        <f t="shared" si="105"/>
        <v>29.5</v>
      </c>
      <c r="V219" s="49">
        <f t="shared" si="128"/>
        <v>2609.3783858869401</v>
      </c>
      <c r="W219" s="49">
        <f t="shared" si="128"/>
        <v>2494.3888298987022</v>
      </c>
      <c r="X219" s="49">
        <f t="shared" si="128"/>
        <v>2384.4666102760475</v>
      </c>
      <c r="Y219" s="49">
        <f t="shared" si="128"/>
        <v>2279.3884206706625</v>
      </c>
      <c r="Z219" s="49">
        <f t="shared" si="128"/>
        <v>2178.9407953529721</v>
      </c>
      <c r="AB219" s="49">
        <f t="shared" si="129"/>
        <v>223.02379366555044</v>
      </c>
      <c r="AC219" s="49">
        <f t="shared" si="129"/>
        <v>223.02379366555044</v>
      </c>
      <c r="AD219" s="49">
        <f t="shared" si="129"/>
        <v>223.02379366555044</v>
      </c>
      <c r="AE219" s="49">
        <f t="shared" si="129"/>
        <v>223.02379366555044</v>
      </c>
      <c r="AF219" s="49">
        <f t="shared" si="129"/>
        <v>223.02379366555044</v>
      </c>
      <c r="AH219" s="49">
        <f t="shared" si="108"/>
        <v>2832.4021795524905</v>
      </c>
      <c r="AI219" s="49">
        <f t="shared" si="109"/>
        <v>2717.4126235642525</v>
      </c>
      <c r="AJ219" s="49">
        <f t="shared" si="110"/>
        <v>2607.4904039415978</v>
      </c>
      <c r="AK219" s="49">
        <f t="shared" si="111"/>
        <v>2502.4122143362129</v>
      </c>
      <c r="AL219" s="49">
        <f t="shared" si="112"/>
        <v>2401.9645890185225</v>
      </c>
      <c r="AN219" s="49">
        <f t="shared" si="113"/>
        <v>62959.61695178489</v>
      </c>
      <c r="AO219" s="49">
        <f t="shared" si="114"/>
        <v>60242.204328220636</v>
      </c>
      <c r="AP219" s="49">
        <f t="shared" si="115"/>
        <v>57634.713924279036</v>
      </c>
      <c r="AQ219" s="49">
        <f t="shared" si="116"/>
        <v>55132.301709942825</v>
      </c>
      <c r="AR219" s="49">
        <f t="shared" si="117"/>
        <v>52730.337120924305</v>
      </c>
      <c r="AT219" s="49">
        <f t="shared" si="118"/>
        <v>678.39020719117264</v>
      </c>
      <c r="AU219" s="49">
        <f t="shared" si="119"/>
        <v>717.56859843687721</v>
      </c>
      <c r="AV219" s="49">
        <f t="shared" si="120"/>
        <v>771.87418996658016</v>
      </c>
      <c r="AW219" s="49">
        <f t="shared" si="121"/>
        <v>781.85606699122798</v>
      </c>
      <c r="AX219" s="49">
        <f t="shared" si="122"/>
        <v>791.96702964955841</v>
      </c>
      <c r="AZ219" s="53">
        <f t="shared" si="123"/>
        <v>5462.5405122489947</v>
      </c>
      <c r="BA219" s="53">
        <f t="shared" si="124"/>
        <v>5242.2473518477491</v>
      </c>
      <c r="BB219" s="53">
        <f t="shared" si="125"/>
        <v>5108.406011636549</v>
      </c>
      <c r="BC219" s="53">
        <f t="shared" si="126"/>
        <v>4938.2373326257257</v>
      </c>
      <c r="BD219" s="53">
        <f t="shared" si="127"/>
        <v>4775.8417322958103</v>
      </c>
    </row>
    <row r="220" spans="2:56" s="251" customFormat="1">
      <c r="B220" s="43">
        <f>'10. Investeringen (bijschatten)'!B57</f>
        <v>38</v>
      </c>
      <c r="C220" s="54"/>
      <c r="D220" s="3"/>
      <c r="E220" s="54"/>
      <c r="F220" s="160">
        <f>'10. Investeringen (bijschatten)'!C57</f>
        <v>280.60480266320502</v>
      </c>
      <c r="G220" s="3"/>
      <c r="H220" s="43">
        <f>'10. Investeringen (bijschatten)'!D57</f>
        <v>2021</v>
      </c>
      <c r="I220" s="43" t="str">
        <f>'10. Investeringen (bijschatten)'!E57</f>
        <v>41 Stikstofbuffer</v>
      </c>
      <c r="J220" s="180">
        <f>_xlfn.XLOOKUP(I220,'3. Input (des)investeringen '!$B$11:$B$80,'3. Input (des)investeringen '!$D$11:$D$80)</f>
        <v>30</v>
      </c>
      <c r="M220" s="49">
        <f t="shared" si="100"/>
        <v>0</v>
      </c>
      <c r="N220" s="49">
        <f t="shared" si="101"/>
        <v>4.6767467110534167</v>
      </c>
      <c r="O220" s="3"/>
      <c r="P220" s="147">
        <f t="shared" si="102"/>
        <v>0</v>
      </c>
      <c r="Q220" s="147">
        <f t="shared" si="103"/>
        <v>275.92805595215162</v>
      </c>
      <c r="R220" s="3"/>
      <c r="S220" s="49">
        <f t="shared" si="104"/>
        <v>275.92805595215162</v>
      </c>
      <c r="T220" s="44">
        <f t="shared" si="105"/>
        <v>29.5</v>
      </c>
      <c r="U220" s="3"/>
      <c r="V220" s="49">
        <f t="shared" si="128"/>
        <v>10.943587303864996</v>
      </c>
      <c r="W220" s="49">
        <f t="shared" si="128"/>
        <v>10.46132752437264</v>
      </c>
      <c r="X220" s="49">
        <f t="shared" si="128"/>
        <v>10.000319870756218</v>
      </c>
      <c r="Y220" s="49">
        <f t="shared" si="128"/>
        <v>9.5596278086550974</v>
      </c>
      <c r="Z220" s="49">
        <f t="shared" si="128"/>
        <v>9.1383560747143626</v>
      </c>
      <c r="AA220" s="3"/>
      <c r="AB220" s="49">
        <f t="shared" si="129"/>
        <v>0.93534934221068355</v>
      </c>
      <c r="AC220" s="49">
        <f t="shared" si="129"/>
        <v>0.93534934221068344</v>
      </c>
      <c r="AD220" s="49">
        <f t="shared" si="129"/>
        <v>0.93534934221068344</v>
      </c>
      <c r="AE220" s="49">
        <f t="shared" si="129"/>
        <v>0.93534934221068344</v>
      </c>
      <c r="AF220" s="49">
        <f t="shared" si="129"/>
        <v>0.93534934221068344</v>
      </c>
      <c r="AG220" s="3"/>
      <c r="AH220" s="49">
        <f t="shared" si="108"/>
        <v>11.87893664607568</v>
      </c>
      <c r="AI220" s="49">
        <f t="shared" si="109"/>
        <v>11.396676866583324</v>
      </c>
      <c r="AJ220" s="49">
        <f t="shared" si="110"/>
        <v>10.935669212966902</v>
      </c>
      <c r="AK220" s="49">
        <f t="shared" si="111"/>
        <v>10.494977150865781</v>
      </c>
      <c r="AL220" s="49">
        <f t="shared" si="112"/>
        <v>10.073705416925046</v>
      </c>
      <c r="AM220" s="3"/>
      <c r="AN220" s="49">
        <f t="shared" si="113"/>
        <v>264.04911930607597</v>
      </c>
      <c r="AO220" s="49">
        <f t="shared" si="114"/>
        <v>252.65244243949263</v>
      </c>
      <c r="AP220" s="49">
        <f t="shared" si="115"/>
        <v>241.71677322652573</v>
      </c>
      <c r="AQ220" s="49">
        <f t="shared" si="116"/>
        <v>231.22179607565994</v>
      </c>
      <c r="AR220" s="49">
        <f t="shared" si="117"/>
        <v>221.1480906587349</v>
      </c>
      <c r="AS220" s="3"/>
      <c r="AT220" s="49">
        <f t="shared" si="118"/>
        <v>2.8451306635469815</v>
      </c>
      <c r="AU220" s="49">
        <f t="shared" si="119"/>
        <v>3.0094426496281468</v>
      </c>
      <c r="AV220" s="49">
        <f t="shared" si="120"/>
        <v>3.2371972693520048</v>
      </c>
      <c r="AW220" s="49">
        <f t="shared" si="121"/>
        <v>3.2790607044392655</v>
      </c>
      <c r="AX220" s="49">
        <f t="shared" si="122"/>
        <v>3.3214655174690728</v>
      </c>
      <c r="AY220" s="3"/>
      <c r="AZ220" s="53">
        <f t="shared" si="123"/>
        <v>22.909590008111017</v>
      </c>
      <c r="BA220" s="53">
        <f t="shared" si="124"/>
        <v>21.985692789396246</v>
      </c>
      <c r="BB220" s="53">
        <f t="shared" si="125"/>
        <v>21.42436967911468</v>
      </c>
      <c r="BC220" s="53">
        <f t="shared" si="126"/>
        <v>20.710691737574848</v>
      </c>
      <c r="BD220" s="53">
        <f t="shared" si="127"/>
        <v>20.029613654156165</v>
      </c>
    </row>
    <row r="221" spans="2:56" s="251" customFormat="1">
      <c r="B221" s="43">
        <f>'10. Investeringen (bijschatten)'!B58</f>
        <v>39</v>
      </c>
      <c r="C221" s="54"/>
      <c r="D221" s="3"/>
      <c r="E221" s="54"/>
      <c r="F221" s="160">
        <f>'10. Investeringen (bijschatten)'!C58</f>
        <v>13637663.667912096</v>
      </c>
      <c r="G221" s="3"/>
      <c r="H221" s="43">
        <f>'10. Investeringen (bijschatten)'!D58</f>
        <v>2021</v>
      </c>
      <c r="I221" s="43" t="str">
        <f>'10. Investeringen (bijschatten)'!E58</f>
        <v>42 Vulgas</v>
      </c>
      <c r="J221" s="180">
        <f>_xlfn.XLOOKUP(I221,'3. Input (des)investeringen '!$B$11:$B$80,'3. Input (des)investeringen '!$D$11:$D$80)</f>
        <v>0</v>
      </c>
      <c r="M221" s="49">
        <f t="shared" si="100"/>
        <v>0</v>
      </c>
      <c r="N221" s="49">
        <f t="shared" si="101"/>
        <v>0</v>
      </c>
      <c r="O221" s="3"/>
      <c r="P221" s="147">
        <f t="shared" si="102"/>
        <v>0</v>
      </c>
      <c r="Q221" s="147">
        <f t="shared" si="103"/>
        <v>13637663.667912096</v>
      </c>
      <c r="R221" s="3"/>
      <c r="S221" s="49">
        <f t="shared" si="104"/>
        <v>13637663.667912096</v>
      </c>
      <c r="T221" s="44">
        <f t="shared" si="105"/>
        <v>0</v>
      </c>
      <c r="U221" s="3"/>
      <c r="V221" s="49">
        <f t="shared" si="128"/>
        <v>0</v>
      </c>
      <c r="W221" s="49">
        <f t="shared" si="128"/>
        <v>0</v>
      </c>
      <c r="X221" s="49">
        <f t="shared" si="128"/>
        <v>0</v>
      </c>
      <c r="Y221" s="49">
        <f t="shared" si="128"/>
        <v>0</v>
      </c>
      <c r="Z221" s="49">
        <f t="shared" si="128"/>
        <v>0</v>
      </c>
      <c r="AA221" s="3"/>
      <c r="AB221" s="49">
        <f t="shared" si="129"/>
        <v>0</v>
      </c>
      <c r="AC221" s="49">
        <f t="shared" si="129"/>
        <v>0</v>
      </c>
      <c r="AD221" s="49">
        <f t="shared" si="129"/>
        <v>0</v>
      </c>
      <c r="AE221" s="49">
        <f t="shared" si="129"/>
        <v>0</v>
      </c>
      <c r="AF221" s="49">
        <f t="shared" si="129"/>
        <v>0</v>
      </c>
      <c r="AG221" s="3"/>
      <c r="AH221" s="49">
        <f t="shared" si="108"/>
        <v>0</v>
      </c>
      <c r="AI221" s="49">
        <f t="shared" si="109"/>
        <v>0</v>
      </c>
      <c r="AJ221" s="49">
        <f t="shared" si="110"/>
        <v>0</v>
      </c>
      <c r="AK221" s="49">
        <f t="shared" si="111"/>
        <v>0</v>
      </c>
      <c r="AL221" s="49">
        <f t="shared" si="112"/>
        <v>0</v>
      </c>
      <c r="AM221" s="3"/>
      <c r="AN221" s="49">
        <f t="shared" si="113"/>
        <v>13637663.667912096</v>
      </c>
      <c r="AO221" s="49">
        <f t="shared" si="114"/>
        <v>13637663.667912096</v>
      </c>
      <c r="AP221" s="49">
        <f t="shared" si="115"/>
        <v>13637663.667912096</v>
      </c>
      <c r="AQ221" s="49">
        <f t="shared" si="116"/>
        <v>13637663.667912096</v>
      </c>
      <c r="AR221" s="49">
        <f t="shared" si="117"/>
        <v>13637663.667912096</v>
      </c>
      <c r="AS221" s="3"/>
      <c r="AT221" s="49">
        <f t="shared" si="118"/>
        <v>0</v>
      </c>
      <c r="AU221" s="49">
        <f t="shared" si="119"/>
        <v>0</v>
      </c>
      <c r="AV221" s="49">
        <f t="shared" si="120"/>
        <v>0</v>
      </c>
      <c r="AW221" s="49">
        <f t="shared" si="121"/>
        <v>0</v>
      </c>
      <c r="AX221" s="49">
        <f t="shared" si="122"/>
        <v>0</v>
      </c>
      <c r="AY221" s="3"/>
      <c r="AZ221" s="53">
        <f t="shared" si="123"/>
        <v>422767.57370527496</v>
      </c>
      <c r="BA221" s="53">
        <f t="shared" si="124"/>
        <v>409129.91003736283</v>
      </c>
      <c r="BB221" s="53">
        <f t="shared" si="125"/>
        <v>409129.91003736283</v>
      </c>
      <c r="BC221" s="53">
        <f t="shared" si="126"/>
        <v>409129.91003736283</v>
      </c>
      <c r="BD221" s="53">
        <f t="shared" si="127"/>
        <v>409129.91003736283</v>
      </c>
    </row>
    <row r="222" spans="2:56" s="251" customFormat="1">
      <c r="B222" s="43">
        <f>'10. Investeringen (bijschatten)'!B59</f>
        <v>40</v>
      </c>
      <c r="C222" s="54"/>
      <c r="D222" s="3"/>
      <c r="E222" s="54"/>
      <c r="F222" s="160">
        <f>'10. Investeringen (bijschatten)'!C59</f>
        <v>6068.2242421309429</v>
      </c>
      <c r="G222" s="3"/>
      <c r="H222" s="43">
        <f>'10. Investeringen (bijschatten)'!D59</f>
        <v>2021</v>
      </c>
      <c r="I222" s="43" t="str">
        <f>'10. Investeringen (bijschatten)'!E59</f>
        <v>44 Stikstofleiding</v>
      </c>
      <c r="J222" s="180">
        <f>_xlfn.XLOOKUP(I222,'3. Input (des)investeringen '!$B$11:$B$80,'3. Input (des)investeringen '!$D$11:$D$80)</f>
        <v>55</v>
      </c>
      <c r="M222" s="49">
        <f t="shared" si="100"/>
        <v>0</v>
      </c>
      <c r="N222" s="49">
        <f t="shared" si="101"/>
        <v>55.165674928463119</v>
      </c>
      <c r="O222" s="3"/>
      <c r="P222" s="147">
        <f t="shared" si="102"/>
        <v>0</v>
      </c>
      <c r="Q222" s="147">
        <f t="shared" si="103"/>
        <v>6013.0585672024799</v>
      </c>
      <c r="R222" s="3"/>
      <c r="S222" s="49">
        <f t="shared" si="104"/>
        <v>6013.0585672024799</v>
      </c>
      <c r="T222" s="44">
        <f t="shared" si="105"/>
        <v>54.5</v>
      </c>
      <c r="U222" s="3"/>
      <c r="V222" s="49">
        <f t="shared" si="128"/>
        <v>129.0876793326037</v>
      </c>
      <c r="W222" s="49">
        <f t="shared" si="128"/>
        <v>126.0085236787985</v>
      </c>
      <c r="X222" s="49">
        <f t="shared" si="128"/>
        <v>123.00281577453357</v>
      </c>
      <c r="Y222" s="49">
        <f t="shared" si="128"/>
        <v>120.06880365514104</v>
      </c>
      <c r="Z222" s="49">
        <f t="shared" si="128"/>
        <v>117.20477714593584</v>
      </c>
      <c r="AA222" s="3"/>
      <c r="AB222" s="49">
        <f t="shared" si="129"/>
        <v>11.033134985692625</v>
      </c>
      <c r="AC222" s="49">
        <f t="shared" si="129"/>
        <v>11.033134985692623</v>
      </c>
      <c r="AD222" s="49">
        <f t="shared" si="129"/>
        <v>11.033134985692623</v>
      </c>
      <c r="AE222" s="49">
        <f t="shared" si="129"/>
        <v>11.033134985692623</v>
      </c>
      <c r="AF222" s="49">
        <f t="shared" si="129"/>
        <v>11.033134985692623</v>
      </c>
      <c r="AG222" s="3"/>
      <c r="AH222" s="49">
        <f t="shared" si="108"/>
        <v>140.12081431829631</v>
      </c>
      <c r="AI222" s="49">
        <f t="shared" si="109"/>
        <v>137.04165866449111</v>
      </c>
      <c r="AJ222" s="49">
        <f t="shared" si="110"/>
        <v>134.0359507602262</v>
      </c>
      <c r="AK222" s="49">
        <f t="shared" si="111"/>
        <v>131.10193864083365</v>
      </c>
      <c r="AL222" s="49">
        <f t="shared" si="112"/>
        <v>128.23791213162846</v>
      </c>
      <c r="AM222" s="3"/>
      <c r="AN222" s="49">
        <f t="shared" si="113"/>
        <v>5872.9377528841833</v>
      </c>
      <c r="AO222" s="49">
        <f t="shared" si="114"/>
        <v>5735.8960942196918</v>
      </c>
      <c r="AP222" s="49">
        <f t="shared" si="115"/>
        <v>5601.8601434594657</v>
      </c>
      <c r="AQ222" s="49">
        <f t="shared" si="116"/>
        <v>5470.7582048186323</v>
      </c>
      <c r="AR222" s="49">
        <f t="shared" si="117"/>
        <v>5342.5202926870043</v>
      </c>
      <c r="AS222" s="3"/>
      <c r="AT222" s="49">
        <f t="shared" si="118"/>
        <v>61.527424693753431</v>
      </c>
      <c r="AU222" s="49">
        <f t="shared" si="119"/>
        <v>65.080756524667066</v>
      </c>
      <c r="AV222" s="49">
        <f t="shared" si="120"/>
        <v>70.006068178453887</v>
      </c>
      <c r="AW222" s="49">
        <f t="shared" si="121"/>
        <v>70.911386652137651</v>
      </c>
      <c r="AX222" s="49">
        <f t="shared" si="122"/>
        <v>71.828412704323071</v>
      </c>
      <c r="AY222" s="3"/>
      <c r="AZ222" s="53">
        <f t="shared" si="123"/>
        <v>383.70930935145941</v>
      </c>
      <c r="BA222" s="53">
        <f t="shared" si="124"/>
        <v>374.19929801574892</v>
      </c>
      <c r="BB222" s="53">
        <f t="shared" si="125"/>
        <v>372.09782324246407</v>
      </c>
      <c r="BC222" s="53">
        <f t="shared" si="126"/>
        <v>366.13607143753023</v>
      </c>
      <c r="BD222" s="53">
        <f t="shared" si="127"/>
        <v>360.34193361656168</v>
      </c>
    </row>
    <row r="223" spans="2:56" s="251" customFormat="1">
      <c r="B223" s="43">
        <f>'10. Investeringen (bijschatten)'!B60</f>
        <v>41</v>
      </c>
      <c r="C223" s="54"/>
      <c r="D223" s="3"/>
      <c r="E223" s="54"/>
      <c r="F223" s="160">
        <f>'10. Investeringen (bijschatten)'!C60</f>
        <v>2134515.8335881382</v>
      </c>
      <c r="G223" s="3"/>
      <c r="H223" s="43">
        <f>'10. Investeringen (bijschatten)'!D60</f>
        <v>2021</v>
      </c>
      <c r="I223" s="43" t="str">
        <f>'10. Investeringen (bijschatten)'!E60</f>
        <v>45 Groen gas booster</v>
      </c>
      <c r="J223" s="180">
        <f>_xlfn.XLOOKUP(I223,'3. Input (des)investeringen '!$B$11:$B$80,'3. Input (des)investeringen '!$D$11:$D$80)</f>
        <v>30</v>
      </c>
      <c r="M223" s="49">
        <f t="shared" si="100"/>
        <v>0</v>
      </c>
      <c r="N223" s="49">
        <f t="shared" si="101"/>
        <v>35575.263893135634</v>
      </c>
      <c r="O223" s="3"/>
      <c r="P223" s="147">
        <f t="shared" si="102"/>
        <v>0</v>
      </c>
      <c r="Q223" s="147">
        <f t="shared" si="103"/>
        <v>2098940.5696950024</v>
      </c>
      <c r="R223" s="3"/>
      <c r="S223" s="49">
        <f t="shared" si="104"/>
        <v>2098940.5696950024</v>
      </c>
      <c r="T223" s="44">
        <f t="shared" si="105"/>
        <v>29.5</v>
      </c>
      <c r="U223" s="3"/>
      <c r="V223" s="49">
        <f t="shared" si="128"/>
        <v>83246.11750993738</v>
      </c>
      <c r="W223" s="49">
        <f t="shared" si="128"/>
        <v>79577.644534923194</v>
      </c>
      <c r="X223" s="49">
        <f t="shared" si="128"/>
        <v>76070.83308084184</v>
      </c>
      <c r="Y223" s="49">
        <f t="shared" si="128"/>
        <v>72718.559080669147</v>
      </c>
      <c r="Z223" s="49">
        <f t="shared" si="128"/>
        <v>69514.012409317613</v>
      </c>
      <c r="AA223" s="3"/>
      <c r="AB223" s="49">
        <f t="shared" si="129"/>
        <v>7115.0527786271277</v>
      </c>
      <c r="AC223" s="49">
        <f t="shared" si="129"/>
        <v>7115.0527786271268</v>
      </c>
      <c r="AD223" s="49">
        <f t="shared" si="129"/>
        <v>7115.0527786271268</v>
      </c>
      <c r="AE223" s="49">
        <f t="shared" si="129"/>
        <v>7115.0527786271268</v>
      </c>
      <c r="AF223" s="49">
        <f t="shared" si="129"/>
        <v>7115.0527786271268</v>
      </c>
      <c r="AG223" s="3"/>
      <c r="AH223" s="49">
        <f t="shared" si="108"/>
        <v>90361.170288564506</v>
      </c>
      <c r="AI223" s="49">
        <f t="shared" si="109"/>
        <v>86692.697313550321</v>
      </c>
      <c r="AJ223" s="49">
        <f t="shared" si="110"/>
        <v>83185.885859468966</v>
      </c>
      <c r="AK223" s="49">
        <f t="shared" si="111"/>
        <v>79833.611859296274</v>
      </c>
      <c r="AL223" s="49">
        <f t="shared" si="112"/>
        <v>76629.06518794474</v>
      </c>
      <c r="AM223" s="3"/>
      <c r="AN223" s="49">
        <f t="shared" si="113"/>
        <v>2008579.399406438</v>
      </c>
      <c r="AO223" s="49">
        <f t="shared" si="114"/>
        <v>1921886.7020928876</v>
      </c>
      <c r="AP223" s="49">
        <f t="shared" si="115"/>
        <v>1838700.8162334186</v>
      </c>
      <c r="AQ223" s="49">
        <f t="shared" si="116"/>
        <v>1758867.2043741224</v>
      </c>
      <c r="AR223" s="49">
        <f t="shared" si="117"/>
        <v>1682238.1391861776</v>
      </c>
      <c r="AS223" s="3"/>
      <c r="AT223" s="49">
        <f t="shared" si="118"/>
        <v>21642.453701183542</v>
      </c>
      <c r="AU223" s="49">
        <f t="shared" si="119"/>
        <v>22892.348687334288</v>
      </c>
      <c r="AV223" s="49">
        <f t="shared" si="120"/>
        <v>24624.84163599175</v>
      </c>
      <c r="AW223" s="49">
        <f t="shared" si="121"/>
        <v>24943.290088028396</v>
      </c>
      <c r="AX223" s="49">
        <f t="shared" si="122"/>
        <v>25265.856715446775</v>
      </c>
      <c r="AY223" s="3"/>
      <c r="AZ223" s="53">
        <f t="shared" si="123"/>
        <v>174269.58537134764</v>
      </c>
      <c r="BA223" s="53">
        <f t="shared" si="124"/>
        <v>167241.64706367123</v>
      </c>
      <c r="BB223" s="53">
        <f t="shared" si="125"/>
        <v>162971.75198246329</v>
      </c>
      <c r="BC223" s="53">
        <f t="shared" si="126"/>
        <v>157542.91807854833</v>
      </c>
      <c r="BD223" s="53">
        <f t="shared" si="127"/>
        <v>152362.06607897684</v>
      </c>
    </row>
    <row r="224" spans="2:56" s="251" customFormat="1">
      <c r="B224" s="43">
        <f>'10. Investeringen (bijschatten)'!B61</f>
        <v>42</v>
      </c>
      <c r="C224" s="54"/>
      <c r="D224" s="3"/>
      <c r="E224" s="54"/>
      <c r="F224" s="160">
        <f>'10. Investeringen (bijschatten)'!C61</f>
        <v>33802189.524532035</v>
      </c>
      <c r="G224" s="3"/>
      <c r="H224" s="43">
        <f>'10. Investeringen (bijschatten)'!D61</f>
        <v>2022</v>
      </c>
      <c r="I224" s="43" t="str">
        <f>'10. Investeringen (bijschatten)'!E61</f>
        <v>01 Regionale leidingen</v>
      </c>
      <c r="J224" s="180">
        <f>_xlfn.XLOOKUP(I224,'3. Input (des)investeringen '!$B$11:$B$80,'3. Input (des)investeringen '!$D$11:$D$80)</f>
        <v>55</v>
      </c>
      <c r="M224" s="49">
        <f t="shared" si="100"/>
        <v>0</v>
      </c>
      <c r="N224" s="49">
        <f t="shared" si="101"/>
        <v>0</v>
      </c>
      <c r="O224" s="3"/>
      <c r="P224" s="147">
        <f t="shared" si="102"/>
        <v>0</v>
      </c>
      <c r="Q224" s="147">
        <f t="shared" si="103"/>
        <v>0</v>
      </c>
      <c r="R224" s="3"/>
      <c r="S224" s="49">
        <f t="shared" si="104"/>
        <v>33802189.524532035</v>
      </c>
      <c r="T224" s="44">
        <f t="shared" si="105"/>
        <v>55</v>
      </c>
      <c r="U224" s="3"/>
      <c r="V224" s="49">
        <f t="shared" si="128"/>
        <v>359532.37948820437</v>
      </c>
      <c r="W224" s="49">
        <f t="shared" si="128"/>
        <v>710566.72091577842</v>
      </c>
      <c r="X224" s="49">
        <f t="shared" si="128"/>
        <v>693771.50751231459</v>
      </c>
      <c r="Y224" s="49">
        <f t="shared" si="128"/>
        <v>677373.27188020526</v>
      </c>
      <c r="Z224" s="49">
        <f t="shared" si="128"/>
        <v>661362.63090849132</v>
      </c>
      <c r="AA224" s="3"/>
      <c r="AB224" s="49">
        <f t="shared" si="129"/>
        <v>30729.26320412003</v>
      </c>
      <c r="AC224" s="49">
        <f t="shared" si="129"/>
        <v>61458.526408240061</v>
      </c>
      <c r="AD224" s="49">
        <f t="shared" si="129"/>
        <v>61458.526408240061</v>
      </c>
      <c r="AE224" s="49">
        <f t="shared" si="129"/>
        <v>61458.526408240061</v>
      </c>
      <c r="AF224" s="49">
        <f t="shared" si="129"/>
        <v>61458.526408240061</v>
      </c>
      <c r="AG224" s="3"/>
      <c r="AH224" s="49">
        <f t="shared" si="108"/>
        <v>390261.64269232441</v>
      </c>
      <c r="AI224" s="49">
        <f t="shared" si="109"/>
        <v>772025.24732401851</v>
      </c>
      <c r="AJ224" s="49">
        <f t="shared" si="110"/>
        <v>755230.03392055468</v>
      </c>
      <c r="AK224" s="49">
        <f t="shared" si="111"/>
        <v>738831.79828844534</v>
      </c>
      <c r="AL224" s="49">
        <f t="shared" si="112"/>
        <v>722821.15731673141</v>
      </c>
      <c r="AM224" s="3"/>
      <c r="AN224" s="49">
        <f t="shared" si="113"/>
        <v>33411927.881839711</v>
      </c>
      <c r="AO224" s="49">
        <f t="shared" si="114"/>
        <v>32639902.634515692</v>
      </c>
      <c r="AP224" s="49">
        <f t="shared" si="115"/>
        <v>31884672.600595135</v>
      </c>
      <c r="AQ224" s="49">
        <f t="shared" si="116"/>
        <v>31145840.802306689</v>
      </c>
      <c r="AR224" s="49">
        <f t="shared" si="117"/>
        <v>30423019.644989956</v>
      </c>
      <c r="AS224" s="3"/>
      <c r="AT224" s="49">
        <f t="shared" si="118"/>
        <v>338021.89524532034</v>
      </c>
      <c r="AU224" s="49">
        <f t="shared" si="119"/>
        <v>357543.33573952812</v>
      </c>
      <c r="AV224" s="49">
        <f t="shared" si="120"/>
        <v>384602.21538829565</v>
      </c>
      <c r="AW224" s="49">
        <f t="shared" si="121"/>
        <v>389575.89123769704</v>
      </c>
      <c r="AX224" s="49">
        <f t="shared" si="122"/>
        <v>394613.88666318293</v>
      </c>
      <c r="AY224" s="3"/>
      <c r="AZ224" s="53">
        <f t="shared" si="123"/>
        <v>1764053.3022746758</v>
      </c>
      <c r="BA224" s="53">
        <f t="shared" si="124"/>
        <v>2108765.6620990173</v>
      </c>
      <c r="BB224" s="53">
        <f t="shared" si="125"/>
        <v>2096372.4273267044</v>
      </c>
      <c r="BC224" s="53">
        <f t="shared" si="126"/>
        <v>2062782.913595343</v>
      </c>
      <c r="BD224" s="53">
        <f t="shared" si="127"/>
        <v>2030125.6333296129</v>
      </c>
    </row>
    <row r="225" spans="1:56" s="251" customFormat="1">
      <c r="B225" s="43">
        <f>'10. Investeringen (bijschatten)'!B62</f>
        <v>43</v>
      </c>
      <c r="C225" s="54"/>
      <c r="D225" s="3"/>
      <c r="E225" s="54"/>
      <c r="F225" s="160">
        <f>'10. Investeringen (bijschatten)'!C62</f>
        <v>6848019.4087200193</v>
      </c>
      <c r="G225" s="3"/>
      <c r="H225" s="43">
        <f>'10. Investeringen (bijschatten)'!D62</f>
        <v>2022</v>
      </c>
      <c r="I225" s="43" t="str">
        <f>'10. Investeringen (bijschatten)'!E62</f>
        <v>02 Gasontvangststations</v>
      </c>
      <c r="J225" s="180">
        <f>_xlfn.XLOOKUP(I225,'3. Input (des)investeringen '!$B$11:$B$80,'3. Input (des)investeringen '!$D$11:$D$80)</f>
        <v>30</v>
      </c>
      <c r="M225" s="49">
        <f t="shared" si="100"/>
        <v>0</v>
      </c>
      <c r="N225" s="49">
        <f t="shared" si="101"/>
        <v>0</v>
      </c>
      <c r="O225" s="3"/>
      <c r="P225" s="147">
        <f t="shared" si="102"/>
        <v>0</v>
      </c>
      <c r="Q225" s="147">
        <f t="shared" si="103"/>
        <v>0</v>
      </c>
      <c r="R225" s="3"/>
      <c r="S225" s="49">
        <f t="shared" si="104"/>
        <v>6848019.4087200193</v>
      </c>
      <c r="T225" s="44">
        <f t="shared" si="105"/>
        <v>30</v>
      </c>
      <c r="U225" s="3"/>
      <c r="V225" s="49">
        <f t="shared" si="128"/>
        <v>133536.37847004039</v>
      </c>
      <c r="W225" s="49">
        <f t="shared" si="128"/>
        <v>261286.18053971234</v>
      </c>
      <c r="X225" s="49">
        <f t="shared" si="128"/>
        <v>249963.77938299149</v>
      </c>
      <c r="Y225" s="49">
        <f t="shared" si="128"/>
        <v>239132.01560972849</v>
      </c>
      <c r="Z225" s="49">
        <f t="shared" si="128"/>
        <v>228769.6282666403</v>
      </c>
      <c r="AA225" s="3"/>
      <c r="AB225" s="49">
        <f t="shared" si="129"/>
        <v>11413.365681200032</v>
      </c>
      <c r="AC225" s="49">
        <f t="shared" si="129"/>
        <v>22826.731362400064</v>
      </c>
      <c r="AD225" s="49">
        <f t="shared" si="129"/>
        <v>22826.731362400064</v>
      </c>
      <c r="AE225" s="49">
        <f t="shared" si="129"/>
        <v>22826.731362400064</v>
      </c>
      <c r="AF225" s="49">
        <f t="shared" si="129"/>
        <v>22826.731362400064</v>
      </c>
      <c r="AG225" s="3"/>
      <c r="AH225" s="49">
        <f t="shared" si="108"/>
        <v>144949.74415124042</v>
      </c>
      <c r="AI225" s="49">
        <f t="shared" si="109"/>
        <v>284112.91190211242</v>
      </c>
      <c r="AJ225" s="49">
        <f t="shared" si="110"/>
        <v>272790.51074539154</v>
      </c>
      <c r="AK225" s="49">
        <f t="shared" si="111"/>
        <v>261958.74697212855</v>
      </c>
      <c r="AL225" s="49">
        <f t="shared" si="112"/>
        <v>251596.35962904035</v>
      </c>
      <c r="AM225" s="3"/>
      <c r="AN225" s="49">
        <f t="shared" si="113"/>
        <v>6703069.6645687791</v>
      </c>
      <c r="AO225" s="49">
        <f t="shared" si="114"/>
        <v>6418956.7526666671</v>
      </c>
      <c r="AP225" s="49">
        <f t="shared" si="115"/>
        <v>6146166.2419212759</v>
      </c>
      <c r="AQ225" s="49">
        <f t="shared" si="116"/>
        <v>5884207.4949491471</v>
      </c>
      <c r="AR225" s="49">
        <f t="shared" si="117"/>
        <v>5632611.1353201065</v>
      </c>
      <c r="AS225" s="3"/>
      <c r="AT225" s="49">
        <f t="shared" si="118"/>
        <v>68480.194087200187</v>
      </c>
      <c r="AU225" s="49">
        <f t="shared" si="119"/>
        <v>72435.062256124176</v>
      </c>
      <c r="AV225" s="49">
        <f t="shared" si="120"/>
        <v>77916.947767667676</v>
      </c>
      <c r="AW225" s="49">
        <f t="shared" si="121"/>
        <v>78924.569736199133</v>
      </c>
      <c r="AX225" s="49">
        <f t="shared" si="122"/>
        <v>79945.222272027662</v>
      </c>
      <c r="AY225" s="3"/>
      <c r="AZ225" s="53">
        <f t="shared" si="123"/>
        <v>421225.09784007282</v>
      </c>
      <c r="BA225" s="53">
        <f t="shared" si="124"/>
        <v>549116.67673823668</v>
      </c>
      <c r="BB225" s="53">
        <f t="shared" si="125"/>
        <v>535092.44577069755</v>
      </c>
      <c r="BC225" s="53">
        <f t="shared" si="126"/>
        <v>517409.54155680211</v>
      </c>
      <c r="BD225" s="53">
        <f t="shared" si="127"/>
        <v>500519.91596067115</v>
      </c>
    </row>
    <row r="226" spans="1:56" s="251" customFormat="1">
      <c r="B226" s="43">
        <f>'10. Investeringen (bijschatten)'!B63</f>
        <v>44</v>
      </c>
      <c r="C226" s="54"/>
      <c r="D226" s="3"/>
      <c r="E226" s="54"/>
      <c r="F226" s="160">
        <f>'10. Investeringen (bijschatten)'!C63</f>
        <v>906557.93143876945</v>
      </c>
      <c r="G226" s="3"/>
      <c r="H226" s="43">
        <f>'10. Investeringen (bijschatten)'!D63</f>
        <v>2022</v>
      </c>
      <c r="I226" s="43" t="str">
        <f>'10. Investeringen (bijschatten)'!E63</f>
        <v>06 Utiliteitsgebouwen</v>
      </c>
      <c r="J226" s="180">
        <f>_xlfn.XLOOKUP(I226,'3. Input (des)investeringen '!$B$11:$B$80,'3. Input (des)investeringen '!$D$11:$D$80)</f>
        <v>30</v>
      </c>
      <c r="M226" s="49">
        <f t="shared" si="100"/>
        <v>0</v>
      </c>
      <c r="N226" s="49">
        <f t="shared" si="101"/>
        <v>0</v>
      </c>
      <c r="O226" s="3"/>
      <c r="P226" s="147">
        <f t="shared" si="102"/>
        <v>0</v>
      </c>
      <c r="Q226" s="147">
        <f t="shared" si="103"/>
        <v>0</v>
      </c>
      <c r="R226" s="3"/>
      <c r="S226" s="49">
        <f t="shared" si="104"/>
        <v>906557.93143876945</v>
      </c>
      <c r="T226" s="44">
        <f t="shared" si="105"/>
        <v>30</v>
      </c>
      <c r="U226" s="3"/>
      <c r="V226" s="49">
        <f t="shared" si="128"/>
        <v>17677.879663056006</v>
      </c>
      <c r="W226" s="49">
        <f t="shared" si="128"/>
        <v>34589.717874046248</v>
      </c>
      <c r="X226" s="49">
        <f t="shared" si="128"/>
        <v>33090.830099504245</v>
      </c>
      <c r="Y226" s="49">
        <f t="shared" si="128"/>
        <v>31656.894128525728</v>
      </c>
      <c r="Z226" s="49">
        <f t="shared" si="128"/>
        <v>30285.095382956279</v>
      </c>
      <c r="AA226" s="3"/>
      <c r="AB226" s="49">
        <f t="shared" si="129"/>
        <v>1510.9298857312824</v>
      </c>
      <c r="AC226" s="49">
        <f t="shared" si="129"/>
        <v>3021.8597714625648</v>
      </c>
      <c r="AD226" s="49">
        <f t="shared" si="129"/>
        <v>3021.8597714625648</v>
      </c>
      <c r="AE226" s="49">
        <f t="shared" si="129"/>
        <v>3021.8597714625648</v>
      </c>
      <c r="AF226" s="49">
        <f t="shared" si="129"/>
        <v>3021.8597714625648</v>
      </c>
      <c r="AG226" s="3"/>
      <c r="AH226" s="49">
        <f t="shared" si="108"/>
        <v>19188.809548787289</v>
      </c>
      <c r="AI226" s="49">
        <f t="shared" si="109"/>
        <v>37611.577645508813</v>
      </c>
      <c r="AJ226" s="49">
        <f t="shared" si="110"/>
        <v>36112.689870966809</v>
      </c>
      <c r="AK226" s="49">
        <f t="shared" si="111"/>
        <v>34678.753899988296</v>
      </c>
      <c r="AL226" s="49">
        <f t="shared" si="112"/>
        <v>33306.955154418843</v>
      </c>
      <c r="AM226" s="3"/>
      <c r="AN226" s="49">
        <f t="shared" si="113"/>
        <v>887369.12188998214</v>
      </c>
      <c r="AO226" s="49">
        <f t="shared" si="114"/>
        <v>849757.54424447333</v>
      </c>
      <c r="AP226" s="49">
        <f t="shared" si="115"/>
        <v>813644.8543735065</v>
      </c>
      <c r="AQ226" s="49">
        <f t="shared" si="116"/>
        <v>778966.10047351825</v>
      </c>
      <c r="AR226" s="49">
        <f t="shared" si="117"/>
        <v>745659.14531909942</v>
      </c>
      <c r="AS226" s="3"/>
      <c r="AT226" s="49">
        <f t="shared" si="118"/>
        <v>9065.5793143876945</v>
      </c>
      <c r="AU226" s="49">
        <f t="shared" si="119"/>
        <v>9589.1346509522136</v>
      </c>
      <c r="AV226" s="49">
        <f t="shared" si="120"/>
        <v>10314.840361336279</v>
      </c>
      <c r="AW226" s="49">
        <f t="shared" si="121"/>
        <v>10448.231876889078</v>
      </c>
      <c r="AX226" s="49">
        <f t="shared" si="122"/>
        <v>10583.348411521007</v>
      </c>
      <c r="AY226" s="3"/>
      <c r="AZ226" s="53">
        <f t="shared" si="123"/>
        <v>55762.831641764431</v>
      </c>
      <c r="BA226" s="53">
        <f t="shared" si="124"/>
        <v>72693.438623795228</v>
      </c>
      <c r="BB226" s="53">
        <f t="shared" si="125"/>
        <v>70836.875863508278</v>
      </c>
      <c r="BC226" s="53">
        <f t="shared" si="126"/>
        <v>68495.968791082923</v>
      </c>
      <c r="BD226" s="53">
        <f t="shared" si="127"/>
        <v>66260.077925512829</v>
      </c>
    </row>
    <row r="227" spans="1:56" s="251" customFormat="1">
      <c r="B227" s="43">
        <f>'10. Investeringen (bijschatten)'!B64</f>
        <v>45</v>
      </c>
      <c r="C227" s="54"/>
      <c r="D227" s="3"/>
      <c r="E227" s="54"/>
      <c r="F227" s="160">
        <f>'10. Investeringen (bijschatten)'!C64</f>
        <v>105275.1321727797</v>
      </c>
      <c r="G227" s="3"/>
      <c r="H227" s="43">
        <f>'10. Investeringen (bijschatten)'!D64</f>
        <v>2022</v>
      </c>
      <c r="I227" s="43" t="str">
        <f>'10. Investeringen (bijschatten)'!E64</f>
        <v>15 Compressorstations (KC)</v>
      </c>
      <c r="J227" s="180">
        <f>_xlfn.XLOOKUP(I227,'3. Input (des)investeringen '!$B$11:$B$80,'3. Input (des)investeringen '!$D$11:$D$80)</f>
        <v>30</v>
      </c>
      <c r="M227" s="49">
        <f t="shared" si="100"/>
        <v>0</v>
      </c>
      <c r="N227" s="49">
        <f t="shared" si="101"/>
        <v>0</v>
      </c>
      <c r="O227" s="3"/>
      <c r="P227" s="147">
        <f t="shared" si="102"/>
        <v>0</v>
      </c>
      <c r="Q227" s="147">
        <f t="shared" si="103"/>
        <v>0</v>
      </c>
      <c r="R227" s="3"/>
      <c r="S227" s="49">
        <f t="shared" si="104"/>
        <v>105275.1321727797</v>
      </c>
      <c r="T227" s="44">
        <f t="shared" si="105"/>
        <v>30</v>
      </c>
      <c r="U227" s="3"/>
      <c r="V227" s="49">
        <f t="shared" si="128"/>
        <v>2052.8650773692043</v>
      </c>
      <c r="W227" s="49">
        <f t="shared" si="128"/>
        <v>4016.7726680524097</v>
      </c>
      <c r="X227" s="49">
        <f t="shared" si="128"/>
        <v>3842.712519103472</v>
      </c>
      <c r="Y227" s="49">
        <f t="shared" si="128"/>
        <v>3676.1949766089883</v>
      </c>
      <c r="Z227" s="49">
        <f t="shared" si="128"/>
        <v>3516.8931942892655</v>
      </c>
      <c r="AA227" s="3"/>
      <c r="AB227" s="49">
        <f t="shared" si="129"/>
        <v>175.4585536212995</v>
      </c>
      <c r="AC227" s="49">
        <f t="shared" si="129"/>
        <v>350.917107242599</v>
      </c>
      <c r="AD227" s="49">
        <f t="shared" si="129"/>
        <v>350.917107242599</v>
      </c>
      <c r="AE227" s="49">
        <f t="shared" si="129"/>
        <v>350.917107242599</v>
      </c>
      <c r="AF227" s="49">
        <f t="shared" si="129"/>
        <v>350.917107242599</v>
      </c>
      <c r="AG227" s="3"/>
      <c r="AH227" s="49">
        <f t="shared" si="108"/>
        <v>2228.3236309905037</v>
      </c>
      <c r="AI227" s="49">
        <f t="shared" si="109"/>
        <v>4367.689775295009</v>
      </c>
      <c r="AJ227" s="49">
        <f t="shared" si="110"/>
        <v>4193.6296263460708</v>
      </c>
      <c r="AK227" s="49">
        <f t="shared" si="111"/>
        <v>4027.1120838515872</v>
      </c>
      <c r="AL227" s="49">
        <f t="shared" si="112"/>
        <v>3867.8103015318643</v>
      </c>
      <c r="AM227" s="3"/>
      <c r="AN227" s="49">
        <f t="shared" si="113"/>
        <v>103046.8085417892</v>
      </c>
      <c r="AO227" s="49">
        <f t="shared" si="114"/>
        <v>98679.118766494197</v>
      </c>
      <c r="AP227" s="49">
        <f t="shared" si="115"/>
        <v>94485.489140148129</v>
      </c>
      <c r="AQ227" s="49">
        <f t="shared" si="116"/>
        <v>90458.377056296536</v>
      </c>
      <c r="AR227" s="49">
        <f t="shared" si="117"/>
        <v>86590.566754764674</v>
      </c>
      <c r="AS227" s="3"/>
      <c r="AT227" s="49">
        <f t="shared" si="118"/>
        <v>1052.7513217277969</v>
      </c>
      <c r="AU227" s="49">
        <f t="shared" si="119"/>
        <v>1113.5498160602208</v>
      </c>
      <c r="AV227" s="49">
        <f t="shared" si="120"/>
        <v>1197.8232661396585</v>
      </c>
      <c r="AW227" s="49">
        <f t="shared" si="121"/>
        <v>1213.3135166173765</v>
      </c>
      <c r="AX227" s="49">
        <f t="shared" si="122"/>
        <v>1229.0040870142723</v>
      </c>
      <c r="AY227" s="3"/>
      <c r="AZ227" s="53">
        <f t="shared" si="123"/>
        <v>6475.5260175137664</v>
      </c>
      <c r="BA227" s="53">
        <f t="shared" si="124"/>
        <v>8441.613154350056</v>
      </c>
      <c r="BB227" s="53">
        <f t="shared" si="125"/>
        <v>8226.0175666901723</v>
      </c>
      <c r="BC227" s="53">
        <f t="shared" si="126"/>
        <v>7954.17691215786</v>
      </c>
      <c r="BD227" s="53">
        <f t="shared" si="127"/>
        <v>7694.5313911890762</v>
      </c>
    </row>
    <row r="228" spans="1:56" s="251" customFormat="1">
      <c r="B228" s="43">
        <f>'10. Investeringen (bijschatten)'!B65</f>
        <v>46</v>
      </c>
      <c r="C228" s="54"/>
      <c r="D228" s="3"/>
      <c r="E228" s="54"/>
      <c r="F228" s="160">
        <f>'10. Investeringen (bijschatten)'!C65</f>
        <v>6291241.6462325864</v>
      </c>
      <c r="G228" s="3"/>
      <c r="H228" s="43">
        <f>'10. Investeringen (bijschatten)'!D65</f>
        <v>2022</v>
      </c>
      <c r="I228" s="43" t="str">
        <f>'10. Investeringen (bijschatten)'!E65</f>
        <v>15 Compressorstations (TT-BT-AT)</v>
      </c>
      <c r="J228" s="180">
        <f>_xlfn.XLOOKUP(I228,'3. Input (des)investeringen '!$B$11:$B$80,'3. Input (des)investeringen '!$D$11:$D$80)</f>
        <v>30</v>
      </c>
      <c r="M228" s="49">
        <f t="shared" si="100"/>
        <v>0</v>
      </c>
      <c r="N228" s="49">
        <f t="shared" si="101"/>
        <v>0</v>
      </c>
      <c r="O228" s="3"/>
      <c r="P228" s="147">
        <f t="shared" si="102"/>
        <v>0</v>
      </c>
      <c r="Q228" s="147">
        <f t="shared" si="103"/>
        <v>0</v>
      </c>
      <c r="R228" s="3"/>
      <c r="S228" s="49">
        <f t="shared" si="104"/>
        <v>6291241.6462325864</v>
      </c>
      <c r="T228" s="44">
        <f t="shared" si="105"/>
        <v>30</v>
      </c>
      <c r="U228" s="3"/>
      <c r="V228" s="49">
        <f t="shared" si="128"/>
        <v>122679.21210153544</v>
      </c>
      <c r="W228" s="49">
        <f t="shared" si="128"/>
        <v>240042.32501200432</v>
      </c>
      <c r="X228" s="49">
        <f t="shared" si="128"/>
        <v>229640.4909281508</v>
      </c>
      <c r="Y228" s="49">
        <f t="shared" si="128"/>
        <v>219689.40298793095</v>
      </c>
      <c r="Z228" s="49">
        <f t="shared" si="128"/>
        <v>210169.52885845394</v>
      </c>
      <c r="AA228" s="3"/>
      <c r="AB228" s="49">
        <f t="shared" si="129"/>
        <v>10485.402743720977</v>
      </c>
      <c r="AC228" s="49">
        <f t="shared" si="129"/>
        <v>20970.805487441954</v>
      </c>
      <c r="AD228" s="49">
        <f t="shared" si="129"/>
        <v>20970.805487441954</v>
      </c>
      <c r="AE228" s="49">
        <f t="shared" si="129"/>
        <v>20970.805487441954</v>
      </c>
      <c r="AF228" s="49">
        <f t="shared" si="129"/>
        <v>20970.805487441954</v>
      </c>
      <c r="AG228" s="3"/>
      <c r="AH228" s="49">
        <f t="shared" si="108"/>
        <v>133164.61484525641</v>
      </c>
      <c r="AI228" s="49">
        <f t="shared" si="109"/>
        <v>261013.13049944627</v>
      </c>
      <c r="AJ228" s="49">
        <f t="shared" si="110"/>
        <v>250611.29641559275</v>
      </c>
      <c r="AK228" s="49">
        <f t="shared" si="111"/>
        <v>240660.2084753729</v>
      </c>
      <c r="AL228" s="49">
        <f t="shared" si="112"/>
        <v>231140.33434589588</v>
      </c>
      <c r="AM228" s="3"/>
      <c r="AN228" s="49">
        <f t="shared" si="113"/>
        <v>6158077.03138733</v>
      </c>
      <c r="AO228" s="49">
        <f t="shared" si="114"/>
        <v>5897063.9008878842</v>
      </c>
      <c r="AP228" s="49">
        <f t="shared" si="115"/>
        <v>5646452.6044722917</v>
      </c>
      <c r="AQ228" s="49">
        <f t="shared" si="116"/>
        <v>5405792.3959969189</v>
      </c>
      <c r="AR228" s="49">
        <f t="shared" si="117"/>
        <v>5174652.0616510231</v>
      </c>
      <c r="AS228" s="3"/>
      <c r="AT228" s="49">
        <f t="shared" si="118"/>
        <v>62912.416462325862</v>
      </c>
      <c r="AU228" s="49">
        <f t="shared" si="119"/>
        <v>66545.734337858114</v>
      </c>
      <c r="AV228" s="49">
        <f t="shared" si="120"/>
        <v>71581.915512547232</v>
      </c>
      <c r="AW228" s="49">
        <f t="shared" si="121"/>
        <v>72507.612843955474</v>
      </c>
      <c r="AX228" s="49">
        <f t="shared" si="122"/>
        <v>73445.281293253487</v>
      </c>
      <c r="AY228" s="3"/>
      <c r="AZ228" s="53">
        <f t="shared" si="123"/>
        <v>386977.41928058944</v>
      </c>
      <c r="BA228" s="53">
        <f t="shared" si="124"/>
        <v>504470.78186394088</v>
      </c>
      <c r="BB228" s="53">
        <f t="shared" si="125"/>
        <v>491586.79006230878</v>
      </c>
      <c r="BC228" s="53">
        <f t="shared" si="126"/>
        <v>475341.59319923591</v>
      </c>
      <c r="BD228" s="53">
        <f t="shared" si="127"/>
        <v>459825.17748868006</v>
      </c>
    </row>
    <row r="229" spans="1:56" s="251" customFormat="1">
      <c r="B229" s="43">
        <f>'10. Investeringen (bijschatten)'!B66</f>
        <v>47</v>
      </c>
      <c r="C229" s="54"/>
      <c r="D229" s="3"/>
      <c r="E229" s="54"/>
      <c r="F229" s="160">
        <f>'10. Investeringen (bijschatten)'!C66</f>
        <v>10404823.672873138</v>
      </c>
      <c r="G229" s="3"/>
      <c r="H229" s="43">
        <f>'10. Investeringen (bijschatten)'!D66</f>
        <v>2022</v>
      </c>
      <c r="I229" s="43" t="str">
        <f>'10. Investeringen (bijschatten)'!E66</f>
        <v>16 LNG installaties</v>
      </c>
      <c r="J229" s="180">
        <f>_xlfn.XLOOKUP(I229,'3. Input (des)investeringen '!$B$11:$B$80,'3. Input (des)investeringen '!$D$11:$D$80)</f>
        <v>30</v>
      </c>
      <c r="M229" s="49">
        <f t="shared" si="100"/>
        <v>0</v>
      </c>
      <c r="N229" s="49">
        <f t="shared" si="101"/>
        <v>0</v>
      </c>
      <c r="O229" s="3"/>
      <c r="P229" s="147">
        <f t="shared" si="102"/>
        <v>0</v>
      </c>
      <c r="Q229" s="147">
        <f t="shared" si="103"/>
        <v>0</v>
      </c>
      <c r="R229" s="3"/>
      <c r="S229" s="49">
        <f t="shared" si="104"/>
        <v>10404823.672873138</v>
      </c>
      <c r="T229" s="44">
        <f t="shared" si="105"/>
        <v>30</v>
      </c>
      <c r="U229" s="3"/>
      <c r="V229" s="49">
        <f t="shared" si="128"/>
        <v>202894.06162102619</v>
      </c>
      <c r="W229" s="49">
        <f t="shared" si="128"/>
        <v>396996.04723847454</v>
      </c>
      <c r="X229" s="49">
        <f t="shared" si="128"/>
        <v>379792.88519147399</v>
      </c>
      <c r="Y229" s="49">
        <f t="shared" si="128"/>
        <v>363335.19349984342</v>
      </c>
      <c r="Z229" s="49">
        <f t="shared" si="128"/>
        <v>347590.66844818351</v>
      </c>
      <c r="AA229" s="3"/>
      <c r="AB229" s="49">
        <f t="shared" si="129"/>
        <v>17341.372788121898</v>
      </c>
      <c r="AC229" s="49">
        <f t="shared" si="129"/>
        <v>34682.745576243797</v>
      </c>
      <c r="AD229" s="49">
        <f t="shared" si="129"/>
        <v>34682.745576243797</v>
      </c>
      <c r="AE229" s="49">
        <f t="shared" si="129"/>
        <v>34682.745576243797</v>
      </c>
      <c r="AF229" s="49">
        <f t="shared" si="129"/>
        <v>34682.745576243797</v>
      </c>
      <c r="AG229" s="3"/>
      <c r="AH229" s="49">
        <f t="shared" si="108"/>
        <v>220235.43440914809</v>
      </c>
      <c r="AI229" s="49">
        <f t="shared" si="109"/>
        <v>431678.79281471833</v>
      </c>
      <c r="AJ229" s="49">
        <f t="shared" si="110"/>
        <v>414475.63076771778</v>
      </c>
      <c r="AK229" s="49">
        <f t="shared" si="111"/>
        <v>398017.9390760872</v>
      </c>
      <c r="AL229" s="49">
        <f t="shared" si="112"/>
        <v>382273.4140244273</v>
      </c>
      <c r="AM229" s="3"/>
      <c r="AN229" s="49">
        <f t="shared" si="113"/>
        <v>10184588.238463989</v>
      </c>
      <c r="AO229" s="49">
        <f t="shared" si="114"/>
        <v>9752909.44564927</v>
      </c>
      <c r="AP229" s="49">
        <f t="shared" si="115"/>
        <v>9338433.814881552</v>
      </c>
      <c r="AQ229" s="49">
        <f t="shared" si="116"/>
        <v>8940415.8758054655</v>
      </c>
      <c r="AR229" s="49">
        <f t="shared" si="117"/>
        <v>8558142.461781038</v>
      </c>
      <c r="AS229" s="3"/>
      <c r="AT229" s="49">
        <f t="shared" si="118"/>
        <v>104048.23672873138</v>
      </c>
      <c r="AU229" s="49">
        <f t="shared" si="119"/>
        <v>110057.23049628908</v>
      </c>
      <c r="AV229" s="49">
        <f t="shared" si="120"/>
        <v>118386.36170024825</v>
      </c>
      <c r="AW229" s="49">
        <f t="shared" si="121"/>
        <v>119917.33412975584</v>
      </c>
      <c r="AX229" s="49">
        <f t="shared" si="122"/>
        <v>121468.10509472182</v>
      </c>
      <c r="AY229" s="3"/>
      <c r="AZ229" s="53">
        <f t="shared" si="123"/>
        <v>640005.90653026314</v>
      </c>
      <c r="BA229" s="53">
        <f t="shared" si="124"/>
        <v>834323.30668048549</v>
      </c>
      <c r="BB229" s="53">
        <f t="shared" si="125"/>
        <v>813015.0069144126</v>
      </c>
      <c r="BC229" s="53">
        <f t="shared" si="126"/>
        <v>786147.74948000698</v>
      </c>
      <c r="BD229" s="53">
        <f t="shared" si="127"/>
        <v>760485.79297258018</v>
      </c>
    </row>
    <row r="230" spans="1:56" s="251" customFormat="1">
      <c r="B230" s="43">
        <f>'10. Investeringen (bijschatten)'!B67</f>
        <v>48</v>
      </c>
      <c r="C230" s="54"/>
      <c r="D230" s="3"/>
      <c r="E230" s="54"/>
      <c r="F230" s="160">
        <f>'10. Investeringen (bijschatten)'!C67</f>
        <v>3091812.0776959248</v>
      </c>
      <c r="G230" s="3"/>
      <c r="H230" s="43">
        <f>'10. Investeringen (bijschatten)'!D67</f>
        <v>2022</v>
      </c>
      <c r="I230" s="43" t="str">
        <f>'10. Investeringen (bijschatten)'!E67</f>
        <v>17 Mengstations</v>
      </c>
      <c r="J230" s="180">
        <f>_xlfn.XLOOKUP(I230,'3. Input (des)investeringen '!$B$11:$B$80,'3. Input (des)investeringen '!$D$11:$D$80)</f>
        <v>30</v>
      </c>
      <c r="M230" s="49">
        <f t="shared" si="100"/>
        <v>0</v>
      </c>
      <c r="N230" s="49">
        <f t="shared" si="101"/>
        <v>0</v>
      </c>
      <c r="O230" s="3"/>
      <c r="P230" s="147">
        <f t="shared" si="102"/>
        <v>0</v>
      </c>
      <c r="Q230" s="147">
        <f t="shared" si="103"/>
        <v>0</v>
      </c>
      <c r="R230" s="3"/>
      <c r="S230" s="49">
        <f t="shared" si="104"/>
        <v>3091812.0776959248</v>
      </c>
      <c r="T230" s="44">
        <f t="shared" si="105"/>
        <v>30</v>
      </c>
      <c r="U230" s="3"/>
      <c r="V230" s="49">
        <f t="shared" si="128"/>
        <v>60290.335515070539</v>
      </c>
      <c r="W230" s="49">
        <f t="shared" si="128"/>
        <v>117968.08982448801</v>
      </c>
      <c r="X230" s="49">
        <f t="shared" si="128"/>
        <v>112856.13926542687</v>
      </c>
      <c r="Y230" s="49">
        <f t="shared" si="128"/>
        <v>107965.70656392504</v>
      </c>
      <c r="Z230" s="49">
        <f t="shared" si="128"/>
        <v>103287.19261282163</v>
      </c>
      <c r="AA230" s="3"/>
      <c r="AB230" s="49">
        <f t="shared" si="129"/>
        <v>5153.0201294932076</v>
      </c>
      <c r="AC230" s="49">
        <f t="shared" si="129"/>
        <v>10306.040258986415</v>
      </c>
      <c r="AD230" s="49">
        <f t="shared" si="129"/>
        <v>10306.040258986415</v>
      </c>
      <c r="AE230" s="49">
        <f t="shared" si="129"/>
        <v>10306.040258986415</v>
      </c>
      <c r="AF230" s="49">
        <f t="shared" si="129"/>
        <v>10306.040258986415</v>
      </c>
      <c r="AG230" s="3"/>
      <c r="AH230" s="49">
        <f t="shared" si="108"/>
        <v>65443.355644563744</v>
      </c>
      <c r="AI230" s="49">
        <f t="shared" si="109"/>
        <v>128274.13008347442</v>
      </c>
      <c r="AJ230" s="49">
        <f t="shared" si="110"/>
        <v>123162.17952441328</v>
      </c>
      <c r="AK230" s="49">
        <f t="shared" si="111"/>
        <v>118271.74682291145</v>
      </c>
      <c r="AL230" s="49">
        <f t="shared" si="112"/>
        <v>113593.23287180804</v>
      </c>
      <c r="AM230" s="3"/>
      <c r="AN230" s="49">
        <f t="shared" si="113"/>
        <v>3026368.7220513611</v>
      </c>
      <c r="AO230" s="49">
        <f t="shared" si="114"/>
        <v>2898094.5919678868</v>
      </c>
      <c r="AP230" s="49">
        <f t="shared" si="115"/>
        <v>2774932.4124434735</v>
      </c>
      <c r="AQ230" s="49">
        <f t="shared" si="116"/>
        <v>2656660.6656205622</v>
      </c>
      <c r="AR230" s="49">
        <f t="shared" si="117"/>
        <v>2543067.432748754</v>
      </c>
      <c r="AS230" s="3"/>
      <c r="AT230" s="49">
        <f t="shared" si="118"/>
        <v>30918.120776959247</v>
      </c>
      <c r="AU230" s="49">
        <f t="shared" si="119"/>
        <v>32703.704088070197</v>
      </c>
      <c r="AV230" s="49">
        <f t="shared" si="120"/>
        <v>35178.720413455361</v>
      </c>
      <c r="AW230" s="49">
        <f t="shared" si="121"/>
        <v>35633.651625842162</v>
      </c>
      <c r="AX230" s="49">
        <f t="shared" si="122"/>
        <v>36094.466008667543</v>
      </c>
      <c r="AY230" s="3"/>
      <c r="AZ230" s="53">
        <f t="shared" si="123"/>
        <v>190178.9068051152</v>
      </c>
      <c r="BA230" s="53">
        <f t="shared" si="124"/>
        <v>247920.67193058121</v>
      </c>
      <c r="BB230" s="53">
        <f t="shared" si="125"/>
        <v>241588.87231117286</v>
      </c>
      <c r="BC230" s="53">
        <f t="shared" si="126"/>
        <v>233605.21841737046</v>
      </c>
      <c r="BD230" s="53">
        <f t="shared" si="127"/>
        <v>225979.7218629382</v>
      </c>
    </row>
    <row r="231" spans="1:56" s="251" customFormat="1">
      <c r="B231" s="43">
        <f>'10. Investeringen (bijschatten)'!B68</f>
        <v>49</v>
      </c>
      <c r="C231" s="54"/>
      <c r="D231" s="3"/>
      <c r="E231" s="54"/>
      <c r="F231" s="160">
        <f>'10. Investeringen (bijschatten)'!C68</f>
        <v>1027144.7006051679</v>
      </c>
      <c r="G231" s="3"/>
      <c r="H231" s="43">
        <f>'10. Investeringen (bijschatten)'!D68</f>
        <v>2022</v>
      </c>
      <c r="I231" s="43" t="str">
        <f>'10. Investeringen (bijschatten)'!E68</f>
        <v>20 Kantoorgebouwen</v>
      </c>
      <c r="J231" s="180">
        <f>_xlfn.XLOOKUP(I231,'3. Input (des)investeringen '!$B$11:$B$80,'3. Input (des)investeringen '!$D$11:$D$80)</f>
        <v>30</v>
      </c>
      <c r="M231" s="49">
        <f t="shared" si="100"/>
        <v>0</v>
      </c>
      <c r="N231" s="49">
        <f t="shared" si="101"/>
        <v>0</v>
      </c>
      <c r="O231" s="3"/>
      <c r="P231" s="147">
        <f t="shared" si="102"/>
        <v>0</v>
      </c>
      <c r="Q231" s="147">
        <f t="shared" si="103"/>
        <v>0</v>
      </c>
      <c r="R231" s="3"/>
      <c r="S231" s="49">
        <f t="shared" si="104"/>
        <v>1027144.7006051679</v>
      </c>
      <c r="T231" s="44">
        <f t="shared" si="105"/>
        <v>30</v>
      </c>
      <c r="U231" s="3"/>
      <c r="V231" s="49">
        <f t="shared" si="128"/>
        <v>20029.321661800775</v>
      </c>
      <c r="W231" s="49">
        <f t="shared" si="128"/>
        <v>39190.70605159019</v>
      </c>
      <c r="X231" s="49">
        <f t="shared" si="128"/>
        <v>37492.442122687949</v>
      </c>
      <c r="Y231" s="49">
        <f t="shared" si="128"/>
        <v>35867.769630704803</v>
      </c>
      <c r="Z231" s="49">
        <f t="shared" si="128"/>
        <v>34313.499613374261</v>
      </c>
      <c r="AA231" s="3"/>
      <c r="AB231" s="49">
        <f t="shared" si="129"/>
        <v>1711.9078343419465</v>
      </c>
      <c r="AC231" s="49">
        <f t="shared" si="129"/>
        <v>3423.8156686838929</v>
      </c>
      <c r="AD231" s="49">
        <f t="shared" si="129"/>
        <v>3423.8156686838929</v>
      </c>
      <c r="AE231" s="49">
        <f t="shared" si="129"/>
        <v>3423.8156686838929</v>
      </c>
      <c r="AF231" s="49">
        <f t="shared" si="129"/>
        <v>3423.8156686838929</v>
      </c>
      <c r="AG231" s="3"/>
      <c r="AH231" s="49">
        <f t="shared" si="108"/>
        <v>21741.229496142721</v>
      </c>
      <c r="AI231" s="49">
        <f t="shared" si="109"/>
        <v>42614.521720274082</v>
      </c>
      <c r="AJ231" s="49">
        <f t="shared" si="110"/>
        <v>40916.257791371841</v>
      </c>
      <c r="AK231" s="49">
        <f t="shared" si="111"/>
        <v>39291.585299388695</v>
      </c>
      <c r="AL231" s="49">
        <f t="shared" si="112"/>
        <v>37737.315282058153</v>
      </c>
      <c r="AM231" s="3"/>
      <c r="AN231" s="49">
        <f t="shared" si="113"/>
        <v>1005403.4711090252</v>
      </c>
      <c r="AO231" s="49">
        <f t="shared" si="114"/>
        <v>962788.94938875106</v>
      </c>
      <c r="AP231" s="49">
        <f t="shared" si="115"/>
        <v>921872.69159737928</v>
      </c>
      <c r="AQ231" s="49">
        <f t="shared" si="116"/>
        <v>882581.10629799054</v>
      </c>
      <c r="AR231" s="49">
        <f t="shared" si="117"/>
        <v>844843.79101593234</v>
      </c>
      <c r="AS231" s="3"/>
      <c r="AT231" s="49">
        <f t="shared" si="118"/>
        <v>10271.44700605168</v>
      </c>
      <c r="AU231" s="49">
        <f t="shared" si="119"/>
        <v>10864.643613545175</v>
      </c>
      <c r="AV231" s="49">
        <f t="shared" si="120"/>
        <v>11686.879842218275</v>
      </c>
      <c r="AW231" s="49">
        <f t="shared" si="121"/>
        <v>11838.014572337841</v>
      </c>
      <c r="AX231" s="49">
        <f t="shared" si="122"/>
        <v>11991.103776787313</v>
      </c>
      <c r="AY231" s="3"/>
      <c r="AZ231" s="53">
        <f t="shared" si="123"/>
        <v>63180.184106574176</v>
      </c>
      <c r="BA231" s="53">
        <f t="shared" si="124"/>
        <v>82362.83381548179</v>
      </c>
      <c r="BB231" s="53">
        <f t="shared" si="125"/>
        <v>80259.31838151149</v>
      </c>
      <c r="BC231" s="53">
        <f t="shared" si="126"/>
        <v>77607.033060666246</v>
      </c>
      <c r="BD231" s="53">
        <f t="shared" si="127"/>
        <v>75073.732789323432</v>
      </c>
    </row>
    <row r="232" spans="1:56" s="251" customFormat="1">
      <c r="B232" s="43">
        <f>'10. Investeringen (bijschatten)'!B69</f>
        <v>50</v>
      </c>
      <c r="C232" s="54"/>
      <c r="D232" s="3"/>
      <c r="E232" s="54"/>
      <c r="F232" s="160">
        <f>'10. Investeringen (bijschatten)'!C69</f>
        <v>15713448.745536495</v>
      </c>
      <c r="G232" s="3"/>
      <c r="H232" s="43">
        <f>'10. Investeringen (bijschatten)'!D69</f>
        <v>2022</v>
      </c>
      <c r="I232" s="43" t="str">
        <f>'10. Investeringen (bijschatten)'!E69</f>
        <v>21 Hoofdtransportleiding</v>
      </c>
      <c r="J232" s="180">
        <f>_xlfn.XLOOKUP(I232,'3. Input (des)investeringen '!$B$11:$B$80,'3. Input (des)investeringen '!$D$11:$D$80)</f>
        <v>55</v>
      </c>
      <c r="M232" s="49">
        <f t="shared" si="100"/>
        <v>0</v>
      </c>
      <c r="N232" s="49">
        <f t="shared" si="101"/>
        <v>0</v>
      </c>
      <c r="O232" s="3"/>
      <c r="P232" s="147">
        <f t="shared" si="102"/>
        <v>0</v>
      </c>
      <c r="Q232" s="147">
        <f t="shared" si="103"/>
        <v>0</v>
      </c>
      <c r="R232" s="3"/>
      <c r="S232" s="49">
        <f t="shared" si="104"/>
        <v>15713448.745536495</v>
      </c>
      <c r="T232" s="44">
        <f t="shared" si="105"/>
        <v>55</v>
      </c>
      <c r="U232" s="3"/>
      <c r="V232" s="49">
        <f t="shared" si="128"/>
        <v>167133.95483888817</v>
      </c>
      <c r="W232" s="49">
        <f t="shared" si="128"/>
        <v>330317.47074522078</v>
      </c>
      <c r="X232" s="49">
        <f t="shared" si="128"/>
        <v>322509.96689124289</v>
      </c>
      <c r="Y232" s="49">
        <f t="shared" si="128"/>
        <v>314887.00403744989</v>
      </c>
      <c r="Z232" s="49">
        <f t="shared" si="128"/>
        <v>307444.22030565562</v>
      </c>
      <c r="AA232" s="3"/>
      <c r="AB232" s="49">
        <f t="shared" si="129"/>
        <v>14284.953405033179</v>
      </c>
      <c r="AC232" s="49">
        <f t="shared" si="129"/>
        <v>28569.906810066361</v>
      </c>
      <c r="AD232" s="49">
        <f t="shared" si="129"/>
        <v>28569.906810066361</v>
      </c>
      <c r="AE232" s="49">
        <f t="shared" si="129"/>
        <v>28569.906810066361</v>
      </c>
      <c r="AF232" s="49">
        <f t="shared" si="129"/>
        <v>28569.906810066361</v>
      </c>
      <c r="AG232" s="3"/>
      <c r="AH232" s="49">
        <f t="shared" si="108"/>
        <v>181418.90824392135</v>
      </c>
      <c r="AI232" s="49">
        <f t="shared" si="109"/>
        <v>358887.37755528715</v>
      </c>
      <c r="AJ232" s="49">
        <f t="shared" si="110"/>
        <v>351079.87370130926</v>
      </c>
      <c r="AK232" s="49">
        <f t="shared" si="111"/>
        <v>343456.91084751626</v>
      </c>
      <c r="AL232" s="49">
        <f t="shared" si="112"/>
        <v>336014.12711572199</v>
      </c>
      <c r="AM232" s="3"/>
      <c r="AN232" s="49">
        <f t="shared" si="113"/>
        <v>15532029.837292574</v>
      </c>
      <c r="AO232" s="49">
        <f t="shared" si="114"/>
        <v>15173142.459737288</v>
      </c>
      <c r="AP232" s="49">
        <f t="shared" si="115"/>
        <v>14822062.586035978</v>
      </c>
      <c r="AQ232" s="49">
        <f t="shared" si="116"/>
        <v>14478605.675188461</v>
      </c>
      <c r="AR232" s="49">
        <f t="shared" si="117"/>
        <v>14142591.548072739</v>
      </c>
      <c r="AS232" s="3"/>
      <c r="AT232" s="49">
        <f t="shared" si="118"/>
        <v>157134.48745536496</v>
      </c>
      <c r="AU232" s="49">
        <f t="shared" si="119"/>
        <v>166209.3183748872</v>
      </c>
      <c r="AV232" s="49">
        <f t="shared" si="120"/>
        <v>178788.03958949872</v>
      </c>
      <c r="AW232" s="49">
        <f t="shared" si="121"/>
        <v>181100.12651747008</v>
      </c>
      <c r="AX232" s="49">
        <f t="shared" si="122"/>
        <v>183442.11335359394</v>
      </c>
      <c r="AY232" s="3"/>
      <c r="AZ232" s="53">
        <f t="shared" si="123"/>
        <v>820046.32065535616</v>
      </c>
      <c r="BA232" s="53">
        <f t="shared" si="124"/>
        <v>980290.96972229297</v>
      </c>
      <c r="BB232" s="53">
        <f t="shared" si="125"/>
        <v>974529.79087188723</v>
      </c>
      <c r="BC232" s="53">
        <f t="shared" si="126"/>
        <v>958915.20762064017</v>
      </c>
      <c r="BD232" s="53">
        <f t="shared" si="127"/>
        <v>943733.98691149813</v>
      </c>
    </row>
    <row r="233" spans="1:56" s="251" customFormat="1">
      <c r="B233" s="43">
        <f>'10. Investeringen (bijschatten)'!B70</f>
        <v>51</v>
      </c>
      <c r="C233" s="54"/>
      <c r="D233" s="3"/>
      <c r="E233" s="54"/>
      <c r="F233" s="160">
        <f>'10. Investeringen (bijschatten)'!C70</f>
        <v>4051088.2434311435</v>
      </c>
      <c r="G233" s="3"/>
      <c r="H233" s="43">
        <f>'10. Investeringen (bijschatten)'!D70</f>
        <v>2022</v>
      </c>
      <c r="I233" s="43" t="str">
        <f>'10. Investeringen (bijschatten)'!E70</f>
        <v>32 M&amp;R stations</v>
      </c>
      <c r="J233" s="180">
        <f>_xlfn.XLOOKUP(I233,'3. Input (des)investeringen '!$B$11:$B$80,'3. Input (des)investeringen '!$D$11:$D$80)</f>
        <v>30</v>
      </c>
      <c r="M233" s="49">
        <f t="shared" si="100"/>
        <v>0</v>
      </c>
      <c r="N233" s="49">
        <f t="shared" si="101"/>
        <v>0</v>
      </c>
      <c r="O233" s="3"/>
      <c r="P233" s="147">
        <f t="shared" si="102"/>
        <v>0</v>
      </c>
      <c r="Q233" s="147">
        <f t="shared" si="103"/>
        <v>0</v>
      </c>
      <c r="R233" s="3"/>
      <c r="S233" s="49">
        <f t="shared" si="104"/>
        <v>4051088.2434311435</v>
      </c>
      <c r="T233" s="44">
        <f t="shared" si="105"/>
        <v>30</v>
      </c>
      <c r="U233" s="3"/>
      <c r="V233" s="49">
        <f t="shared" si="128"/>
        <v>78996.220746907304</v>
      </c>
      <c r="W233" s="49">
        <f t="shared" si="128"/>
        <v>154569.27192811528</v>
      </c>
      <c r="X233" s="49">
        <f t="shared" si="128"/>
        <v>147871.27014456363</v>
      </c>
      <c r="Y233" s="49">
        <f t="shared" si="128"/>
        <v>141463.51510496586</v>
      </c>
      <c r="Z233" s="49">
        <f t="shared" si="128"/>
        <v>135333.42945041734</v>
      </c>
      <c r="AA233" s="3"/>
      <c r="AB233" s="49">
        <f t="shared" si="129"/>
        <v>6751.8137390519069</v>
      </c>
      <c r="AC233" s="49">
        <f t="shared" si="129"/>
        <v>13503.627478103812</v>
      </c>
      <c r="AD233" s="49">
        <f t="shared" si="129"/>
        <v>13503.627478103812</v>
      </c>
      <c r="AE233" s="49">
        <f t="shared" si="129"/>
        <v>13503.627478103812</v>
      </c>
      <c r="AF233" s="49">
        <f t="shared" si="129"/>
        <v>13503.627478103812</v>
      </c>
      <c r="AG233" s="3"/>
      <c r="AH233" s="49">
        <f t="shared" si="108"/>
        <v>85748.034485959215</v>
      </c>
      <c r="AI233" s="49">
        <f t="shared" si="109"/>
        <v>168072.89940621911</v>
      </c>
      <c r="AJ233" s="49">
        <f t="shared" si="110"/>
        <v>161374.89762266746</v>
      </c>
      <c r="AK233" s="49">
        <f t="shared" si="111"/>
        <v>154967.14258306968</v>
      </c>
      <c r="AL233" s="49">
        <f t="shared" si="112"/>
        <v>148837.05692852117</v>
      </c>
      <c r="AM233" s="3"/>
      <c r="AN233" s="49">
        <f t="shared" si="113"/>
        <v>3965340.208945184</v>
      </c>
      <c r="AO233" s="49">
        <f t="shared" si="114"/>
        <v>3797267.3095389651</v>
      </c>
      <c r="AP233" s="49">
        <f t="shared" si="115"/>
        <v>3635892.4119162979</v>
      </c>
      <c r="AQ233" s="49">
        <f t="shared" si="116"/>
        <v>3480925.269333228</v>
      </c>
      <c r="AR233" s="49">
        <f t="shared" si="117"/>
        <v>3332088.212404707</v>
      </c>
      <c r="AS233" s="3"/>
      <c r="AT233" s="49">
        <f t="shared" si="118"/>
        <v>40510.882434311432</v>
      </c>
      <c r="AU233" s="49">
        <f t="shared" si="119"/>
        <v>42850.466916657788</v>
      </c>
      <c r="AV233" s="49">
        <f t="shared" si="120"/>
        <v>46093.39025291046</v>
      </c>
      <c r="AW233" s="49">
        <f t="shared" si="121"/>
        <v>46689.469975661086</v>
      </c>
      <c r="AX233" s="49">
        <f t="shared" si="122"/>
        <v>47293.258201386336</v>
      </c>
      <c r="AY233" s="3"/>
      <c r="AZ233" s="53">
        <f t="shared" si="123"/>
        <v>249184.46339757135</v>
      </c>
      <c r="BA233" s="53">
        <f t="shared" si="124"/>
        <v>324841.38560904586</v>
      </c>
      <c r="BB233" s="53">
        <f t="shared" si="125"/>
        <v>316545.06023306685</v>
      </c>
      <c r="BC233" s="53">
        <f t="shared" si="126"/>
        <v>306084.37063872762</v>
      </c>
      <c r="BD233" s="53">
        <f t="shared" si="127"/>
        <v>296092.96150204871</v>
      </c>
    </row>
    <row r="234" spans="1:56" s="251" customFormat="1">
      <c r="B234" s="43">
        <f>'10. Investeringen (bijschatten)'!B71</f>
        <v>52</v>
      </c>
      <c r="C234" s="54"/>
      <c r="D234" s="3"/>
      <c r="E234" s="54"/>
      <c r="F234" s="160">
        <f>'10. Investeringen (bijschatten)'!C71</f>
        <v>646.66041749437318</v>
      </c>
      <c r="G234" s="3"/>
      <c r="H234" s="43">
        <f>'10. Investeringen (bijschatten)'!D71</f>
        <v>2022</v>
      </c>
      <c r="I234" s="43" t="str">
        <f>'10. Investeringen (bijschatten)'!E71</f>
        <v>33 Exportstations</v>
      </c>
      <c r="J234" s="180">
        <f>_xlfn.XLOOKUP(I234,'3. Input (des)investeringen '!$B$11:$B$80,'3. Input (des)investeringen '!$D$11:$D$80)</f>
        <v>30</v>
      </c>
      <c r="M234" s="49">
        <f t="shared" si="100"/>
        <v>0</v>
      </c>
      <c r="N234" s="49">
        <f t="shared" si="101"/>
        <v>0</v>
      </c>
      <c r="O234" s="3"/>
      <c r="P234" s="147">
        <f t="shared" si="102"/>
        <v>0</v>
      </c>
      <c r="Q234" s="147">
        <f t="shared" si="103"/>
        <v>0</v>
      </c>
      <c r="R234" s="3"/>
      <c r="S234" s="49">
        <f t="shared" si="104"/>
        <v>646.66041749437318</v>
      </c>
      <c r="T234" s="44">
        <f t="shared" si="105"/>
        <v>30</v>
      </c>
      <c r="U234" s="3"/>
      <c r="V234" s="49">
        <f t="shared" si="128"/>
        <v>12.609878141140276</v>
      </c>
      <c r="W234" s="49">
        <f t="shared" si="128"/>
        <v>24.673328229497809</v>
      </c>
      <c r="X234" s="49">
        <f t="shared" si="128"/>
        <v>23.604150672886238</v>
      </c>
      <c r="Y234" s="49">
        <f t="shared" si="128"/>
        <v>22.581304143727834</v>
      </c>
      <c r="Z234" s="49">
        <f t="shared" si="128"/>
        <v>21.602780964166296</v>
      </c>
      <c r="AA234" s="3"/>
      <c r="AB234" s="49">
        <f t="shared" si="129"/>
        <v>1.0777673624906221</v>
      </c>
      <c r="AC234" s="49">
        <f t="shared" si="129"/>
        <v>2.1555347249812442</v>
      </c>
      <c r="AD234" s="49">
        <f t="shared" si="129"/>
        <v>2.1555347249812442</v>
      </c>
      <c r="AE234" s="49">
        <f t="shared" si="129"/>
        <v>2.1555347249812442</v>
      </c>
      <c r="AF234" s="49">
        <f t="shared" si="129"/>
        <v>2.1555347249812442</v>
      </c>
      <c r="AG234" s="3"/>
      <c r="AH234" s="49">
        <f t="shared" si="108"/>
        <v>13.687645503630899</v>
      </c>
      <c r="AI234" s="49">
        <f t="shared" si="109"/>
        <v>26.828862954479053</v>
      </c>
      <c r="AJ234" s="49">
        <f t="shared" si="110"/>
        <v>25.759685397867482</v>
      </c>
      <c r="AK234" s="49">
        <f t="shared" si="111"/>
        <v>24.736838868709079</v>
      </c>
      <c r="AL234" s="49">
        <f t="shared" si="112"/>
        <v>23.75831568914754</v>
      </c>
      <c r="AM234" s="3"/>
      <c r="AN234" s="49">
        <f t="shared" si="113"/>
        <v>632.97277199074233</v>
      </c>
      <c r="AO234" s="49">
        <f t="shared" si="114"/>
        <v>606.14390903626327</v>
      </c>
      <c r="AP234" s="49">
        <f t="shared" si="115"/>
        <v>580.38422363839584</v>
      </c>
      <c r="AQ234" s="49">
        <f t="shared" si="116"/>
        <v>555.64738476968671</v>
      </c>
      <c r="AR234" s="49">
        <f t="shared" si="117"/>
        <v>531.88906908053912</v>
      </c>
      <c r="AS234" s="3"/>
      <c r="AT234" s="49">
        <f t="shared" si="118"/>
        <v>6.4666041749437317</v>
      </c>
      <c r="AU234" s="49">
        <f t="shared" si="119"/>
        <v>6.8400634992550833</v>
      </c>
      <c r="AV234" s="49">
        <f t="shared" si="120"/>
        <v>7.357719504878709</v>
      </c>
      <c r="AW234" s="49">
        <f t="shared" si="121"/>
        <v>7.4528695335157993</v>
      </c>
      <c r="AX234" s="49">
        <f t="shared" si="122"/>
        <v>7.5492500423232229</v>
      </c>
      <c r="AY234" s="3"/>
      <c r="AZ234" s="53">
        <f t="shared" si="123"/>
        <v>39.776405610287647</v>
      </c>
      <c r="BA234" s="53">
        <f t="shared" si="124"/>
        <v>51.853243724822036</v>
      </c>
      <c r="BB234" s="53">
        <f t="shared" si="125"/>
        <v>50.528931611898066</v>
      </c>
      <c r="BC234" s="53">
        <f t="shared" si="126"/>
        <v>48.85912994531548</v>
      </c>
      <c r="BD234" s="53">
        <f t="shared" si="127"/>
        <v>47.264237803886935</v>
      </c>
    </row>
    <row r="235" spans="1:56" s="251" customFormat="1">
      <c r="B235" s="43">
        <f>'10. Investeringen (bijschatten)'!B72</f>
        <v>53</v>
      </c>
      <c r="C235" s="54"/>
      <c r="D235" s="3"/>
      <c r="E235" s="54"/>
      <c r="F235" s="160">
        <f>'10. Investeringen (bijschatten)'!C72</f>
        <v>183612.56837479287</v>
      </c>
      <c r="G235" s="3"/>
      <c r="H235" s="43">
        <f>'10. Investeringen (bijschatten)'!D72</f>
        <v>2022</v>
      </c>
      <c r="I235" s="43" t="str">
        <f>'10. Investeringen (bijschatten)'!E72</f>
        <v>34 Reduceerstations</v>
      </c>
      <c r="J235" s="180">
        <f>_xlfn.XLOOKUP(I235,'3. Input (des)investeringen '!$B$11:$B$80,'3. Input (des)investeringen '!$D$11:$D$80)</f>
        <v>30</v>
      </c>
      <c r="M235" s="49">
        <f t="shared" si="100"/>
        <v>0</v>
      </c>
      <c r="N235" s="49">
        <f t="shared" si="101"/>
        <v>0</v>
      </c>
      <c r="O235" s="3"/>
      <c r="P235" s="147">
        <f t="shared" si="102"/>
        <v>0</v>
      </c>
      <c r="Q235" s="147">
        <f t="shared" si="103"/>
        <v>0</v>
      </c>
      <c r="R235" s="3"/>
      <c r="S235" s="49">
        <f t="shared" si="104"/>
        <v>183612.56837479287</v>
      </c>
      <c r="T235" s="44">
        <f t="shared" si="105"/>
        <v>30</v>
      </c>
      <c r="U235" s="3"/>
      <c r="V235" s="49">
        <f t="shared" si="128"/>
        <v>3580.4450833084616</v>
      </c>
      <c r="W235" s="49">
        <f t="shared" si="128"/>
        <v>7005.7375463402223</v>
      </c>
      <c r="X235" s="49">
        <f t="shared" si="128"/>
        <v>6702.155585998813</v>
      </c>
      <c r="Y235" s="49">
        <f t="shared" si="128"/>
        <v>6411.728843938864</v>
      </c>
      <c r="Z235" s="49">
        <f t="shared" si="128"/>
        <v>6133.8872607015146</v>
      </c>
      <c r="AA235" s="3"/>
      <c r="AB235" s="49">
        <f t="shared" si="129"/>
        <v>306.02094729132142</v>
      </c>
      <c r="AC235" s="49">
        <f t="shared" si="129"/>
        <v>612.04189458264284</v>
      </c>
      <c r="AD235" s="49">
        <f t="shared" si="129"/>
        <v>612.04189458264284</v>
      </c>
      <c r="AE235" s="49">
        <f t="shared" si="129"/>
        <v>612.04189458264284</v>
      </c>
      <c r="AF235" s="49">
        <f t="shared" si="129"/>
        <v>612.04189458264284</v>
      </c>
      <c r="AG235" s="3"/>
      <c r="AH235" s="49">
        <f t="shared" si="108"/>
        <v>3886.4660305997832</v>
      </c>
      <c r="AI235" s="49">
        <f t="shared" si="109"/>
        <v>7617.7794409228654</v>
      </c>
      <c r="AJ235" s="49">
        <f t="shared" si="110"/>
        <v>7314.1974805814561</v>
      </c>
      <c r="AK235" s="49">
        <f t="shared" si="111"/>
        <v>7023.7707385215072</v>
      </c>
      <c r="AL235" s="49">
        <f t="shared" si="112"/>
        <v>6745.9291552841578</v>
      </c>
      <c r="AM235" s="3"/>
      <c r="AN235" s="49">
        <f t="shared" si="113"/>
        <v>179726.10234419309</v>
      </c>
      <c r="AO235" s="49">
        <f t="shared" si="114"/>
        <v>172108.32290327022</v>
      </c>
      <c r="AP235" s="49">
        <f t="shared" si="115"/>
        <v>164794.12542268875</v>
      </c>
      <c r="AQ235" s="49">
        <f t="shared" si="116"/>
        <v>157770.35468416725</v>
      </c>
      <c r="AR235" s="49">
        <f t="shared" si="117"/>
        <v>151024.42552888309</v>
      </c>
      <c r="AS235" s="3"/>
      <c r="AT235" s="49">
        <f t="shared" si="118"/>
        <v>1836.1256837479286</v>
      </c>
      <c r="AU235" s="49">
        <f t="shared" si="119"/>
        <v>1942.1656142357394</v>
      </c>
      <c r="AV235" s="49">
        <f t="shared" si="120"/>
        <v>2089.1487079211001</v>
      </c>
      <c r="AW235" s="49">
        <f t="shared" si="121"/>
        <v>2116.1655790119357</v>
      </c>
      <c r="AX235" s="49">
        <f t="shared" si="122"/>
        <v>2143.5318322797179</v>
      </c>
      <c r="AY235" s="3"/>
      <c r="AZ235" s="53">
        <f t="shared" si="123"/>
        <v>11294.100887017697</v>
      </c>
      <c r="BA235" s="53">
        <f t="shared" si="124"/>
        <v>14723.19474225671</v>
      </c>
      <c r="BB235" s="53">
        <f t="shared" si="125"/>
        <v>14347.169951183219</v>
      </c>
      <c r="BC235" s="53">
        <f t="shared" si="126"/>
        <v>13873.046958058461</v>
      </c>
      <c r="BD235" s="53">
        <f t="shared" si="127"/>
        <v>13420.193753430369</v>
      </c>
    </row>
    <row r="236" spans="1:56" s="251" customFormat="1">
      <c r="B236" s="43">
        <f>'10. Investeringen (bijschatten)'!B73</f>
        <v>54</v>
      </c>
      <c r="C236" s="54"/>
      <c r="D236" s="3"/>
      <c r="E236" s="54"/>
      <c r="F236" s="160">
        <f>'10. Investeringen (bijschatten)'!C73</f>
        <v>913776.71943710383</v>
      </c>
      <c r="G236" s="3"/>
      <c r="H236" s="43">
        <f>'10. Investeringen (bijschatten)'!D73</f>
        <v>2022</v>
      </c>
      <c r="I236" s="43" t="str">
        <f>'10. Investeringen (bijschatten)'!E73</f>
        <v>36 Luchtscheidingsunit</v>
      </c>
      <c r="J236" s="180">
        <f>_xlfn.XLOOKUP(I236,'3. Input (des)investeringen '!$B$11:$B$80,'3. Input (des)investeringen '!$D$11:$D$80)</f>
        <v>30</v>
      </c>
      <c r="M236" s="49">
        <f t="shared" si="100"/>
        <v>0</v>
      </c>
      <c r="N236" s="49">
        <f t="shared" si="101"/>
        <v>0</v>
      </c>
      <c r="O236" s="3"/>
      <c r="P236" s="147">
        <f t="shared" si="102"/>
        <v>0</v>
      </c>
      <c r="Q236" s="147">
        <f t="shared" si="103"/>
        <v>0</v>
      </c>
      <c r="R236" s="3"/>
      <c r="S236" s="49">
        <f t="shared" si="104"/>
        <v>913776.71943710383</v>
      </c>
      <c r="T236" s="44">
        <f t="shared" si="105"/>
        <v>30</v>
      </c>
      <c r="U236" s="3"/>
      <c r="V236" s="49">
        <f t="shared" si="128"/>
        <v>17818.646029023526</v>
      </c>
      <c r="W236" s="49">
        <f t="shared" si="128"/>
        <v>34865.150730122696</v>
      </c>
      <c r="X236" s="49">
        <f t="shared" si="128"/>
        <v>33354.327531817376</v>
      </c>
      <c r="Y236" s="49">
        <f t="shared" si="128"/>
        <v>31908.973338771957</v>
      </c>
      <c r="Z236" s="49">
        <f t="shared" si="128"/>
        <v>30526.251160758507</v>
      </c>
      <c r="AA236" s="3"/>
      <c r="AB236" s="49">
        <f t="shared" si="129"/>
        <v>1522.9611990618398</v>
      </c>
      <c r="AC236" s="49">
        <f t="shared" si="129"/>
        <v>3045.9223981236796</v>
      </c>
      <c r="AD236" s="49">
        <f t="shared" si="129"/>
        <v>3045.9223981236796</v>
      </c>
      <c r="AE236" s="49">
        <f t="shared" si="129"/>
        <v>3045.9223981236796</v>
      </c>
      <c r="AF236" s="49">
        <f t="shared" si="129"/>
        <v>3045.9223981236796</v>
      </c>
      <c r="AG236" s="3"/>
      <c r="AH236" s="49">
        <f t="shared" si="108"/>
        <v>19341.607228085366</v>
      </c>
      <c r="AI236" s="49">
        <f t="shared" si="109"/>
        <v>37911.073128246375</v>
      </c>
      <c r="AJ236" s="49">
        <f t="shared" si="110"/>
        <v>36400.249929941056</v>
      </c>
      <c r="AK236" s="49">
        <f t="shared" si="111"/>
        <v>34954.89573689564</v>
      </c>
      <c r="AL236" s="49">
        <f t="shared" si="112"/>
        <v>33572.17355888219</v>
      </c>
      <c r="AM236" s="3"/>
      <c r="AN236" s="49">
        <f t="shared" si="113"/>
        <v>894435.11220901844</v>
      </c>
      <c r="AO236" s="49">
        <f t="shared" si="114"/>
        <v>856524.03908077208</v>
      </c>
      <c r="AP236" s="49">
        <f t="shared" si="115"/>
        <v>820123.78915083106</v>
      </c>
      <c r="AQ236" s="49">
        <f t="shared" si="116"/>
        <v>785168.89341393544</v>
      </c>
      <c r="AR236" s="49">
        <f t="shared" si="117"/>
        <v>751596.71985505323</v>
      </c>
      <c r="AS236" s="3"/>
      <c r="AT236" s="49">
        <f t="shared" si="118"/>
        <v>9137.7671943710393</v>
      </c>
      <c r="AU236" s="49">
        <f t="shared" si="119"/>
        <v>9665.4915253803556</v>
      </c>
      <c r="AV236" s="49">
        <f t="shared" si="120"/>
        <v>10396.975924021142</v>
      </c>
      <c r="AW236" s="49">
        <f t="shared" si="121"/>
        <v>10531.429616670581</v>
      </c>
      <c r="AX236" s="49">
        <f t="shared" si="122"/>
        <v>10667.622064473364</v>
      </c>
      <c r="AY236" s="3"/>
      <c r="AZ236" s="53">
        <f t="shared" si="123"/>
        <v>56206.862900935979</v>
      </c>
      <c r="BA236" s="53">
        <f t="shared" si="124"/>
        <v>73272.285826049891</v>
      </c>
      <c r="BB236" s="53">
        <f t="shared" si="125"/>
        <v>71400.939528487128</v>
      </c>
      <c r="BC236" s="53">
        <f t="shared" si="126"/>
        <v>69041.392155984286</v>
      </c>
      <c r="BD236" s="53">
        <f t="shared" si="127"/>
        <v>66787.697219007154</v>
      </c>
    </row>
    <row r="237" spans="1:56" s="251" customFormat="1">
      <c r="B237" s="43">
        <f>'10. Investeringen (bijschatten)'!B74</f>
        <v>55</v>
      </c>
      <c r="C237" s="54"/>
      <c r="D237" s="3"/>
      <c r="E237" s="54"/>
      <c r="F237" s="160">
        <f>'10. Investeringen (bijschatten)'!C74</f>
        <v>-5585879.903173985</v>
      </c>
      <c r="G237" s="3"/>
      <c r="H237" s="43">
        <f>'10. Investeringen (bijschatten)'!D74</f>
        <v>2022</v>
      </c>
      <c r="I237" s="43" t="str">
        <f>'10. Investeringen (bijschatten)'!E74</f>
        <v>42 Vulgas</v>
      </c>
      <c r="J237" s="180">
        <f>_xlfn.XLOOKUP(I237,'3. Input (des)investeringen '!$B$11:$B$80,'3. Input (des)investeringen '!$D$11:$D$80)</f>
        <v>0</v>
      </c>
      <c r="M237" s="49">
        <f t="shared" si="100"/>
        <v>0</v>
      </c>
      <c r="N237" s="49">
        <f t="shared" si="101"/>
        <v>0</v>
      </c>
      <c r="O237" s="3"/>
      <c r="P237" s="147">
        <f t="shared" si="102"/>
        <v>0</v>
      </c>
      <c r="Q237" s="147">
        <f t="shared" si="103"/>
        <v>0</v>
      </c>
      <c r="R237" s="3"/>
      <c r="S237" s="49">
        <f t="shared" si="104"/>
        <v>-5585879.903173985</v>
      </c>
      <c r="T237" s="44">
        <f t="shared" si="105"/>
        <v>0</v>
      </c>
      <c r="U237" s="3"/>
      <c r="V237" s="49">
        <f t="shared" si="128"/>
        <v>0</v>
      </c>
      <c r="W237" s="49">
        <f t="shared" si="128"/>
        <v>0</v>
      </c>
      <c r="X237" s="49">
        <f t="shared" si="128"/>
        <v>0</v>
      </c>
      <c r="Y237" s="49">
        <f t="shared" si="128"/>
        <v>0</v>
      </c>
      <c r="Z237" s="49">
        <f t="shared" si="128"/>
        <v>0</v>
      </c>
      <c r="AA237" s="3"/>
      <c r="AB237" s="49">
        <f t="shared" si="129"/>
        <v>0</v>
      </c>
      <c r="AC237" s="49">
        <f t="shared" si="129"/>
        <v>0</v>
      </c>
      <c r="AD237" s="49">
        <f t="shared" si="129"/>
        <v>0</v>
      </c>
      <c r="AE237" s="49">
        <f t="shared" si="129"/>
        <v>0</v>
      </c>
      <c r="AF237" s="49">
        <f t="shared" si="129"/>
        <v>0</v>
      </c>
      <c r="AG237" s="3"/>
      <c r="AH237" s="49">
        <f t="shared" si="108"/>
        <v>0</v>
      </c>
      <c r="AI237" s="49">
        <f t="shared" si="109"/>
        <v>0</v>
      </c>
      <c r="AJ237" s="49">
        <f t="shared" si="110"/>
        <v>0</v>
      </c>
      <c r="AK237" s="49">
        <f t="shared" si="111"/>
        <v>0</v>
      </c>
      <c r="AL237" s="49">
        <f t="shared" si="112"/>
        <v>0</v>
      </c>
      <c r="AM237" s="3"/>
      <c r="AN237" s="49">
        <f t="shared" si="113"/>
        <v>-5585879.903173985</v>
      </c>
      <c r="AO237" s="49">
        <f t="shared" si="114"/>
        <v>-5585879.903173985</v>
      </c>
      <c r="AP237" s="49">
        <f t="shared" si="115"/>
        <v>-5585879.903173985</v>
      </c>
      <c r="AQ237" s="49">
        <f t="shared" si="116"/>
        <v>-5585879.903173985</v>
      </c>
      <c r="AR237" s="49">
        <f t="shared" si="117"/>
        <v>-5585879.903173985</v>
      </c>
      <c r="AS237" s="3"/>
      <c r="AT237" s="49">
        <f t="shared" si="118"/>
        <v>0</v>
      </c>
      <c r="AU237" s="49">
        <f t="shared" si="119"/>
        <v>0</v>
      </c>
      <c r="AV237" s="49">
        <f t="shared" si="120"/>
        <v>0</v>
      </c>
      <c r="AW237" s="49">
        <f t="shared" si="121"/>
        <v>0</v>
      </c>
      <c r="AX237" s="49">
        <f t="shared" si="122"/>
        <v>0</v>
      </c>
      <c r="AY237" s="3"/>
      <c r="AZ237" s="53">
        <f t="shared" si="123"/>
        <v>-173162.27699839353</v>
      </c>
      <c r="BA237" s="53">
        <f t="shared" si="124"/>
        <v>-167576.39709521955</v>
      </c>
      <c r="BB237" s="53">
        <f t="shared" si="125"/>
        <v>-167576.39709521955</v>
      </c>
      <c r="BC237" s="53">
        <f t="shared" si="126"/>
        <v>-167576.39709521955</v>
      </c>
      <c r="BD237" s="53">
        <f t="shared" si="127"/>
        <v>-167576.39709521955</v>
      </c>
    </row>
    <row r="238" spans="1:56" s="251" customFormat="1">
      <c r="B238" s="43">
        <f>'10. Investeringen (bijschatten)'!B75</f>
        <v>56</v>
      </c>
      <c r="C238" s="54"/>
      <c r="D238" s="3"/>
      <c r="E238" s="54"/>
      <c r="F238" s="160">
        <f>'10. Investeringen (bijschatten)'!C75</f>
        <v>622471.67011423525</v>
      </c>
      <c r="G238" s="3"/>
      <c r="H238" s="43">
        <f>'10. Investeringen (bijschatten)'!D75</f>
        <v>2022</v>
      </c>
      <c r="I238" s="43" t="str">
        <f>'10. Investeringen (bijschatten)'!E75</f>
        <v>45 Groen gas booster</v>
      </c>
      <c r="J238" s="180">
        <f>_xlfn.XLOOKUP(I238,'3. Input (des)investeringen '!$B$11:$B$80,'3. Input (des)investeringen '!$D$11:$D$80)</f>
        <v>30</v>
      </c>
      <c r="M238" s="49">
        <f t="shared" si="100"/>
        <v>0</v>
      </c>
      <c r="N238" s="49">
        <f t="shared" si="101"/>
        <v>0</v>
      </c>
      <c r="O238" s="3"/>
      <c r="P238" s="147">
        <f t="shared" si="102"/>
        <v>0</v>
      </c>
      <c r="Q238" s="147">
        <f t="shared" si="103"/>
        <v>0</v>
      </c>
      <c r="R238" s="3"/>
      <c r="S238" s="49">
        <f t="shared" si="104"/>
        <v>622471.67011423525</v>
      </c>
      <c r="T238" s="44">
        <f t="shared" si="105"/>
        <v>30</v>
      </c>
      <c r="U238" s="3"/>
      <c r="V238" s="49">
        <f t="shared" si="128"/>
        <v>12138.197567227588</v>
      </c>
      <c r="W238" s="49">
        <f t="shared" si="128"/>
        <v>23750.406573208649</v>
      </c>
      <c r="X238" s="49">
        <f t="shared" si="128"/>
        <v>22721.222288369609</v>
      </c>
      <c r="Y238" s="49">
        <f t="shared" si="128"/>
        <v>21736.635989206927</v>
      </c>
      <c r="Z238" s="49">
        <f t="shared" si="128"/>
        <v>20794.715096341293</v>
      </c>
      <c r="AA238" s="3"/>
      <c r="AB238" s="49">
        <f t="shared" si="129"/>
        <v>1037.4527835237254</v>
      </c>
      <c r="AC238" s="49">
        <f t="shared" si="129"/>
        <v>2074.9055670474513</v>
      </c>
      <c r="AD238" s="49">
        <f t="shared" si="129"/>
        <v>2074.9055670474513</v>
      </c>
      <c r="AE238" s="49">
        <f t="shared" si="129"/>
        <v>2074.9055670474513</v>
      </c>
      <c r="AF238" s="49">
        <f t="shared" si="129"/>
        <v>2074.9055670474513</v>
      </c>
      <c r="AG238" s="3"/>
      <c r="AH238" s="49">
        <f t="shared" si="108"/>
        <v>13175.650350751313</v>
      </c>
      <c r="AI238" s="49">
        <f t="shared" si="109"/>
        <v>25825.312140256101</v>
      </c>
      <c r="AJ238" s="49">
        <f t="shared" si="110"/>
        <v>24796.12785541706</v>
      </c>
      <c r="AK238" s="49">
        <f t="shared" si="111"/>
        <v>23811.541556254379</v>
      </c>
      <c r="AL238" s="49">
        <f t="shared" si="112"/>
        <v>22869.620663388745</v>
      </c>
      <c r="AM238" s="3"/>
      <c r="AN238" s="49">
        <f t="shared" si="113"/>
        <v>609296.0197634839</v>
      </c>
      <c r="AO238" s="49">
        <f t="shared" si="114"/>
        <v>583470.70762322785</v>
      </c>
      <c r="AP238" s="49">
        <f t="shared" si="115"/>
        <v>558674.57976781076</v>
      </c>
      <c r="AQ238" s="49">
        <f t="shared" si="116"/>
        <v>534863.03821155638</v>
      </c>
      <c r="AR238" s="49">
        <f t="shared" si="117"/>
        <v>511993.41754816764</v>
      </c>
      <c r="AS238" s="3"/>
      <c r="AT238" s="49">
        <f t="shared" si="118"/>
        <v>6224.7167011423526</v>
      </c>
      <c r="AU238" s="49">
        <f t="shared" si="119"/>
        <v>6584.206540066727</v>
      </c>
      <c r="AV238" s="49">
        <f t="shared" si="120"/>
        <v>7082.4992910189767</v>
      </c>
      <c r="AW238" s="49">
        <f t="shared" si="121"/>
        <v>7174.0901718504329</v>
      </c>
      <c r="AX238" s="49">
        <f t="shared" si="122"/>
        <v>7266.8655059528028</v>
      </c>
      <c r="AY238" s="3"/>
      <c r="AZ238" s="53">
        <f t="shared" si="123"/>
        <v>38288.543664561665</v>
      </c>
      <c r="BA238" s="53">
        <f t="shared" si="124"/>
        <v>49913.639909019665</v>
      </c>
      <c r="BB238" s="53">
        <f t="shared" si="125"/>
        <v>48638.864539470364</v>
      </c>
      <c r="BC238" s="53">
        <f t="shared" si="126"/>
        <v>47031.522874451504</v>
      </c>
      <c r="BD238" s="53">
        <f t="shared" si="127"/>
        <v>45496.288695786578</v>
      </c>
    </row>
    <row r="239" spans="1:56" s="251" customFormat="1">
      <c r="B239" s="43">
        <f>'10. Investeringen (bijschatten)'!B76</f>
        <v>0</v>
      </c>
      <c r="C239" s="54"/>
      <c r="D239" s="3"/>
      <c r="E239" s="54"/>
      <c r="F239" s="160">
        <f>'10. Investeringen (bijschatten)'!C76</f>
        <v>0</v>
      </c>
      <c r="G239" s="3"/>
      <c r="H239" s="43">
        <f>'10. Investeringen (bijschatten)'!D76</f>
        <v>0</v>
      </c>
      <c r="I239" s="43">
        <f>'10. Investeringen (bijschatten)'!E76</f>
        <v>0</v>
      </c>
      <c r="J239" s="180" t="e">
        <f>_xlfn.XLOOKUP(I239,'3. Input (des)investeringen '!$B$11:$B$80,'3. Input (des)investeringen '!$D$11:$D$80)</f>
        <v>#N/A</v>
      </c>
      <c r="M239" s="49" t="e">
        <f t="shared" si="100"/>
        <v>#N/A</v>
      </c>
      <c r="N239" s="49" t="e">
        <f t="shared" si="101"/>
        <v>#N/A</v>
      </c>
      <c r="O239" s="3"/>
      <c r="P239" s="147" t="e">
        <f t="shared" si="102"/>
        <v>#N/A</v>
      </c>
      <c r="Q239" s="147" t="e">
        <f t="shared" si="103"/>
        <v>#N/A</v>
      </c>
      <c r="R239" s="3"/>
      <c r="S239" s="49" t="e">
        <f t="shared" si="104"/>
        <v>#N/A</v>
      </c>
      <c r="T239" s="44" t="e">
        <f t="shared" si="105"/>
        <v>#N/A</v>
      </c>
      <c r="U239" s="3"/>
      <c r="V239" s="49" t="e">
        <f t="shared" si="128"/>
        <v>#N/A</v>
      </c>
      <c r="W239" s="49" t="e">
        <f t="shared" si="128"/>
        <v>#N/A</v>
      </c>
      <c r="X239" s="49" t="e">
        <f t="shared" si="128"/>
        <v>#N/A</v>
      </c>
      <c r="Y239" s="49" t="e">
        <f t="shared" si="128"/>
        <v>#N/A</v>
      </c>
      <c r="Z239" s="49" t="e">
        <f t="shared" si="128"/>
        <v>#N/A</v>
      </c>
      <c r="AA239" s="3"/>
      <c r="AB239" s="49" t="e">
        <f t="shared" si="129"/>
        <v>#N/A</v>
      </c>
      <c r="AC239" s="49" t="e">
        <f t="shared" si="129"/>
        <v>#N/A</v>
      </c>
      <c r="AD239" s="49" t="e">
        <f t="shared" si="129"/>
        <v>#N/A</v>
      </c>
      <c r="AE239" s="49" t="e">
        <f t="shared" si="129"/>
        <v>#N/A</v>
      </c>
      <c r="AF239" s="49" t="e">
        <f t="shared" si="129"/>
        <v>#N/A</v>
      </c>
      <c r="AG239" s="3"/>
      <c r="AH239" s="49" t="e">
        <f t="shared" si="108"/>
        <v>#N/A</v>
      </c>
      <c r="AI239" s="49" t="e">
        <f t="shared" si="109"/>
        <v>#N/A</v>
      </c>
      <c r="AJ239" s="49" t="e">
        <f t="shared" si="110"/>
        <v>#N/A</v>
      </c>
      <c r="AK239" s="49" t="e">
        <f t="shared" si="111"/>
        <v>#N/A</v>
      </c>
      <c r="AL239" s="49" t="e">
        <f t="shared" si="112"/>
        <v>#N/A</v>
      </c>
      <c r="AM239" s="3"/>
      <c r="AN239" s="49" t="e">
        <f t="shared" si="113"/>
        <v>#N/A</v>
      </c>
      <c r="AO239" s="49" t="e">
        <f t="shared" si="114"/>
        <v>#N/A</v>
      </c>
      <c r="AP239" s="49" t="e">
        <f t="shared" si="115"/>
        <v>#N/A</v>
      </c>
      <c r="AQ239" s="49" t="e">
        <f t="shared" si="116"/>
        <v>#N/A</v>
      </c>
      <c r="AR239" s="49" t="e">
        <f t="shared" si="117"/>
        <v>#N/A</v>
      </c>
      <c r="AS239" s="3"/>
      <c r="AT239" s="49" t="e">
        <f t="shared" si="118"/>
        <v>#N/A</v>
      </c>
      <c r="AU239" s="49" t="e">
        <f t="shared" si="119"/>
        <v>#N/A</v>
      </c>
      <c r="AV239" s="49" t="e">
        <f t="shared" si="120"/>
        <v>#N/A</v>
      </c>
      <c r="AW239" s="49" t="e">
        <f t="shared" si="121"/>
        <v>#N/A</v>
      </c>
      <c r="AX239" s="49" t="e">
        <f t="shared" si="122"/>
        <v>#N/A</v>
      </c>
      <c r="AY239" s="3"/>
      <c r="AZ239" s="53" t="e">
        <f t="shared" si="123"/>
        <v>#N/A</v>
      </c>
      <c r="BA239" s="53" t="e">
        <f t="shared" si="124"/>
        <v>#N/A</v>
      </c>
      <c r="BB239" s="53" t="e">
        <f t="shared" si="125"/>
        <v>#N/A</v>
      </c>
      <c r="BC239" s="53" t="e">
        <f t="shared" si="126"/>
        <v>#N/A</v>
      </c>
      <c r="BD239" s="53" t="e">
        <f t="shared" si="127"/>
        <v>#N/A</v>
      </c>
    </row>
    <row r="240" spans="1:56" ht="13.5" customHeight="1">
      <c r="A240" s="251"/>
      <c r="C240" s="54"/>
      <c r="E240" s="54"/>
      <c r="AR240" s="97"/>
    </row>
    <row r="241" spans="1:44" s="39" customFormat="1">
      <c r="A241" s="106"/>
      <c r="B241" s="39" t="s">
        <v>831</v>
      </c>
      <c r="J241" s="39" t="s">
        <v>826</v>
      </c>
    </row>
    <row r="242" spans="1:44" s="40" customFormat="1">
      <c r="A242" s="107"/>
      <c r="D242" s="41" t="s">
        <v>827</v>
      </c>
      <c r="J242" s="109">
        <v>2022</v>
      </c>
      <c r="K242" s="109">
        <v>2023</v>
      </c>
      <c r="L242" s="109">
        <v>2024</v>
      </c>
      <c r="M242" s="109">
        <v>2025</v>
      </c>
      <c r="N242" s="109">
        <v>2026</v>
      </c>
    </row>
    <row r="243" spans="1:44">
      <c r="C243" s="54"/>
      <c r="E243" s="54"/>
      <c r="AR243" s="97"/>
    </row>
    <row r="244" spans="1:44">
      <c r="B244" s="3" t="s">
        <v>832</v>
      </c>
      <c r="C244" s="54"/>
      <c r="D244" s="3">
        <v>2020</v>
      </c>
      <c r="E244" s="54"/>
      <c r="J244" s="49">
        <f>SUMIFS(AZ$183:AZ$239, $H$183:$H$239,$D252, $J$183:$J$239, 0)</f>
        <v>56222.520529619578</v>
      </c>
      <c r="K244" s="49">
        <f t="shared" ref="K244:N246" si="130">SUMIFS(BA$183:BA$239, $H$183:$H$239,$D252, $J$183:$J$239, 0)</f>
        <v>54408.890835115715</v>
      </c>
      <c r="L244" s="49">
        <f t="shared" si="130"/>
        <v>54408.890835115715</v>
      </c>
      <c r="M244" s="49">
        <f t="shared" si="130"/>
        <v>54408.890835115715</v>
      </c>
      <c r="N244" s="49">
        <f t="shared" si="130"/>
        <v>54408.890835115715</v>
      </c>
      <c r="AR244" s="97"/>
    </row>
    <row r="245" spans="1:44">
      <c r="B245" s="3" t="s">
        <v>832</v>
      </c>
      <c r="C245" s="54"/>
      <c r="D245" s="3">
        <v>2021</v>
      </c>
      <c r="E245" s="54"/>
      <c r="J245" s="49">
        <f t="shared" ref="J245:J246" si="131">SUMIFS(AZ$183:AZ$239, $H$183:$H$239,$D253, $J$183:$J$239, 0)</f>
        <v>422768.69361628627</v>
      </c>
      <c r="K245" s="49">
        <f t="shared" si="130"/>
        <v>409130.99382221245</v>
      </c>
      <c r="L245" s="49">
        <f t="shared" si="130"/>
        <v>409130.99382221245</v>
      </c>
      <c r="M245" s="49">
        <f t="shared" si="130"/>
        <v>409130.99382221245</v>
      </c>
      <c r="N245" s="49">
        <f t="shared" si="130"/>
        <v>409130.99382221245</v>
      </c>
      <c r="AR245" s="97"/>
    </row>
    <row r="246" spans="1:44">
      <c r="B246" s="3" t="s">
        <v>832</v>
      </c>
      <c r="C246" s="54"/>
      <c r="D246" s="3">
        <v>2022</v>
      </c>
      <c r="E246" s="54"/>
      <c r="J246" s="49">
        <f t="shared" si="131"/>
        <v>-173162.27699839353</v>
      </c>
      <c r="K246" s="49">
        <f t="shared" si="130"/>
        <v>-167576.39709521955</v>
      </c>
      <c r="L246" s="49">
        <f t="shared" si="130"/>
        <v>-167576.39709521955</v>
      </c>
      <c r="M246" s="49">
        <f t="shared" si="130"/>
        <v>-167576.39709521955</v>
      </c>
      <c r="N246" s="49">
        <f t="shared" si="130"/>
        <v>-167576.39709521955</v>
      </c>
      <c r="AR246" s="97"/>
    </row>
    <row r="247" spans="1:44">
      <c r="B247" s="3" t="s">
        <v>832</v>
      </c>
      <c r="C247" s="54"/>
      <c r="D247" s="3">
        <v>2023</v>
      </c>
      <c r="E247" s="54"/>
      <c r="J247" s="10"/>
      <c r="K247" s="10"/>
      <c r="L247" s="10"/>
      <c r="M247" s="10"/>
      <c r="N247" s="10"/>
      <c r="AR247" s="97"/>
    </row>
    <row r="248" spans="1:44">
      <c r="B248" s="3" t="s">
        <v>832</v>
      </c>
      <c r="C248" s="54"/>
      <c r="D248" s="3">
        <v>2024</v>
      </c>
      <c r="E248" s="54"/>
      <c r="J248" s="10"/>
      <c r="K248" s="10"/>
      <c r="L248" s="10"/>
      <c r="M248" s="10"/>
      <c r="N248" s="10"/>
      <c r="AR248" s="97"/>
    </row>
    <row r="249" spans="1:44">
      <c r="B249" s="3" t="s">
        <v>832</v>
      </c>
      <c r="C249" s="54"/>
      <c r="D249" s="3">
        <v>2025</v>
      </c>
      <c r="E249" s="54"/>
      <c r="J249" s="10"/>
      <c r="K249" s="10"/>
      <c r="L249" s="10"/>
      <c r="M249" s="10"/>
      <c r="N249" s="10"/>
      <c r="AR249" s="97"/>
    </row>
    <row r="250" spans="1:44">
      <c r="B250" s="3" t="s">
        <v>832</v>
      </c>
      <c r="C250" s="54"/>
      <c r="D250" s="3">
        <v>2026</v>
      </c>
      <c r="E250" s="54"/>
      <c r="J250" s="10"/>
      <c r="K250" s="10"/>
      <c r="L250" s="10"/>
      <c r="M250" s="10"/>
      <c r="N250" s="10"/>
      <c r="AR250" s="97"/>
    </row>
    <row r="251" spans="1:44">
      <c r="C251" s="54"/>
      <c r="E251" s="54"/>
      <c r="AR251" s="97"/>
    </row>
    <row r="252" spans="1:44">
      <c r="B252" s="3" t="s">
        <v>833</v>
      </c>
      <c r="C252" s="54"/>
      <c r="D252" s="3">
        <v>2020</v>
      </c>
      <c r="E252" s="54"/>
      <c r="J252" s="53">
        <f>SUMIFS(AZ$183:AZ$239, $H$183:$H$239,$D252, $J$183:$J$239, "&gt;0")</f>
        <v>7080859.1717543788</v>
      </c>
      <c r="K252" s="53">
        <f t="shared" ref="K252:N254" si="132">SUMIFS(BA$183:BA$239, $H$183:$H$239,$D252, $J$183:$J$239, "&gt;0")</f>
        <v>6835287.9218010278</v>
      </c>
      <c r="L252" s="53">
        <f t="shared" si="132"/>
        <v>6710773.330983744</v>
      </c>
      <c r="M252" s="53">
        <f t="shared" si="132"/>
        <v>6529367.7097163666</v>
      </c>
      <c r="N252" s="53">
        <f t="shared" si="132"/>
        <v>6355699.1067453679</v>
      </c>
      <c r="P252" s="5"/>
      <c r="AR252" s="97"/>
    </row>
    <row r="253" spans="1:44">
      <c r="B253" s="3" t="s">
        <v>833</v>
      </c>
      <c r="C253" s="54"/>
      <c r="D253" s="3">
        <v>2021</v>
      </c>
      <c r="E253" s="54"/>
      <c r="J253" s="53">
        <f t="shared" ref="J253:J254" si="133">SUMIFS(AZ$183:AZ$239, $H$183:$H$239,$D253, $J$183:$J$239, "&gt;0")</f>
        <v>4034382.6228028806</v>
      </c>
      <c r="K253" s="53">
        <f t="shared" si="132"/>
        <v>3901138.8418645137</v>
      </c>
      <c r="L253" s="53">
        <f t="shared" si="132"/>
        <v>3838341.5517383972</v>
      </c>
      <c r="M253" s="53">
        <f t="shared" si="132"/>
        <v>3742252.3828461566</v>
      </c>
      <c r="N253" s="53">
        <f t="shared" si="132"/>
        <v>3650035.3166619195</v>
      </c>
      <c r="AR253" s="97"/>
    </row>
    <row r="254" spans="1:44">
      <c r="B254" s="3" t="s">
        <v>833</v>
      </c>
      <c r="C254" s="54"/>
      <c r="D254" s="3">
        <v>2022</v>
      </c>
      <c r="E254" s="54"/>
      <c r="J254" s="53">
        <f t="shared" si="133"/>
        <v>4702919.2424076227</v>
      </c>
      <c r="K254" s="53">
        <f t="shared" si="132"/>
        <v>5851188.3139582779</v>
      </c>
      <c r="L254" s="53">
        <f t="shared" si="132"/>
        <v>5762490.1082527125</v>
      </c>
      <c r="M254" s="53">
        <f t="shared" si="132"/>
        <v>5624338.5943904724</v>
      </c>
      <c r="N254" s="53">
        <f t="shared" si="132"/>
        <v>5491542.976040083</v>
      </c>
      <c r="AR254" s="97"/>
    </row>
    <row r="255" spans="1:44">
      <c r="B255" s="3" t="s">
        <v>833</v>
      </c>
      <c r="C255" s="54"/>
      <c r="D255" s="3">
        <v>2023</v>
      </c>
      <c r="E255" s="54"/>
      <c r="J255" s="105"/>
      <c r="K255" s="105"/>
      <c r="L255" s="105"/>
      <c r="M255" s="105"/>
      <c r="N255" s="105"/>
      <c r="AR255" s="97"/>
    </row>
    <row r="256" spans="1:44">
      <c r="B256" s="3" t="s">
        <v>833</v>
      </c>
      <c r="C256" s="54"/>
      <c r="D256" s="3">
        <v>2024</v>
      </c>
      <c r="E256" s="54"/>
      <c r="J256" s="105"/>
      <c r="K256" s="105"/>
      <c r="L256" s="105"/>
      <c r="M256" s="105"/>
      <c r="N256" s="105"/>
      <c r="AR256" s="97"/>
    </row>
    <row r="257" spans="1:44">
      <c r="B257" s="3" t="s">
        <v>833</v>
      </c>
      <c r="C257" s="54"/>
      <c r="D257" s="3">
        <v>2025</v>
      </c>
      <c r="E257" s="54"/>
      <c r="J257" s="105"/>
      <c r="K257" s="105"/>
      <c r="L257" s="105"/>
      <c r="M257" s="105"/>
      <c r="N257" s="105"/>
      <c r="AR257" s="97"/>
    </row>
    <row r="258" spans="1:44">
      <c r="B258" s="3" t="s">
        <v>833</v>
      </c>
      <c r="C258" s="54"/>
      <c r="D258" s="3">
        <v>2026</v>
      </c>
      <c r="E258" s="54"/>
      <c r="J258" s="105"/>
      <c r="K258" s="105"/>
      <c r="L258" s="105"/>
      <c r="M258" s="105"/>
      <c r="N258" s="105"/>
      <c r="AR258" s="97"/>
    </row>
    <row r="260" spans="1:44" s="8" customFormat="1">
      <c r="A260" s="161"/>
      <c r="B260" s="8" t="s">
        <v>834</v>
      </c>
      <c r="D260" s="8" t="s">
        <v>175</v>
      </c>
      <c r="J260" s="52">
        <v>2022</v>
      </c>
      <c r="K260" s="52">
        <v>2023</v>
      </c>
      <c r="L260" s="52">
        <v>2024</v>
      </c>
      <c r="M260" s="52">
        <v>2025</v>
      </c>
      <c r="N260" s="52">
        <v>2026</v>
      </c>
    </row>
    <row r="262" spans="1:44">
      <c r="B262" s="3" t="s">
        <v>835</v>
      </c>
      <c r="D262" s="3" t="s">
        <v>183</v>
      </c>
      <c r="J262" s="53">
        <f t="shared" ref="J262:N264" si="134">J244-J163</f>
        <v>57183.223810285104</v>
      </c>
      <c r="K262" s="53">
        <f t="shared" si="134"/>
        <v>55338.603687372677</v>
      </c>
      <c r="L262" s="53">
        <f t="shared" si="134"/>
        <v>55338.603687372677</v>
      </c>
      <c r="M262" s="53">
        <f t="shared" si="134"/>
        <v>55338.603687372677</v>
      </c>
      <c r="N262" s="53">
        <f t="shared" si="134"/>
        <v>55338.603687372677</v>
      </c>
    </row>
    <row r="263" spans="1:44">
      <c r="B263" s="3" t="s">
        <v>836</v>
      </c>
      <c r="D263" s="3" t="s">
        <v>183</v>
      </c>
      <c r="J263" s="53">
        <f t="shared" si="134"/>
        <v>423728.43619367114</v>
      </c>
      <c r="K263" s="53">
        <f t="shared" si="134"/>
        <v>410059.77696161717</v>
      </c>
      <c r="L263" s="53">
        <f t="shared" si="134"/>
        <v>410059.77696161717</v>
      </c>
      <c r="M263" s="53">
        <f t="shared" si="134"/>
        <v>410059.77696161717</v>
      </c>
      <c r="N263" s="53">
        <f t="shared" si="134"/>
        <v>410059.77696161717</v>
      </c>
    </row>
    <row r="264" spans="1:44">
      <c r="B264" s="3" t="s">
        <v>837</v>
      </c>
      <c r="D264" s="3" t="s">
        <v>183</v>
      </c>
      <c r="J264" s="53">
        <f t="shared" si="134"/>
        <v>-172190.12302999792</v>
      </c>
      <c r="K264" s="53">
        <f t="shared" si="134"/>
        <v>-166635.60293225606</v>
      </c>
      <c r="L264" s="53">
        <f t="shared" si="134"/>
        <v>-166635.60293225606</v>
      </c>
      <c r="M264" s="53">
        <f t="shared" si="134"/>
        <v>-166635.60293225606</v>
      </c>
      <c r="N264" s="53">
        <f t="shared" si="134"/>
        <v>-166635.60293225606</v>
      </c>
    </row>
    <row r="265" spans="1:44">
      <c r="B265" s="3" t="s">
        <v>838</v>
      </c>
      <c r="D265" s="3" t="s">
        <v>183</v>
      </c>
      <c r="J265" s="105"/>
      <c r="K265" s="105"/>
      <c r="L265" s="105"/>
      <c r="M265" s="105"/>
      <c r="N265" s="105"/>
    </row>
    <row r="266" spans="1:44">
      <c r="B266" s="3" t="s">
        <v>839</v>
      </c>
      <c r="D266" s="3" t="s">
        <v>183</v>
      </c>
      <c r="J266" s="105"/>
      <c r="K266" s="105"/>
      <c r="L266" s="105"/>
      <c r="M266" s="105"/>
      <c r="N266" s="105"/>
    </row>
    <row r="267" spans="1:44">
      <c r="B267" s="3" t="s">
        <v>840</v>
      </c>
      <c r="D267" s="3" t="s">
        <v>183</v>
      </c>
      <c r="J267" s="105"/>
      <c r="K267" s="105"/>
      <c r="L267" s="105"/>
      <c r="M267" s="105"/>
      <c r="N267" s="105"/>
    </row>
    <row r="268" spans="1:44">
      <c r="B268" s="3" t="s">
        <v>841</v>
      </c>
      <c r="D268" s="3" t="s">
        <v>183</v>
      </c>
      <c r="J268" s="105"/>
      <c r="K268" s="105"/>
      <c r="L268" s="105"/>
      <c r="M268" s="105"/>
      <c r="N268" s="105"/>
    </row>
    <row r="270" spans="1:44">
      <c r="B270" s="3" t="s">
        <v>842</v>
      </c>
      <c r="D270" s="3" t="s">
        <v>183</v>
      </c>
      <c r="J270" s="53">
        <f t="shared" ref="J270:N272" si="135">J252-J171</f>
        <v>-6972134.0069844499</v>
      </c>
      <c r="K270" s="53">
        <f t="shared" si="135"/>
        <v>-6541315.6324111586</v>
      </c>
      <c r="L270" s="53">
        <f t="shared" si="135"/>
        <v>-6230047.2948876573</v>
      </c>
      <c r="M270" s="53">
        <f t="shared" si="135"/>
        <v>-5899041.9045929741</v>
      </c>
      <c r="N270" s="53">
        <f t="shared" si="135"/>
        <v>-5759373.8436950203</v>
      </c>
    </row>
    <row r="271" spans="1:44">
      <c r="B271" s="3" t="s">
        <v>843</v>
      </c>
      <c r="D271" s="3" t="s">
        <v>183</v>
      </c>
      <c r="J271" s="53">
        <f t="shared" si="135"/>
        <v>-10185940.483087737</v>
      </c>
      <c r="K271" s="53">
        <f t="shared" si="135"/>
        <v>-9659535.3411076628</v>
      </c>
      <c r="L271" s="53">
        <f t="shared" si="135"/>
        <v>-9304613.1404237226</v>
      </c>
      <c r="M271" s="53">
        <f t="shared" si="135"/>
        <v>-8902631.6951498389</v>
      </c>
      <c r="N271" s="53">
        <f t="shared" si="135"/>
        <v>-8641792.6095556207</v>
      </c>
    </row>
    <row r="272" spans="1:44">
      <c r="B272" s="3" t="s">
        <v>844</v>
      </c>
      <c r="D272" s="3" t="s">
        <v>183</v>
      </c>
      <c r="J272" s="53">
        <f t="shared" si="135"/>
        <v>-6156420.4060156634</v>
      </c>
      <c r="K272" s="53">
        <f t="shared" si="135"/>
        <v>-8254510.3852345031</v>
      </c>
      <c r="L272" s="53">
        <f t="shared" si="135"/>
        <v>-7907865.1409564735</v>
      </c>
      <c r="M272" s="53">
        <f t="shared" si="135"/>
        <v>-7530620.2154559083</v>
      </c>
      <c r="N272" s="53">
        <f t="shared" si="135"/>
        <v>-7187662.0175945433</v>
      </c>
    </row>
    <row r="273" spans="2:14">
      <c r="B273" s="3" t="s">
        <v>845</v>
      </c>
      <c r="D273" s="3" t="s">
        <v>183</v>
      </c>
      <c r="J273" s="105"/>
      <c r="K273" s="105"/>
      <c r="L273" s="105"/>
      <c r="M273" s="105"/>
      <c r="N273" s="105"/>
    </row>
    <row r="274" spans="2:14">
      <c r="B274" s="3" t="s">
        <v>846</v>
      </c>
      <c r="D274" s="3" t="s">
        <v>183</v>
      </c>
      <c r="J274" s="105"/>
      <c r="K274" s="105"/>
      <c r="L274" s="105"/>
      <c r="M274" s="105"/>
      <c r="N274" s="105"/>
    </row>
    <row r="275" spans="2:14">
      <c r="B275" s="3" t="s">
        <v>847</v>
      </c>
      <c r="D275" s="3" t="s">
        <v>183</v>
      </c>
      <c r="J275" s="105"/>
      <c r="K275" s="105"/>
      <c r="L275" s="105"/>
      <c r="M275" s="105"/>
      <c r="N275" s="105"/>
    </row>
    <row r="276" spans="2:14">
      <c r="B276" s="3" t="s">
        <v>848</v>
      </c>
      <c r="D276" s="3" t="s">
        <v>183</v>
      </c>
      <c r="J276" s="105"/>
      <c r="K276" s="105"/>
      <c r="L276" s="105"/>
      <c r="M276" s="105"/>
      <c r="N276" s="105"/>
    </row>
    <row r="278" spans="2:14">
      <c r="B278" s="3" t="s">
        <v>849</v>
      </c>
      <c r="D278" s="3" t="s">
        <v>183</v>
      </c>
      <c r="J278" s="53">
        <f>J270</f>
        <v>-6972134.0069844499</v>
      </c>
      <c r="K278" s="53">
        <f>K270+K271+J271*K33</f>
        <v>-26590510.266268313</v>
      </c>
      <c r="L278" s="57">
        <f>L270+L271+L272+J272*L33+K272*L34+L262+L263+L264+(J262+J263+J264)*L33+(K262+K263+K264)*L34</f>
        <v>-37620979.270649046</v>
      </c>
      <c r="M278" s="105"/>
      <c r="N278" s="105"/>
    </row>
  </sheetData>
  <mergeCells count="3">
    <mergeCell ref="B5:D5"/>
    <mergeCell ref="B7:D7"/>
    <mergeCell ref="B8:D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157"/>
  <sheetViews>
    <sheetView showGridLines="0" zoomScale="90" zoomScaleNormal="90" workbookViewId="0"/>
  </sheetViews>
  <sheetFormatPr defaultColWidth="13.7109375" defaultRowHeight="12.75"/>
  <cols>
    <col min="1" max="1" width="2.7109375" style="3" customWidth="1"/>
    <col min="2" max="2" width="63.28515625" style="3" customWidth="1"/>
    <col min="3" max="3" width="2.7109375" style="3" customWidth="1"/>
    <col min="4" max="4" width="54.7109375" style="3" customWidth="1"/>
    <col min="5" max="5" width="2.7109375" style="3" customWidth="1"/>
    <col min="6" max="6" width="37.5703125" style="3" bestFit="1" customWidth="1"/>
    <col min="7" max="7" width="33.5703125" style="3" bestFit="1" customWidth="1"/>
    <col min="8" max="8" width="34.28515625" style="3" bestFit="1" customWidth="1"/>
    <col min="9" max="9" width="25.42578125" style="3" bestFit="1" customWidth="1"/>
    <col min="10" max="10" width="24.140625" style="3" bestFit="1" customWidth="1"/>
    <col min="11" max="11" width="27.42578125" style="3" bestFit="1" customWidth="1"/>
    <col min="12" max="12" width="15.7109375" style="3" customWidth="1"/>
    <col min="13" max="13" width="21.42578125" style="3" customWidth="1"/>
    <col min="14" max="14" width="33.5703125" style="3" bestFit="1" customWidth="1"/>
    <col min="15" max="15" width="2.5703125" style="3" customWidth="1"/>
    <col min="16" max="16" width="14.42578125" style="3" customWidth="1"/>
    <col min="17" max="17" width="14.28515625" style="3" customWidth="1"/>
    <col min="18" max="18" width="15" style="3" customWidth="1"/>
    <col min="19" max="19" width="15.7109375" style="3" customWidth="1"/>
    <col min="20" max="20" width="13.7109375" style="3" customWidth="1"/>
    <col min="21" max="21" width="2.5703125" style="3" customWidth="1"/>
    <col min="22" max="22" width="12.7109375" style="3" customWidth="1"/>
    <col min="23" max="26" width="15.7109375" style="3" customWidth="1"/>
    <col min="27" max="27" width="2.5703125" style="3" customWidth="1"/>
    <col min="28" max="28" width="13.28515625" style="3" customWidth="1"/>
    <col min="29" max="32" width="15.7109375" style="3" customWidth="1"/>
    <col min="33" max="33" width="2.5703125" style="3" customWidth="1"/>
    <col min="34" max="34" width="15" style="3" customWidth="1"/>
    <col min="35" max="38" width="15.7109375" style="3" customWidth="1"/>
    <col min="39" max="39" width="2.5703125" style="3" customWidth="1"/>
    <col min="40" max="40" width="14.140625" style="3" bestFit="1" customWidth="1"/>
    <col min="41" max="44" width="13.7109375" style="3"/>
    <col min="52" max="52" width="15.7109375" style="3" customWidth="1"/>
    <col min="53" max="16384" width="13.7109375" style="3"/>
  </cols>
  <sheetData>
    <row r="2" spans="1:51" s="12" customFormat="1" ht="18">
      <c r="B2" s="12" t="s">
        <v>850</v>
      </c>
    </row>
    <row r="4" spans="1:51">
      <c r="B4" s="16" t="s">
        <v>786</v>
      </c>
    </row>
    <row r="5" spans="1:51" ht="42.75" customHeight="1">
      <c r="B5" s="322" t="s">
        <v>851</v>
      </c>
      <c r="C5" s="322"/>
      <c r="D5" s="322"/>
      <c r="F5" s="197"/>
    </row>
    <row r="7" spans="1:51">
      <c r="B7" s="330" t="s">
        <v>788</v>
      </c>
      <c r="C7" s="331"/>
      <c r="D7" s="331"/>
      <c r="F7" s="13"/>
      <c r="AS7" s="3"/>
      <c r="AT7" s="3"/>
      <c r="AU7" s="3"/>
      <c r="AV7" s="3"/>
      <c r="AW7" s="3"/>
      <c r="AX7" s="3"/>
      <c r="AY7" s="3"/>
    </row>
    <row r="8" spans="1:51" ht="55.5" customHeight="1">
      <c r="B8" s="322" t="s">
        <v>852</v>
      </c>
      <c r="C8" s="322"/>
      <c r="D8" s="322"/>
      <c r="F8" s="13"/>
      <c r="AS8" s="3"/>
      <c r="AT8" s="3"/>
      <c r="AU8" s="3"/>
      <c r="AV8" s="3"/>
      <c r="AW8" s="3"/>
      <c r="AX8" s="3"/>
      <c r="AY8" s="3"/>
    </row>
    <row r="10" spans="1:51" s="8" customFormat="1">
      <c r="B10" s="8" t="s">
        <v>134</v>
      </c>
      <c r="H10" s="59"/>
      <c r="I10" s="52"/>
      <c r="J10" s="59"/>
      <c r="K10" s="52"/>
      <c r="L10" s="52"/>
      <c r="M10" s="52"/>
    </row>
    <row r="12" spans="1:51" s="39" customFormat="1">
      <c r="A12" s="106"/>
      <c r="B12" s="39" t="s">
        <v>790</v>
      </c>
    </row>
    <row r="13" spans="1:51" s="40" customFormat="1">
      <c r="A13" s="107"/>
      <c r="B13" s="40" t="s">
        <v>134</v>
      </c>
      <c r="D13" s="40" t="s">
        <v>175</v>
      </c>
      <c r="F13" s="40" t="s">
        <v>176</v>
      </c>
      <c r="H13" s="109">
        <v>2022</v>
      </c>
      <c r="I13" s="109">
        <v>2023</v>
      </c>
      <c r="J13" s="109">
        <v>2024</v>
      </c>
      <c r="K13" s="109">
        <v>2025</v>
      </c>
      <c r="L13" s="109">
        <v>2026</v>
      </c>
    </row>
    <row r="14" spans="1:51" s="110" customFormat="1">
      <c r="H14" s="111"/>
      <c r="I14" s="112"/>
      <c r="J14" s="111"/>
      <c r="K14" s="112"/>
      <c r="L14" s="112"/>
      <c r="Q14" s="112"/>
      <c r="U14" s="112"/>
      <c r="V14" s="112"/>
      <c r="W14" s="112"/>
      <c r="AA14" s="112"/>
      <c r="AB14" s="112"/>
      <c r="AC14" s="112"/>
    </row>
    <row r="15" spans="1:51">
      <c r="B15" s="16" t="s">
        <v>184</v>
      </c>
    </row>
    <row r="16" spans="1:51">
      <c r="B16" s="158" t="s">
        <v>791</v>
      </c>
      <c r="D16" s="3" t="s">
        <v>180</v>
      </c>
      <c r="H16" s="149">
        <f>IF(ISBLANK('2. Parameters'!M26),'2. Parameters'!M23,'2. Parameters'!M26)</f>
        <v>0.04</v>
      </c>
      <c r="I16" s="149">
        <f>IF(ISBLANK('2. Parameters'!N26),'2. Parameters'!N23,'2. Parameters'!N26)</f>
        <v>0.03</v>
      </c>
      <c r="J16" s="149">
        <f>IF(ISBLANK('2. Parameters'!O26),'2. Parameters'!O23,'2. Parameters'!O26)</f>
        <v>0.03</v>
      </c>
      <c r="K16" s="149">
        <f>IF(ISBLANK('2. Parameters'!P26),'2. Parameters'!P23,'2. Parameters'!P26)</f>
        <v>0.03</v>
      </c>
      <c r="L16" s="149">
        <f>IF(ISBLANK('2. Parameters'!Q26),'2. Parameters'!Q23,'2. Parameters'!Q26)</f>
        <v>0.03</v>
      </c>
    </row>
    <row r="18" spans="1:51">
      <c r="B18" s="16" t="s">
        <v>193</v>
      </c>
    </row>
    <row r="19" spans="1:51">
      <c r="B19" s="3" t="s">
        <v>193</v>
      </c>
      <c r="D19" s="3" t="s">
        <v>180</v>
      </c>
      <c r="F19" s="85">
        <f>'2. Parameters'!F30</f>
        <v>0.01</v>
      </c>
    </row>
    <row r="20" spans="1:51" s="98" customFormat="1">
      <c r="A20" s="3"/>
      <c r="F20" s="114"/>
    </row>
    <row r="21" spans="1:51" s="98" customFormat="1">
      <c r="A21" s="3"/>
      <c r="B21" s="115" t="s">
        <v>218</v>
      </c>
      <c r="F21" s="114"/>
    </row>
    <row r="22" spans="1:51">
      <c r="B22" s="3" t="s">
        <v>218</v>
      </c>
      <c r="F22" s="116">
        <f>'2. Parameters'!F86</f>
        <v>1.3</v>
      </c>
    </row>
    <row r="24" spans="1:51">
      <c r="B24" s="2" t="s">
        <v>219</v>
      </c>
    </row>
    <row r="25" spans="1:51">
      <c r="B25" s="3" t="s">
        <v>219</v>
      </c>
      <c r="D25" s="3" t="s">
        <v>180</v>
      </c>
      <c r="F25" s="86">
        <f>'2. Parameters'!F90</f>
        <v>0.1</v>
      </c>
    </row>
    <row r="27" spans="1:51">
      <c r="B27" s="2" t="s">
        <v>220</v>
      </c>
    </row>
    <row r="28" spans="1:51">
      <c r="B28" s="3" t="s">
        <v>220</v>
      </c>
      <c r="D28" s="3" t="s">
        <v>180</v>
      </c>
      <c r="F28" s="86">
        <f>'2. Parameters'!F94</f>
        <v>0.9</v>
      </c>
    </row>
    <row r="30" spans="1:51">
      <c r="B30" s="2" t="s">
        <v>217</v>
      </c>
      <c r="AS30" s="3"/>
      <c r="AT30" s="3"/>
      <c r="AU30" s="3"/>
      <c r="AV30" s="3"/>
      <c r="AW30" s="3"/>
      <c r="AX30" s="3"/>
      <c r="AY30" s="3"/>
    </row>
    <row r="31" spans="1:51">
      <c r="B31" s="3" t="s">
        <v>217</v>
      </c>
      <c r="D31" s="3" t="s">
        <v>180</v>
      </c>
      <c r="F31" s="159">
        <f>'2. Parameters'!F82</f>
        <v>0.93700000000000006</v>
      </c>
      <c r="AS31" s="3"/>
      <c r="AT31" s="3"/>
      <c r="AU31" s="3"/>
      <c r="AV31" s="3"/>
      <c r="AW31" s="3"/>
      <c r="AX31" s="3"/>
      <c r="AY31" s="3"/>
    </row>
    <row r="32" spans="1:51">
      <c r="AS32" s="3"/>
      <c r="AT32" s="3"/>
      <c r="AU32" s="3"/>
      <c r="AV32" s="3"/>
      <c r="AW32" s="3"/>
      <c r="AX32" s="3"/>
      <c r="AY32" s="3"/>
    </row>
    <row r="33" spans="2:40">
      <c r="B33" s="16" t="s">
        <v>214</v>
      </c>
    </row>
    <row r="34" spans="2:40">
      <c r="B34" s="32" t="s">
        <v>204</v>
      </c>
      <c r="D34" s="3" t="s">
        <v>792</v>
      </c>
      <c r="H34" s="38">
        <f>'2. Parameters'!M74</f>
        <v>1</v>
      </c>
      <c r="I34" s="38">
        <f>'2. Parameters'!N74</f>
        <v>1.02</v>
      </c>
      <c r="J34" s="38">
        <f>'2. Parameters'!O74</f>
        <v>1.0608</v>
      </c>
      <c r="K34" s="38">
        <f>'2. Parameters'!P74</f>
        <v>1.103232</v>
      </c>
      <c r="L34" s="38">
        <f>'2. Parameters'!Q74</f>
        <v>1.1473612799999999</v>
      </c>
    </row>
    <row r="35" spans="2:40">
      <c r="B35" s="32" t="s">
        <v>205</v>
      </c>
      <c r="D35" s="3" t="s">
        <v>792</v>
      </c>
      <c r="H35" s="10"/>
      <c r="I35" s="38">
        <f>'2. Parameters'!N75</f>
        <v>1</v>
      </c>
      <c r="J35" s="38">
        <f>'2. Parameters'!O75</f>
        <v>1.04</v>
      </c>
      <c r="K35" s="38">
        <f>'2. Parameters'!P75</f>
        <v>1.0816000000000001</v>
      </c>
      <c r="L35" s="38">
        <f>'2. Parameters'!Q75</f>
        <v>1.1248640000000001</v>
      </c>
    </row>
    <row r="36" spans="2:40">
      <c r="B36" s="32" t="s">
        <v>206</v>
      </c>
      <c r="D36" s="3" t="s">
        <v>792</v>
      </c>
      <c r="H36" s="10"/>
      <c r="I36" s="10"/>
      <c r="J36" s="38">
        <f>'2. Parameters'!O76</f>
        <v>1</v>
      </c>
      <c r="K36" s="38">
        <f>'2. Parameters'!P76</f>
        <v>1.04</v>
      </c>
      <c r="L36" s="38">
        <f>'2. Parameters'!Q76</f>
        <v>1.0816000000000001</v>
      </c>
    </row>
    <row r="37" spans="2:40">
      <c r="B37" s="32" t="s">
        <v>207</v>
      </c>
      <c r="D37" s="3" t="s">
        <v>792</v>
      </c>
      <c r="H37" s="10"/>
      <c r="I37" s="10"/>
      <c r="J37" s="10"/>
      <c r="K37" s="38">
        <f>'2. Parameters'!P77</f>
        <v>1</v>
      </c>
      <c r="L37" s="38">
        <f>'2. Parameters'!Q77</f>
        <v>1.04</v>
      </c>
    </row>
    <row r="38" spans="2:40">
      <c r="B38" s="32" t="s">
        <v>208</v>
      </c>
      <c r="D38" s="3" t="s">
        <v>792</v>
      </c>
      <c r="H38" s="10"/>
      <c r="I38" s="10"/>
      <c r="J38" s="10"/>
      <c r="K38" s="10"/>
      <c r="L38" s="38">
        <f>'2. Parameters'!Q78</f>
        <v>1</v>
      </c>
    </row>
    <row r="40" spans="2:40">
      <c r="B40" s="2" t="s">
        <v>194</v>
      </c>
    </row>
    <row r="41" spans="2:40">
      <c r="B41" s="3" t="s">
        <v>795</v>
      </c>
      <c r="D41" s="3" t="s">
        <v>199</v>
      </c>
      <c r="H41" s="38">
        <f>'2. Parameters'!M43</f>
        <v>1</v>
      </c>
      <c r="I41" s="38">
        <f>'2. Parameters'!N43</f>
        <v>1.0620000000000001</v>
      </c>
      <c r="J41" s="38">
        <f>'2. Parameters'!O43</f>
        <v>1.1469600000000002</v>
      </c>
      <c r="K41" s="38">
        <f>'2. Parameters'!P43</f>
        <v>1.16645832</v>
      </c>
      <c r="L41" s="38">
        <f>'2. Parameters'!Q43</f>
        <v>1.1862881114399999</v>
      </c>
    </row>
    <row r="42" spans="2:40">
      <c r="B42" s="3" t="s">
        <v>796</v>
      </c>
      <c r="D42" s="3" t="s">
        <v>199</v>
      </c>
      <c r="H42" s="10"/>
      <c r="I42" s="38">
        <f>'2. Parameters'!N44</f>
        <v>1</v>
      </c>
      <c r="J42" s="38">
        <f>'2. Parameters'!O44</f>
        <v>1.08</v>
      </c>
      <c r="K42" s="38">
        <f>'2. Parameters'!P44</f>
        <v>1.09836</v>
      </c>
      <c r="L42" s="38">
        <f>'2. Parameters'!Q44</f>
        <v>1.11703212</v>
      </c>
    </row>
    <row r="43" spans="2:40">
      <c r="B43" s="3" t="s">
        <v>797</v>
      </c>
      <c r="D43" s="3" t="s">
        <v>199</v>
      </c>
      <c r="H43" s="10"/>
      <c r="I43" s="10"/>
      <c r="J43" s="38">
        <f>'2. Parameters'!O45</f>
        <v>1</v>
      </c>
      <c r="K43" s="38">
        <f>'2. Parameters'!P45</f>
        <v>1.0169999999999999</v>
      </c>
      <c r="L43" s="38">
        <f>'2. Parameters'!Q45</f>
        <v>1.0342889999999998</v>
      </c>
    </row>
    <row r="44" spans="2:40">
      <c r="B44" s="3" t="s">
        <v>798</v>
      </c>
      <c r="D44" s="3" t="s">
        <v>199</v>
      </c>
      <c r="H44" s="10"/>
      <c r="I44" s="10"/>
      <c r="J44" s="10"/>
      <c r="K44" s="38">
        <f>'2. Parameters'!P46</f>
        <v>1</v>
      </c>
      <c r="L44" s="38">
        <f>'2. Parameters'!Q46</f>
        <v>1.0169999999999999</v>
      </c>
    </row>
    <row r="45" spans="2:40">
      <c r="B45" s="3" t="s">
        <v>799</v>
      </c>
      <c r="D45" s="3" t="s">
        <v>199</v>
      </c>
      <c r="H45" s="10"/>
      <c r="I45" s="10"/>
      <c r="J45" s="10"/>
      <c r="K45" s="10"/>
      <c r="L45" s="38">
        <f>'2. Parameters'!Q47</f>
        <v>1</v>
      </c>
    </row>
    <row r="47" spans="2:40" s="39" customFormat="1">
      <c r="B47" s="39" t="s">
        <v>853</v>
      </c>
    </row>
    <row r="48" spans="2:40" s="42" customFormat="1">
      <c r="P48" s="42" t="s">
        <v>804</v>
      </c>
      <c r="V48" s="42" t="s">
        <v>805</v>
      </c>
      <c r="AB48" s="42" t="s">
        <v>806</v>
      </c>
      <c r="AH48" s="42" t="s">
        <v>807</v>
      </c>
      <c r="AN48" s="42" t="s">
        <v>808</v>
      </c>
    </row>
    <row r="49" spans="1:51" s="45" customFormat="1">
      <c r="B49" s="45" t="s">
        <v>811</v>
      </c>
      <c r="F49" s="45" t="s">
        <v>854</v>
      </c>
      <c r="G49" s="46" t="s">
        <v>488</v>
      </c>
      <c r="H49" s="46" t="s">
        <v>855</v>
      </c>
      <c r="I49" s="46" t="s">
        <v>813</v>
      </c>
      <c r="J49" s="45" t="s">
        <v>856</v>
      </c>
      <c r="K49" s="45" t="s">
        <v>333</v>
      </c>
      <c r="M49" s="45" t="s">
        <v>815</v>
      </c>
      <c r="N49" s="45" t="s">
        <v>857</v>
      </c>
      <c r="P49" s="51">
        <v>2022</v>
      </c>
      <c r="Q49" s="51">
        <v>2023</v>
      </c>
      <c r="R49" s="51">
        <v>2024</v>
      </c>
      <c r="S49" s="51">
        <v>2025</v>
      </c>
      <c r="T49" s="51">
        <v>2026</v>
      </c>
      <c r="V49" s="51">
        <v>2022</v>
      </c>
      <c r="W49" s="51">
        <v>2023</v>
      </c>
      <c r="X49" s="51">
        <v>2024</v>
      </c>
      <c r="Y49" s="51">
        <v>2025</v>
      </c>
      <c r="Z49" s="51">
        <v>2026</v>
      </c>
      <c r="AB49" s="51">
        <v>2022</v>
      </c>
      <c r="AC49" s="51">
        <v>2023</v>
      </c>
      <c r="AD49" s="51">
        <v>2024</v>
      </c>
      <c r="AE49" s="51">
        <v>2025</v>
      </c>
      <c r="AF49" s="51">
        <v>2026</v>
      </c>
      <c r="AH49" s="51">
        <v>2022</v>
      </c>
      <c r="AI49" s="51">
        <v>2023</v>
      </c>
      <c r="AJ49" s="51">
        <v>2024</v>
      </c>
      <c r="AK49" s="51">
        <v>2025</v>
      </c>
      <c r="AL49" s="51">
        <v>2026</v>
      </c>
      <c r="AN49" s="51">
        <v>2022</v>
      </c>
      <c r="AO49" s="51">
        <v>2023</v>
      </c>
      <c r="AP49" s="51">
        <v>2024</v>
      </c>
      <c r="AQ49" s="51">
        <v>2025</v>
      </c>
      <c r="AR49" s="51">
        <v>2026</v>
      </c>
    </row>
    <row r="50" spans="1:51" s="54" customFormat="1">
      <c r="G50" s="55"/>
      <c r="H50" s="55"/>
      <c r="I50" s="55"/>
    </row>
    <row r="51" spans="1:51">
      <c r="A51" s="54"/>
      <c r="B51" s="43">
        <f>'11. Desinvesteringen'!B335</f>
        <v>316</v>
      </c>
      <c r="C51" s="54"/>
      <c r="D51" s="54"/>
      <c r="E51" s="54"/>
      <c r="F51" s="48">
        <f>'5. Input GAW-waarde desinv.'!D11</f>
        <v>0</v>
      </c>
      <c r="G51" s="188">
        <f>'11. Desinvesteringen'!D335</f>
        <v>1949</v>
      </c>
      <c r="H51" s="188">
        <f>'11. Desinvesteringen'!G335</f>
        <v>2022</v>
      </c>
      <c r="I51" s="43" t="str">
        <f>'11. Desinvesteringen'!C335</f>
        <v>01 Regionale leidingen</v>
      </c>
      <c r="J51" s="177">
        <f>'11. Desinvesteringen'!F335</f>
        <v>0</v>
      </c>
      <c r="K51" s="44">
        <f>_xlfn.XLOOKUP(I51,'3. Input (des)investeringen '!$B$11:$B$80,'3. Input (des)investeringen '!$E$11:$E$80)</f>
        <v>1</v>
      </c>
      <c r="L51" s="54"/>
      <c r="M51" s="44">
        <f>_xlfn.XLOOKUP(I51,'3. Input (des)investeringen '!$B$11:$B$80,'3. Input (des)investeringen '!$D$11:$D$80,0)</f>
        <v>55</v>
      </c>
      <c r="N51" s="44">
        <f>IF($M51&gt;0, MAX(0,IF(G51&lt;2022,M51-2021+G51-0.5,M51)), 0)</f>
        <v>0</v>
      </c>
      <c r="P51" s="49">
        <f>IF($M51&gt;0, IF(OR($G51&gt;P$49,$G51+$M51&lt;P$49),0,
VDB($F51,0,$N51,MAX(0,P$49-2022),MIN($N51,P$49-2021),$F$22,FALSE))*(1-$F$25), 0)</f>
        <v>0</v>
      </c>
      <c r="Q51" s="49">
        <f>IF($M51&gt;0, IF(OR($G51&gt;Q$49,$G51+$M51&lt;Q$49),0,
VDB($F51,0,$N51,MAX(0,Q$49-2022),MIN($N51,Q$49-2021),$F$22,FALSE))*(1-$F$25), 0)</f>
        <v>0</v>
      </c>
      <c r="R51" s="49">
        <f t="shared" ref="R51:T66" si="0">IF($M51&gt;0, IF(OR($G51&gt;R$49,$G51+$M51&lt;R$49),0,
VDB($F51,0,$N51,MAX(0,R$49-2022),MIN($N51,R$49-2021),$F$22,FALSE))*(1-$F$25), 0)</f>
        <v>0</v>
      </c>
      <c r="S51" s="103">
        <f t="shared" si="0"/>
        <v>0</v>
      </c>
      <c r="T51" s="103">
        <f t="shared" si="0"/>
        <v>0</v>
      </c>
      <c r="V51" s="49">
        <f>IF($M51&gt;0, IF(OR($G51&gt;V$49,$G51+$M51&lt;V$49),0,
VDB($F51,0,$N51,MAX(0,P$49-2022),MIN($N51,P$49-2021),1,FALSE))*$F$25, 0)</f>
        <v>0</v>
      </c>
      <c r="W51" s="49">
        <f t="shared" ref="W51:Z51" si="1">IF($M51&gt;0, IF(OR($G51&gt;W$49,$G51+$M51&lt;W$49),0,
VDB($F51,0,$N51,MAX(0,Q$49-2022),MIN($N51,Q$49-2021),1,FALSE))*$F$25, 0)</f>
        <v>0</v>
      </c>
      <c r="X51" s="49">
        <f t="shared" si="1"/>
        <v>0</v>
      </c>
      <c r="Y51" s="103">
        <f t="shared" si="1"/>
        <v>0</v>
      </c>
      <c r="Z51" s="103">
        <f t="shared" si="1"/>
        <v>0</v>
      </c>
      <c r="AB51" s="49">
        <f>P51+V51</f>
        <v>0</v>
      </c>
      <c r="AC51" s="49">
        <f>Q51+W51</f>
        <v>0</v>
      </c>
      <c r="AD51" s="49">
        <f>R51+X51</f>
        <v>0</v>
      </c>
      <c r="AE51" s="103">
        <f t="shared" ref="AE51:AF51" si="2">S51+Y51</f>
        <v>0</v>
      </c>
      <c r="AF51" s="103">
        <f t="shared" si="2"/>
        <v>0</v>
      </c>
      <c r="AH51" s="49">
        <f>IF($M51&gt;0, IF($M51&gt;0,IF(OR($G51&gt;AH$49,$G51+$M51&lt;=AH$49),0,IF(AH$49=2022,$F51-AB51,AG51-AB51))), $F51)</f>
        <v>0</v>
      </c>
      <c r="AI51" s="49">
        <f>IF($M51&gt;0, IF(OR($G51&gt;AI$49,$G51+$M51&lt;=AI$49),0,IF(AI$49=2022,$F51-AC51,AH51-AC51)), AH51)</f>
        <v>0</v>
      </c>
      <c r="AJ51" s="49">
        <f t="shared" ref="AJ51:AL51" si="3">IF($M51&gt;0, IF(OR($G51&gt;AJ$49,$G51+$M51&lt;=AJ$49),0,IF(AJ$49=2022,$F51-AD51,AI51-AD51)), AI51)</f>
        <v>0</v>
      </c>
      <c r="AK51" s="103">
        <f t="shared" si="3"/>
        <v>0</v>
      </c>
      <c r="AL51" s="103">
        <f t="shared" si="3"/>
        <v>0</v>
      </c>
      <c r="AN51" s="53">
        <f t="shared" ref="AN51" si="4">(AB51+AH51*H$16)*IF($K51=1,$F$31,1)</f>
        <v>0</v>
      </c>
      <c r="AO51" s="53">
        <f t="shared" ref="AO51" si="5">(AC51+AI51*I$16)*IF($K51=1,$F$31,1)</f>
        <v>0</v>
      </c>
      <c r="AP51" s="53">
        <f t="shared" ref="AP51" si="6">(AD51+AJ51*J$16)*IF($K51=1,$F$31,1)</f>
        <v>0</v>
      </c>
      <c r="AQ51" s="206">
        <f t="shared" ref="AQ51" si="7">(AE51+AK51*K$16)*IF($K51=1,$F$31,1)</f>
        <v>0</v>
      </c>
      <c r="AR51" s="206">
        <f t="shared" ref="AR51" si="8">(AF51+AL51*L$16)*IF($K51=1,$F$31,1)</f>
        <v>0</v>
      </c>
      <c r="AY51" s="3"/>
    </row>
    <row r="52" spans="1:51">
      <c r="A52" s="54"/>
      <c r="B52" s="43">
        <f>'11. Desinvesteringen'!B336</f>
        <v>317</v>
      </c>
      <c r="C52" s="54"/>
      <c r="D52" s="54"/>
      <c r="E52" s="54"/>
      <c r="F52" s="48">
        <f>'5. Input GAW-waarde desinv.'!D12</f>
        <v>0</v>
      </c>
      <c r="G52" s="188">
        <f>'11. Desinvesteringen'!D336</f>
        <v>1951</v>
      </c>
      <c r="H52" s="188">
        <f>'11. Desinvesteringen'!G336</f>
        <v>2022</v>
      </c>
      <c r="I52" s="43" t="str">
        <f>'11. Desinvesteringen'!C336</f>
        <v>01 Regionale leidingen</v>
      </c>
      <c r="J52" s="177">
        <f>'11. Desinvesteringen'!F336</f>
        <v>0</v>
      </c>
      <c r="K52" s="44">
        <f>_xlfn.XLOOKUP(I52,'3. Input (des)investeringen '!$B$11:$B$80,'3. Input (des)investeringen '!$E$11:$E$80)</f>
        <v>1</v>
      </c>
      <c r="L52" s="54"/>
      <c r="M52" s="44">
        <f>_xlfn.XLOOKUP(I52,'3. Input (des)investeringen '!$B$11:$B$80,'3. Input (des)investeringen '!$D$11:$D$80,0)</f>
        <v>55</v>
      </c>
      <c r="N52" s="44">
        <f t="shared" ref="N52:N115" si="9">IF($M52&gt;0, MAX(0,IF(G52&lt;2022,M52-2021+G52-0.5,M52)), 0)</f>
        <v>0</v>
      </c>
      <c r="P52" s="49">
        <f t="shared" ref="P52:T83" si="10">IF($M52&gt;0, IF(OR($G52&gt;P$49,$G52+$M52&lt;P$49),0,
VDB($F52,0,$N52,MAX(0,P$49-2022),MIN($N52,P$49-2021),$F$22,FALSE))*(1-$F$25), 0)</f>
        <v>0</v>
      </c>
      <c r="Q52" s="49">
        <f t="shared" si="10"/>
        <v>0</v>
      </c>
      <c r="R52" s="49">
        <f t="shared" si="0"/>
        <v>0</v>
      </c>
      <c r="S52" s="103">
        <f t="shared" si="0"/>
        <v>0</v>
      </c>
      <c r="T52" s="103">
        <f t="shared" si="0"/>
        <v>0</v>
      </c>
      <c r="V52" s="49">
        <f t="shared" ref="V52:V115" si="11">IF($M52&gt;0, IF(OR($G52&gt;V$49,$G52+$M52&lt;V$49),0,
VDB($F52,0,$N52,MAX(0,P$49-2022),MIN($N52,P$49-2021),1,FALSE))*$F$25, 0)</f>
        <v>0</v>
      </c>
      <c r="W52" s="49">
        <f t="shared" ref="W52:W115" si="12">IF($M52&gt;0, IF(OR($G52&gt;W$49,$G52+$M52&lt;W$49),0,
VDB($F52,0,$N52,MAX(0,Q$49-2022),MIN($N52,Q$49-2021),1,FALSE))*$F$25, 0)</f>
        <v>0</v>
      </c>
      <c r="X52" s="49">
        <f t="shared" ref="X52:X115" si="13">IF($M52&gt;0, IF(OR($G52&gt;X$49,$G52+$M52&lt;X$49),0,
VDB($F52,0,$N52,MAX(0,R$49-2022),MIN($N52,R$49-2021),1,FALSE))*$F$25, 0)</f>
        <v>0</v>
      </c>
      <c r="Y52" s="103">
        <f t="shared" ref="Y52:Y115" si="14">IF($M52&gt;0, IF(OR($G52&gt;Y$49,$G52+$M52&lt;Y$49),0,
VDB($F52,0,$N52,MAX(0,S$49-2022),MIN($N52,S$49-2021),1,FALSE))*$F$25, 0)</f>
        <v>0</v>
      </c>
      <c r="Z52" s="103">
        <f t="shared" ref="Z52:Z115" si="15">IF($M52&gt;0, IF(OR($G52&gt;Z$49,$G52+$M52&lt;Z$49),0,
VDB($F52,0,$N52,MAX(0,T$49-2022),MIN($N52,T$49-2021),1,FALSE))*$F$25, 0)</f>
        <v>0</v>
      </c>
      <c r="AB52" s="49">
        <f t="shared" ref="AB52:AB115" si="16">P52+V52</f>
        <v>0</v>
      </c>
      <c r="AC52" s="49">
        <f t="shared" ref="AC52:AC115" si="17">Q52+W52</f>
        <v>0</v>
      </c>
      <c r="AD52" s="49">
        <f t="shared" ref="AD52:AD115" si="18">R52+X52</f>
        <v>0</v>
      </c>
      <c r="AE52" s="103">
        <f t="shared" ref="AE52:AE115" si="19">S52+Y52</f>
        <v>0</v>
      </c>
      <c r="AF52" s="103">
        <f t="shared" ref="AF52:AF115" si="20">T52+Z52</f>
        <v>0</v>
      </c>
      <c r="AH52" s="49">
        <f t="shared" ref="AH52:AH115" si="21">IF($M52&gt;0, IF($M52&gt;0,IF(OR($G52&gt;AH$49,$G52+$M52&lt;=AH$49),0,IF(AH$49=2022,$F52-AB52,AG52-AB52))), $F52)</f>
        <v>0</v>
      </c>
      <c r="AI52" s="49">
        <f t="shared" ref="AI52:AI115" si="22">IF($M52&gt;0, IF(OR($G52&gt;AI$49,$G52+$M52&lt;=AI$49),0,IF(AI$49=2022,$F52-AC52,AH52-AC52)), AH52)</f>
        <v>0</v>
      </c>
      <c r="AJ52" s="49">
        <f t="shared" ref="AJ52:AJ115" si="23">IF($M52&gt;0, IF(OR($G52&gt;AJ$49,$G52+$M52&lt;=AJ$49),0,IF(AJ$49=2022,$F52-AD52,AI52-AD52)), AI52)</f>
        <v>0</v>
      </c>
      <c r="AK52" s="103">
        <f t="shared" ref="AK52:AK115" si="24">IF($M52&gt;0, IF(OR($G52&gt;AK$49,$G52+$M52&lt;=AK$49),0,IF(AK$49=2022,$F52-AE52,AJ52-AE52)), AJ52)</f>
        <v>0</v>
      </c>
      <c r="AL52" s="103">
        <f t="shared" ref="AL52:AL115" si="25">IF($M52&gt;0, IF(OR($G52&gt;AL$49,$G52+$M52&lt;=AL$49),0,IF(AL$49=2022,$F52-AF52,AK52-AF52)), AK52)</f>
        <v>0</v>
      </c>
      <c r="AN52" s="53">
        <f t="shared" ref="AN52:AN115" si="26">(AB52+AH52*H$16)*IF($K52=1,$F$31,1)</f>
        <v>0</v>
      </c>
      <c r="AO52" s="53">
        <f t="shared" ref="AO52:AO115" si="27">(AC52+AI52*I$16)*IF($K52=1,$F$31,1)</f>
        <v>0</v>
      </c>
      <c r="AP52" s="53">
        <f t="shared" ref="AP52:AP115" si="28">(AD52+AJ52*J$16)*IF($K52=1,$F$31,1)</f>
        <v>0</v>
      </c>
      <c r="AQ52" s="206">
        <f t="shared" ref="AQ52:AQ115" si="29">(AE52+AK52*K$16)*IF($K52=1,$F$31,1)</f>
        <v>0</v>
      </c>
      <c r="AR52" s="206">
        <f t="shared" ref="AR52:AR115" si="30">(AF52+AL52*L$16)*IF($K52=1,$F$31,1)</f>
        <v>0</v>
      </c>
      <c r="AY52" s="3"/>
    </row>
    <row r="53" spans="1:51">
      <c r="A53" s="54"/>
      <c r="B53" s="43">
        <f>'11. Desinvesteringen'!B337</f>
        <v>318</v>
      </c>
      <c r="C53" s="54"/>
      <c r="D53" s="54"/>
      <c r="E53" s="54"/>
      <c r="F53" s="48">
        <f>'5. Input GAW-waarde desinv.'!D13</f>
        <v>0</v>
      </c>
      <c r="G53" s="188">
        <f>'11. Desinvesteringen'!D337</f>
        <v>1955</v>
      </c>
      <c r="H53" s="188">
        <f>'11. Desinvesteringen'!G337</f>
        <v>2022</v>
      </c>
      <c r="I53" s="43" t="str">
        <f>'11. Desinvesteringen'!C337</f>
        <v>01 Regionale leidingen</v>
      </c>
      <c r="J53" s="177">
        <f>'11. Desinvesteringen'!F337</f>
        <v>0</v>
      </c>
      <c r="K53" s="44">
        <f>_xlfn.XLOOKUP(I53,'3. Input (des)investeringen '!$B$11:$B$80,'3. Input (des)investeringen '!$E$11:$E$80)</f>
        <v>1</v>
      </c>
      <c r="L53" s="54"/>
      <c r="M53" s="44">
        <f>_xlfn.XLOOKUP(I53,'3. Input (des)investeringen '!$B$11:$B$80,'3. Input (des)investeringen '!$D$11:$D$80,0)</f>
        <v>55</v>
      </c>
      <c r="N53" s="44">
        <f t="shared" si="9"/>
        <v>0</v>
      </c>
      <c r="P53" s="49">
        <f t="shared" si="10"/>
        <v>0</v>
      </c>
      <c r="Q53" s="49">
        <f t="shared" si="10"/>
        <v>0</v>
      </c>
      <c r="R53" s="49">
        <f t="shared" si="0"/>
        <v>0</v>
      </c>
      <c r="S53" s="103">
        <f t="shared" si="0"/>
        <v>0</v>
      </c>
      <c r="T53" s="103">
        <f t="shared" si="0"/>
        <v>0</v>
      </c>
      <c r="V53" s="49">
        <f t="shared" si="11"/>
        <v>0</v>
      </c>
      <c r="W53" s="49">
        <f t="shared" si="12"/>
        <v>0</v>
      </c>
      <c r="X53" s="49">
        <f t="shared" si="13"/>
        <v>0</v>
      </c>
      <c r="Y53" s="103">
        <f t="shared" si="14"/>
        <v>0</v>
      </c>
      <c r="Z53" s="103">
        <f t="shared" si="15"/>
        <v>0</v>
      </c>
      <c r="AB53" s="49">
        <f t="shared" si="16"/>
        <v>0</v>
      </c>
      <c r="AC53" s="49">
        <f t="shared" si="17"/>
        <v>0</v>
      </c>
      <c r="AD53" s="49">
        <f t="shared" si="18"/>
        <v>0</v>
      </c>
      <c r="AE53" s="103">
        <f t="shared" si="19"/>
        <v>0</v>
      </c>
      <c r="AF53" s="103">
        <f t="shared" si="20"/>
        <v>0</v>
      </c>
      <c r="AH53" s="49">
        <f t="shared" si="21"/>
        <v>0</v>
      </c>
      <c r="AI53" s="49">
        <f t="shared" si="22"/>
        <v>0</v>
      </c>
      <c r="AJ53" s="49">
        <f t="shared" si="23"/>
        <v>0</v>
      </c>
      <c r="AK53" s="103">
        <f t="shared" si="24"/>
        <v>0</v>
      </c>
      <c r="AL53" s="103">
        <f t="shared" si="25"/>
        <v>0</v>
      </c>
      <c r="AN53" s="53">
        <f t="shared" si="26"/>
        <v>0</v>
      </c>
      <c r="AO53" s="53">
        <f t="shared" si="27"/>
        <v>0</v>
      </c>
      <c r="AP53" s="53">
        <f t="shared" si="28"/>
        <v>0</v>
      </c>
      <c r="AQ53" s="206">
        <f t="shared" si="29"/>
        <v>0</v>
      </c>
      <c r="AR53" s="206">
        <f t="shared" si="30"/>
        <v>0</v>
      </c>
      <c r="AY53" s="3"/>
    </row>
    <row r="54" spans="1:51">
      <c r="A54" s="54"/>
      <c r="B54" s="43">
        <f>'11. Desinvesteringen'!B338</f>
        <v>319</v>
      </c>
      <c r="C54" s="54"/>
      <c r="D54" s="54"/>
      <c r="E54" s="54"/>
      <c r="F54" s="48">
        <f>'5. Input GAW-waarde desinv.'!D14</f>
        <v>0</v>
      </c>
      <c r="G54" s="188">
        <f>'11. Desinvesteringen'!D338</f>
        <v>1960</v>
      </c>
      <c r="H54" s="188">
        <f>'11. Desinvesteringen'!G338</f>
        <v>2022</v>
      </c>
      <c r="I54" s="43" t="str">
        <f>'11. Desinvesteringen'!C338</f>
        <v>01 Regionale leidingen</v>
      </c>
      <c r="J54" s="177">
        <f>'11. Desinvesteringen'!F338</f>
        <v>0</v>
      </c>
      <c r="K54" s="44">
        <f>_xlfn.XLOOKUP(I54,'3. Input (des)investeringen '!$B$11:$B$80,'3. Input (des)investeringen '!$E$11:$E$80)</f>
        <v>1</v>
      </c>
      <c r="L54" s="54"/>
      <c r="M54" s="44">
        <f>_xlfn.XLOOKUP(I54,'3. Input (des)investeringen '!$B$11:$B$80,'3. Input (des)investeringen '!$D$11:$D$80,0)</f>
        <v>55</v>
      </c>
      <c r="N54" s="44">
        <f t="shared" si="9"/>
        <v>0</v>
      </c>
      <c r="P54" s="49">
        <f t="shared" si="10"/>
        <v>0</v>
      </c>
      <c r="Q54" s="49">
        <f t="shared" si="10"/>
        <v>0</v>
      </c>
      <c r="R54" s="49">
        <f t="shared" si="0"/>
        <v>0</v>
      </c>
      <c r="S54" s="103">
        <f t="shared" si="0"/>
        <v>0</v>
      </c>
      <c r="T54" s="103">
        <f t="shared" si="0"/>
        <v>0</v>
      </c>
      <c r="V54" s="49">
        <f t="shared" si="11"/>
        <v>0</v>
      </c>
      <c r="W54" s="49">
        <f t="shared" si="12"/>
        <v>0</v>
      </c>
      <c r="X54" s="49">
        <f t="shared" si="13"/>
        <v>0</v>
      </c>
      <c r="Y54" s="103">
        <f t="shared" si="14"/>
        <v>0</v>
      </c>
      <c r="Z54" s="103">
        <f t="shared" si="15"/>
        <v>0</v>
      </c>
      <c r="AB54" s="49">
        <f t="shared" si="16"/>
        <v>0</v>
      </c>
      <c r="AC54" s="49">
        <f t="shared" si="17"/>
        <v>0</v>
      </c>
      <c r="AD54" s="49">
        <f t="shared" si="18"/>
        <v>0</v>
      </c>
      <c r="AE54" s="103">
        <f t="shared" si="19"/>
        <v>0</v>
      </c>
      <c r="AF54" s="103">
        <f t="shared" si="20"/>
        <v>0</v>
      </c>
      <c r="AH54" s="49">
        <f t="shared" si="21"/>
        <v>0</v>
      </c>
      <c r="AI54" s="49">
        <f t="shared" si="22"/>
        <v>0</v>
      </c>
      <c r="AJ54" s="49">
        <f t="shared" si="23"/>
        <v>0</v>
      </c>
      <c r="AK54" s="103">
        <f t="shared" si="24"/>
        <v>0</v>
      </c>
      <c r="AL54" s="103">
        <f t="shared" si="25"/>
        <v>0</v>
      </c>
      <c r="AN54" s="53">
        <f t="shared" si="26"/>
        <v>0</v>
      </c>
      <c r="AO54" s="53">
        <f t="shared" si="27"/>
        <v>0</v>
      </c>
      <c r="AP54" s="53">
        <f t="shared" si="28"/>
        <v>0</v>
      </c>
      <c r="AQ54" s="206">
        <f t="shared" si="29"/>
        <v>0</v>
      </c>
      <c r="AR54" s="206">
        <f t="shared" si="30"/>
        <v>0</v>
      </c>
      <c r="AY54" s="3"/>
    </row>
    <row r="55" spans="1:51">
      <c r="A55" s="54"/>
      <c r="B55" s="43">
        <f>'11. Desinvesteringen'!B339</f>
        <v>320</v>
      </c>
      <c r="C55" s="54"/>
      <c r="D55" s="54"/>
      <c r="E55" s="54"/>
      <c r="F55" s="48">
        <f>'5. Input GAW-waarde desinv.'!D15</f>
        <v>0</v>
      </c>
      <c r="G55" s="188">
        <f>'11. Desinvesteringen'!D339</f>
        <v>1964</v>
      </c>
      <c r="H55" s="188">
        <f>'11. Desinvesteringen'!G339</f>
        <v>2022</v>
      </c>
      <c r="I55" s="43" t="str">
        <f>'11. Desinvesteringen'!C339</f>
        <v>01 Regionale leidingen</v>
      </c>
      <c r="J55" s="177">
        <f>'11. Desinvesteringen'!F339</f>
        <v>0</v>
      </c>
      <c r="K55" s="44">
        <f>_xlfn.XLOOKUP(I55,'3. Input (des)investeringen '!$B$11:$B$80,'3. Input (des)investeringen '!$E$11:$E$80)</f>
        <v>1</v>
      </c>
      <c r="L55" s="54"/>
      <c r="M55" s="44">
        <f>_xlfn.XLOOKUP(I55,'3. Input (des)investeringen '!$B$11:$B$80,'3. Input (des)investeringen '!$D$11:$D$80,0)</f>
        <v>55</v>
      </c>
      <c r="N55" s="44">
        <f t="shared" si="9"/>
        <v>0</v>
      </c>
      <c r="P55" s="49">
        <f t="shared" si="10"/>
        <v>0</v>
      </c>
      <c r="Q55" s="49">
        <f t="shared" si="10"/>
        <v>0</v>
      </c>
      <c r="R55" s="49">
        <f t="shared" si="0"/>
        <v>0</v>
      </c>
      <c r="S55" s="103">
        <f t="shared" si="0"/>
        <v>0</v>
      </c>
      <c r="T55" s="103">
        <f t="shared" si="0"/>
        <v>0</v>
      </c>
      <c r="V55" s="49">
        <f t="shared" si="11"/>
        <v>0</v>
      </c>
      <c r="W55" s="49">
        <f t="shared" si="12"/>
        <v>0</v>
      </c>
      <c r="X55" s="49">
        <f t="shared" si="13"/>
        <v>0</v>
      </c>
      <c r="Y55" s="103">
        <f t="shared" si="14"/>
        <v>0</v>
      </c>
      <c r="Z55" s="103">
        <f t="shared" si="15"/>
        <v>0</v>
      </c>
      <c r="AB55" s="49">
        <f t="shared" si="16"/>
        <v>0</v>
      </c>
      <c r="AC55" s="49">
        <f t="shared" si="17"/>
        <v>0</v>
      </c>
      <c r="AD55" s="49">
        <f t="shared" si="18"/>
        <v>0</v>
      </c>
      <c r="AE55" s="103">
        <f t="shared" si="19"/>
        <v>0</v>
      </c>
      <c r="AF55" s="103">
        <f t="shared" si="20"/>
        <v>0</v>
      </c>
      <c r="AH55" s="49">
        <f t="shared" si="21"/>
        <v>0</v>
      </c>
      <c r="AI55" s="49">
        <f t="shared" si="22"/>
        <v>0</v>
      </c>
      <c r="AJ55" s="49">
        <f t="shared" si="23"/>
        <v>0</v>
      </c>
      <c r="AK55" s="103">
        <f t="shared" si="24"/>
        <v>0</v>
      </c>
      <c r="AL55" s="103">
        <f t="shared" si="25"/>
        <v>0</v>
      </c>
      <c r="AN55" s="53">
        <f t="shared" si="26"/>
        <v>0</v>
      </c>
      <c r="AO55" s="53">
        <f t="shared" si="27"/>
        <v>0</v>
      </c>
      <c r="AP55" s="53">
        <f t="shared" si="28"/>
        <v>0</v>
      </c>
      <c r="AQ55" s="206">
        <f t="shared" si="29"/>
        <v>0</v>
      </c>
      <c r="AR55" s="206">
        <f t="shared" si="30"/>
        <v>0</v>
      </c>
      <c r="AY55" s="3"/>
    </row>
    <row r="56" spans="1:51">
      <c r="A56" s="54"/>
      <c r="B56" s="43">
        <f>'11. Desinvesteringen'!B340</f>
        <v>321</v>
      </c>
      <c r="C56" s="54"/>
      <c r="D56" s="54"/>
      <c r="E56" s="54"/>
      <c r="F56" s="48">
        <f>'5. Input GAW-waarde desinv.'!D16</f>
        <v>0</v>
      </c>
      <c r="G56" s="188">
        <f>'11. Desinvesteringen'!D340</f>
        <v>1965</v>
      </c>
      <c r="H56" s="188">
        <f>'11. Desinvesteringen'!G340</f>
        <v>2022</v>
      </c>
      <c r="I56" s="43" t="str">
        <f>'11. Desinvesteringen'!C340</f>
        <v>01 Regionale leidingen</v>
      </c>
      <c r="J56" s="177">
        <f>'11. Desinvesteringen'!F340</f>
        <v>0</v>
      </c>
      <c r="K56" s="44">
        <f>_xlfn.XLOOKUP(I56,'3. Input (des)investeringen '!$B$11:$B$80,'3. Input (des)investeringen '!$E$11:$E$80)</f>
        <v>1</v>
      </c>
      <c r="L56" s="54"/>
      <c r="M56" s="44">
        <f>_xlfn.XLOOKUP(I56,'3. Input (des)investeringen '!$B$11:$B$80,'3. Input (des)investeringen '!$D$11:$D$80,0)</f>
        <v>55</v>
      </c>
      <c r="N56" s="44">
        <f t="shared" si="9"/>
        <v>0</v>
      </c>
      <c r="P56" s="49">
        <f t="shared" si="10"/>
        <v>0</v>
      </c>
      <c r="Q56" s="49">
        <f t="shared" si="10"/>
        <v>0</v>
      </c>
      <c r="R56" s="49">
        <f t="shared" si="0"/>
        <v>0</v>
      </c>
      <c r="S56" s="103">
        <f t="shared" si="0"/>
        <v>0</v>
      </c>
      <c r="T56" s="103">
        <f t="shared" si="0"/>
        <v>0</v>
      </c>
      <c r="V56" s="49">
        <f t="shared" si="11"/>
        <v>0</v>
      </c>
      <c r="W56" s="49">
        <f t="shared" si="12"/>
        <v>0</v>
      </c>
      <c r="X56" s="49">
        <f t="shared" si="13"/>
        <v>0</v>
      </c>
      <c r="Y56" s="103">
        <f t="shared" si="14"/>
        <v>0</v>
      </c>
      <c r="Z56" s="103">
        <f t="shared" si="15"/>
        <v>0</v>
      </c>
      <c r="AB56" s="49">
        <f t="shared" si="16"/>
        <v>0</v>
      </c>
      <c r="AC56" s="49">
        <f t="shared" si="17"/>
        <v>0</v>
      </c>
      <c r="AD56" s="49">
        <f t="shared" si="18"/>
        <v>0</v>
      </c>
      <c r="AE56" s="103">
        <f t="shared" si="19"/>
        <v>0</v>
      </c>
      <c r="AF56" s="103">
        <f t="shared" si="20"/>
        <v>0</v>
      </c>
      <c r="AH56" s="49">
        <f t="shared" si="21"/>
        <v>0</v>
      </c>
      <c r="AI56" s="49">
        <f t="shared" si="22"/>
        <v>0</v>
      </c>
      <c r="AJ56" s="49">
        <f t="shared" si="23"/>
        <v>0</v>
      </c>
      <c r="AK56" s="103">
        <f t="shared" si="24"/>
        <v>0</v>
      </c>
      <c r="AL56" s="103">
        <f t="shared" si="25"/>
        <v>0</v>
      </c>
      <c r="AN56" s="53">
        <f t="shared" si="26"/>
        <v>0</v>
      </c>
      <c r="AO56" s="53">
        <f t="shared" si="27"/>
        <v>0</v>
      </c>
      <c r="AP56" s="53">
        <f t="shared" si="28"/>
        <v>0</v>
      </c>
      <c r="AQ56" s="206">
        <f t="shared" si="29"/>
        <v>0</v>
      </c>
      <c r="AR56" s="206">
        <f t="shared" si="30"/>
        <v>0</v>
      </c>
      <c r="AY56" s="3"/>
    </row>
    <row r="57" spans="1:51">
      <c r="A57" s="54"/>
      <c r="B57" s="43">
        <f>'11. Desinvesteringen'!B341</f>
        <v>322</v>
      </c>
      <c r="C57" s="54"/>
      <c r="D57" s="54"/>
      <c r="E57" s="54"/>
      <c r="F57" s="48">
        <f>'5. Input GAW-waarde desinv.'!D17</f>
        <v>0</v>
      </c>
      <c r="G57" s="188">
        <f>'11. Desinvesteringen'!D341</f>
        <v>1966</v>
      </c>
      <c r="H57" s="188">
        <f>'11. Desinvesteringen'!G341</f>
        <v>2022</v>
      </c>
      <c r="I57" s="43" t="str">
        <f>'11. Desinvesteringen'!C341</f>
        <v>01 Regionale leidingen</v>
      </c>
      <c r="J57" s="177">
        <f>'11. Desinvesteringen'!F341</f>
        <v>0</v>
      </c>
      <c r="K57" s="44">
        <f>_xlfn.XLOOKUP(I57,'3. Input (des)investeringen '!$B$11:$B$80,'3. Input (des)investeringen '!$E$11:$E$80)</f>
        <v>1</v>
      </c>
      <c r="L57" s="54"/>
      <c r="M57" s="44">
        <f>_xlfn.XLOOKUP(I57,'3. Input (des)investeringen '!$B$11:$B$80,'3. Input (des)investeringen '!$D$11:$D$80,0)</f>
        <v>55</v>
      </c>
      <c r="N57" s="44">
        <f t="shared" si="9"/>
        <v>0</v>
      </c>
      <c r="P57" s="49">
        <f t="shared" si="10"/>
        <v>0</v>
      </c>
      <c r="Q57" s="49">
        <f t="shared" si="10"/>
        <v>0</v>
      </c>
      <c r="R57" s="49">
        <f t="shared" si="0"/>
        <v>0</v>
      </c>
      <c r="S57" s="103">
        <f t="shared" si="0"/>
        <v>0</v>
      </c>
      <c r="T57" s="103">
        <f t="shared" si="0"/>
        <v>0</v>
      </c>
      <c r="V57" s="49">
        <f t="shared" si="11"/>
        <v>0</v>
      </c>
      <c r="W57" s="49">
        <f t="shared" si="12"/>
        <v>0</v>
      </c>
      <c r="X57" s="49">
        <f t="shared" si="13"/>
        <v>0</v>
      </c>
      <c r="Y57" s="103">
        <f t="shared" si="14"/>
        <v>0</v>
      </c>
      <c r="Z57" s="103">
        <f t="shared" si="15"/>
        <v>0</v>
      </c>
      <c r="AB57" s="49">
        <f t="shared" si="16"/>
        <v>0</v>
      </c>
      <c r="AC57" s="49">
        <f t="shared" si="17"/>
        <v>0</v>
      </c>
      <c r="AD57" s="49">
        <f t="shared" si="18"/>
        <v>0</v>
      </c>
      <c r="AE57" s="103">
        <f t="shared" si="19"/>
        <v>0</v>
      </c>
      <c r="AF57" s="103">
        <f t="shared" si="20"/>
        <v>0</v>
      </c>
      <c r="AH57" s="49">
        <f t="shared" si="21"/>
        <v>0</v>
      </c>
      <c r="AI57" s="49">
        <f t="shared" si="22"/>
        <v>0</v>
      </c>
      <c r="AJ57" s="49">
        <f t="shared" si="23"/>
        <v>0</v>
      </c>
      <c r="AK57" s="103">
        <f t="shared" si="24"/>
        <v>0</v>
      </c>
      <c r="AL57" s="103">
        <f t="shared" si="25"/>
        <v>0</v>
      </c>
      <c r="AN57" s="53">
        <f t="shared" si="26"/>
        <v>0</v>
      </c>
      <c r="AO57" s="53">
        <f t="shared" si="27"/>
        <v>0</v>
      </c>
      <c r="AP57" s="53">
        <f t="shared" si="28"/>
        <v>0</v>
      </c>
      <c r="AQ57" s="206">
        <f t="shared" si="29"/>
        <v>0</v>
      </c>
      <c r="AR57" s="206">
        <f t="shared" si="30"/>
        <v>0</v>
      </c>
      <c r="AY57" s="3"/>
    </row>
    <row r="58" spans="1:51">
      <c r="A58" s="54"/>
      <c r="B58" s="43">
        <f>'11. Desinvesteringen'!B342</f>
        <v>323</v>
      </c>
      <c r="C58" s="54"/>
      <c r="D58" s="54"/>
      <c r="E58" s="54"/>
      <c r="F58" s="48">
        <f>'5. Input GAW-waarde desinv.'!D18</f>
        <v>4800.0618690721003</v>
      </c>
      <c r="G58" s="188">
        <f>'11. Desinvesteringen'!D342</f>
        <v>1967</v>
      </c>
      <c r="H58" s="188">
        <f>'11. Desinvesteringen'!G342</f>
        <v>2022</v>
      </c>
      <c r="I58" s="43" t="str">
        <f>'11. Desinvesteringen'!C342</f>
        <v>01 Regionale leidingen</v>
      </c>
      <c r="J58" s="177">
        <f>'11. Desinvesteringen'!F342</f>
        <v>0</v>
      </c>
      <c r="K58" s="44">
        <f>_xlfn.XLOOKUP(I58,'3. Input (des)investeringen '!$B$11:$B$80,'3. Input (des)investeringen '!$E$11:$E$80)</f>
        <v>1</v>
      </c>
      <c r="L58" s="54"/>
      <c r="M58" s="44">
        <f>_xlfn.XLOOKUP(I58,'3. Input (des)investeringen '!$B$11:$B$80,'3. Input (des)investeringen '!$D$11:$D$80,0)</f>
        <v>55</v>
      </c>
      <c r="N58" s="44">
        <f t="shared" si="9"/>
        <v>0.5</v>
      </c>
      <c r="P58" s="49">
        <f t="shared" si="10"/>
        <v>4320.0556821648906</v>
      </c>
      <c r="Q58" s="49">
        <f t="shared" si="10"/>
        <v>0</v>
      </c>
      <c r="R58" s="49">
        <f t="shared" si="0"/>
        <v>0</v>
      </c>
      <c r="S58" s="103">
        <f t="shared" si="0"/>
        <v>0</v>
      </c>
      <c r="T58" s="103">
        <f t="shared" si="0"/>
        <v>0</v>
      </c>
      <c r="V58" s="49">
        <f t="shared" si="11"/>
        <v>480.00618690721006</v>
      </c>
      <c r="W58" s="49">
        <f t="shared" si="12"/>
        <v>0</v>
      </c>
      <c r="X58" s="49">
        <f t="shared" si="13"/>
        <v>0</v>
      </c>
      <c r="Y58" s="103">
        <f t="shared" si="14"/>
        <v>0</v>
      </c>
      <c r="Z58" s="103">
        <f t="shared" si="15"/>
        <v>0</v>
      </c>
      <c r="AB58" s="49">
        <f t="shared" si="16"/>
        <v>4800.0618690721003</v>
      </c>
      <c r="AC58" s="49">
        <f t="shared" si="17"/>
        <v>0</v>
      </c>
      <c r="AD58" s="49">
        <f t="shared" si="18"/>
        <v>0</v>
      </c>
      <c r="AE58" s="103">
        <f t="shared" si="19"/>
        <v>0</v>
      </c>
      <c r="AF58" s="103">
        <f t="shared" si="20"/>
        <v>0</v>
      </c>
      <c r="AH58" s="49">
        <f t="shared" si="21"/>
        <v>0</v>
      </c>
      <c r="AI58" s="49">
        <f t="shared" si="22"/>
        <v>0</v>
      </c>
      <c r="AJ58" s="49">
        <f t="shared" si="23"/>
        <v>0</v>
      </c>
      <c r="AK58" s="103">
        <f t="shared" si="24"/>
        <v>0</v>
      </c>
      <c r="AL58" s="103">
        <f t="shared" si="25"/>
        <v>0</v>
      </c>
      <c r="AN58" s="53">
        <f t="shared" si="26"/>
        <v>4497.6579713205583</v>
      </c>
      <c r="AO58" s="53">
        <f t="shared" si="27"/>
        <v>0</v>
      </c>
      <c r="AP58" s="53">
        <f t="shared" si="28"/>
        <v>0</v>
      </c>
      <c r="AQ58" s="206">
        <f t="shared" si="29"/>
        <v>0</v>
      </c>
      <c r="AR58" s="206">
        <f t="shared" si="30"/>
        <v>0</v>
      </c>
      <c r="AY58" s="3"/>
    </row>
    <row r="59" spans="1:51">
      <c r="A59" s="54"/>
      <c r="B59" s="43">
        <f>'11. Desinvesteringen'!B343</f>
        <v>324</v>
      </c>
      <c r="C59" s="54"/>
      <c r="D59" s="54"/>
      <c r="E59" s="54"/>
      <c r="F59" s="48">
        <f>'5. Input GAW-waarde desinv.'!D19</f>
        <v>7362.4523493487277</v>
      </c>
      <c r="G59" s="188">
        <f>'11. Desinvesteringen'!D343</f>
        <v>1968</v>
      </c>
      <c r="H59" s="188">
        <f>'11. Desinvesteringen'!G343</f>
        <v>2022</v>
      </c>
      <c r="I59" s="43" t="str">
        <f>'11. Desinvesteringen'!C343</f>
        <v>01 Regionale leidingen</v>
      </c>
      <c r="J59" s="177">
        <f>'11. Desinvesteringen'!F343</f>
        <v>0</v>
      </c>
      <c r="K59" s="44">
        <f>_xlfn.XLOOKUP(I59,'3. Input (des)investeringen '!$B$11:$B$80,'3. Input (des)investeringen '!$E$11:$E$80)</f>
        <v>1</v>
      </c>
      <c r="L59" s="54"/>
      <c r="M59" s="44">
        <f>_xlfn.XLOOKUP(I59,'3. Input (des)investeringen '!$B$11:$B$80,'3. Input (des)investeringen '!$D$11:$D$80,0)</f>
        <v>55</v>
      </c>
      <c r="N59" s="44">
        <f t="shared" si="9"/>
        <v>1.5</v>
      </c>
      <c r="P59" s="49">
        <f t="shared" si="10"/>
        <v>5742.7128324920077</v>
      </c>
      <c r="Q59" s="49">
        <f t="shared" si="10"/>
        <v>883.49428192184735</v>
      </c>
      <c r="R59" s="49">
        <f t="shared" si="0"/>
        <v>0</v>
      </c>
      <c r="S59" s="103">
        <f t="shared" si="0"/>
        <v>0</v>
      </c>
      <c r="T59" s="103">
        <f t="shared" si="0"/>
        <v>0</v>
      </c>
      <c r="V59" s="49">
        <f t="shared" si="11"/>
        <v>490.83015662324851</v>
      </c>
      <c r="W59" s="49">
        <f t="shared" si="12"/>
        <v>245.41507831162426</v>
      </c>
      <c r="X59" s="49">
        <f t="shared" si="13"/>
        <v>0</v>
      </c>
      <c r="Y59" s="103">
        <f t="shared" si="14"/>
        <v>0</v>
      </c>
      <c r="Z59" s="103">
        <f t="shared" si="15"/>
        <v>0</v>
      </c>
      <c r="AB59" s="49">
        <f t="shared" si="16"/>
        <v>6233.5429891152562</v>
      </c>
      <c r="AC59" s="49">
        <f t="shared" si="17"/>
        <v>1128.9093602334715</v>
      </c>
      <c r="AD59" s="49">
        <f t="shared" si="18"/>
        <v>0</v>
      </c>
      <c r="AE59" s="103">
        <f t="shared" si="19"/>
        <v>0</v>
      </c>
      <c r="AF59" s="103">
        <f t="shared" si="20"/>
        <v>0</v>
      </c>
      <c r="AH59" s="49">
        <f t="shared" si="21"/>
        <v>1128.9093602334715</v>
      </c>
      <c r="AI59" s="49">
        <f t="shared" si="22"/>
        <v>0</v>
      </c>
      <c r="AJ59" s="49">
        <f t="shared" si="23"/>
        <v>0</v>
      </c>
      <c r="AK59" s="103">
        <f t="shared" si="24"/>
        <v>0</v>
      </c>
      <c r="AL59" s="103">
        <f t="shared" si="25"/>
        <v>0</v>
      </c>
      <c r="AN59" s="53">
        <f t="shared" si="26"/>
        <v>5883.1413036225458</v>
      </c>
      <c r="AO59" s="53">
        <f t="shared" si="27"/>
        <v>1057.7880705387629</v>
      </c>
      <c r="AP59" s="53">
        <f t="shared" si="28"/>
        <v>0</v>
      </c>
      <c r="AQ59" s="206">
        <f t="shared" si="29"/>
        <v>0</v>
      </c>
      <c r="AR59" s="206">
        <f t="shared" si="30"/>
        <v>0</v>
      </c>
      <c r="AY59" s="3"/>
    </row>
    <row r="60" spans="1:51">
      <c r="A60" s="54"/>
      <c r="B60" s="43">
        <f>'11. Desinvesteringen'!B344</f>
        <v>325</v>
      </c>
      <c r="C60" s="54"/>
      <c r="D60" s="54"/>
      <c r="E60" s="54"/>
      <c r="F60" s="48">
        <f>'5. Input GAW-waarde desinv.'!D20</f>
        <v>19106.465971183679</v>
      </c>
      <c r="G60" s="188">
        <f>'11. Desinvesteringen'!D344</f>
        <v>1969</v>
      </c>
      <c r="H60" s="188">
        <f>'11. Desinvesteringen'!G344</f>
        <v>2022</v>
      </c>
      <c r="I60" s="43" t="str">
        <f>'11. Desinvesteringen'!C344</f>
        <v>01 Regionale leidingen</v>
      </c>
      <c r="J60" s="177">
        <f>'11. Desinvesteringen'!F344</f>
        <v>0</v>
      </c>
      <c r="K60" s="44">
        <f>_xlfn.XLOOKUP(I60,'3. Input (des)investeringen '!$B$11:$B$80,'3. Input (des)investeringen '!$E$11:$E$80)</f>
        <v>1</v>
      </c>
      <c r="L60" s="54"/>
      <c r="M60" s="44">
        <f>_xlfn.XLOOKUP(I60,'3. Input (des)investeringen '!$B$11:$B$80,'3. Input (des)investeringen '!$D$11:$D$80,0)</f>
        <v>55</v>
      </c>
      <c r="N60" s="44">
        <f t="shared" si="9"/>
        <v>2.5</v>
      </c>
      <c r="P60" s="49">
        <f t="shared" si="10"/>
        <v>8941.8260745139614</v>
      </c>
      <c r="Q60" s="49">
        <f t="shared" si="10"/>
        <v>5502.6621997009006</v>
      </c>
      <c r="R60" s="49">
        <f t="shared" si="0"/>
        <v>2751.3310998504503</v>
      </c>
      <c r="S60" s="103">
        <f t="shared" si="0"/>
        <v>0</v>
      </c>
      <c r="T60" s="103">
        <f t="shared" si="0"/>
        <v>0</v>
      </c>
      <c r="V60" s="49">
        <f t="shared" si="11"/>
        <v>764.25863884734724</v>
      </c>
      <c r="W60" s="49">
        <f t="shared" si="12"/>
        <v>764.25863884734724</v>
      </c>
      <c r="X60" s="49">
        <f t="shared" si="13"/>
        <v>382.12931942367362</v>
      </c>
      <c r="Y60" s="103">
        <f t="shared" si="14"/>
        <v>0</v>
      </c>
      <c r="Z60" s="103">
        <f t="shared" si="15"/>
        <v>0</v>
      </c>
      <c r="AB60" s="49">
        <f t="shared" si="16"/>
        <v>9706.0847133613079</v>
      </c>
      <c r="AC60" s="49">
        <f t="shared" si="17"/>
        <v>6266.920838548248</v>
      </c>
      <c r="AD60" s="49">
        <f t="shared" si="18"/>
        <v>3133.460419274124</v>
      </c>
      <c r="AE60" s="103">
        <f t="shared" si="19"/>
        <v>0</v>
      </c>
      <c r="AF60" s="103">
        <f t="shared" si="20"/>
        <v>0</v>
      </c>
      <c r="AH60" s="49">
        <f t="shared" si="21"/>
        <v>9400.3812578223715</v>
      </c>
      <c r="AI60" s="49">
        <f t="shared" si="22"/>
        <v>3133.4604192741235</v>
      </c>
      <c r="AJ60" s="49">
        <f t="shared" si="23"/>
        <v>0</v>
      </c>
      <c r="AK60" s="103">
        <f t="shared" si="24"/>
        <v>0</v>
      </c>
      <c r="AL60" s="103">
        <f t="shared" si="25"/>
        <v>0</v>
      </c>
      <c r="AN60" s="53">
        <f t="shared" si="26"/>
        <v>9446.9276659627285</v>
      </c>
      <c r="AO60" s="53">
        <f t="shared" si="27"/>
        <v>5960.1863981055048</v>
      </c>
      <c r="AP60" s="53">
        <f t="shared" si="28"/>
        <v>2936.0524128598545</v>
      </c>
      <c r="AQ60" s="206">
        <f t="shared" si="29"/>
        <v>0</v>
      </c>
      <c r="AR60" s="206">
        <f t="shared" si="30"/>
        <v>0</v>
      </c>
      <c r="AY60" s="3"/>
    </row>
    <row r="61" spans="1:51">
      <c r="A61" s="54"/>
      <c r="B61" s="43">
        <f>'11. Desinvesteringen'!B345</f>
        <v>326</v>
      </c>
      <c r="C61" s="54"/>
      <c r="D61" s="54"/>
      <c r="E61" s="54"/>
      <c r="F61" s="48">
        <f>'5. Input GAW-waarde desinv.'!D21</f>
        <v>34361.047919882221</v>
      </c>
      <c r="G61" s="188">
        <f>'11. Desinvesteringen'!D345</f>
        <v>1970</v>
      </c>
      <c r="H61" s="188">
        <f>'11. Desinvesteringen'!G345</f>
        <v>2022</v>
      </c>
      <c r="I61" s="43" t="str">
        <f>'11. Desinvesteringen'!C345</f>
        <v>01 Regionale leidingen</v>
      </c>
      <c r="J61" s="177">
        <f>'11. Desinvesteringen'!F345</f>
        <v>0</v>
      </c>
      <c r="K61" s="44">
        <f>_xlfn.XLOOKUP(I61,'3. Input (des)investeringen '!$B$11:$B$80,'3. Input (des)investeringen '!$E$11:$E$80)</f>
        <v>1</v>
      </c>
      <c r="L61" s="54"/>
      <c r="M61" s="44">
        <f>_xlfn.XLOOKUP(I61,'3. Input (des)investeringen '!$B$11:$B$80,'3. Input (des)investeringen '!$D$11:$D$80,0)</f>
        <v>55</v>
      </c>
      <c r="N61" s="44">
        <f t="shared" si="9"/>
        <v>3.5</v>
      </c>
      <c r="P61" s="49">
        <f t="shared" si="10"/>
        <v>11486.407447503487</v>
      </c>
      <c r="Q61" s="49">
        <f t="shared" si="10"/>
        <v>7775.4142721562039</v>
      </c>
      <c r="R61" s="49">
        <f t="shared" si="0"/>
        <v>7775.4142721562039</v>
      </c>
      <c r="S61" s="103">
        <f t="shared" si="0"/>
        <v>3887.7071360781019</v>
      </c>
      <c r="T61" s="103">
        <f t="shared" si="0"/>
        <v>0</v>
      </c>
      <c r="V61" s="49">
        <f t="shared" si="11"/>
        <v>981.74422628234925</v>
      </c>
      <c r="W61" s="49">
        <f t="shared" si="12"/>
        <v>981.74422628234936</v>
      </c>
      <c r="X61" s="49">
        <f t="shared" si="13"/>
        <v>981.74422628234936</v>
      </c>
      <c r="Y61" s="103">
        <f t="shared" si="14"/>
        <v>490.87211314117468</v>
      </c>
      <c r="Z61" s="103">
        <f t="shared" si="15"/>
        <v>0</v>
      </c>
      <c r="AB61" s="49">
        <f t="shared" si="16"/>
        <v>12468.151673785836</v>
      </c>
      <c r="AC61" s="49">
        <f t="shared" si="17"/>
        <v>8757.1584984385536</v>
      </c>
      <c r="AD61" s="49">
        <f t="shared" si="18"/>
        <v>8757.1584984385536</v>
      </c>
      <c r="AE61" s="103">
        <f t="shared" si="19"/>
        <v>4378.5792492192768</v>
      </c>
      <c r="AF61" s="103">
        <f t="shared" si="20"/>
        <v>0</v>
      </c>
      <c r="AH61" s="49">
        <f t="shared" si="21"/>
        <v>21892.896246096385</v>
      </c>
      <c r="AI61" s="49">
        <f t="shared" si="22"/>
        <v>13135.737747657831</v>
      </c>
      <c r="AJ61" s="49">
        <f t="shared" si="23"/>
        <v>4378.5792492192777</v>
      </c>
      <c r="AK61" s="103">
        <f t="shared" si="24"/>
        <v>0</v>
      </c>
      <c r="AL61" s="103">
        <f t="shared" si="25"/>
        <v>0</v>
      </c>
      <c r="AN61" s="53">
        <f t="shared" si="26"/>
        <v>12503.203869641022</v>
      </c>
      <c r="AO61" s="53">
        <f t="shared" si="27"/>
        <v>8574.7031011235867</v>
      </c>
      <c r="AP61" s="53">
        <f t="shared" si="28"/>
        <v>8328.53937573248</v>
      </c>
      <c r="AQ61" s="206">
        <f t="shared" si="29"/>
        <v>4102.7287565184624</v>
      </c>
      <c r="AR61" s="206">
        <f t="shared" si="30"/>
        <v>0</v>
      </c>
      <c r="AY61" s="3"/>
    </row>
    <row r="62" spans="1:51">
      <c r="A62" s="54"/>
      <c r="B62" s="43">
        <f>'11. Desinvesteringen'!B346</f>
        <v>327</v>
      </c>
      <c r="C62" s="54"/>
      <c r="D62" s="54"/>
      <c r="E62" s="54"/>
      <c r="F62" s="48">
        <f>'5. Input GAW-waarde desinv.'!D22</f>
        <v>24689.78297700132</v>
      </c>
      <c r="G62" s="188">
        <f>'11. Desinvesteringen'!D346</f>
        <v>1971</v>
      </c>
      <c r="H62" s="188">
        <f>'11. Desinvesteringen'!G346</f>
        <v>2022</v>
      </c>
      <c r="I62" s="43" t="str">
        <f>'11. Desinvesteringen'!C346</f>
        <v>01 Regionale leidingen</v>
      </c>
      <c r="J62" s="177">
        <f>'11. Desinvesteringen'!F346</f>
        <v>0</v>
      </c>
      <c r="K62" s="44">
        <f>_xlfn.XLOOKUP(I62,'3. Input (des)investeringen '!$B$11:$B$80,'3. Input (des)investeringen '!$E$11:$E$80)</f>
        <v>1</v>
      </c>
      <c r="L62" s="54"/>
      <c r="M62" s="44">
        <f>_xlfn.XLOOKUP(I62,'3. Input (des)investeringen '!$B$11:$B$80,'3. Input (des)investeringen '!$D$11:$D$80,0)</f>
        <v>55</v>
      </c>
      <c r="N62" s="44">
        <f t="shared" si="9"/>
        <v>4.5</v>
      </c>
      <c r="P62" s="49">
        <f t="shared" si="10"/>
        <v>6419.343574020344</v>
      </c>
      <c r="Q62" s="49">
        <f t="shared" si="10"/>
        <v>4564.8665415255773</v>
      </c>
      <c r="R62" s="49">
        <f t="shared" si="0"/>
        <v>4494.6378255021073</v>
      </c>
      <c r="S62" s="103">
        <f t="shared" si="0"/>
        <v>4494.6378255021073</v>
      </c>
      <c r="T62" s="103">
        <f t="shared" si="0"/>
        <v>2247.3189127510536</v>
      </c>
      <c r="V62" s="49">
        <f t="shared" si="11"/>
        <v>548.66184393336266</v>
      </c>
      <c r="W62" s="49">
        <f t="shared" si="12"/>
        <v>548.66184393336277</v>
      </c>
      <c r="X62" s="49">
        <f t="shared" si="13"/>
        <v>548.66184393336277</v>
      </c>
      <c r="Y62" s="103">
        <f t="shared" si="14"/>
        <v>548.66184393336277</v>
      </c>
      <c r="Z62" s="103">
        <f t="shared" si="15"/>
        <v>274.33092196668139</v>
      </c>
      <c r="AB62" s="49">
        <f t="shared" si="16"/>
        <v>6968.0054179537065</v>
      </c>
      <c r="AC62" s="49">
        <f t="shared" si="17"/>
        <v>5113.5283854589397</v>
      </c>
      <c r="AD62" s="49">
        <f t="shared" si="18"/>
        <v>5043.2996694354697</v>
      </c>
      <c r="AE62" s="103">
        <f t="shared" si="19"/>
        <v>5043.2996694354697</v>
      </c>
      <c r="AF62" s="103">
        <f t="shared" si="20"/>
        <v>2521.6498347177348</v>
      </c>
      <c r="AH62" s="49">
        <f t="shared" si="21"/>
        <v>17721.777559047612</v>
      </c>
      <c r="AI62" s="49">
        <f t="shared" si="22"/>
        <v>12608.249173588672</v>
      </c>
      <c r="AJ62" s="49">
        <f t="shared" si="23"/>
        <v>7564.9495041532027</v>
      </c>
      <c r="AK62" s="103">
        <f t="shared" si="24"/>
        <v>2521.649834717733</v>
      </c>
      <c r="AL62" s="103">
        <f t="shared" si="25"/>
        <v>0</v>
      </c>
      <c r="AN62" s="53">
        <f t="shared" si="26"/>
        <v>7193.2332995357274</v>
      </c>
      <c r="AO62" s="53">
        <f t="shared" si="27"/>
        <v>5145.7939814446045</v>
      </c>
      <c r="AP62" s="53">
        <f t="shared" si="28"/>
        <v>4938.2225208227819</v>
      </c>
      <c r="AQ62" s="206">
        <f t="shared" si="29"/>
        <v>4796.4553671149506</v>
      </c>
      <c r="AR62" s="206">
        <f t="shared" si="30"/>
        <v>2362.7858951305175</v>
      </c>
      <c r="AY62" s="3"/>
    </row>
    <row r="63" spans="1:51">
      <c r="A63" s="54"/>
      <c r="B63" s="43">
        <f>'11. Desinvesteringen'!B347</f>
        <v>328</v>
      </c>
      <c r="C63" s="54"/>
      <c r="D63" s="54"/>
      <c r="E63" s="54"/>
      <c r="F63" s="48">
        <f>'5. Input GAW-waarde desinv.'!D23</f>
        <v>84795.96142136406</v>
      </c>
      <c r="G63" s="188">
        <f>'11. Desinvesteringen'!D347</f>
        <v>1972</v>
      </c>
      <c r="H63" s="188">
        <f>'11. Desinvesteringen'!G347</f>
        <v>2022</v>
      </c>
      <c r="I63" s="43" t="str">
        <f>'11. Desinvesteringen'!C347</f>
        <v>01 Regionale leidingen</v>
      </c>
      <c r="J63" s="177">
        <f>'11. Desinvesteringen'!F347</f>
        <v>0</v>
      </c>
      <c r="K63" s="44">
        <f>_xlfn.XLOOKUP(I63,'3. Input (des)investeringen '!$B$11:$B$80,'3. Input (des)investeringen '!$E$11:$E$80)</f>
        <v>1</v>
      </c>
      <c r="L63" s="54"/>
      <c r="M63" s="44">
        <f>_xlfn.XLOOKUP(I63,'3. Input (des)investeringen '!$B$11:$B$80,'3. Input (des)investeringen '!$D$11:$D$80,0)</f>
        <v>55</v>
      </c>
      <c r="N63" s="44">
        <f t="shared" si="9"/>
        <v>5.5</v>
      </c>
      <c r="P63" s="49">
        <f t="shared" si="10"/>
        <v>18038.413611453812</v>
      </c>
      <c r="Q63" s="49">
        <f t="shared" si="10"/>
        <v>13774.788576019271</v>
      </c>
      <c r="R63" s="49">
        <f t="shared" si="0"/>
        <v>12715.189454787022</v>
      </c>
      <c r="S63" s="103">
        <f t="shared" si="0"/>
        <v>12715.189454787022</v>
      </c>
      <c r="T63" s="103">
        <f t="shared" si="0"/>
        <v>12715.189454787022</v>
      </c>
      <c r="V63" s="49">
        <f t="shared" si="11"/>
        <v>1541.7447531157104</v>
      </c>
      <c r="W63" s="49">
        <f t="shared" si="12"/>
        <v>1541.7447531157104</v>
      </c>
      <c r="X63" s="49">
        <f t="shared" si="13"/>
        <v>1541.7447531157104</v>
      </c>
      <c r="Y63" s="103">
        <f t="shared" si="14"/>
        <v>1541.7447531157104</v>
      </c>
      <c r="Z63" s="103">
        <f t="shared" si="15"/>
        <v>1541.7447531157104</v>
      </c>
      <c r="AB63" s="49">
        <f t="shared" si="16"/>
        <v>19580.158364569521</v>
      </c>
      <c r="AC63" s="49">
        <f t="shared" si="17"/>
        <v>15316.533329134982</v>
      </c>
      <c r="AD63" s="49">
        <f t="shared" si="18"/>
        <v>14256.934207902732</v>
      </c>
      <c r="AE63" s="103">
        <f t="shared" si="19"/>
        <v>14256.934207902732</v>
      </c>
      <c r="AF63" s="103">
        <f t="shared" si="20"/>
        <v>14256.934207902732</v>
      </c>
      <c r="AH63" s="49">
        <f t="shared" si="21"/>
        <v>65215.803056794539</v>
      </c>
      <c r="AI63" s="49">
        <f t="shared" si="22"/>
        <v>49899.269727659557</v>
      </c>
      <c r="AJ63" s="49">
        <f t="shared" si="23"/>
        <v>35642.335519756823</v>
      </c>
      <c r="AK63" s="103">
        <f t="shared" si="24"/>
        <v>21385.40131185409</v>
      </c>
      <c r="AL63" s="103">
        <f t="shared" si="25"/>
        <v>7128.4671039513578</v>
      </c>
      <c r="AN63" s="53">
        <f t="shared" si="26"/>
        <v>20790.896686170301</v>
      </c>
      <c r="AO63" s="53">
        <f t="shared" si="27"/>
        <v>15754.260201443989</v>
      </c>
      <c r="AP63" s="53">
        <f t="shared" si="28"/>
        <v>14360.653404265226</v>
      </c>
      <c r="AQ63" s="206">
        <f t="shared" si="29"/>
        <v>13959.890983681078</v>
      </c>
      <c r="AR63" s="206">
        <f t="shared" si="30"/>
        <v>13559.128563096932</v>
      </c>
      <c r="AY63" s="3"/>
    </row>
    <row r="64" spans="1:51">
      <c r="A64" s="54"/>
      <c r="B64" s="43">
        <f>'11. Desinvesteringen'!B348</f>
        <v>329</v>
      </c>
      <c r="C64" s="54"/>
      <c r="D64" s="54"/>
      <c r="E64" s="54"/>
      <c r="F64" s="48">
        <f>'5. Input GAW-waarde desinv.'!D24</f>
        <v>73143.543504977206</v>
      </c>
      <c r="G64" s="188">
        <f>'11. Desinvesteringen'!D348</f>
        <v>1973</v>
      </c>
      <c r="H64" s="188">
        <f>'11. Desinvesteringen'!G348</f>
        <v>2022</v>
      </c>
      <c r="I64" s="43" t="str">
        <f>'11. Desinvesteringen'!C348</f>
        <v>01 Regionale leidingen</v>
      </c>
      <c r="J64" s="177">
        <f>'11. Desinvesteringen'!F348</f>
        <v>0</v>
      </c>
      <c r="K64" s="44">
        <f>_xlfn.XLOOKUP(I64,'3. Input (des)investeringen '!$B$11:$B$80,'3. Input (des)investeringen '!$E$11:$E$80)</f>
        <v>1</v>
      </c>
      <c r="L64" s="54"/>
      <c r="M64" s="44">
        <f>_xlfn.XLOOKUP(I64,'3. Input (des)investeringen '!$B$11:$B$80,'3. Input (des)investeringen '!$D$11:$D$80,0)</f>
        <v>55</v>
      </c>
      <c r="N64" s="44">
        <f t="shared" si="9"/>
        <v>6.5</v>
      </c>
      <c r="P64" s="49">
        <f t="shared" si="10"/>
        <v>13165.837830895898</v>
      </c>
      <c r="Q64" s="49">
        <f t="shared" si="10"/>
        <v>10532.670264716719</v>
      </c>
      <c r="R64" s="49">
        <f t="shared" si="0"/>
        <v>9362.3735686370837</v>
      </c>
      <c r="S64" s="103">
        <f t="shared" si="0"/>
        <v>9362.3735686370837</v>
      </c>
      <c r="T64" s="103">
        <f t="shared" si="0"/>
        <v>9362.3735686370837</v>
      </c>
      <c r="V64" s="49">
        <f t="shared" si="11"/>
        <v>1125.285284691957</v>
      </c>
      <c r="W64" s="49">
        <f t="shared" si="12"/>
        <v>1125.285284691957</v>
      </c>
      <c r="X64" s="49">
        <f t="shared" si="13"/>
        <v>1125.285284691957</v>
      </c>
      <c r="Y64" s="103">
        <f t="shared" si="14"/>
        <v>1125.285284691957</v>
      </c>
      <c r="Z64" s="103">
        <f t="shared" si="15"/>
        <v>1125.285284691957</v>
      </c>
      <c r="AB64" s="49">
        <f t="shared" si="16"/>
        <v>14291.123115587856</v>
      </c>
      <c r="AC64" s="49">
        <f t="shared" si="17"/>
        <v>11657.955549408676</v>
      </c>
      <c r="AD64" s="49">
        <f t="shared" si="18"/>
        <v>10487.658853329041</v>
      </c>
      <c r="AE64" s="103">
        <f t="shared" si="19"/>
        <v>10487.658853329041</v>
      </c>
      <c r="AF64" s="103">
        <f t="shared" si="20"/>
        <v>10487.658853329041</v>
      </c>
      <c r="AH64" s="49">
        <f t="shared" si="21"/>
        <v>58852.42038938935</v>
      </c>
      <c r="AI64" s="49">
        <f t="shared" si="22"/>
        <v>47194.464839980676</v>
      </c>
      <c r="AJ64" s="49">
        <f t="shared" si="23"/>
        <v>36706.805986651634</v>
      </c>
      <c r="AK64" s="103">
        <f t="shared" si="24"/>
        <v>26219.147133322593</v>
      </c>
      <c r="AL64" s="103">
        <f t="shared" si="25"/>
        <v>15731.488279993551</v>
      </c>
      <c r="AN64" s="53">
        <f t="shared" si="26"/>
        <v>15596.571075500133</v>
      </c>
      <c r="AO64" s="53">
        <f t="shared" si="27"/>
        <v>12250.140756447787</v>
      </c>
      <c r="AP64" s="53">
        <f t="shared" si="28"/>
        <v>10858.764661854089</v>
      </c>
      <c r="AQ64" s="206">
        <f t="shared" si="29"/>
        <v>10563.956571487011</v>
      </c>
      <c r="AR64" s="206">
        <f t="shared" si="30"/>
        <v>10269.148481119932</v>
      </c>
      <c r="AY64" s="3"/>
    </row>
    <row r="65" spans="1:51">
      <c r="A65" s="54"/>
      <c r="B65" s="43">
        <f>'11. Desinvesteringen'!B349</f>
        <v>330</v>
      </c>
      <c r="C65" s="54"/>
      <c r="D65" s="54"/>
      <c r="E65" s="54"/>
      <c r="F65" s="48">
        <f>'5. Input GAW-waarde desinv.'!D25</f>
        <v>28650.688160986421</v>
      </c>
      <c r="G65" s="188">
        <f>'11. Desinvesteringen'!D349</f>
        <v>1974</v>
      </c>
      <c r="H65" s="188">
        <f>'11. Desinvesteringen'!G349</f>
        <v>2022</v>
      </c>
      <c r="I65" s="43" t="str">
        <f>'11. Desinvesteringen'!C349</f>
        <v>01 Regionale leidingen</v>
      </c>
      <c r="J65" s="177">
        <f>'11. Desinvesteringen'!F349</f>
        <v>0</v>
      </c>
      <c r="K65" s="44">
        <f>_xlfn.XLOOKUP(I65,'3. Input (des)investeringen '!$B$11:$B$80,'3. Input (des)investeringen '!$E$11:$E$80)</f>
        <v>1</v>
      </c>
      <c r="L65" s="54"/>
      <c r="M65" s="44">
        <f>_xlfn.XLOOKUP(I65,'3. Input (des)investeringen '!$B$11:$B$80,'3. Input (des)investeringen '!$D$11:$D$80,0)</f>
        <v>55</v>
      </c>
      <c r="N65" s="44">
        <f t="shared" si="9"/>
        <v>7.5</v>
      </c>
      <c r="P65" s="49">
        <f t="shared" si="10"/>
        <v>4469.5073531138823</v>
      </c>
      <c r="Q65" s="49">
        <f t="shared" si="10"/>
        <v>3694.7927452408089</v>
      </c>
      <c r="R65" s="49">
        <f t="shared" si="0"/>
        <v>3203.8762266423801</v>
      </c>
      <c r="S65" s="103">
        <f t="shared" si="0"/>
        <v>3203.8762266423801</v>
      </c>
      <c r="T65" s="103">
        <f t="shared" si="0"/>
        <v>3203.8762266423801</v>
      </c>
      <c r="V65" s="49">
        <f t="shared" si="11"/>
        <v>382.00917547981896</v>
      </c>
      <c r="W65" s="49">
        <f t="shared" si="12"/>
        <v>382.00917547981902</v>
      </c>
      <c r="X65" s="49">
        <f t="shared" si="13"/>
        <v>382.00917547981902</v>
      </c>
      <c r="Y65" s="103">
        <f t="shared" si="14"/>
        <v>382.00917547981902</v>
      </c>
      <c r="Z65" s="103">
        <f t="shared" si="15"/>
        <v>382.00917547981902</v>
      </c>
      <c r="AB65" s="49">
        <f t="shared" si="16"/>
        <v>4851.516528593701</v>
      </c>
      <c r="AC65" s="49">
        <f t="shared" si="17"/>
        <v>4076.801920720628</v>
      </c>
      <c r="AD65" s="49">
        <f t="shared" si="18"/>
        <v>3585.8854021221991</v>
      </c>
      <c r="AE65" s="103">
        <f t="shared" si="19"/>
        <v>3585.8854021221991</v>
      </c>
      <c r="AF65" s="103">
        <f t="shared" si="20"/>
        <v>3585.8854021221991</v>
      </c>
      <c r="AH65" s="49">
        <f t="shared" si="21"/>
        <v>23799.171632392721</v>
      </c>
      <c r="AI65" s="49">
        <f t="shared" si="22"/>
        <v>19722.369711672094</v>
      </c>
      <c r="AJ65" s="49">
        <f t="shared" si="23"/>
        <v>16136.484309549895</v>
      </c>
      <c r="AK65" s="103">
        <f t="shared" si="24"/>
        <v>12550.598907427695</v>
      </c>
      <c r="AL65" s="103">
        <f t="shared" si="25"/>
        <v>8964.7135053054953</v>
      </c>
      <c r="AN65" s="53">
        <f t="shared" si="26"/>
        <v>5437.8639400743778</v>
      </c>
      <c r="AO65" s="53">
        <f t="shared" si="27"/>
        <v>4374.3592123103317</v>
      </c>
      <c r="AP65" s="53">
        <f t="shared" si="28"/>
        <v>3813.5711957299482</v>
      </c>
      <c r="AQ65" s="206">
        <f t="shared" si="29"/>
        <v>3712.7719570762933</v>
      </c>
      <c r="AR65" s="206">
        <f t="shared" si="30"/>
        <v>3611.9727184226381</v>
      </c>
      <c r="AY65" s="3"/>
    </row>
    <row r="66" spans="1:51">
      <c r="A66" s="54"/>
      <c r="B66" s="43">
        <f>'11. Desinvesteringen'!B350</f>
        <v>331</v>
      </c>
      <c r="C66" s="54"/>
      <c r="D66" s="54"/>
      <c r="E66" s="54"/>
      <c r="F66" s="48">
        <f>'5. Input GAW-waarde desinv.'!D26</f>
        <v>22915.340357348177</v>
      </c>
      <c r="G66" s="188">
        <f>'11. Desinvesteringen'!D350</f>
        <v>1975</v>
      </c>
      <c r="H66" s="188">
        <f>'11. Desinvesteringen'!G350</f>
        <v>2022</v>
      </c>
      <c r="I66" s="43" t="str">
        <f>'11. Desinvesteringen'!C350</f>
        <v>01 Regionale leidingen</v>
      </c>
      <c r="J66" s="177">
        <f>'11. Desinvesteringen'!F350</f>
        <v>0</v>
      </c>
      <c r="K66" s="44">
        <f>_xlfn.XLOOKUP(I66,'3. Input (des)investeringen '!$B$11:$B$80,'3. Input (des)investeringen '!$E$11:$E$80)</f>
        <v>1</v>
      </c>
      <c r="L66" s="54"/>
      <c r="M66" s="44">
        <f>_xlfn.XLOOKUP(I66,'3. Input (des)investeringen '!$B$11:$B$80,'3. Input (des)investeringen '!$D$11:$D$80,0)</f>
        <v>55</v>
      </c>
      <c r="N66" s="44">
        <f t="shared" si="9"/>
        <v>8.5</v>
      </c>
      <c r="P66" s="49">
        <f t="shared" si="10"/>
        <v>3154.2292021291023</v>
      </c>
      <c r="Q66" s="49">
        <f t="shared" si="10"/>
        <v>2671.8176770975924</v>
      </c>
      <c r="R66" s="49">
        <f t="shared" si="0"/>
        <v>2276.5783757517943</v>
      </c>
      <c r="S66" s="103">
        <f t="shared" si="0"/>
        <v>2276.5783757517943</v>
      </c>
      <c r="T66" s="103">
        <f t="shared" si="0"/>
        <v>2276.5783757517943</v>
      </c>
      <c r="V66" s="49">
        <f t="shared" si="11"/>
        <v>269.59223949821387</v>
      </c>
      <c r="W66" s="49">
        <f t="shared" si="12"/>
        <v>269.59223949821387</v>
      </c>
      <c r="X66" s="49">
        <f t="shared" si="13"/>
        <v>269.59223949821387</v>
      </c>
      <c r="Y66" s="103">
        <f t="shared" si="14"/>
        <v>269.59223949821387</v>
      </c>
      <c r="Z66" s="103">
        <f t="shared" si="15"/>
        <v>269.59223949821387</v>
      </c>
      <c r="AB66" s="49">
        <f t="shared" si="16"/>
        <v>3423.8214416273163</v>
      </c>
      <c r="AC66" s="49">
        <f t="shared" si="17"/>
        <v>2941.4099165958064</v>
      </c>
      <c r="AD66" s="49">
        <f t="shared" si="18"/>
        <v>2546.1706152500083</v>
      </c>
      <c r="AE66" s="103">
        <f t="shared" si="19"/>
        <v>2546.1706152500083</v>
      </c>
      <c r="AF66" s="103">
        <f t="shared" si="20"/>
        <v>2546.1706152500083</v>
      </c>
      <c r="AH66" s="49">
        <f t="shared" si="21"/>
        <v>19491.518915720862</v>
      </c>
      <c r="AI66" s="49">
        <f t="shared" si="22"/>
        <v>16550.108999125056</v>
      </c>
      <c r="AJ66" s="49">
        <f t="shared" si="23"/>
        <v>14003.938383875047</v>
      </c>
      <c r="AK66" s="103">
        <f t="shared" si="24"/>
        <v>11457.767768625039</v>
      </c>
      <c r="AL66" s="103">
        <f t="shared" si="25"/>
        <v>8911.5971533750308</v>
      </c>
      <c r="AN66" s="53">
        <f t="shared" si="26"/>
        <v>3938.6628197660134</v>
      </c>
      <c r="AO66" s="53">
        <f t="shared" si="27"/>
        <v>3221.3246558156761</v>
      </c>
      <c r="AP66" s="53">
        <f t="shared" si="28"/>
        <v>2779.4125744599855</v>
      </c>
      <c r="AQ66" s="206">
        <f t="shared" si="29"/>
        <v>2707.8397184653077</v>
      </c>
      <c r="AR66" s="206">
        <f t="shared" si="30"/>
        <v>2636.2668624706303</v>
      </c>
      <c r="AY66" s="3"/>
    </row>
    <row r="67" spans="1:51">
      <c r="A67" s="54"/>
      <c r="B67" s="43">
        <f>'11. Desinvesteringen'!B351</f>
        <v>332</v>
      </c>
      <c r="C67" s="54"/>
      <c r="D67" s="54"/>
      <c r="E67" s="54"/>
      <c r="F67" s="48">
        <f>'5. Input GAW-waarde desinv.'!D27</f>
        <v>52322.526677778427</v>
      </c>
      <c r="G67" s="188">
        <f>'11. Desinvesteringen'!D351</f>
        <v>1976</v>
      </c>
      <c r="H67" s="188">
        <f>'11. Desinvesteringen'!G351</f>
        <v>2022</v>
      </c>
      <c r="I67" s="43" t="str">
        <f>'11. Desinvesteringen'!C351</f>
        <v>01 Regionale leidingen</v>
      </c>
      <c r="J67" s="177">
        <f>'11. Desinvesteringen'!F351</f>
        <v>0</v>
      </c>
      <c r="K67" s="44">
        <f>_xlfn.XLOOKUP(I67,'3. Input (des)investeringen '!$B$11:$B$80,'3. Input (des)investeringen '!$E$11:$E$80)</f>
        <v>1</v>
      </c>
      <c r="L67" s="54"/>
      <c r="M67" s="44">
        <f>_xlfn.XLOOKUP(I67,'3. Input (des)investeringen '!$B$11:$B$80,'3. Input (des)investeringen '!$D$11:$D$80,0)</f>
        <v>55</v>
      </c>
      <c r="N67" s="44">
        <f t="shared" si="9"/>
        <v>9.5</v>
      </c>
      <c r="P67" s="49">
        <f t="shared" si="10"/>
        <v>6443.9322329474489</v>
      </c>
      <c r="Q67" s="49">
        <f t="shared" si="10"/>
        <v>5562.1309800177987</v>
      </c>
      <c r="R67" s="49">
        <f t="shared" si="10"/>
        <v>4800.9972669627305</v>
      </c>
      <c r="S67" s="103">
        <f t="shared" si="10"/>
        <v>4658.9559277034778</v>
      </c>
      <c r="T67" s="103">
        <f t="shared" si="10"/>
        <v>4658.9559277034778</v>
      </c>
      <c r="V67" s="49">
        <f t="shared" si="11"/>
        <v>550.76343871345716</v>
      </c>
      <c r="W67" s="49">
        <f t="shared" si="12"/>
        <v>550.76343871345716</v>
      </c>
      <c r="X67" s="49">
        <f t="shared" si="13"/>
        <v>550.76343871345716</v>
      </c>
      <c r="Y67" s="103">
        <f t="shared" si="14"/>
        <v>550.76343871345716</v>
      </c>
      <c r="Z67" s="103">
        <f t="shared" si="15"/>
        <v>550.76343871345716</v>
      </c>
      <c r="AB67" s="49">
        <f t="shared" si="16"/>
        <v>6994.6956716609056</v>
      </c>
      <c r="AC67" s="49">
        <f t="shared" si="17"/>
        <v>6112.8944187312554</v>
      </c>
      <c r="AD67" s="49">
        <f t="shared" si="18"/>
        <v>5351.7607056761881</v>
      </c>
      <c r="AE67" s="103">
        <f t="shared" si="19"/>
        <v>5209.7193664169354</v>
      </c>
      <c r="AF67" s="103">
        <f t="shared" si="20"/>
        <v>5209.7193664169354</v>
      </c>
      <c r="AH67" s="49">
        <f t="shared" si="21"/>
        <v>45327.831006117522</v>
      </c>
      <c r="AI67" s="49">
        <f t="shared" si="22"/>
        <v>39214.93658738627</v>
      </c>
      <c r="AJ67" s="49">
        <f t="shared" si="23"/>
        <v>33863.175881710078</v>
      </c>
      <c r="AK67" s="103">
        <f t="shared" si="24"/>
        <v>28653.456515293143</v>
      </c>
      <c r="AL67" s="103">
        <f t="shared" si="25"/>
        <v>23443.737148876207</v>
      </c>
      <c r="AN67" s="53">
        <f t="shared" si="26"/>
        <v>8252.9169504555539</v>
      </c>
      <c r="AO67" s="53">
        <f t="shared" si="27"/>
        <v>6830.1139378226153</v>
      </c>
      <c r="AP67" s="53">
        <f t="shared" si="28"/>
        <v>5966.4936552534591</v>
      </c>
      <c r="AQ67" s="206">
        <f t="shared" si="29"/>
        <v>5686.955708977559</v>
      </c>
      <c r="AR67" s="206">
        <f t="shared" si="30"/>
        <v>5540.5104975875793</v>
      </c>
      <c r="AY67" s="3"/>
    </row>
    <row r="68" spans="1:51">
      <c r="A68" s="54"/>
      <c r="B68" s="43">
        <f>'11. Desinvesteringen'!B352</f>
        <v>333</v>
      </c>
      <c r="C68" s="54"/>
      <c r="D68" s="54"/>
      <c r="E68" s="54"/>
      <c r="F68" s="48">
        <f>'5. Input GAW-waarde desinv.'!D28</f>
        <v>22168.241432612802</v>
      </c>
      <c r="G68" s="188">
        <f>'11. Desinvesteringen'!D352</f>
        <v>1977</v>
      </c>
      <c r="H68" s="188">
        <f>'11. Desinvesteringen'!G352</f>
        <v>2022</v>
      </c>
      <c r="I68" s="43" t="str">
        <f>'11. Desinvesteringen'!C352</f>
        <v>01 Regionale leidingen</v>
      </c>
      <c r="J68" s="177">
        <f>'11. Desinvesteringen'!F352</f>
        <v>0</v>
      </c>
      <c r="K68" s="44">
        <f>_xlfn.XLOOKUP(I68,'3. Input (des)investeringen '!$B$11:$B$80,'3. Input (des)investeringen '!$E$11:$E$80)</f>
        <v>1</v>
      </c>
      <c r="L68" s="54"/>
      <c r="M68" s="44">
        <f>_xlfn.XLOOKUP(I68,'3. Input (des)investeringen '!$B$11:$B$80,'3. Input (des)investeringen '!$D$11:$D$80,0)</f>
        <v>55</v>
      </c>
      <c r="N68" s="44">
        <f t="shared" si="9"/>
        <v>10.5</v>
      </c>
      <c r="P68" s="49">
        <f t="shared" si="10"/>
        <v>2470.1754739197127</v>
      </c>
      <c r="Q68" s="49">
        <f t="shared" si="10"/>
        <v>2164.3442247677481</v>
      </c>
      <c r="R68" s="49">
        <f t="shared" si="10"/>
        <v>1896.3777969393602</v>
      </c>
      <c r="S68" s="103">
        <f t="shared" si="10"/>
        <v>1789.4026391632935</v>
      </c>
      <c r="T68" s="103">
        <f t="shared" si="10"/>
        <v>1789.4026391632935</v>
      </c>
      <c r="V68" s="49">
        <f t="shared" si="11"/>
        <v>211.12610888202667</v>
      </c>
      <c r="W68" s="49">
        <f t="shared" si="12"/>
        <v>211.12610888202673</v>
      </c>
      <c r="X68" s="49">
        <f t="shared" si="13"/>
        <v>211.12610888202673</v>
      </c>
      <c r="Y68" s="103">
        <f t="shared" si="14"/>
        <v>211.12610888202673</v>
      </c>
      <c r="Z68" s="103">
        <f t="shared" si="15"/>
        <v>211.12610888202673</v>
      </c>
      <c r="AB68" s="49">
        <f t="shared" si="16"/>
        <v>2681.3015828017392</v>
      </c>
      <c r="AC68" s="49">
        <f t="shared" si="17"/>
        <v>2375.4703336497746</v>
      </c>
      <c r="AD68" s="49">
        <f t="shared" si="18"/>
        <v>2107.503905821387</v>
      </c>
      <c r="AE68" s="103">
        <f t="shared" si="19"/>
        <v>2000.5287480453203</v>
      </c>
      <c r="AF68" s="103">
        <f t="shared" si="20"/>
        <v>2000.5287480453203</v>
      </c>
      <c r="AH68" s="49">
        <f t="shared" si="21"/>
        <v>19486.939849811064</v>
      </c>
      <c r="AI68" s="49">
        <f t="shared" si="22"/>
        <v>17111.469516161291</v>
      </c>
      <c r="AJ68" s="49">
        <f t="shared" si="23"/>
        <v>15003.965610339903</v>
      </c>
      <c r="AK68" s="103">
        <f t="shared" si="24"/>
        <v>13003.436862294582</v>
      </c>
      <c r="AL68" s="103">
        <f t="shared" si="25"/>
        <v>11002.908114249261</v>
      </c>
      <c r="AN68" s="53">
        <f t="shared" si="26"/>
        <v>3242.7500886561484</v>
      </c>
      <c r="AO68" s="53">
        <f t="shared" si="27"/>
        <v>2706.8191107291327</v>
      </c>
      <c r="AP68" s="53">
        <f t="shared" si="28"/>
        <v>2396.4926330612943</v>
      </c>
      <c r="AQ68" s="206">
        <f t="shared" si="29"/>
        <v>2240.0220471175658</v>
      </c>
      <c r="AR68" s="206">
        <f t="shared" si="30"/>
        <v>2183.787184010012</v>
      </c>
      <c r="AY68" s="3"/>
    </row>
    <row r="69" spans="1:51">
      <c r="A69" s="54"/>
      <c r="B69" s="43">
        <f>'11. Desinvesteringen'!B353</f>
        <v>334</v>
      </c>
      <c r="C69" s="54"/>
      <c r="D69" s="54"/>
      <c r="E69" s="54"/>
      <c r="F69" s="48">
        <f>'5. Input GAW-waarde desinv.'!D29</f>
        <v>74293.951826154895</v>
      </c>
      <c r="G69" s="188">
        <f>'11. Desinvesteringen'!D353</f>
        <v>1980</v>
      </c>
      <c r="H69" s="188">
        <f>'11. Desinvesteringen'!G353</f>
        <v>2022</v>
      </c>
      <c r="I69" s="43" t="str">
        <f>'11. Desinvesteringen'!C353</f>
        <v>01 Regionale leidingen</v>
      </c>
      <c r="J69" s="177">
        <f>'11. Desinvesteringen'!F353</f>
        <v>0</v>
      </c>
      <c r="K69" s="44">
        <f>_xlfn.XLOOKUP(I69,'3. Input (des)investeringen '!$B$11:$B$80,'3. Input (des)investeringen '!$E$11:$E$80)</f>
        <v>1</v>
      </c>
      <c r="L69" s="54"/>
      <c r="M69" s="44">
        <f>_xlfn.XLOOKUP(I69,'3. Input (des)investeringen '!$B$11:$B$80,'3. Input (des)investeringen '!$D$11:$D$80,0)</f>
        <v>55</v>
      </c>
      <c r="N69" s="44">
        <f t="shared" si="9"/>
        <v>13.5</v>
      </c>
      <c r="P69" s="49">
        <f t="shared" si="10"/>
        <v>6438.8091582667575</v>
      </c>
      <c r="Q69" s="49">
        <f t="shared" si="10"/>
        <v>5818.7756837669958</v>
      </c>
      <c r="R69" s="49">
        <f t="shared" si="10"/>
        <v>5258.4491364412843</v>
      </c>
      <c r="S69" s="103">
        <f t="shared" si="10"/>
        <v>4752.0799603395308</v>
      </c>
      <c r="T69" s="103">
        <f t="shared" si="10"/>
        <v>4694.3623899710346</v>
      </c>
      <c r="V69" s="49">
        <f t="shared" si="11"/>
        <v>550.32556908262893</v>
      </c>
      <c r="W69" s="49">
        <f t="shared" si="12"/>
        <v>550.32556908262893</v>
      </c>
      <c r="X69" s="49">
        <f t="shared" si="13"/>
        <v>550.32556908262893</v>
      </c>
      <c r="Y69" s="103">
        <f t="shared" si="14"/>
        <v>550.32556908262893</v>
      </c>
      <c r="Z69" s="103">
        <f t="shared" si="15"/>
        <v>550.32556908262893</v>
      </c>
      <c r="AB69" s="49">
        <f t="shared" si="16"/>
        <v>6989.1347273493866</v>
      </c>
      <c r="AC69" s="49">
        <f t="shared" si="17"/>
        <v>6369.1012528496249</v>
      </c>
      <c r="AD69" s="49">
        <f t="shared" si="18"/>
        <v>5808.7747055239133</v>
      </c>
      <c r="AE69" s="103">
        <f t="shared" si="19"/>
        <v>5302.4055294221598</v>
      </c>
      <c r="AF69" s="103">
        <f t="shared" si="20"/>
        <v>5244.6879590536637</v>
      </c>
      <c r="AH69" s="49">
        <f t="shared" si="21"/>
        <v>67304.817098805506</v>
      </c>
      <c r="AI69" s="49">
        <f t="shared" si="22"/>
        <v>60935.715845955885</v>
      </c>
      <c r="AJ69" s="49">
        <f t="shared" si="23"/>
        <v>55126.941140431969</v>
      </c>
      <c r="AK69" s="103">
        <f t="shared" si="24"/>
        <v>49824.535611009807</v>
      </c>
      <c r="AL69" s="103">
        <f t="shared" si="25"/>
        <v>44579.847651956145</v>
      </c>
      <c r="AN69" s="53">
        <f t="shared" si="26"/>
        <v>9071.4037843896058</v>
      </c>
      <c r="AO69" s="53">
        <f t="shared" si="27"/>
        <v>7680.750846349918</v>
      </c>
      <c r="AP69" s="53">
        <f t="shared" si="28"/>
        <v>6992.4402145334498</v>
      </c>
      <c r="AQ69" s="206">
        <f t="shared" si="29"/>
        <v>6368.9216770940493</v>
      </c>
      <c r="AR69" s="206">
        <f t="shared" si="30"/>
        <v>6167.4121351297708</v>
      </c>
      <c r="AY69" s="3"/>
    </row>
    <row r="70" spans="1:51">
      <c r="A70" s="54"/>
      <c r="B70" s="43">
        <f>'11. Desinvesteringen'!B354</f>
        <v>335</v>
      </c>
      <c r="C70" s="54"/>
      <c r="D70" s="54"/>
      <c r="E70" s="54"/>
      <c r="F70" s="48">
        <f>'5. Input GAW-waarde desinv.'!D30</f>
        <v>357.48421114725051</v>
      </c>
      <c r="G70" s="188">
        <f>'11. Desinvesteringen'!D354</f>
        <v>1986</v>
      </c>
      <c r="H70" s="188">
        <f>'11. Desinvesteringen'!G354</f>
        <v>2022</v>
      </c>
      <c r="I70" s="43" t="str">
        <f>'11. Desinvesteringen'!C354</f>
        <v>01 Regionale leidingen</v>
      </c>
      <c r="J70" s="177">
        <f>'11. Desinvesteringen'!F354</f>
        <v>0</v>
      </c>
      <c r="K70" s="44">
        <f>_xlfn.XLOOKUP(I70,'3. Input (des)investeringen '!$B$11:$B$80,'3. Input (des)investeringen '!$E$11:$E$80)</f>
        <v>1</v>
      </c>
      <c r="L70" s="54"/>
      <c r="M70" s="44">
        <f>_xlfn.XLOOKUP(I70,'3. Input (des)investeringen '!$B$11:$B$80,'3. Input (des)investeringen '!$D$11:$D$80,0)</f>
        <v>55</v>
      </c>
      <c r="N70" s="44">
        <f t="shared" si="9"/>
        <v>19.5</v>
      </c>
      <c r="P70" s="49">
        <f t="shared" si="10"/>
        <v>21.44905266883503</v>
      </c>
      <c r="Q70" s="49">
        <f t="shared" si="10"/>
        <v>20.019115824246029</v>
      </c>
      <c r="R70" s="49">
        <f t="shared" si="10"/>
        <v>18.684508102629628</v>
      </c>
      <c r="S70" s="103">
        <f t="shared" si="10"/>
        <v>17.438874229120984</v>
      </c>
      <c r="T70" s="103">
        <f t="shared" si="10"/>
        <v>16.276282613846252</v>
      </c>
      <c r="V70" s="49">
        <f t="shared" si="11"/>
        <v>1.833252364857695</v>
      </c>
      <c r="W70" s="49">
        <f t="shared" si="12"/>
        <v>1.833252364857695</v>
      </c>
      <c r="X70" s="49">
        <f t="shared" si="13"/>
        <v>1.833252364857695</v>
      </c>
      <c r="Y70" s="103">
        <f t="shared" si="14"/>
        <v>1.833252364857695</v>
      </c>
      <c r="Z70" s="103">
        <f t="shared" si="15"/>
        <v>1.833252364857695</v>
      </c>
      <c r="AB70" s="49">
        <f t="shared" si="16"/>
        <v>23.282305033692726</v>
      </c>
      <c r="AC70" s="49">
        <f t="shared" si="17"/>
        <v>21.852368189103725</v>
      </c>
      <c r="AD70" s="49">
        <f t="shared" si="18"/>
        <v>20.517760467487324</v>
      </c>
      <c r="AE70" s="103">
        <f t="shared" si="19"/>
        <v>19.27212659397868</v>
      </c>
      <c r="AF70" s="103">
        <f t="shared" si="20"/>
        <v>18.109534978703948</v>
      </c>
      <c r="AH70" s="49">
        <f t="shared" si="21"/>
        <v>334.20190611355775</v>
      </c>
      <c r="AI70" s="49">
        <f t="shared" si="22"/>
        <v>312.34953792445401</v>
      </c>
      <c r="AJ70" s="49">
        <f t="shared" si="23"/>
        <v>291.83177745696668</v>
      </c>
      <c r="AK70" s="103">
        <f t="shared" si="24"/>
        <v>272.55965086298801</v>
      </c>
      <c r="AL70" s="103">
        <f t="shared" si="25"/>
        <v>254.45011588428406</v>
      </c>
      <c r="AN70" s="53">
        <f t="shared" si="26"/>
        <v>34.34140725770623</v>
      </c>
      <c r="AO70" s="53">
        <f t="shared" si="27"/>
        <v>29.25581450424659</v>
      </c>
      <c r="AP70" s="53">
        <f t="shared" si="28"/>
        <v>27.428532822350956</v>
      </c>
      <c r="AQ70" s="206">
        <f t="shared" si="29"/>
        <v>25.719634404316619</v>
      </c>
      <c r="AR70" s="206">
        <f t="shared" si="30"/>
        <v>24.121227032552824</v>
      </c>
      <c r="AY70" s="3"/>
    </row>
    <row r="71" spans="1:51">
      <c r="A71" s="54"/>
      <c r="B71" s="43">
        <f>'11. Desinvesteringen'!B355</f>
        <v>336</v>
      </c>
      <c r="C71" s="54"/>
      <c r="D71" s="54"/>
      <c r="E71" s="54"/>
      <c r="F71" s="48">
        <f>'5. Input GAW-waarde desinv.'!D31</f>
        <v>38915.650783577308</v>
      </c>
      <c r="G71" s="188">
        <f>'11. Desinvesteringen'!D355</f>
        <v>1987</v>
      </c>
      <c r="H71" s="188">
        <f>'11. Desinvesteringen'!G355</f>
        <v>2022</v>
      </c>
      <c r="I71" s="43" t="str">
        <f>'11. Desinvesteringen'!C355</f>
        <v>01 Regionale leidingen</v>
      </c>
      <c r="J71" s="177">
        <f>'11. Desinvesteringen'!F355</f>
        <v>0</v>
      </c>
      <c r="K71" s="44">
        <f>_xlfn.XLOOKUP(I71,'3. Input (des)investeringen '!$B$11:$B$80,'3. Input (des)investeringen '!$E$11:$E$80)</f>
        <v>1</v>
      </c>
      <c r="L71" s="54"/>
      <c r="M71" s="44">
        <f>_xlfn.XLOOKUP(I71,'3. Input (des)investeringen '!$B$11:$B$80,'3. Input (des)investeringen '!$D$11:$D$80,0)</f>
        <v>55</v>
      </c>
      <c r="N71" s="44">
        <f t="shared" si="9"/>
        <v>20.5</v>
      </c>
      <c r="P71" s="49">
        <f t="shared" si="10"/>
        <v>2221.0395813066075</v>
      </c>
      <c r="Q71" s="49">
        <f t="shared" si="10"/>
        <v>2080.1931688335053</v>
      </c>
      <c r="R71" s="49">
        <f t="shared" si="10"/>
        <v>1948.2784800782101</v>
      </c>
      <c r="S71" s="103">
        <f t="shared" si="10"/>
        <v>1824.7291130488604</v>
      </c>
      <c r="T71" s="103">
        <f t="shared" si="10"/>
        <v>1709.0145839286888</v>
      </c>
      <c r="V71" s="49">
        <f t="shared" si="11"/>
        <v>189.83244284671858</v>
      </c>
      <c r="W71" s="49">
        <f t="shared" si="12"/>
        <v>189.83244284671855</v>
      </c>
      <c r="X71" s="49">
        <f t="shared" si="13"/>
        <v>189.83244284671855</v>
      </c>
      <c r="Y71" s="103">
        <f t="shared" si="14"/>
        <v>189.83244284671855</v>
      </c>
      <c r="Z71" s="103">
        <f t="shared" si="15"/>
        <v>189.83244284671855</v>
      </c>
      <c r="AB71" s="49">
        <f t="shared" si="16"/>
        <v>2410.872024153326</v>
      </c>
      <c r="AC71" s="49">
        <f t="shared" si="17"/>
        <v>2270.0256116802238</v>
      </c>
      <c r="AD71" s="49">
        <f t="shared" si="18"/>
        <v>2138.1109229249287</v>
      </c>
      <c r="AE71" s="103">
        <f t="shared" si="19"/>
        <v>2014.561555895579</v>
      </c>
      <c r="AF71" s="103">
        <f t="shared" si="20"/>
        <v>1898.8470267754074</v>
      </c>
      <c r="AH71" s="49">
        <f t="shared" si="21"/>
        <v>36504.778759423985</v>
      </c>
      <c r="AI71" s="49">
        <f t="shared" si="22"/>
        <v>34234.753147743759</v>
      </c>
      <c r="AJ71" s="49">
        <f t="shared" si="23"/>
        <v>32096.642224818832</v>
      </c>
      <c r="AK71" s="103">
        <f t="shared" si="24"/>
        <v>30082.080668923252</v>
      </c>
      <c r="AL71" s="103">
        <f t="shared" si="25"/>
        <v>28183.233642147847</v>
      </c>
      <c r="AN71" s="53">
        <f t="shared" si="26"/>
        <v>3627.1861945348774</v>
      </c>
      <c r="AO71" s="53">
        <f t="shared" si="27"/>
        <v>3089.3529091274468</v>
      </c>
      <c r="AP71" s="53">
        <f t="shared" si="28"/>
        <v>2905.6465477203155</v>
      </c>
      <c r="AQ71" s="206">
        <f t="shared" si="29"/>
        <v>2733.25146547759</v>
      </c>
      <c r="AR71" s="206">
        <f t="shared" si="30"/>
        <v>2571.4503617693326</v>
      </c>
      <c r="AY71" s="3"/>
    </row>
    <row r="72" spans="1:51">
      <c r="A72" s="54"/>
      <c r="B72" s="43">
        <f>'11. Desinvesteringen'!B356</f>
        <v>337</v>
      </c>
      <c r="C72" s="54"/>
      <c r="D72" s="54"/>
      <c r="E72" s="54"/>
      <c r="F72" s="48">
        <f>'5. Input GAW-waarde desinv.'!D32</f>
        <v>22545.342886393813</v>
      </c>
      <c r="G72" s="188">
        <f>'11. Desinvesteringen'!D356</f>
        <v>1991</v>
      </c>
      <c r="H72" s="188">
        <f>'11. Desinvesteringen'!G356</f>
        <v>2022</v>
      </c>
      <c r="I72" s="43" t="str">
        <f>'11. Desinvesteringen'!C356</f>
        <v>01 Regionale leidingen</v>
      </c>
      <c r="J72" s="177">
        <f>'11. Desinvesteringen'!F356</f>
        <v>0</v>
      </c>
      <c r="K72" s="44">
        <f>_xlfn.XLOOKUP(I72,'3. Input (des)investeringen '!$B$11:$B$80,'3. Input (des)investeringen '!$E$11:$E$80)</f>
        <v>1</v>
      </c>
      <c r="L72" s="54"/>
      <c r="M72" s="44">
        <f>_xlfn.XLOOKUP(I72,'3. Input (des)investeringen '!$B$11:$B$80,'3. Input (des)investeringen '!$D$11:$D$80,0)</f>
        <v>55</v>
      </c>
      <c r="N72" s="44">
        <f t="shared" si="9"/>
        <v>24.5</v>
      </c>
      <c r="P72" s="49">
        <f t="shared" si="10"/>
        <v>1076.6551500849291</v>
      </c>
      <c r="Q72" s="49">
        <f t="shared" si="10"/>
        <v>1019.5265094681778</v>
      </c>
      <c r="R72" s="49">
        <f t="shared" si="10"/>
        <v>965.42918447598879</v>
      </c>
      <c r="S72" s="103">
        <f t="shared" si="10"/>
        <v>914.20232978950764</v>
      </c>
      <c r="T72" s="103">
        <f t="shared" si="10"/>
        <v>865.69363473945202</v>
      </c>
      <c r="V72" s="49">
        <f t="shared" si="11"/>
        <v>92.02180769956658</v>
      </c>
      <c r="W72" s="49">
        <f t="shared" si="12"/>
        <v>92.021807699566594</v>
      </c>
      <c r="X72" s="49">
        <f t="shared" si="13"/>
        <v>92.021807699566594</v>
      </c>
      <c r="Y72" s="103">
        <f t="shared" si="14"/>
        <v>92.021807699566594</v>
      </c>
      <c r="Z72" s="103">
        <f t="shared" si="15"/>
        <v>92.021807699566594</v>
      </c>
      <c r="AB72" s="49">
        <f t="shared" si="16"/>
        <v>1168.6769577844957</v>
      </c>
      <c r="AC72" s="49">
        <f t="shared" si="17"/>
        <v>1111.5483171677445</v>
      </c>
      <c r="AD72" s="49">
        <f t="shared" si="18"/>
        <v>1057.4509921755555</v>
      </c>
      <c r="AE72" s="103">
        <f t="shared" si="19"/>
        <v>1006.2241374890742</v>
      </c>
      <c r="AF72" s="103">
        <f t="shared" si="20"/>
        <v>957.7154424390186</v>
      </c>
      <c r="AH72" s="49">
        <f t="shared" si="21"/>
        <v>21376.665928609316</v>
      </c>
      <c r="AI72" s="49">
        <f t="shared" si="22"/>
        <v>20265.117611441572</v>
      </c>
      <c r="AJ72" s="49">
        <f t="shared" si="23"/>
        <v>19207.666619266016</v>
      </c>
      <c r="AK72" s="103">
        <f t="shared" si="24"/>
        <v>18201.442481776943</v>
      </c>
      <c r="AL72" s="103">
        <f t="shared" si="25"/>
        <v>17243.727039337926</v>
      </c>
      <c r="AN72" s="53">
        <f t="shared" si="26"/>
        <v>1896.2477484483497</v>
      </c>
      <c r="AO72" s="53">
        <f t="shared" si="27"/>
        <v>1611.1732292437994</v>
      </c>
      <c r="AP72" s="53">
        <f t="shared" si="28"/>
        <v>1530.7590883360633</v>
      </c>
      <c r="AQ72" s="206">
        <f t="shared" si="29"/>
        <v>1454.4745649900126</v>
      </c>
      <c r="AR72" s="206">
        <f t="shared" si="30"/>
        <v>1382.1005366411496</v>
      </c>
      <c r="AY72" s="3"/>
    </row>
    <row r="73" spans="1:51">
      <c r="A73" s="54"/>
      <c r="B73" s="43">
        <f>'11. Desinvesteringen'!B357</f>
        <v>338</v>
      </c>
      <c r="C73" s="54"/>
      <c r="D73" s="54"/>
      <c r="E73" s="54"/>
      <c r="F73" s="48">
        <f>'5. Input GAW-waarde desinv.'!D33</f>
        <v>91128.347042326975</v>
      </c>
      <c r="G73" s="188">
        <f>'11. Desinvesteringen'!D357</f>
        <v>1994</v>
      </c>
      <c r="H73" s="188">
        <f>'11. Desinvesteringen'!G357</f>
        <v>2022</v>
      </c>
      <c r="I73" s="43" t="str">
        <f>'11. Desinvesteringen'!C357</f>
        <v>01 Regionale leidingen</v>
      </c>
      <c r="J73" s="177">
        <f>'11. Desinvesteringen'!F357</f>
        <v>0</v>
      </c>
      <c r="K73" s="44">
        <f>_xlfn.XLOOKUP(I73,'3. Input (des)investeringen '!$B$11:$B$80,'3. Input (des)investeringen '!$E$11:$E$80)</f>
        <v>1</v>
      </c>
      <c r="L73" s="54"/>
      <c r="M73" s="44">
        <f>_xlfn.XLOOKUP(I73,'3. Input (des)investeringen '!$B$11:$B$80,'3. Input (des)investeringen '!$D$11:$D$80,0)</f>
        <v>55</v>
      </c>
      <c r="N73" s="44">
        <f t="shared" si="9"/>
        <v>27.5</v>
      </c>
      <c r="P73" s="49">
        <f t="shared" si="10"/>
        <v>3877.0969468917297</v>
      </c>
      <c r="Q73" s="49">
        <f t="shared" si="10"/>
        <v>3693.8160003113935</v>
      </c>
      <c r="R73" s="49">
        <f t="shared" si="10"/>
        <v>3519.1992439330365</v>
      </c>
      <c r="S73" s="103">
        <f t="shared" si="10"/>
        <v>3352.837097856202</v>
      </c>
      <c r="T73" s="103">
        <f t="shared" si="10"/>
        <v>3194.3393441393632</v>
      </c>
      <c r="V73" s="49">
        <f t="shared" si="11"/>
        <v>331.37580742664358</v>
      </c>
      <c r="W73" s="49">
        <f t="shared" si="12"/>
        <v>331.37580742664363</v>
      </c>
      <c r="X73" s="49">
        <f t="shared" si="13"/>
        <v>331.37580742664363</v>
      </c>
      <c r="Y73" s="103">
        <f t="shared" si="14"/>
        <v>331.37580742664363</v>
      </c>
      <c r="Z73" s="103">
        <f t="shared" si="15"/>
        <v>331.37580742664363</v>
      </c>
      <c r="AB73" s="49">
        <f t="shared" si="16"/>
        <v>4208.4727543183735</v>
      </c>
      <c r="AC73" s="49">
        <f t="shared" si="17"/>
        <v>4025.1918077380369</v>
      </c>
      <c r="AD73" s="49">
        <f t="shared" si="18"/>
        <v>3850.5750513596804</v>
      </c>
      <c r="AE73" s="103">
        <f t="shared" si="19"/>
        <v>3684.2129052828459</v>
      </c>
      <c r="AF73" s="103">
        <f t="shared" si="20"/>
        <v>3525.7151515660071</v>
      </c>
      <c r="AH73" s="49">
        <f t="shared" si="21"/>
        <v>86919.874288008607</v>
      </c>
      <c r="AI73" s="49">
        <f t="shared" si="22"/>
        <v>82894.682480270567</v>
      </c>
      <c r="AJ73" s="49">
        <f t="shared" si="23"/>
        <v>79044.10742891088</v>
      </c>
      <c r="AK73" s="103">
        <f t="shared" si="24"/>
        <v>75359.894523628027</v>
      </c>
      <c r="AL73" s="103">
        <f t="shared" si="25"/>
        <v>71834.179372062019</v>
      </c>
      <c r="AN73" s="53">
        <f t="shared" si="26"/>
        <v>7201.0958591108783</v>
      </c>
      <c r="AO73" s="53">
        <f t="shared" si="27"/>
        <v>6101.7742483709471</v>
      </c>
      <c r="AP73" s="53">
        <f t="shared" si="28"/>
        <v>5829.9186829507062</v>
      </c>
      <c r="AQ73" s="206">
        <f t="shared" si="29"/>
        <v>5570.4741273092113</v>
      </c>
      <c r="AR73" s="206">
        <f t="shared" si="30"/>
        <v>5322.8538791660121</v>
      </c>
      <c r="AY73" s="3"/>
    </row>
    <row r="74" spans="1:51">
      <c r="A74" s="54"/>
      <c r="B74" s="43">
        <f>'11. Desinvesteringen'!B358</f>
        <v>339</v>
      </c>
      <c r="C74" s="54"/>
      <c r="D74" s="54"/>
      <c r="E74" s="54"/>
      <c r="F74" s="48">
        <f>'5. Input GAW-waarde desinv.'!D34</f>
        <v>19475.506076320318</v>
      </c>
      <c r="G74" s="188">
        <f>'11. Desinvesteringen'!D358</f>
        <v>1995</v>
      </c>
      <c r="H74" s="188">
        <f>'11. Desinvesteringen'!G358</f>
        <v>2022</v>
      </c>
      <c r="I74" s="43" t="str">
        <f>'11. Desinvesteringen'!C358</f>
        <v>01 Regionale leidingen</v>
      </c>
      <c r="J74" s="177">
        <f>'11. Desinvesteringen'!F358</f>
        <v>0</v>
      </c>
      <c r="K74" s="44">
        <f>_xlfn.XLOOKUP(I74,'3. Input (des)investeringen '!$B$11:$B$80,'3. Input (des)investeringen '!$E$11:$E$80)</f>
        <v>1</v>
      </c>
      <c r="L74" s="54"/>
      <c r="M74" s="44">
        <f>_xlfn.XLOOKUP(I74,'3. Input (des)investeringen '!$B$11:$B$80,'3. Input (des)investeringen '!$D$11:$D$80,0)</f>
        <v>55</v>
      </c>
      <c r="N74" s="44">
        <f t="shared" si="9"/>
        <v>28.5</v>
      </c>
      <c r="P74" s="49">
        <f t="shared" si="10"/>
        <v>799.52077576472891</v>
      </c>
      <c r="Q74" s="49">
        <f t="shared" si="10"/>
        <v>763.05140704563598</v>
      </c>
      <c r="R74" s="49">
        <f t="shared" si="10"/>
        <v>728.24555339092285</v>
      </c>
      <c r="S74" s="103">
        <f t="shared" si="10"/>
        <v>695.02733516607361</v>
      </c>
      <c r="T74" s="103">
        <f t="shared" si="10"/>
        <v>663.3243339128843</v>
      </c>
      <c r="V74" s="49">
        <f t="shared" si="11"/>
        <v>68.335109039720422</v>
      </c>
      <c r="W74" s="49">
        <f t="shared" si="12"/>
        <v>68.335109039720422</v>
      </c>
      <c r="X74" s="49">
        <f t="shared" si="13"/>
        <v>68.335109039720422</v>
      </c>
      <c r="Y74" s="103">
        <f t="shared" si="14"/>
        <v>68.335109039720422</v>
      </c>
      <c r="Z74" s="103">
        <f t="shared" si="15"/>
        <v>68.335109039720422</v>
      </c>
      <c r="AB74" s="49">
        <f t="shared" si="16"/>
        <v>867.85588480444937</v>
      </c>
      <c r="AC74" s="49">
        <f t="shared" si="17"/>
        <v>831.38651608535645</v>
      </c>
      <c r="AD74" s="49">
        <f t="shared" si="18"/>
        <v>796.58066243064332</v>
      </c>
      <c r="AE74" s="103">
        <f t="shared" si="19"/>
        <v>763.36244420579408</v>
      </c>
      <c r="AF74" s="103">
        <f t="shared" si="20"/>
        <v>731.65944295260476</v>
      </c>
      <c r="AH74" s="49">
        <f t="shared" si="21"/>
        <v>18607.65019151587</v>
      </c>
      <c r="AI74" s="49">
        <f t="shared" si="22"/>
        <v>17776.263675430513</v>
      </c>
      <c r="AJ74" s="49">
        <f t="shared" si="23"/>
        <v>16979.683012999871</v>
      </c>
      <c r="AK74" s="103">
        <f t="shared" si="24"/>
        <v>16216.320568794077</v>
      </c>
      <c r="AL74" s="103">
        <f t="shared" si="25"/>
        <v>15484.661125841472</v>
      </c>
      <c r="AN74" s="53">
        <f t="shared" si="26"/>
        <v>1510.5956932397842</v>
      </c>
      <c r="AO74" s="53">
        <f t="shared" si="27"/>
        <v>1278.699937488331</v>
      </c>
      <c r="AP74" s="53">
        <f t="shared" si="28"/>
        <v>1223.6949701929393</v>
      </c>
      <c r="AQ74" s="206">
        <f t="shared" si="29"/>
        <v>1171.1113814096307</v>
      </c>
      <c r="AR74" s="206">
        <f t="shared" si="30"/>
        <v>1120.8387222939946</v>
      </c>
      <c r="AY74" s="3"/>
    </row>
    <row r="75" spans="1:51">
      <c r="A75" s="54"/>
      <c r="B75" s="43">
        <f>'11. Desinvesteringen'!B359</f>
        <v>340</v>
      </c>
      <c r="C75" s="54"/>
      <c r="D75" s="54"/>
      <c r="E75" s="54"/>
      <c r="F75" s="48">
        <f>'5. Input GAW-waarde desinv.'!D35</f>
        <v>4265.7894840755598</v>
      </c>
      <c r="G75" s="188">
        <f>'11. Desinvesteringen'!D359</f>
        <v>1997</v>
      </c>
      <c r="H75" s="188">
        <f>'11. Desinvesteringen'!G359</f>
        <v>2022</v>
      </c>
      <c r="I75" s="43" t="str">
        <f>'11. Desinvesteringen'!C359</f>
        <v>01 Regionale leidingen</v>
      </c>
      <c r="J75" s="177">
        <f>'11. Desinvesteringen'!F359</f>
        <v>0</v>
      </c>
      <c r="K75" s="44">
        <f>_xlfn.XLOOKUP(I75,'3. Input (des)investeringen '!$B$11:$B$80,'3. Input (des)investeringen '!$E$11:$E$80)</f>
        <v>1</v>
      </c>
      <c r="L75" s="54"/>
      <c r="M75" s="44">
        <f>_xlfn.XLOOKUP(I75,'3. Input (des)investeringen '!$B$11:$B$80,'3. Input (des)investeringen '!$D$11:$D$80,0)</f>
        <v>55</v>
      </c>
      <c r="N75" s="44">
        <f t="shared" si="9"/>
        <v>30.5</v>
      </c>
      <c r="P75" s="49">
        <f t="shared" si="10"/>
        <v>163.63848184814444</v>
      </c>
      <c r="Q75" s="49">
        <f t="shared" si="10"/>
        <v>156.6637268841252</v>
      </c>
      <c r="R75" s="49">
        <f t="shared" si="10"/>
        <v>149.98625655791653</v>
      </c>
      <c r="S75" s="103">
        <f t="shared" si="10"/>
        <v>143.59339972102177</v>
      </c>
      <c r="T75" s="103">
        <f t="shared" si="10"/>
        <v>137.47302530668313</v>
      </c>
      <c r="V75" s="49">
        <f t="shared" si="11"/>
        <v>13.986195029755933</v>
      </c>
      <c r="W75" s="49">
        <f t="shared" si="12"/>
        <v>13.986195029755937</v>
      </c>
      <c r="X75" s="49">
        <f t="shared" si="13"/>
        <v>13.986195029755937</v>
      </c>
      <c r="Y75" s="103">
        <f t="shared" si="14"/>
        <v>13.986195029755937</v>
      </c>
      <c r="Z75" s="103">
        <f t="shared" si="15"/>
        <v>13.986195029755937</v>
      </c>
      <c r="AB75" s="49">
        <f t="shared" si="16"/>
        <v>177.62467687790036</v>
      </c>
      <c r="AC75" s="49">
        <f t="shared" si="17"/>
        <v>170.64992191388114</v>
      </c>
      <c r="AD75" s="49">
        <f t="shared" si="18"/>
        <v>163.97245158767248</v>
      </c>
      <c r="AE75" s="103">
        <f t="shared" si="19"/>
        <v>157.57959475077772</v>
      </c>
      <c r="AF75" s="103">
        <f t="shared" si="20"/>
        <v>151.45922033643907</v>
      </c>
      <c r="AH75" s="49">
        <f t="shared" si="21"/>
        <v>4088.1648071976597</v>
      </c>
      <c r="AI75" s="49">
        <f t="shared" si="22"/>
        <v>3917.5148852837783</v>
      </c>
      <c r="AJ75" s="49">
        <f t="shared" si="23"/>
        <v>3753.5424336961059</v>
      </c>
      <c r="AK75" s="103">
        <f t="shared" si="24"/>
        <v>3595.9628389453283</v>
      </c>
      <c r="AL75" s="103">
        <f t="shared" si="25"/>
        <v>3444.5036186088892</v>
      </c>
      <c r="AN75" s="53">
        <f t="shared" si="26"/>
        <v>319.65873920836094</v>
      </c>
      <c r="AO75" s="53">
        <f t="shared" si="27"/>
        <v>270.02032025863366</v>
      </c>
      <c r="AP75" s="53">
        <f t="shared" si="28"/>
        <v>259.15426494884667</v>
      </c>
      <c r="AQ75" s="206">
        <f t="shared" si="29"/>
        <v>248.73459568423192</v>
      </c>
      <c r="AR75" s="206">
        <f t="shared" si="30"/>
        <v>238.74228617433931</v>
      </c>
      <c r="AY75" s="3"/>
    </row>
    <row r="76" spans="1:51">
      <c r="A76" s="54"/>
      <c r="B76" s="43">
        <f>'11. Desinvesteringen'!B360</f>
        <v>341</v>
      </c>
      <c r="C76" s="54"/>
      <c r="D76" s="54"/>
      <c r="E76" s="54"/>
      <c r="F76" s="48">
        <f>'5. Input GAW-waarde desinv.'!D36</f>
        <v>6065.0353725967525</v>
      </c>
      <c r="G76" s="188">
        <f>'11. Desinvesteringen'!D360</f>
        <v>2001</v>
      </c>
      <c r="H76" s="188">
        <f>'11. Desinvesteringen'!G360</f>
        <v>2022</v>
      </c>
      <c r="I76" s="43" t="str">
        <f>'11. Desinvesteringen'!C360</f>
        <v>01 Regionale leidingen</v>
      </c>
      <c r="J76" s="177">
        <f>'11. Desinvesteringen'!F360</f>
        <v>0</v>
      </c>
      <c r="K76" s="44">
        <f>_xlfn.XLOOKUP(I76,'3. Input (des)investeringen '!$B$11:$B$80,'3. Input (des)investeringen '!$E$11:$E$80)</f>
        <v>1</v>
      </c>
      <c r="L76" s="54"/>
      <c r="M76" s="44">
        <f>_xlfn.XLOOKUP(I76,'3. Input (des)investeringen '!$B$11:$B$80,'3. Input (des)investeringen '!$D$11:$D$80,0)</f>
        <v>55</v>
      </c>
      <c r="N76" s="44">
        <f t="shared" si="9"/>
        <v>34.5</v>
      </c>
      <c r="P76" s="49">
        <f t="shared" si="10"/>
        <v>205.6838082880638</v>
      </c>
      <c r="Q76" s="49">
        <f t="shared" si="10"/>
        <v>197.93340391778895</v>
      </c>
      <c r="R76" s="49">
        <f t="shared" si="10"/>
        <v>190.47504377016213</v>
      </c>
      <c r="S76" s="103">
        <f t="shared" si="10"/>
        <v>183.29772328027195</v>
      </c>
      <c r="T76" s="103">
        <f t="shared" si="10"/>
        <v>176.39085254797183</v>
      </c>
      <c r="V76" s="49">
        <f t="shared" si="11"/>
        <v>17.579812674193487</v>
      </c>
      <c r="W76" s="49">
        <f t="shared" si="12"/>
        <v>17.579812674193487</v>
      </c>
      <c r="X76" s="49">
        <f t="shared" si="13"/>
        <v>17.579812674193487</v>
      </c>
      <c r="Y76" s="103">
        <f t="shared" si="14"/>
        <v>17.579812674193487</v>
      </c>
      <c r="Z76" s="103">
        <f t="shared" si="15"/>
        <v>17.579812674193487</v>
      </c>
      <c r="AB76" s="49">
        <f t="shared" si="16"/>
        <v>223.26362096225728</v>
      </c>
      <c r="AC76" s="49">
        <f t="shared" si="17"/>
        <v>215.51321659198243</v>
      </c>
      <c r="AD76" s="49">
        <f t="shared" si="18"/>
        <v>208.05485644435561</v>
      </c>
      <c r="AE76" s="103">
        <f t="shared" si="19"/>
        <v>200.87753595446543</v>
      </c>
      <c r="AF76" s="103">
        <f t="shared" si="20"/>
        <v>193.97066522216531</v>
      </c>
      <c r="AH76" s="49">
        <f t="shared" si="21"/>
        <v>5841.7717516344956</v>
      </c>
      <c r="AI76" s="49">
        <f t="shared" si="22"/>
        <v>5626.2585350425134</v>
      </c>
      <c r="AJ76" s="49">
        <f t="shared" si="23"/>
        <v>5418.2036785981581</v>
      </c>
      <c r="AK76" s="103">
        <f t="shared" si="24"/>
        <v>5217.3261426436929</v>
      </c>
      <c r="AL76" s="103">
        <f t="shared" si="25"/>
        <v>5023.3554774215272</v>
      </c>
      <c r="AN76" s="53">
        <f t="shared" si="26"/>
        <v>428.14761809289604</v>
      </c>
      <c r="AO76" s="53">
        <f t="shared" si="27"/>
        <v>360.0900113667326</v>
      </c>
      <c r="AP76" s="53">
        <f t="shared" si="28"/>
        <v>347.25310589375545</v>
      </c>
      <c r="AQ76" s="206">
        <f t="shared" si="29"/>
        <v>334.88128905904836</v>
      </c>
      <c r="AR76" s="206">
        <f t="shared" si="30"/>
        <v>322.95703578348804</v>
      </c>
      <c r="AY76" s="3"/>
    </row>
    <row r="77" spans="1:51">
      <c r="A77" s="54"/>
      <c r="B77" s="43">
        <f>'11. Desinvesteringen'!B361</f>
        <v>342</v>
      </c>
      <c r="C77" s="54"/>
      <c r="D77" s="54"/>
      <c r="E77" s="54"/>
      <c r="F77" s="48">
        <f>'5. Input GAW-waarde desinv.'!D37</f>
        <v>3963.0132452867715</v>
      </c>
      <c r="G77" s="188">
        <f>'11. Desinvesteringen'!D361</f>
        <v>2002</v>
      </c>
      <c r="H77" s="188">
        <f>'11. Desinvesteringen'!G361</f>
        <v>2022</v>
      </c>
      <c r="I77" s="43" t="str">
        <f>'11. Desinvesteringen'!C361</f>
        <v>01 Regionale leidingen</v>
      </c>
      <c r="J77" s="177">
        <f>'11. Desinvesteringen'!F361</f>
        <v>0</v>
      </c>
      <c r="K77" s="44">
        <f>_xlfn.XLOOKUP(I77,'3. Input (des)investeringen '!$B$11:$B$80,'3. Input (des)investeringen '!$E$11:$E$80)</f>
        <v>1</v>
      </c>
      <c r="L77" s="54"/>
      <c r="M77" s="44">
        <f>_xlfn.XLOOKUP(I77,'3. Input (des)investeringen '!$B$11:$B$80,'3. Input (des)investeringen '!$D$11:$D$80,0)</f>
        <v>55</v>
      </c>
      <c r="N77" s="44">
        <f t="shared" si="9"/>
        <v>35.5</v>
      </c>
      <c r="P77" s="49">
        <f t="shared" si="10"/>
        <v>130.61198583057811</v>
      </c>
      <c r="Q77" s="49">
        <f t="shared" si="10"/>
        <v>125.82901170157102</v>
      </c>
      <c r="R77" s="49">
        <f t="shared" si="10"/>
        <v>121.22118873785151</v>
      </c>
      <c r="S77" s="103">
        <f t="shared" si="10"/>
        <v>116.78210295308513</v>
      </c>
      <c r="T77" s="103">
        <f t="shared" si="10"/>
        <v>112.50557523931016</v>
      </c>
      <c r="V77" s="49">
        <f t="shared" si="11"/>
        <v>11.163417592357105</v>
      </c>
      <c r="W77" s="49">
        <f t="shared" si="12"/>
        <v>11.163417592357103</v>
      </c>
      <c r="X77" s="49">
        <f t="shared" si="13"/>
        <v>11.163417592357103</v>
      </c>
      <c r="Y77" s="103">
        <f t="shared" si="14"/>
        <v>11.163417592357103</v>
      </c>
      <c r="Z77" s="103">
        <f t="shared" si="15"/>
        <v>11.163417592357103</v>
      </c>
      <c r="AB77" s="49">
        <f t="shared" si="16"/>
        <v>141.7754034229352</v>
      </c>
      <c r="AC77" s="49">
        <f t="shared" si="17"/>
        <v>136.99242929392813</v>
      </c>
      <c r="AD77" s="49">
        <f t="shared" si="18"/>
        <v>132.38460633020861</v>
      </c>
      <c r="AE77" s="103">
        <f t="shared" si="19"/>
        <v>127.94552054544224</v>
      </c>
      <c r="AF77" s="103">
        <f t="shared" si="20"/>
        <v>123.66899283166727</v>
      </c>
      <c r="AH77" s="49">
        <f t="shared" si="21"/>
        <v>3821.2378418638364</v>
      </c>
      <c r="AI77" s="49">
        <f t="shared" si="22"/>
        <v>3684.2454125699082</v>
      </c>
      <c r="AJ77" s="49">
        <f t="shared" si="23"/>
        <v>3551.8608062396997</v>
      </c>
      <c r="AK77" s="103">
        <f t="shared" si="24"/>
        <v>3423.9152856942574</v>
      </c>
      <c r="AL77" s="103">
        <f t="shared" si="25"/>
        <v>3300.2462928625901</v>
      </c>
      <c r="AN77" s="53">
        <f t="shared" si="26"/>
        <v>276.06354732034691</v>
      </c>
      <c r="AO77" s="53">
        <f t="shared" si="27"/>
        <v>231.92604479575078</v>
      </c>
      <c r="AP77" s="53">
        <f t="shared" si="28"/>
        <v>223.88718339480343</v>
      </c>
      <c r="AQ77" s="206">
        <f t="shared" si="29"/>
        <v>216.13121143194496</v>
      </c>
      <c r="AR77" s="206">
        <f t="shared" si="30"/>
        <v>208.64776957563964</v>
      </c>
      <c r="AY77" s="3"/>
    </row>
    <row r="78" spans="1:51">
      <c r="A78" s="54"/>
      <c r="B78" s="43">
        <f>'11. Desinvesteringen'!B362</f>
        <v>343</v>
      </c>
      <c r="C78" s="54"/>
      <c r="D78" s="54"/>
      <c r="E78" s="54"/>
      <c r="F78" s="48">
        <f>'5. Input GAW-waarde desinv.'!D38</f>
        <v>99386.826026262308</v>
      </c>
      <c r="G78" s="188">
        <f>'11. Desinvesteringen'!D362</f>
        <v>2004</v>
      </c>
      <c r="H78" s="188">
        <f>'11. Desinvesteringen'!G362</f>
        <v>2022</v>
      </c>
      <c r="I78" s="43" t="str">
        <f>'11. Desinvesteringen'!C362</f>
        <v>01 Regionale leidingen</v>
      </c>
      <c r="J78" s="177">
        <f>'11. Desinvesteringen'!F362</f>
        <v>0</v>
      </c>
      <c r="K78" s="44">
        <f>_xlfn.XLOOKUP(I78,'3. Input (des)investeringen '!$B$11:$B$80,'3. Input (des)investeringen '!$E$11:$E$80)</f>
        <v>1</v>
      </c>
      <c r="L78" s="54"/>
      <c r="M78" s="44">
        <f>_xlfn.XLOOKUP(I78,'3. Input (des)investeringen '!$B$11:$B$80,'3. Input (des)investeringen '!$D$11:$D$80,0)</f>
        <v>55</v>
      </c>
      <c r="N78" s="44">
        <f t="shared" si="9"/>
        <v>37.5</v>
      </c>
      <c r="P78" s="49">
        <f t="shared" si="10"/>
        <v>3100.8689720193838</v>
      </c>
      <c r="Q78" s="49">
        <f t="shared" si="10"/>
        <v>2993.3721809893782</v>
      </c>
      <c r="R78" s="49">
        <f t="shared" si="10"/>
        <v>2889.6019453817466</v>
      </c>
      <c r="S78" s="103">
        <f t="shared" si="10"/>
        <v>2789.4290779418461</v>
      </c>
      <c r="T78" s="103">
        <f t="shared" si="10"/>
        <v>2692.7288699065289</v>
      </c>
      <c r="V78" s="49">
        <f t="shared" si="11"/>
        <v>265.03153607003281</v>
      </c>
      <c r="W78" s="49">
        <f t="shared" si="12"/>
        <v>265.03153607003281</v>
      </c>
      <c r="X78" s="49">
        <f t="shared" si="13"/>
        <v>265.03153607003281</v>
      </c>
      <c r="Y78" s="103">
        <f t="shared" si="14"/>
        <v>265.03153607003281</v>
      </c>
      <c r="Z78" s="103">
        <f t="shared" si="15"/>
        <v>265.03153607003281</v>
      </c>
      <c r="AB78" s="49">
        <f t="shared" si="16"/>
        <v>3365.9005080894167</v>
      </c>
      <c r="AC78" s="49">
        <f t="shared" si="17"/>
        <v>3258.4037170594111</v>
      </c>
      <c r="AD78" s="49">
        <f t="shared" si="18"/>
        <v>3154.6334814517795</v>
      </c>
      <c r="AE78" s="103">
        <f t="shared" si="19"/>
        <v>3054.460614011879</v>
      </c>
      <c r="AF78" s="103">
        <f t="shared" si="20"/>
        <v>2957.7604059765617</v>
      </c>
      <c r="AH78" s="49">
        <f t="shared" si="21"/>
        <v>96020.925518172895</v>
      </c>
      <c r="AI78" s="49">
        <f t="shared" si="22"/>
        <v>92762.521801113486</v>
      </c>
      <c r="AJ78" s="49">
        <f t="shared" si="23"/>
        <v>89607.88831966171</v>
      </c>
      <c r="AK78" s="103">
        <f t="shared" si="24"/>
        <v>86553.427705649825</v>
      </c>
      <c r="AL78" s="103">
        <f t="shared" si="25"/>
        <v>83595.667299673267</v>
      </c>
      <c r="AN78" s="53">
        <f t="shared" si="26"/>
        <v>6752.7130645009047</v>
      </c>
      <c r="AO78" s="53">
        <f t="shared" si="27"/>
        <v>5660.6787707139683</v>
      </c>
      <c r="AP78" s="53">
        <f t="shared" si="28"/>
        <v>5474.7693127860084</v>
      </c>
      <c r="AQ78" s="206">
        <f t="shared" si="29"/>
        <v>5295.0464481349472</v>
      </c>
      <c r="AR78" s="206">
        <f t="shared" si="30"/>
        <v>5121.2957081938539</v>
      </c>
      <c r="AY78" s="3"/>
    </row>
    <row r="79" spans="1:51">
      <c r="A79" s="54"/>
      <c r="B79" s="43">
        <f>'11. Desinvesteringen'!B363</f>
        <v>344</v>
      </c>
      <c r="C79" s="54"/>
      <c r="D79" s="54"/>
      <c r="E79" s="54"/>
      <c r="F79" s="48">
        <f>'5. Input GAW-waarde desinv.'!D39</f>
        <v>21724.935672167638</v>
      </c>
      <c r="G79" s="188">
        <f>'11. Desinvesteringen'!D363</f>
        <v>2005</v>
      </c>
      <c r="H79" s="188">
        <f>'11. Desinvesteringen'!G363</f>
        <v>2022</v>
      </c>
      <c r="I79" s="43" t="str">
        <f>'11. Desinvesteringen'!C363</f>
        <v>01 Regionale leidingen</v>
      </c>
      <c r="J79" s="177">
        <f>'11. Desinvesteringen'!F363</f>
        <v>0</v>
      </c>
      <c r="K79" s="44">
        <f>_xlfn.XLOOKUP(I79,'3. Input (des)investeringen '!$B$11:$B$80,'3. Input (des)investeringen '!$E$11:$E$80)</f>
        <v>1</v>
      </c>
      <c r="L79" s="54"/>
      <c r="M79" s="44">
        <f>_xlfn.XLOOKUP(I79,'3. Input (des)investeringen '!$B$11:$B$80,'3. Input (des)investeringen '!$D$11:$D$80,0)</f>
        <v>55</v>
      </c>
      <c r="N79" s="44">
        <f t="shared" si="9"/>
        <v>38.5</v>
      </c>
      <c r="P79" s="49">
        <f t="shared" si="10"/>
        <v>660.21233081652315</v>
      </c>
      <c r="Q79" s="49">
        <f t="shared" si="10"/>
        <v>637.91944691882236</v>
      </c>
      <c r="R79" s="49">
        <f t="shared" si="10"/>
        <v>616.37930975013478</v>
      </c>
      <c r="S79" s="103">
        <f t="shared" si="10"/>
        <v>595.56650188844196</v>
      </c>
      <c r="T79" s="103">
        <f t="shared" si="10"/>
        <v>575.45646416233865</v>
      </c>
      <c r="V79" s="49">
        <f t="shared" si="11"/>
        <v>56.428404343292577</v>
      </c>
      <c r="W79" s="49">
        <f t="shared" si="12"/>
        <v>56.428404343292563</v>
      </c>
      <c r="X79" s="49">
        <f t="shared" si="13"/>
        <v>56.428404343292563</v>
      </c>
      <c r="Y79" s="103">
        <f t="shared" si="14"/>
        <v>56.428404343292563</v>
      </c>
      <c r="Z79" s="103">
        <f t="shared" si="15"/>
        <v>56.428404343292563</v>
      </c>
      <c r="AB79" s="49">
        <f t="shared" si="16"/>
        <v>716.64073515981568</v>
      </c>
      <c r="AC79" s="49">
        <f t="shared" si="17"/>
        <v>694.34785126211489</v>
      </c>
      <c r="AD79" s="49">
        <f t="shared" si="18"/>
        <v>672.80771409342731</v>
      </c>
      <c r="AE79" s="103">
        <f t="shared" si="19"/>
        <v>651.99490623173449</v>
      </c>
      <c r="AF79" s="103">
        <f t="shared" si="20"/>
        <v>631.88486850563118</v>
      </c>
      <c r="AH79" s="49">
        <f t="shared" si="21"/>
        <v>21008.29493700782</v>
      </c>
      <c r="AI79" s="49">
        <f t="shared" si="22"/>
        <v>20313.947085745705</v>
      </c>
      <c r="AJ79" s="49">
        <f t="shared" si="23"/>
        <v>19641.13937165228</v>
      </c>
      <c r="AK79" s="103">
        <f t="shared" si="24"/>
        <v>18989.144465420544</v>
      </c>
      <c r="AL79" s="103">
        <f t="shared" si="25"/>
        <v>18357.259596914912</v>
      </c>
      <c r="AN79" s="53">
        <f t="shared" si="26"/>
        <v>1458.8832630838006</v>
      </c>
      <c r="AO79" s="53">
        <f t="shared" si="27"/>
        <v>1221.6289892129134</v>
      </c>
      <c r="AP79" s="53">
        <f t="shared" si="28"/>
        <v>1182.5332558426869</v>
      </c>
      <c r="AQ79" s="206">
        <f t="shared" si="29"/>
        <v>1144.7040780621066</v>
      </c>
      <c r="AR79" s="206">
        <f t="shared" si="30"/>
        <v>1108.0986890590545</v>
      </c>
      <c r="AY79" s="3"/>
    </row>
    <row r="80" spans="1:51">
      <c r="A80" s="54"/>
      <c r="B80" s="43">
        <f>'11. Desinvesteringen'!B364</f>
        <v>345</v>
      </c>
      <c r="C80" s="54"/>
      <c r="D80" s="54"/>
      <c r="E80" s="54"/>
      <c r="F80" s="48">
        <f>'5. Input GAW-waarde desinv.'!D40</f>
        <v>354150.64233630133</v>
      </c>
      <c r="G80" s="188">
        <f>'11. Desinvesteringen'!D364</f>
        <v>2009</v>
      </c>
      <c r="H80" s="188">
        <f>'11. Desinvesteringen'!G364</f>
        <v>2022</v>
      </c>
      <c r="I80" s="43" t="str">
        <f>'11. Desinvesteringen'!C364</f>
        <v>01 Regionale leidingen</v>
      </c>
      <c r="J80" s="177">
        <f>'11. Desinvesteringen'!F364</f>
        <v>0</v>
      </c>
      <c r="K80" s="44">
        <f>_xlfn.XLOOKUP(I80,'3. Input (des)investeringen '!$B$11:$B$80,'3. Input (des)investeringen '!$E$11:$E$80)</f>
        <v>1</v>
      </c>
      <c r="L80" s="54"/>
      <c r="M80" s="44">
        <f>_xlfn.XLOOKUP(I80,'3. Input (des)investeringen '!$B$11:$B$80,'3. Input (des)investeringen '!$D$11:$D$80,0)</f>
        <v>55</v>
      </c>
      <c r="N80" s="44">
        <f t="shared" si="9"/>
        <v>42.5</v>
      </c>
      <c r="P80" s="49">
        <f t="shared" si="10"/>
        <v>9749.5588596111193</v>
      </c>
      <c r="Q80" s="49">
        <f t="shared" si="10"/>
        <v>9451.3370591994844</v>
      </c>
      <c r="R80" s="49">
        <f t="shared" si="10"/>
        <v>9162.2373373886767</v>
      </c>
      <c r="S80" s="103">
        <f t="shared" si="10"/>
        <v>8881.9806658920825</v>
      </c>
      <c r="T80" s="103">
        <f t="shared" si="10"/>
        <v>8610.2965514059724</v>
      </c>
      <c r="V80" s="49">
        <f t="shared" si="11"/>
        <v>833.29562902659154</v>
      </c>
      <c r="W80" s="49">
        <f t="shared" si="12"/>
        <v>833.29562902659154</v>
      </c>
      <c r="X80" s="49">
        <f t="shared" si="13"/>
        <v>833.29562902659154</v>
      </c>
      <c r="Y80" s="103">
        <f t="shared" si="14"/>
        <v>833.29562902659154</v>
      </c>
      <c r="Z80" s="103">
        <f t="shared" si="15"/>
        <v>833.29562902659154</v>
      </c>
      <c r="AB80" s="49">
        <f t="shared" si="16"/>
        <v>10582.854488637711</v>
      </c>
      <c r="AC80" s="49">
        <f t="shared" si="17"/>
        <v>10284.632688226076</v>
      </c>
      <c r="AD80" s="49">
        <f t="shared" si="18"/>
        <v>9995.5329664152687</v>
      </c>
      <c r="AE80" s="103">
        <f t="shared" si="19"/>
        <v>9715.2762949186745</v>
      </c>
      <c r="AF80" s="103">
        <f t="shared" si="20"/>
        <v>9443.5921804325644</v>
      </c>
      <c r="AH80" s="49">
        <f t="shared" si="21"/>
        <v>343567.78784766363</v>
      </c>
      <c r="AI80" s="49">
        <f t="shared" si="22"/>
        <v>333283.15515943756</v>
      </c>
      <c r="AJ80" s="49">
        <f t="shared" si="23"/>
        <v>323287.62219302228</v>
      </c>
      <c r="AK80" s="103">
        <f t="shared" si="24"/>
        <v>313572.34589810361</v>
      </c>
      <c r="AL80" s="103">
        <f t="shared" si="25"/>
        <v>304128.75371767103</v>
      </c>
      <c r="AN80" s="53">
        <f t="shared" si="26"/>
        <v>22793.055344383967</v>
      </c>
      <c r="AO80" s="53">
        <f t="shared" si="27"/>
        <v>19005.290320399625</v>
      </c>
      <c r="AP80" s="53">
        <f t="shared" si="28"/>
        <v>18453.429449376963</v>
      </c>
      <c r="AQ80" s="206">
        <f t="shared" si="29"/>
        <v>17917.732531534493</v>
      </c>
      <c r="AR80" s="206">
        <f t="shared" si="30"/>
        <v>17397.705140069043</v>
      </c>
      <c r="AY80" s="3"/>
    </row>
    <row r="81" spans="1:51">
      <c r="A81" s="54"/>
      <c r="B81" s="43">
        <f>'11. Desinvesteringen'!B365</f>
        <v>346</v>
      </c>
      <c r="C81" s="54"/>
      <c r="D81" s="54"/>
      <c r="E81" s="54"/>
      <c r="F81" s="48">
        <f>'5. Input GAW-waarde desinv.'!D41</f>
        <v>152476.71374613314</v>
      </c>
      <c r="G81" s="188">
        <f>'11. Desinvesteringen'!D365</f>
        <v>2010</v>
      </c>
      <c r="H81" s="188">
        <f>'11. Desinvesteringen'!G365</f>
        <v>2022</v>
      </c>
      <c r="I81" s="43" t="str">
        <f>'11. Desinvesteringen'!C365</f>
        <v>01 Regionale leidingen</v>
      </c>
      <c r="J81" s="177">
        <f>'11. Desinvesteringen'!F365</f>
        <v>0</v>
      </c>
      <c r="K81" s="44">
        <f>_xlfn.XLOOKUP(I81,'3. Input (des)investeringen '!$B$11:$B$80,'3. Input (des)investeringen '!$E$11:$E$80)</f>
        <v>1</v>
      </c>
      <c r="L81" s="54"/>
      <c r="M81" s="44">
        <f>_xlfn.XLOOKUP(I81,'3. Input (des)investeringen '!$B$11:$B$80,'3. Input (des)investeringen '!$D$11:$D$80,0)</f>
        <v>55</v>
      </c>
      <c r="N81" s="44">
        <f t="shared" si="9"/>
        <v>43.5</v>
      </c>
      <c r="P81" s="49">
        <f t="shared" si="10"/>
        <v>4101.0978179994436</v>
      </c>
      <c r="Q81" s="49">
        <f t="shared" si="10"/>
        <v>3978.5362740132528</v>
      </c>
      <c r="R81" s="49">
        <f t="shared" si="10"/>
        <v>3859.6374888128566</v>
      </c>
      <c r="S81" s="103">
        <f t="shared" si="10"/>
        <v>3744.2920006414374</v>
      </c>
      <c r="T81" s="103">
        <f t="shared" si="10"/>
        <v>3632.3936190130726</v>
      </c>
      <c r="V81" s="49">
        <f t="shared" si="11"/>
        <v>350.52118102559348</v>
      </c>
      <c r="W81" s="49">
        <f t="shared" si="12"/>
        <v>350.52118102559342</v>
      </c>
      <c r="X81" s="49">
        <f t="shared" si="13"/>
        <v>350.52118102559342</v>
      </c>
      <c r="Y81" s="103">
        <f t="shared" si="14"/>
        <v>350.52118102559342</v>
      </c>
      <c r="Z81" s="103">
        <f t="shared" si="15"/>
        <v>350.52118102559342</v>
      </c>
      <c r="AB81" s="49">
        <f t="shared" si="16"/>
        <v>4451.6189990250368</v>
      </c>
      <c r="AC81" s="49">
        <f t="shared" si="17"/>
        <v>4329.0574550388465</v>
      </c>
      <c r="AD81" s="49">
        <f t="shared" si="18"/>
        <v>4210.1586698384499</v>
      </c>
      <c r="AE81" s="103">
        <f t="shared" si="19"/>
        <v>4094.8131816670307</v>
      </c>
      <c r="AF81" s="103">
        <f t="shared" si="20"/>
        <v>3982.9148000386658</v>
      </c>
      <c r="AH81" s="49">
        <f t="shared" si="21"/>
        <v>148025.09474710812</v>
      </c>
      <c r="AI81" s="49">
        <f t="shared" si="22"/>
        <v>143696.03729206926</v>
      </c>
      <c r="AJ81" s="49">
        <f t="shared" si="23"/>
        <v>139485.87862223081</v>
      </c>
      <c r="AK81" s="103">
        <f t="shared" si="24"/>
        <v>135391.06544056378</v>
      </c>
      <c r="AL81" s="103">
        <f t="shared" si="25"/>
        <v>131408.1506405251</v>
      </c>
      <c r="AN81" s="53">
        <f t="shared" si="26"/>
        <v>9719.1475532080713</v>
      </c>
      <c r="AO81" s="53">
        <f t="shared" si="27"/>
        <v>8095.6224436514667</v>
      </c>
      <c r="AP81" s="53">
        <f t="shared" si="28"/>
        <v>7865.8667217095363</v>
      </c>
      <c r="AQ81" s="206">
        <f t="shared" si="29"/>
        <v>7642.6828007562563</v>
      </c>
      <c r="AR81" s="206">
        <f t="shared" si="30"/>
        <v>7425.8742821413907</v>
      </c>
      <c r="AY81" s="3"/>
    </row>
    <row r="82" spans="1:51">
      <c r="A82" s="54"/>
      <c r="B82" s="43">
        <f>'11. Desinvesteringen'!B366</f>
        <v>347</v>
      </c>
      <c r="C82" s="54"/>
      <c r="D82" s="54"/>
      <c r="E82" s="54"/>
      <c r="F82" s="48">
        <f>'5. Input GAW-waarde desinv.'!D42</f>
        <v>56089.001773568591</v>
      </c>
      <c r="G82" s="188">
        <f>'11. Desinvesteringen'!D366</f>
        <v>2011</v>
      </c>
      <c r="H82" s="188">
        <f>'11. Desinvesteringen'!G366</f>
        <v>2022</v>
      </c>
      <c r="I82" s="43" t="str">
        <f>'11. Desinvesteringen'!C366</f>
        <v>01 Regionale leidingen</v>
      </c>
      <c r="J82" s="177">
        <f>'11. Desinvesteringen'!F366</f>
        <v>0</v>
      </c>
      <c r="K82" s="44">
        <f>_xlfn.XLOOKUP(I82,'3. Input (des)investeringen '!$B$11:$B$80,'3. Input (des)investeringen '!$E$11:$E$80)</f>
        <v>1</v>
      </c>
      <c r="L82" s="54"/>
      <c r="M82" s="44">
        <f>_xlfn.XLOOKUP(I82,'3. Input (des)investeringen '!$B$11:$B$80,'3. Input (des)investeringen '!$D$11:$D$80,0)</f>
        <v>55</v>
      </c>
      <c r="N82" s="44">
        <f t="shared" si="9"/>
        <v>44.5</v>
      </c>
      <c r="P82" s="49">
        <f t="shared" si="10"/>
        <v>1474.6995971927024</v>
      </c>
      <c r="Q82" s="49">
        <f t="shared" si="10"/>
        <v>1431.6184853646012</v>
      </c>
      <c r="R82" s="49">
        <f t="shared" si="10"/>
        <v>1389.7959228708037</v>
      </c>
      <c r="S82" s="103">
        <f t="shared" si="10"/>
        <v>1349.1951431015443</v>
      </c>
      <c r="T82" s="103">
        <f t="shared" si="10"/>
        <v>1309.7804535277912</v>
      </c>
      <c r="V82" s="49">
        <f t="shared" si="11"/>
        <v>126.04270061476089</v>
      </c>
      <c r="W82" s="49">
        <f t="shared" si="12"/>
        <v>126.04270061476089</v>
      </c>
      <c r="X82" s="49">
        <f t="shared" si="13"/>
        <v>126.04270061476089</v>
      </c>
      <c r="Y82" s="103">
        <f t="shared" si="14"/>
        <v>126.04270061476089</v>
      </c>
      <c r="Z82" s="103">
        <f t="shared" si="15"/>
        <v>126.04270061476089</v>
      </c>
      <c r="AB82" s="49">
        <f t="shared" si="16"/>
        <v>1600.7422978074633</v>
      </c>
      <c r="AC82" s="49">
        <f t="shared" si="17"/>
        <v>1557.661185979362</v>
      </c>
      <c r="AD82" s="49">
        <f t="shared" si="18"/>
        <v>1515.8386234855645</v>
      </c>
      <c r="AE82" s="103">
        <f t="shared" si="19"/>
        <v>1475.2378437163052</v>
      </c>
      <c r="AF82" s="103">
        <f t="shared" si="20"/>
        <v>1435.8231541425521</v>
      </c>
      <c r="AH82" s="49">
        <f t="shared" si="21"/>
        <v>54488.25947576113</v>
      </c>
      <c r="AI82" s="49">
        <f t="shared" si="22"/>
        <v>52930.598289781767</v>
      </c>
      <c r="AJ82" s="49">
        <f t="shared" si="23"/>
        <v>51414.759666296202</v>
      </c>
      <c r="AK82" s="103">
        <f t="shared" si="24"/>
        <v>49939.521822579896</v>
      </c>
      <c r="AL82" s="103">
        <f t="shared" si="25"/>
        <v>48503.698668437341</v>
      </c>
      <c r="AN82" s="53">
        <f t="shared" si="26"/>
        <v>3542.1154981971204</v>
      </c>
      <c r="AO82" s="53">
        <f t="shared" si="27"/>
        <v>2947.4076491884275</v>
      </c>
      <c r="AP82" s="53">
        <f t="shared" si="28"/>
        <v>2865.6096844255603</v>
      </c>
      <c r="AQ82" s="206">
        <f t="shared" si="29"/>
        <v>2786.0978179948993</v>
      </c>
      <c r="AR82" s="206">
        <f t="shared" si="30"/>
        <v>2708.8052650013447</v>
      </c>
      <c r="AY82" s="3"/>
    </row>
    <row r="83" spans="1:51">
      <c r="A83" s="54"/>
      <c r="B83" s="43">
        <f>'11. Desinvesteringen'!B367</f>
        <v>348</v>
      </c>
      <c r="C83" s="54"/>
      <c r="D83" s="54"/>
      <c r="E83" s="54"/>
      <c r="F83" s="48">
        <f>'5. Input GAW-waarde desinv.'!D43</f>
        <v>89195.270846924876</v>
      </c>
      <c r="G83" s="188">
        <f>'11. Desinvesteringen'!D367</f>
        <v>2012</v>
      </c>
      <c r="H83" s="188">
        <f>'11. Desinvesteringen'!G367</f>
        <v>2022</v>
      </c>
      <c r="I83" s="43" t="str">
        <f>'11. Desinvesteringen'!C367</f>
        <v>01 Regionale leidingen</v>
      </c>
      <c r="J83" s="177">
        <f>'11. Desinvesteringen'!F367</f>
        <v>0</v>
      </c>
      <c r="K83" s="44">
        <f>_xlfn.XLOOKUP(I83,'3. Input (des)investeringen '!$B$11:$B$80,'3. Input (des)investeringen '!$E$11:$E$80)</f>
        <v>1</v>
      </c>
      <c r="L83" s="54"/>
      <c r="M83" s="44">
        <f>_xlfn.XLOOKUP(I83,'3. Input (des)investeringen '!$B$11:$B$80,'3. Input (des)investeringen '!$D$11:$D$80,0)</f>
        <v>55</v>
      </c>
      <c r="N83" s="44">
        <f t="shared" si="9"/>
        <v>45.5</v>
      </c>
      <c r="P83" s="49">
        <f t="shared" si="10"/>
        <v>2293.5926789209257</v>
      </c>
      <c r="Q83" s="49">
        <f t="shared" si="10"/>
        <v>2228.061459523185</v>
      </c>
      <c r="R83" s="49">
        <f t="shared" si="10"/>
        <v>2164.4025606796654</v>
      </c>
      <c r="S83" s="103">
        <f t="shared" si="10"/>
        <v>2102.5624875173889</v>
      </c>
      <c r="T83" s="103">
        <f t="shared" si="10"/>
        <v>2042.4892735883207</v>
      </c>
      <c r="V83" s="49">
        <f t="shared" si="11"/>
        <v>196.03356230093382</v>
      </c>
      <c r="W83" s="49">
        <f t="shared" si="12"/>
        <v>196.0335623009338</v>
      </c>
      <c r="X83" s="49">
        <f t="shared" si="13"/>
        <v>196.0335623009338</v>
      </c>
      <c r="Y83" s="103">
        <f t="shared" si="14"/>
        <v>196.0335623009338</v>
      </c>
      <c r="Z83" s="103">
        <f t="shared" si="15"/>
        <v>196.0335623009338</v>
      </c>
      <c r="AB83" s="49">
        <f t="shared" si="16"/>
        <v>2489.6262412218593</v>
      </c>
      <c r="AC83" s="49">
        <f t="shared" si="17"/>
        <v>2424.0950218241187</v>
      </c>
      <c r="AD83" s="49">
        <f t="shared" si="18"/>
        <v>2360.4361229805991</v>
      </c>
      <c r="AE83" s="103">
        <f t="shared" si="19"/>
        <v>2298.5960498183226</v>
      </c>
      <c r="AF83" s="103">
        <f t="shared" si="20"/>
        <v>2238.5228358892546</v>
      </c>
      <c r="AH83" s="49">
        <f t="shared" si="21"/>
        <v>86705.644605703012</v>
      </c>
      <c r="AI83" s="49">
        <f t="shared" si="22"/>
        <v>84281.549583878892</v>
      </c>
      <c r="AJ83" s="49">
        <f t="shared" si="23"/>
        <v>81921.113460898297</v>
      </c>
      <c r="AK83" s="103">
        <f t="shared" si="24"/>
        <v>79622.517411079971</v>
      </c>
      <c r="AL83" s="103">
        <f t="shared" si="25"/>
        <v>77383.994575190722</v>
      </c>
      <c r="AN83" s="53">
        <f t="shared" si="26"/>
        <v>5582.5073478466311</v>
      </c>
      <c r="AO83" s="53">
        <f t="shared" si="27"/>
        <v>4640.5313942520352</v>
      </c>
      <c r="AP83" s="53">
        <f t="shared" si="28"/>
        <v>4514.5311466186722</v>
      </c>
      <c r="AQ83" s="206">
        <f t="shared" si="29"/>
        <v>4391.9734631052261</v>
      </c>
      <c r="AR83" s="206">
        <f t="shared" si="30"/>
        <v>4272.7599847368429</v>
      </c>
      <c r="AY83" s="3"/>
    </row>
    <row r="84" spans="1:51">
      <c r="A84" s="54"/>
      <c r="B84" s="43">
        <f>'11. Desinvesteringen'!B368</f>
        <v>349</v>
      </c>
      <c r="C84" s="54"/>
      <c r="D84" s="54"/>
      <c r="E84" s="54"/>
      <c r="F84" s="48">
        <f>'5. Input GAW-waarde desinv.'!D44</f>
        <v>160239.08891040052</v>
      </c>
      <c r="G84" s="188">
        <f>'11. Desinvesteringen'!D368</f>
        <v>2013</v>
      </c>
      <c r="H84" s="188">
        <f>'11. Desinvesteringen'!G368</f>
        <v>2022</v>
      </c>
      <c r="I84" s="43" t="str">
        <f>'11. Desinvesteringen'!C368</f>
        <v>01 Regionale leidingen</v>
      </c>
      <c r="J84" s="177">
        <f>'11. Desinvesteringen'!F368</f>
        <v>0</v>
      </c>
      <c r="K84" s="44">
        <f>_xlfn.XLOOKUP(I84,'3. Input (des)investeringen '!$B$11:$B$80,'3. Input (des)investeringen '!$E$11:$E$80)</f>
        <v>1</v>
      </c>
      <c r="L84" s="54"/>
      <c r="M84" s="44">
        <f>_xlfn.XLOOKUP(I84,'3. Input (des)investeringen '!$B$11:$B$80,'3. Input (des)investeringen '!$D$11:$D$80,0)</f>
        <v>55</v>
      </c>
      <c r="N84" s="44">
        <f t="shared" si="9"/>
        <v>46.5</v>
      </c>
      <c r="P84" s="49">
        <f t="shared" ref="P84:T115" si="31">IF($M84&gt;0, IF(OR($G84&gt;P$49,$G84+$M84&lt;P$49),0,
VDB($F84,0,$N84,MAX(0,P$49-2022),MIN($N84,P$49-2021),$F$22,FALSE))*(1-$F$25), 0)</f>
        <v>4031.8222371004008</v>
      </c>
      <c r="Q84" s="49">
        <f t="shared" si="31"/>
        <v>3919.104626170712</v>
      </c>
      <c r="R84" s="49">
        <f t="shared" si="31"/>
        <v>3809.5382602777672</v>
      </c>
      <c r="S84" s="103">
        <f t="shared" si="31"/>
        <v>3703.0350400979587</v>
      </c>
      <c r="T84" s="103">
        <f t="shared" si="31"/>
        <v>3599.5093292995211</v>
      </c>
      <c r="V84" s="49">
        <f t="shared" si="11"/>
        <v>344.60019120516245</v>
      </c>
      <c r="W84" s="49">
        <f t="shared" si="12"/>
        <v>344.60019120516239</v>
      </c>
      <c r="X84" s="49">
        <f t="shared" si="13"/>
        <v>344.60019120516239</v>
      </c>
      <c r="Y84" s="103">
        <f t="shared" si="14"/>
        <v>344.60019120516239</v>
      </c>
      <c r="Z84" s="103">
        <f t="shared" si="15"/>
        <v>344.60019120516239</v>
      </c>
      <c r="AB84" s="49">
        <f t="shared" si="16"/>
        <v>4376.4224283055628</v>
      </c>
      <c r="AC84" s="49">
        <f t="shared" si="17"/>
        <v>4263.704817375874</v>
      </c>
      <c r="AD84" s="49">
        <f t="shared" si="18"/>
        <v>4154.1384514829297</v>
      </c>
      <c r="AE84" s="103">
        <f t="shared" si="19"/>
        <v>4047.6352313031211</v>
      </c>
      <c r="AF84" s="103">
        <f t="shared" si="20"/>
        <v>3944.1095205046836</v>
      </c>
      <c r="AH84" s="49">
        <f t="shared" si="21"/>
        <v>155862.66648209497</v>
      </c>
      <c r="AI84" s="49">
        <f t="shared" si="22"/>
        <v>151598.9616647191</v>
      </c>
      <c r="AJ84" s="49">
        <f t="shared" si="23"/>
        <v>147444.82321323617</v>
      </c>
      <c r="AK84" s="103">
        <f t="shared" si="24"/>
        <v>143397.18798193306</v>
      </c>
      <c r="AL84" s="103">
        <f t="shared" si="25"/>
        <v>139453.07846142838</v>
      </c>
      <c r="AN84" s="53">
        <f t="shared" si="26"/>
        <v>9942.4405550712308</v>
      </c>
      <c r="AO84" s="53">
        <f t="shared" si="27"/>
        <v>8256.5382262764469</v>
      </c>
      <c r="AP84" s="53">
        <f t="shared" si="28"/>
        <v>8037.1017095635743</v>
      </c>
      <c r="AQ84" s="206">
        <f t="shared" si="29"/>
        <v>7823.5291659031618</v>
      </c>
      <c r="AR84" s="206">
        <f t="shared" si="30"/>
        <v>7615.6566562636408</v>
      </c>
      <c r="AY84" s="3"/>
    </row>
    <row r="85" spans="1:51">
      <c r="A85" s="54"/>
      <c r="B85" s="43">
        <f>'11. Desinvesteringen'!B369</f>
        <v>350</v>
      </c>
      <c r="C85" s="54"/>
      <c r="D85" s="54"/>
      <c r="E85" s="54"/>
      <c r="F85" s="48">
        <f>'5. Input GAW-waarde desinv.'!D45</f>
        <v>0</v>
      </c>
      <c r="G85" s="188">
        <f>'11. Desinvesteringen'!D369</f>
        <v>1965</v>
      </c>
      <c r="H85" s="188">
        <f>'11. Desinvesteringen'!G369</f>
        <v>2022</v>
      </c>
      <c r="I85" s="43" t="str">
        <f>'11. Desinvesteringen'!C369</f>
        <v>02 Gasontvangststations</v>
      </c>
      <c r="J85" s="177">
        <f>'11. Desinvesteringen'!F369</f>
        <v>0</v>
      </c>
      <c r="K85" s="44">
        <f>_xlfn.XLOOKUP(I85,'3. Input (des)investeringen '!$B$11:$B$80,'3. Input (des)investeringen '!$E$11:$E$80)</f>
        <v>0</v>
      </c>
      <c r="L85" s="54"/>
      <c r="M85" s="44">
        <f>_xlfn.XLOOKUP(I85,'3. Input (des)investeringen '!$B$11:$B$80,'3. Input (des)investeringen '!$D$11:$D$80,0)</f>
        <v>30</v>
      </c>
      <c r="N85" s="44">
        <f t="shared" si="9"/>
        <v>0</v>
      </c>
      <c r="P85" s="49">
        <f t="shared" si="31"/>
        <v>0</v>
      </c>
      <c r="Q85" s="49">
        <f t="shared" si="31"/>
        <v>0</v>
      </c>
      <c r="R85" s="49">
        <f t="shared" si="31"/>
        <v>0</v>
      </c>
      <c r="S85" s="103">
        <f t="shared" si="31"/>
        <v>0</v>
      </c>
      <c r="T85" s="103">
        <f t="shared" si="31"/>
        <v>0</v>
      </c>
      <c r="V85" s="49">
        <f t="shared" si="11"/>
        <v>0</v>
      </c>
      <c r="W85" s="49">
        <f t="shared" si="12"/>
        <v>0</v>
      </c>
      <c r="X85" s="49">
        <f t="shared" si="13"/>
        <v>0</v>
      </c>
      <c r="Y85" s="103">
        <f t="shared" si="14"/>
        <v>0</v>
      </c>
      <c r="Z85" s="103">
        <f t="shared" si="15"/>
        <v>0</v>
      </c>
      <c r="AB85" s="49">
        <f t="shared" si="16"/>
        <v>0</v>
      </c>
      <c r="AC85" s="49">
        <f t="shared" si="17"/>
        <v>0</v>
      </c>
      <c r="AD85" s="49">
        <f t="shared" si="18"/>
        <v>0</v>
      </c>
      <c r="AE85" s="103">
        <f t="shared" si="19"/>
        <v>0</v>
      </c>
      <c r="AF85" s="103">
        <f t="shared" si="20"/>
        <v>0</v>
      </c>
      <c r="AH85" s="49">
        <f t="shared" si="21"/>
        <v>0</v>
      </c>
      <c r="AI85" s="49">
        <f t="shared" si="22"/>
        <v>0</v>
      </c>
      <c r="AJ85" s="49">
        <f t="shared" si="23"/>
        <v>0</v>
      </c>
      <c r="AK85" s="103">
        <f t="shared" si="24"/>
        <v>0</v>
      </c>
      <c r="AL85" s="103">
        <f t="shared" si="25"/>
        <v>0</v>
      </c>
      <c r="AN85" s="53">
        <f t="shared" si="26"/>
        <v>0</v>
      </c>
      <c r="AO85" s="53">
        <f t="shared" si="27"/>
        <v>0</v>
      </c>
      <c r="AP85" s="53">
        <f t="shared" si="28"/>
        <v>0</v>
      </c>
      <c r="AQ85" s="206">
        <f t="shared" si="29"/>
        <v>0</v>
      </c>
      <c r="AR85" s="206">
        <f t="shared" si="30"/>
        <v>0</v>
      </c>
      <c r="AY85" s="3"/>
    </row>
    <row r="86" spans="1:51">
      <c r="A86" s="54"/>
      <c r="B86" s="43">
        <f>'11. Desinvesteringen'!B370</f>
        <v>351</v>
      </c>
      <c r="C86" s="54"/>
      <c r="D86" s="54"/>
      <c r="E86" s="54"/>
      <c r="F86" s="48">
        <f>'5. Input GAW-waarde desinv.'!D46</f>
        <v>0</v>
      </c>
      <c r="G86" s="188">
        <f>'11. Desinvesteringen'!D370</f>
        <v>1966</v>
      </c>
      <c r="H86" s="188">
        <f>'11. Desinvesteringen'!G370</f>
        <v>2022</v>
      </c>
      <c r="I86" s="43" t="str">
        <f>'11. Desinvesteringen'!C370</f>
        <v>02 Gasontvangststations</v>
      </c>
      <c r="J86" s="177">
        <f>'11. Desinvesteringen'!F370</f>
        <v>0</v>
      </c>
      <c r="K86" s="44">
        <f>_xlfn.XLOOKUP(I86,'3. Input (des)investeringen '!$B$11:$B$80,'3. Input (des)investeringen '!$E$11:$E$80)</f>
        <v>0</v>
      </c>
      <c r="L86" s="54"/>
      <c r="M86" s="44">
        <f>_xlfn.XLOOKUP(I86,'3. Input (des)investeringen '!$B$11:$B$80,'3. Input (des)investeringen '!$D$11:$D$80,0)</f>
        <v>30</v>
      </c>
      <c r="N86" s="44">
        <f t="shared" si="9"/>
        <v>0</v>
      </c>
      <c r="P86" s="49">
        <f t="shared" si="31"/>
        <v>0</v>
      </c>
      <c r="Q86" s="49">
        <f t="shared" si="31"/>
        <v>0</v>
      </c>
      <c r="R86" s="49">
        <f t="shared" si="31"/>
        <v>0</v>
      </c>
      <c r="S86" s="103">
        <f t="shared" si="31"/>
        <v>0</v>
      </c>
      <c r="T86" s="103">
        <f t="shared" si="31"/>
        <v>0</v>
      </c>
      <c r="V86" s="49">
        <f t="shared" si="11"/>
        <v>0</v>
      </c>
      <c r="W86" s="49">
        <f t="shared" si="12"/>
        <v>0</v>
      </c>
      <c r="X86" s="49">
        <f t="shared" si="13"/>
        <v>0</v>
      </c>
      <c r="Y86" s="103">
        <f t="shared" si="14"/>
        <v>0</v>
      </c>
      <c r="Z86" s="103">
        <f t="shared" si="15"/>
        <v>0</v>
      </c>
      <c r="AB86" s="49">
        <f t="shared" si="16"/>
        <v>0</v>
      </c>
      <c r="AC86" s="49">
        <f t="shared" si="17"/>
        <v>0</v>
      </c>
      <c r="AD86" s="49">
        <f t="shared" si="18"/>
        <v>0</v>
      </c>
      <c r="AE86" s="103">
        <f t="shared" si="19"/>
        <v>0</v>
      </c>
      <c r="AF86" s="103">
        <f t="shared" si="20"/>
        <v>0</v>
      </c>
      <c r="AH86" s="49">
        <f t="shared" si="21"/>
        <v>0</v>
      </c>
      <c r="AI86" s="49">
        <f t="shared" si="22"/>
        <v>0</v>
      </c>
      <c r="AJ86" s="49">
        <f t="shared" si="23"/>
        <v>0</v>
      </c>
      <c r="AK86" s="103">
        <f t="shared" si="24"/>
        <v>0</v>
      </c>
      <c r="AL86" s="103">
        <f t="shared" si="25"/>
        <v>0</v>
      </c>
      <c r="AN86" s="53">
        <f t="shared" si="26"/>
        <v>0</v>
      </c>
      <c r="AO86" s="53">
        <f t="shared" si="27"/>
        <v>0</v>
      </c>
      <c r="AP86" s="53">
        <f t="shared" si="28"/>
        <v>0</v>
      </c>
      <c r="AQ86" s="206">
        <f t="shared" si="29"/>
        <v>0</v>
      </c>
      <c r="AR86" s="206">
        <f t="shared" si="30"/>
        <v>0</v>
      </c>
      <c r="AY86" s="3"/>
    </row>
    <row r="87" spans="1:51">
      <c r="A87" s="54"/>
      <c r="B87" s="43">
        <f>'11. Desinvesteringen'!B371</f>
        <v>352</v>
      </c>
      <c r="C87" s="54"/>
      <c r="D87" s="54"/>
      <c r="E87" s="54"/>
      <c r="F87" s="48">
        <f>'5. Input GAW-waarde desinv.'!D47</f>
        <v>0</v>
      </c>
      <c r="G87" s="188">
        <f>'11. Desinvesteringen'!D371</f>
        <v>1967</v>
      </c>
      <c r="H87" s="188">
        <f>'11. Desinvesteringen'!G371</f>
        <v>2022</v>
      </c>
      <c r="I87" s="43" t="str">
        <f>'11. Desinvesteringen'!C371</f>
        <v>02 Gasontvangststations</v>
      </c>
      <c r="J87" s="177">
        <f>'11. Desinvesteringen'!F371</f>
        <v>0</v>
      </c>
      <c r="K87" s="44">
        <f>_xlfn.XLOOKUP(I87,'3. Input (des)investeringen '!$B$11:$B$80,'3. Input (des)investeringen '!$E$11:$E$80)</f>
        <v>0</v>
      </c>
      <c r="L87" s="54"/>
      <c r="M87" s="44">
        <f>_xlfn.XLOOKUP(I87,'3. Input (des)investeringen '!$B$11:$B$80,'3. Input (des)investeringen '!$D$11:$D$80,0)</f>
        <v>30</v>
      </c>
      <c r="N87" s="44">
        <f t="shared" si="9"/>
        <v>0</v>
      </c>
      <c r="P87" s="49">
        <f t="shared" si="31"/>
        <v>0</v>
      </c>
      <c r="Q87" s="49">
        <f t="shared" si="31"/>
        <v>0</v>
      </c>
      <c r="R87" s="49">
        <f t="shared" si="31"/>
        <v>0</v>
      </c>
      <c r="S87" s="103">
        <f t="shared" si="31"/>
        <v>0</v>
      </c>
      <c r="T87" s="103">
        <f t="shared" si="31"/>
        <v>0</v>
      </c>
      <c r="V87" s="49">
        <f t="shared" si="11"/>
        <v>0</v>
      </c>
      <c r="W87" s="49">
        <f t="shared" si="12"/>
        <v>0</v>
      </c>
      <c r="X87" s="49">
        <f t="shared" si="13"/>
        <v>0</v>
      </c>
      <c r="Y87" s="103">
        <f t="shared" si="14"/>
        <v>0</v>
      </c>
      <c r="Z87" s="103">
        <f t="shared" si="15"/>
        <v>0</v>
      </c>
      <c r="AB87" s="49">
        <f t="shared" si="16"/>
        <v>0</v>
      </c>
      <c r="AC87" s="49">
        <f t="shared" si="17"/>
        <v>0</v>
      </c>
      <c r="AD87" s="49">
        <f t="shared" si="18"/>
        <v>0</v>
      </c>
      <c r="AE87" s="103">
        <f t="shared" si="19"/>
        <v>0</v>
      </c>
      <c r="AF87" s="103">
        <f t="shared" si="20"/>
        <v>0</v>
      </c>
      <c r="AH87" s="49">
        <f t="shared" si="21"/>
        <v>0</v>
      </c>
      <c r="AI87" s="49">
        <f t="shared" si="22"/>
        <v>0</v>
      </c>
      <c r="AJ87" s="49">
        <f t="shared" si="23"/>
        <v>0</v>
      </c>
      <c r="AK87" s="103">
        <f t="shared" si="24"/>
        <v>0</v>
      </c>
      <c r="AL87" s="103">
        <f t="shared" si="25"/>
        <v>0</v>
      </c>
      <c r="AN87" s="53">
        <f t="shared" si="26"/>
        <v>0</v>
      </c>
      <c r="AO87" s="53">
        <f t="shared" si="27"/>
        <v>0</v>
      </c>
      <c r="AP87" s="53">
        <f t="shared" si="28"/>
        <v>0</v>
      </c>
      <c r="AQ87" s="206">
        <f t="shared" si="29"/>
        <v>0</v>
      </c>
      <c r="AR87" s="206">
        <f t="shared" si="30"/>
        <v>0</v>
      </c>
      <c r="AY87" s="3"/>
    </row>
    <row r="88" spans="1:51">
      <c r="A88" s="54"/>
      <c r="B88" s="43">
        <f>'11. Desinvesteringen'!B372</f>
        <v>353</v>
      </c>
      <c r="C88" s="54"/>
      <c r="D88" s="54"/>
      <c r="E88" s="54"/>
      <c r="F88" s="48">
        <f>'5. Input GAW-waarde desinv.'!D48</f>
        <v>0</v>
      </c>
      <c r="G88" s="188">
        <f>'11. Desinvesteringen'!D372</f>
        <v>1968</v>
      </c>
      <c r="H88" s="188">
        <f>'11. Desinvesteringen'!G372</f>
        <v>2022</v>
      </c>
      <c r="I88" s="43" t="str">
        <f>'11. Desinvesteringen'!C372</f>
        <v>02 Gasontvangststations</v>
      </c>
      <c r="J88" s="177">
        <f>'11. Desinvesteringen'!F372</f>
        <v>0</v>
      </c>
      <c r="K88" s="44">
        <f>_xlfn.XLOOKUP(I88,'3. Input (des)investeringen '!$B$11:$B$80,'3. Input (des)investeringen '!$E$11:$E$80)</f>
        <v>0</v>
      </c>
      <c r="L88" s="54"/>
      <c r="M88" s="44">
        <f>_xlfn.XLOOKUP(I88,'3. Input (des)investeringen '!$B$11:$B$80,'3. Input (des)investeringen '!$D$11:$D$80,0)</f>
        <v>30</v>
      </c>
      <c r="N88" s="44">
        <f t="shared" si="9"/>
        <v>0</v>
      </c>
      <c r="P88" s="49">
        <f t="shared" si="31"/>
        <v>0</v>
      </c>
      <c r="Q88" s="49">
        <f t="shared" si="31"/>
        <v>0</v>
      </c>
      <c r="R88" s="49">
        <f t="shared" si="31"/>
        <v>0</v>
      </c>
      <c r="S88" s="103">
        <f t="shared" si="31"/>
        <v>0</v>
      </c>
      <c r="T88" s="103">
        <f t="shared" si="31"/>
        <v>0</v>
      </c>
      <c r="V88" s="49">
        <f t="shared" si="11"/>
        <v>0</v>
      </c>
      <c r="W88" s="49">
        <f t="shared" si="12"/>
        <v>0</v>
      </c>
      <c r="X88" s="49">
        <f t="shared" si="13"/>
        <v>0</v>
      </c>
      <c r="Y88" s="103">
        <f t="shared" si="14"/>
        <v>0</v>
      </c>
      <c r="Z88" s="103">
        <f t="shared" si="15"/>
        <v>0</v>
      </c>
      <c r="AB88" s="49">
        <f t="shared" si="16"/>
        <v>0</v>
      </c>
      <c r="AC88" s="49">
        <f t="shared" si="17"/>
        <v>0</v>
      </c>
      <c r="AD88" s="49">
        <f t="shared" si="18"/>
        <v>0</v>
      </c>
      <c r="AE88" s="103">
        <f t="shared" si="19"/>
        <v>0</v>
      </c>
      <c r="AF88" s="103">
        <f t="shared" si="20"/>
        <v>0</v>
      </c>
      <c r="AH88" s="49">
        <f t="shared" si="21"/>
        <v>0</v>
      </c>
      <c r="AI88" s="49">
        <f t="shared" si="22"/>
        <v>0</v>
      </c>
      <c r="AJ88" s="49">
        <f t="shared" si="23"/>
        <v>0</v>
      </c>
      <c r="AK88" s="103">
        <f t="shared" si="24"/>
        <v>0</v>
      </c>
      <c r="AL88" s="103">
        <f t="shared" si="25"/>
        <v>0</v>
      </c>
      <c r="AN88" s="53">
        <f t="shared" si="26"/>
        <v>0</v>
      </c>
      <c r="AO88" s="53">
        <f t="shared" si="27"/>
        <v>0</v>
      </c>
      <c r="AP88" s="53">
        <f t="shared" si="28"/>
        <v>0</v>
      </c>
      <c r="AQ88" s="206">
        <f t="shared" si="29"/>
        <v>0</v>
      </c>
      <c r="AR88" s="206">
        <f t="shared" si="30"/>
        <v>0</v>
      </c>
      <c r="AY88" s="3"/>
    </row>
    <row r="89" spans="1:51">
      <c r="A89" s="54"/>
      <c r="B89" s="43">
        <f>'11. Desinvesteringen'!B373</f>
        <v>354</v>
      </c>
      <c r="C89" s="54"/>
      <c r="D89" s="54"/>
      <c r="E89" s="54"/>
      <c r="F89" s="48">
        <f>'5. Input GAW-waarde desinv.'!D49</f>
        <v>0</v>
      </c>
      <c r="G89" s="188">
        <f>'11. Desinvesteringen'!D373</f>
        <v>1969</v>
      </c>
      <c r="H89" s="188">
        <f>'11. Desinvesteringen'!G373</f>
        <v>2022</v>
      </c>
      <c r="I89" s="43" t="str">
        <f>'11. Desinvesteringen'!C373</f>
        <v>02 Gasontvangststations</v>
      </c>
      <c r="J89" s="177">
        <f>'11. Desinvesteringen'!F373</f>
        <v>0</v>
      </c>
      <c r="K89" s="44">
        <f>_xlfn.XLOOKUP(I89,'3. Input (des)investeringen '!$B$11:$B$80,'3. Input (des)investeringen '!$E$11:$E$80)</f>
        <v>0</v>
      </c>
      <c r="L89" s="54"/>
      <c r="M89" s="44">
        <f>_xlfn.XLOOKUP(I89,'3. Input (des)investeringen '!$B$11:$B$80,'3. Input (des)investeringen '!$D$11:$D$80,0)</f>
        <v>30</v>
      </c>
      <c r="N89" s="44">
        <f t="shared" si="9"/>
        <v>0</v>
      </c>
      <c r="P89" s="49">
        <f t="shared" si="31"/>
        <v>0</v>
      </c>
      <c r="Q89" s="49">
        <f t="shared" si="31"/>
        <v>0</v>
      </c>
      <c r="R89" s="49">
        <f t="shared" si="31"/>
        <v>0</v>
      </c>
      <c r="S89" s="103">
        <f t="shared" si="31"/>
        <v>0</v>
      </c>
      <c r="T89" s="103">
        <f t="shared" si="31"/>
        <v>0</v>
      </c>
      <c r="V89" s="49">
        <f t="shared" si="11"/>
        <v>0</v>
      </c>
      <c r="W89" s="49">
        <f t="shared" si="12"/>
        <v>0</v>
      </c>
      <c r="X89" s="49">
        <f t="shared" si="13"/>
        <v>0</v>
      </c>
      <c r="Y89" s="103">
        <f t="shared" si="14"/>
        <v>0</v>
      </c>
      <c r="Z89" s="103">
        <f t="shared" si="15"/>
        <v>0</v>
      </c>
      <c r="AB89" s="49">
        <f t="shared" si="16"/>
        <v>0</v>
      </c>
      <c r="AC89" s="49">
        <f t="shared" si="17"/>
        <v>0</v>
      </c>
      <c r="AD89" s="49">
        <f t="shared" si="18"/>
        <v>0</v>
      </c>
      <c r="AE89" s="103">
        <f t="shared" si="19"/>
        <v>0</v>
      </c>
      <c r="AF89" s="103">
        <f t="shared" si="20"/>
        <v>0</v>
      </c>
      <c r="AH89" s="49">
        <f t="shared" si="21"/>
        <v>0</v>
      </c>
      <c r="AI89" s="49">
        <f t="shared" si="22"/>
        <v>0</v>
      </c>
      <c r="AJ89" s="49">
        <f t="shared" si="23"/>
        <v>0</v>
      </c>
      <c r="AK89" s="103">
        <f t="shared" si="24"/>
        <v>0</v>
      </c>
      <c r="AL89" s="103">
        <f t="shared" si="25"/>
        <v>0</v>
      </c>
      <c r="AN89" s="53">
        <f t="shared" si="26"/>
        <v>0</v>
      </c>
      <c r="AO89" s="53">
        <f t="shared" si="27"/>
        <v>0</v>
      </c>
      <c r="AP89" s="53">
        <f t="shared" si="28"/>
        <v>0</v>
      </c>
      <c r="AQ89" s="206">
        <f t="shared" si="29"/>
        <v>0</v>
      </c>
      <c r="AR89" s="206">
        <f t="shared" si="30"/>
        <v>0</v>
      </c>
      <c r="AY89" s="3"/>
    </row>
    <row r="90" spans="1:51">
      <c r="A90" s="54"/>
      <c r="B90" s="43">
        <f>'11. Desinvesteringen'!B374</f>
        <v>355</v>
      </c>
      <c r="C90" s="54"/>
      <c r="D90" s="54"/>
      <c r="E90" s="54"/>
      <c r="F90" s="48">
        <f>'5. Input GAW-waarde desinv.'!D50</f>
        <v>0</v>
      </c>
      <c r="G90" s="188">
        <f>'11. Desinvesteringen'!D374</f>
        <v>1970</v>
      </c>
      <c r="H90" s="188">
        <f>'11. Desinvesteringen'!G374</f>
        <v>2022</v>
      </c>
      <c r="I90" s="43" t="str">
        <f>'11. Desinvesteringen'!C374</f>
        <v>02 Gasontvangststations</v>
      </c>
      <c r="J90" s="177">
        <f>'11. Desinvesteringen'!F374</f>
        <v>0</v>
      </c>
      <c r="K90" s="44">
        <f>_xlfn.XLOOKUP(I90,'3. Input (des)investeringen '!$B$11:$B$80,'3. Input (des)investeringen '!$E$11:$E$80)</f>
        <v>0</v>
      </c>
      <c r="L90" s="54"/>
      <c r="M90" s="44">
        <f>_xlfn.XLOOKUP(I90,'3. Input (des)investeringen '!$B$11:$B$80,'3. Input (des)investeringen '!$D$11:$D$80,0)</f>
        <v>30</v>
      </c>
      <c r="N90" s="44">
        <f t="shared" si="9"/>
        <v>0</v>
      </c>
      <c r="P90" s="49">
        <f t="shared" si="31"/>
        <v>0</v>
      </c>
      <c r="Q90" s="49">
        <f t="shared" si="31"/>
        <v>0</v>
      </c>
      <c r="R90" s="49">
        <f t="shared" si="31"/>
        <v>0</v>
      </c>
      <c r="S90" s="103">
        <f t="shared" si="31"/>
        <v>0</v>
      </c>
      <c r="T90" s="103">
        <f t="shared" si="31"/>
        <v>0</v>
      </c>
      <c r="V90" s="49">
        <f t="shared" si="11"/>
        <v>0</v>
      </c>
      <c r="W90" s="49">
        <f t="shared" si="12"/>
        <v>0</v>
      </c>
      <c r="X90" s="49">
        <f t="shared" si="13"/>
        <v>0</v>
      </c>
      <c r="Y90" s="103">
        <f t="shared" si="14"/>
        <v>0</v>
      </c>
      <c r="Z90" s="103">
        <f t="shared" si="15"/>
        <v>0</v>
      </c>
      <c r="AB90" s="49">
        <f t="shared" si="16"/>
        <v>0</v>
      </c>
      <c r="AC90" s="49">
        <f t="shared" si="17"/>
        <v>0</v>
      </c>
      <c r="AD90" s="49">
        <f t="shared" si="18"/>
        <v>0</v>
      </c>
      <c r="AE90" s="103">
        <f t="shared" si="19"/>
        <v>0</v>
      </c>
      <c r="AF90" s="103">
        <f t="shared" si="20"/>
        <v>0</v>
      </c>
      <c r="AH90" s="49">
        <f t="shared" si="21"/>
        <v>0</v>
      </c>
      <c r="AI90" s="49">
        <f t="shared" si="22"/>
        <v>0</v>
      </c>
      <c r="AJ90" s="49">
        <f t="shared" si="23"/>
        <v>0</v>
      </c>
      <c r="AK90" s="103">
        <f t="shared" si="24"/>
        <v>0</v>
      </c>
      <c r="AL90" s="103">
        <f t="shared" si="25"/>
        <v>0</v>
      </c>
      <c r="AN90" s="53">
        <f t="shared" si="26"/>
        <v>0</v>
      </c>
      <c r="AO90" s="53">
        <f t="shared" si="27"/>
        <v>0</v>
      </c>
      <c r="AP90" s="53">
        <f t="shared" si="28"/>
        <v>0</v>
      </c>
      <c r="AQ90" s="206">
        <f t="shared" si="29"/>
        <v>0</v>
      </c>
      <c r="AR90" s="206">
        <f t="shared" si="30"/>
        <v>0</v>
      </c>
      <c r="AY90" s="3"/>
    </row>
    <row r="91" spans="1:51">
      <c r="A91" s="54"/>
      <c r="B91" s="43">
        <f>'11. Desinvesteringen'!B375</f>
        <v>356</v>
      </c>
      <c r="C91" s="54"/>
      <c r="D91" s="54"/>
      <c r="E91" s="54"/>
      <c r="F91" s="48">
        <f>'5. Input GAW-waarde desinv.'!D51</f>
        <v>0</v>
      </c>
      <c r="G91" s="188">
        <f>'11. Desinvesteringen'!D375</f>
        <v>1971</v>
      </c>
      <c r="H91" s="188">
        <f>'11. Desinvesteringen'!G375</f>
        <v>2022</v>
      </c>
      <c r="I91" s="43" t="str">
        <f>'11. Desinvesteringen'!C375</f>
        <v>02 Gasontvangststations</v>
      </c>
      <c r="J91" s="177">
        <f>'11. Desinvesteringen'!F375</f>
        <v>0</v>
      </c>
      <c r="K91" s="44">
        <f>_xlfn.XLOOKUP(I91,'3. Input (des)investeringen '!$B$11:$B$80,'3. Input (des)investeringen '!$E$11:$E$80)</f>
        <v>0</v>
      </c>
      <c r="L91" s="54"/>
      <c r="M91" s="44">
        <f>_xlfn.XLOOKUP(I91,'3. Input (des)investeringen '!$B$11:$B$80,'3. Input (des)investeringen '!$D$11:$D$80,0)</f>
        <v>30</v>
      </c>
      <c r="N91" s="44">
        <f t="shared" si="9"/>
        <v>0</v>
      </c>
      <c r="P91" s="49">
        <f t="shared" si="31"/>
        <v>0</v>
      </c>
      <c r="Q91" s="49">
        <f t="shared" si="31"/>
        <v>0</v>
      </c>
      <c r="R91" s="49">
        <f t="shared" si="31"/>
        <v>0</v>
      </c>
      <c r="S91" s="103">
        <f t="shared" si="31"/>
        <v>0</v>
      </c>
      <c r="T91" s="103">
        <f t="shared" si="31"/>
        <v>0</v>
      </c>
      <c r="V91" s="49">
        <f t="shared" si="11"/>
        <v>0</v>
      </c>
      <c r="W91" s="49">
        <f t="shared" si="12"/>
        <v>0</v>
      </c>
      <c r="X91" s="49">
        <f t="shared" si="13"/>
        <v>0</v>
      </c>
      <c r="Y91" s="103">
        <f t="shared" si="14"/>
        <v>0</v>
      </c>
      <c r="Z91" s="103">
        <f t="shared" si="15"/>
        <v>0</v>
      </c>
      <c r="AB91" s="49">
        <f t="shared" si="16"/>
        <v>0</v>
      </c>
      <c r="AC91" s="49">
        <f t="shared" si="17"/>
        <v>0</v>
      </c>
      <c r="AD91" s="49">
        <f t="shared" si="18"/>
        <v>0</v>
      </c>
      <c r="AE91" s="103">
        <f t="shared" si="19"/>
        <v>0</v>
      </c>
      <c r="AF91" s="103">
        <f t="shared" si="20"/>
        <v>0</v>
      </c>
      <c r="AH91" s="49">
        <f t="shared" si="21"/>
        <v>0</v>
      </c>
      <c r="AI91" s="49">
        <f t="shared" si="22"/>
        <v>0</v>
      </c>
      <c r="AJ91" s="49">
        <f t="shared" si="23"/>
        <v>0</v>
      </c>
      <c r="AK91" s="103">
        <f t="shared" si="24"/>
        <v>0</v>
      </c>
      <c r="AL91" s="103">
        <f t="shared" si="25"/>
        <v>0</v>
      </c>
      <c r="AN91" s="53">
        <f t="shared" si="26"/>
        <v>0</v>
      </c>
      <c r="AO91" s="53">
        <f t="shared" si="27"/>
        <v>0</v>
      </c>
      <c r="AP91" s="53">
        <f t="shared" si="28"/>
        <v>0</v>
      </c>
      <c r="AQ91" s="206">
        <f t="shared" si="29"/>
        <v>0</v>
      </c>
      <c r="AR91" s="206">
        <f t="shared" si="30"/>
        <v>0</v>
      </c>
      <c r="AY91" s="3"/>
    </row>
    <row r="92" spans="1:51">
      <c r="A92" s="54"/>
      <c r="B92" s="43">
        <f>'11. Desinvesteringen'!B376</f>
        <v>357</v>
      </c>
      <c r="C92" s="54"/>
      <c r="D92" s="54"/>
      <c r="E92" s="54"/>
      <c r="F92" s="48">
        <f>'5. Input GAW-waarde desinv.'!D52</f>
        <v>0</v>
      </c>
      <c r="G92" s="188">
        <f>'11. Desinvesteringen'!D376</f>
        <v>1972</v>
      </c>
      <c r="H92" s="188">
        <f>'11. Desinvesteringen'!G376</f>
        <v>2022</v>
      </c>
      <c r="I92" s="43" t="str">
        <f>'11. Desinvesteringen'!C376</f>
        <v>02 Gasontvangststations</v>
      </c>
      <c r="J92" s="177">
        <f>'11. Desinvesteringen'!F376</f>
        <v>0</v>
      </c>
      <c r="K92" s="44">
        <f>_xlfn.XLOOKUP(I92,'3. Input (des)investeringen '!$B$11:$B$80,'3. Input (des)investeringen '!$E$11:$E$80)</f>
        <v>0</v>
      </c>
      <c r="L92" s="54"/>
      <c r="M92" s="44">
        <f>_xlfn.XLOOKUP(I92,'3. Input (des)investeringen '!$B$11:$B$80,'3. Input (des)investeringen '!$D$11:$D$80,0)</f>
        <v>30</v>
      </c>
      <c r="N92" s="44">
        <f t="shared" si="9"/>
        <v>0</v>
      </c>
      <c r="P92" s="49">
        <f t="shared" si="31"/>
        <v>0</v>
      </c>
      <c r="Q92" s="49">
        <f t="shared" si="31"/>
        <v>0</v>
      </c>
      <c r="R92" s="49">
        <f t="shared" si="31"/>
        <v>0</v>
      </c>
      <c r="S92" s="103">
        <f t="shared" si="31"/>
        <v>0</v>
      </c>
      <c r="T92" s="103">
        <f t="shared" si="31"/>
        <v>0</v>
      </c>
      <c r="V92" s="49">
        <f t="shared" si="11"/>
        <v>0</v>
      </c>
      <c r="W92" s="49">
        <f t="shared" si="12"/>
        <v>0</v>
      </c>
      <c r="X92" s="49">
        <f t="shared" si="13"/>
        <v>0</v>
      </c>
      <c r="Y92" s="103">
        <f t="shared" si="14"/>
        <v>0</v>
      </c>
      <c r="Z92" s="103">
        <f t="shared" si="15"/>
        <v>0</v>
      </c>
      <c r="AB92" s="49">
        <f t="shared" si="16"/>
        <v>0</v>
      </c>
      <c r="AC92" s="49">
        <f t="shared" si="17"/>
        <v>0</v>
      </c>
      <c r="AD92" s="49">
        <f t="shared" si="18"/>
        <v>0</v>
      </c>
      <c r="AE92" s="103">
        <f t="shared" si="19"/>
        <v>0</v>
      </c>
      <c r="AF92" s="103">
        <f t="shared" si="20"/>
        <v>0</v>
      </c>
      <c r="AH92" s="49">
        <f t="shared" si="21"/>
        <v>0</v>
      </c>
      <c r="AI92" s="49">
        <f t="shared" si="22"/>
        <v>0</v>
      </c>
      <c r="AJ92" s="49">
        <f t="shared" si="23"/>
        <v>0</v>
      </c>
      <c r="AK92" s="103">
        <f t="shared" si="24"/>
        <v>0</v>
      </c>
      <c r="AL92" s="103">
        <f t="shared" si="25"/>
        <v>0</v>
      </c>
      <c r="AN92" s="53">
        <f t="shared" si="26"/>
        <v>0</v>
      </c>
      <c r="AO92" s="53">
        <f t="shared" si="27"/>
        <v>0</v>
      </c>
      <c r="AP92" s="53">
        <f t="shared" si="28"/>
        <v>0</v>
      </c>
      <c r="AQ92" s="206">
        <f t="shared" si="29"/>
        <v>0</v>
      </c>
      <c r="AR92" s="206">
        <f t="shared" si="30"/>
        <v>0</v>
      </c>
      <c r="AY92" s="3"/>
    </row>
    <row r="93" spans="1:51">
      <c r="A93" s="54"/>
      <c r="B93" s="43">
        <f>'11. Desinvesteringen'!B377</f>
        <v>358</v>
      </c>
      <c r="C93" s="54"/>
      <c r="D93" s="54"/>
      <c r="E93" s="54"/>
      <c r="F93" s="48">
        <f>'5. Input GAW-waarde desinv.'!D53</f>
        <v>0</v>
      </c>
      <c r="G93" s="188">
        <f>'11. Desinvesteringen'!D377</f>
        <v>1973</v>
      </c>
      <c r="H93" s="188">
        <f>'11. Desinvesteringen'!G377</f>
        <v>2022</v>
      </c>
      <c r="I93" s="43" t="str">
        <f>'11. Desinvesteringen'!C377</f>
        <v>02 Gasontvangststations</v>
      </c>
      <c r="J93" s="177">
        <f>'11. Desinvesteringen'!F377</f>
        <v>0</v>
      </c>
      <c r="K93" s="44">
        <f>_xlfn.XLOOKUP(I93,'3. Input (des)investeringen '!$B$11:$B$80,'3. Input (des)investeringen '!$E$11:$E$80)</f>
        <v>0</v>
      </c>
      <c r="L93" s="54"/>
      <c r="M93" s="44">
        <f>_xlfn.XLOOKUP(I93,'3. Input (des)investeringen '!$B$11:$B$80,'3. Input (des)investeringen '!$D$11:$D$80,0)</f>
        <v>30</v>
      </c>
      <c r="N93" s="44">
        <f t="shared" si="9"/>
        <v>0</v>
      </c>
      <c r="P93" s="49">
        <f t="shared" si="31"/>
        <v>0</v>
      </c>
      <c r="Q93" s="49">
        <f t="shared" si="31"/>
        <v>0</v>
      </c>
      <c r="R93" s="49">
        <f t="shared" si="31"/>
        <v>0</v>
      </c>
      <c r="S93" s="103">
        <f t="shared" si="31"/>
        <v>0</v>
      </c>
      <c r="T93" s="103">
        <f t="shared" si="31"/>
        <v>0</v>
      </c>
      <c r="V93" s="49">
        <f t="shared" si="11"/>
        <v>0</v>
      </c>
      <c r="W93" s="49">
        <f t="shared" si="12"/>
        <v>0</v>
      </c>
      <c r="X93" s="49">
        <f t="shared" si="13"/>
        <v>0</v>
      </c>
      <c r="Y93" s="103">
        <f t="shared" si="14"/>
        <v>0</v>
      </c>
      <c r="Z93" s="103">
        <f t="shared" si="15"/>
        <v>0</v>
      </c>
      <c r="AB93" s="49">
        <f t="shared" si="16"/>
        <v>0</v>
      </c>
      <c r="AC93" s="49">
        <f t="shared" si="17"/>
        <v>0</v>
      </c>
      <c r="AD93" s="49">
        <f t="shared" si="18"/>
        <v>0</v>
      </c>
      <c r="AE93" s="103">
        <f t="shared" si="19"/>
        <v>0</v>
      </c>
      <c r="AF93" s="103">
        <f t="shared" si="20"/>
        <v>0</v>
      </c>
      <c r="AH93" s="49">
        <f t="shared" si="21"/>
        <v>0</v>
      </c>
      <c r="AI93" s="49">
        <f t="shared" si="22"/>
        <v>0</v>
      </c>
      <c r="AJ93" s="49">
        <f t="shared" si="23"/>
        <v>0</v>
      </c>
      <c r="AK93" s="103">
        <f t="shared" si="24"/>
        <v>0</v>
      </c>
      <c r="AL93" s="103">
        <f t="shared" si="25"/>
        <v>0</v>
      </c>
      <c r="AN93" s="53">
        <f t="shared" si="26"/>
        <v>0</v>
      </c>
      <c r="AO93" s="53">
        <f t="shared" si="27"/>
        <v>0</v>
      </c>
      <c r="AP93" s="53">
        <f t="shared" si="28"/>
        <v>0</v>
      </c>
      <c r="AQ93" s="206">
        <f t="shared" si="29"/>
        <v>0</v>
      </c>
      <c r="AR93" s="206">
        <f t="shared" si="30"/>
        <v>0</v>
      </c>
      <c r="AY93" s="3"/>
    </row>
    <row r="94" spans="1:51">
      <c r="A94" s="54"/>
      <c r="B94" s="43">
        <f>'11. Desinvesteringen'!B378</f>
        <v>359</v>
      </c>
      <c r="C94" s="54"/>
      <c r="D94" s="54"/>
      <c r="E94" s="54"/>
      <c r="F94" s="48">
        <f>'5. Input GAW-waarde desinv.'!D54</f>
        <v>0</v>
      </c>
      <c r="G94" s="188">
        <f>'11. Desinvesteringen'!D378</f>
        <v>1974</v>
      </c>
      <c r="H94" s="188">
        <f>'11. Desinvesteringen'!G378</f>
        <v>2022</v>
      </c>
      <c r="I94" s="43" t="str">
        <f>'11. Desinvesteringen'!C378</f>
        <v>02 Gasontvangststations</v>
      </c>
      <c r="J94" s="177">
        <f>'11. Desinvesteringen'!F378</f>
        <v>0</v>
      </c>
      <c r="K94" s="44">
        <f>_xlfn.XLOOKUP(I94,'3. Input (des)investeringen '!$B$11:$B$80,'3. Input (des)investeringen '!$E$11:$E$80)</f>
        <v>0</v>
      </c>
      <c r="L94" s="54"/>
      <c r="M94" s="44">
        <f>_xlfn.XLOOKUP(I94,'3. Input (des)investeringen '!$B$11:$B$80,'3. Input (des)investeringen '!$D$11:$D$80,0)</f>
        <v>30</v>
      </c>
      <c r="N94" s="44">
        <f t="shared" si="9"/>
        <v>0</v>
      </c>
      <c r="P94" s="49">
        <f t="shared" si="31"/>
        <v>0</v>
      </c>
      <c r="Q94" s="49">
        <f t="shared" si="31"/>
        <v>0</v>
      </c>
      <c r="R94" s="49">
        <f t="shared" si="31"/>
        <v>0</v>
      </c>
      <c r="S94" s="103">
        <f t="shared" si="31"/>
        <v>0</v>
      </c>
      <c r="T94" s="103">
        <f t="shared" si="31"/>
        <v>0</v>
      </c>
      <c r="V94" s="49">
        <f t="shared" si="11"/>
        <v>0</v>
      </c>
      <c r="W94" s="49">
        <f t="shared" si="12"/>
        <v>0</v>
      </c>
      <c r="X94" s="49">
        <f t="shared" si="13"/>
        <v>0</v>
      </c>
      <c r="Y94" s="103">
        <f t="shared" si="14"/>
        <v>0</v>
      </c>
      <c r="Z94" s="103">
        <f t="shared" si="15"/>
        <v>0</v>
      </c>
      <c r="AB94" s="49">
        <f t="shared" si="16"/>
        <v>0</v>
      </c>
      <c r="AC94" s="49">
        <f t="shared" si="17"/>
        <v>0</v>
      </c>
      <c r="AD94" s="49">
        <f t="shared" si="18"/>
        <v>0</v>
      </c>
      <c r="AE94" s="103">
        <f t="shared" si="19"/>
        <v>0</v>
      </c>
      <c r="AF94" s="103">
        <f t="shared" si="20"/>
        <v>0</v>
      </c>
      <c r="AH94" s="49">
        <f t="shared" si="21"/>
        <v>0</v>
      </c>
      <c r="AI94" s="49">
        <f t="shared" si="22"/>
        <v>0</v>
      </c>
      <c r="AJ94" s="49">
        <f t="shared" si="23"/>
        <v>0</v>
      </c>
      <c r="AK94" s="103">
        <f t="shared" si="24"/>
        <v>0</v>
      </c>
      <c r="AL94" s="103">
        <f t="shared" si="25"/>
        <v>0</v>
      </c>
      <c r="AN94" s="53">
        <f t="shared" si="26"/>
        <v>0</v>
      </c>
      <c r="AO94" s="53">
        <f t="shared" si="27"/>
        <v>0</v>
      </c>
      <c r="AP94" s="53">
        <f t="shared" si="28"/>
        <v>0</v>
      </c>
      <c r="AQ94" s="206">
        <f t="shared" si="29"/>
        <v>0</v>
      </c>
      <c r="AR94" s="206">
        <f t="shared" si="30"/>
        <v>0</v>
      </c>
      <c r="AY94" s="3"/>
    </row>
    <row r="95" spans="1:51">
      <c r="A95" s="54"/>
      <c r="B95" s="43">
        <f>'11. Desinvesteringen'!B379</f>
        <v>360</v>
      </c>
      <c r="C95" s="54"/>
      <c r="D95" s="54"/>
      <c r="E95" s="54"/>
      <c r="F95" s="48">
        <f>'5. Input GAW-waarde desinv.'!D55</f>
        <v>0</v>
      </c>
      <c r="G95" s="188">
        <f>'11. Desinvesteringen'!D379</f>
        <v>1975</v>
      </c>
      <c r="H95" s="188">
        <f>'11. Desinvesteringen'!G379</f>
        <v>2022</v>
      </c>
      <c r="I95" s="43" t="str">
        <f>'11. Desinvesteringen'!C379</f>
        <v>02 Gasontvangststations</v>
      </c>
      <c r="J95" s="177">
        <f>'11. Desinvesteringen'!F379</f>
        <v>0</v>
      </c>
      <c r="K95" s="44">
        <f>_xlfn.XLOOKUP(I95,'3. Input (des)investeringen '!$B$11:$B$80,'3. Input (des)investeringen '!$E$11:$E$80)</f>
        <v>0</v>
      </c>
      <c r="L95" s="54"/>
      <c r="M95" s="44">
        <f>_xlfn.XLOOKUP(I95,'3. Input (des)investeringen '!$B$11:$B$80,'3. Input (des)investeringen '!$D$11:$D$80,0)</f>
        <v>30</v>
      </c>
      <c r="N95" s="44">
        <f t="shared" si="9"/>
        <v>0</v>
      </c>
      <c r="P95" s="49">
        <f t="shared" si="31"/>
        <v>0</v>
      </c>
      <c r="Q95" s="49">
        <f t="shared" si="31"/>
        <v>0</v>
      </c>
      <c r="R95" s="49">
        <f t="shared" si="31"/>
        <v>0</v>
      </c>
      <c r="S95" s="103">
        <f t="shared" si="31"/>
        <v>0</v>
      </c>
      <c r="T95" s="103">
        <f t="shared" si="31"/>
        <v>0</v>
      </c>
      <c r="V95" s="49">
        <f t="shared" si="11"/>
        <v>0</v>
      </c>
      <c r="W95" s="49">
        <f t="shared" si="12"/>
        <v>0</v>
      </c>
      <c r="X95" s="49">
        <f t="shared" si="13"/>
        <v>0</v>
      </c>
      <c r="Y95" s="103">
        <f t="shared" si="14"/>
        <v>0</v>
      </c>
      <c r="Z95" s="103">
        <f t="shared" si="15"/>
        <v>0</v>
      </c>
      <c r="AB95" s="49">
        <f t="shared" si="16"/>
        <v>0</v>
      </c>
      <c r="AC95" s="49">
        <f t="shared" si="17"/>
        <v>0</v>
      </c>
      <c r="AD95" s="49">
        <f t="shared" si="18"/>
        <v>0</v>
      </c>
      <c r="AE95" s="103">
        <f t="shared" si="19"/>
        <v>0</v>
      </c>
      <c r="AF95" s="103">
        <f t="shared" si="20"/>
        <v>0</v>
      </c>
      <c r="AH95" s="49">
        <f t="shared" si="21"/>
        <v>0</v>
      </c>
      <c r="AI95" s="49">
        <f t="shared" si="22"/>
        <v>0</v>
      </c>
      <c r="AJ95" s="49">
        <f t="shared" si="23"/>
        <v>0</v>
      </c>
      <c r="AK95" s="103">
        <f t="shared" si="24"/>
        <v>0</v>
      </c>
      <c r="AL95" s="103">
        <f t="shared" si="25"/>
        <v>0</v>
      </c>
      <c r="AN95" s="53">
        <f t="shared" si="26"/>
        <v>0</v>
      </c>
      <c r="AO95" s="53">
        <f t="shared" si="27"/>
        <v>0</v>
      </c>
      <c r="AP95" s="53">
        <f t="shared" si="28"/>
        <v>0</v>
      </c>
      <c r="AQ95" s="206">
        <f t="shared" si="29"/>
        <v>0</v>
      </c>
      <c r="AR95" s="206">
        <f t="shared" si="30"/>
        <v>0</v>
      </c>
      <c r="AY95" s="3"/>
    </row>
    <row r="96" spans="1:51">
      <c r="A96" s="54"/>
      <c r="B96" s="43">
        <f>'11. Desinvesteringen'!B380</f>
        <v>361</v>
      </c>
      <c r="C96" s="54"/>
      <c r="D96" s="54"/>
      <c r="E96" s="54"/>
      <c r="F96" s="48">
        <f>'5. Input GAW-waarde desinv.'!D56</f>
        <v>0</v>
      </c>
      <c r="G96" s="188">
        <f>'11. Desinvesteringen'!D380</f>
        <v>1976</v>
      </c>
      <c r="H96" s="188">
        <f>'11. Desinvesteringen'!G380</f>
        <v>2022</v>
      </c>
      <c r="I96" s="43" t="str">
        <f>'11. Desinvesteringen'!C380</f>
        <v>02 Gasontvangststations</v>
      </c>
      <c r="J96" s="177">
        <f>'11. Desinvesteringen'!F380</f>
        <v>0</v>
      </c>
      <c r="K96" s="44">
        <f>_xlfn.XLOOKUP(I96,'3. Input (des)investeringen '!$B$11:$B$80,'3. Input (des)investeringen '!$E$11:$E$80)</f>
        <v>0</v>
      </c>
      <c r="L96" s="54"/>
      <c r="M96" s="44">
        <f>_xlfn.XLOOKUP(I96,'3. Input (des)investeringen '!$B$11:$B$80,'3. Input (des)investeringen '!$D$11:$D$80,0)</f>
        <v>30</v>
      </c>
      <c r="N96" s="44">
        <f t="shared" si="9"/>
        <v>0</v>
      </c>
      <c r="P96" s="49">
        <f t="shared" si="31"/>
        <v>0</v>
      </c>
      <c r="Q96" s="49">
        <f t="shared" si="31"/>
        <v>0</v>
      </c>
      <c r="R96" s="49">
        <f t="shared" si="31"/>
        <v>0</v>
      </c>
      <c r="S96" s="103">
        <f t="shared" si="31"/>
        <v>0</v>
      </c>
      <c r="T96" s="103">
        <f t="shared" si="31"/>
        <v>0</v>
      </c>
      <c r="V96" s="49">
        <f t="shared" si="11"/>
        <v>0</v>
      </c>
      <c r="W96" s="49">
        <f t="shared" si="12"/>
        <v>0</v>
      </c>
      <c r="X96" s="49">
        <f t="shared" si="13"/>
        <v>0</v>
      </c>
      <c r="Y96" s="103">
        <f t="shared" si="14"/>
        <v>0</v>
      </c>
      <c r="Z96" s="103">
        <f t="shared" si="15"/>
        <v>0</v>
      </c>
      <c r="AB96" s="49">
        <f t="shared" si="16"/>
        <v>0</v>
      </c>
      <c r="AC96" s="49">
        <f t="shared" si="17"/>
        <v>0</v>
      </c>
      <c r="AD96" s="49">
        <f t="shared" si="18"/>
        <v>0</v>
      </c>
      <c r="AE96" s="103">
        <f t="shared" si="19"/>
        <v>0</v>
      </c>
      <c r="AF96" s="103">
        <f t="shared" si="20"/>
        <v>0</v>
      </c>
      <c r="AH96" s="49">
        <f t="shared" si="21"/>
        <v>0</v>
      </c>
      <c r="AI96" s="49">
        <f t="shared" si="22"/>
        <v>0</v>
      </c>
      <c r="AJ96" s="49">
        <f t="shared" si="23"/>
        <v>0</v>
      </c>
      <c r="AK96" s="103">
        <f t="shared" si="24"/>
        <v>0</v>
      </c>
      <c r="AL96" s="103">
        <f t="shared" si="25"/>
        <v>0</v>
      </c>
      <c r="AN96" s="53">
        <f t="shared" si="26"/>
        <v>0</v>
      </c>
      <c r="AO96" s="53">
        <f t="shared" si="27"/>
        <v>0</v>
      </c>
      <c r="AP96" s="53">
        <f t="shared" si="28"/>
        <v>0</v>
      </c>
      <c r="AQ96" s="206">
        <f t="shared" si="29"/>
        <v>0</v>
      </c>
      <c r="AR96" s="206">
        <f t="shared" si="30"/>
        <v>0</v>
      </c>
      <c r="AY96" s="3"/>
    </row>
    <row r="97" spans="1:51">
      <c r="A97" s="54"/>
      <c r="B97" s="43">
        <f>'11. Desinvesteringen'!B381</f>
        <v>362</v>
      </c>
      <c r="C97" s="54"/>
      <c r="D97" s="54"/>
      <c r="E97" s="54"/>
      <c r="F97" s="48">
        <f>'5. Input GAW-waarde desinv.'!D57</f>
        <v>0</v>
      </c>
      <c r="G97" s="188">
        <f>'11. Desinvesteringen'!D381</f>
        <v>1977</v>
      </c>
      <c r="H97" s="188">
        <f>'11. Desinvesteringen'!G381</f>
        <v>2022</v>
      </c>
      <c r="I97" s="43" t="str">
        <f>'11. Desinvesteringen'!C381</f>
        <v>02 Gasontvangststations</v>
      </c>
      <c r="J97" s="177">
        <f>'11. Desinvesteringen'!F381</f>
        <v>0</v>
      </c>
      <c r="K97" s="44">
        <f>_xlfn.XLOOKUP(I97,'3. Input (des)investeringen '!$B$11:$B$80,'3. Input (des)investeringen '!$E$11:$E$80)</f>
        <v>0</v>
      </c>
      <c r="L97" s="54"/>
      <c r="M97" s="44">
        <f>_xlfn.XLOOKUP(I97,'3. Input (des)investeringen '!$B$11:$B$80,'3. Input (des)investeringen '!$D$11:$D$80,0)</f>
        <v>30</v>
      </c>
      <c r="N97" s="44">
        <f t="shared" si="9"/>
        <v>0</v>
      </c>
      <c r="P97" s="49">
        <f t="shared" si="31"/>
        <v>0</v>
      </c>
      <c r="Q97" s="49">
        <f t="shared" si="31"/>
        <v>0</v>
      </c>
      <c r="R97" s="49">
        <f t="shared" si="31"/>
        <v>0</v>
      </c>
      <c r="S97" s="103">
        <f t="shared" si="31"/>
        <v>0</v>
      </c>
      <c r="T97" s="103">
        <f t="shared" si="31"/>
        <v>0</v>
      </c>
      <c r="V97" s="49">
        <f t="shared" si="11"/>
        <v>0</v>
      </c>
      <c r="W97" s="49">
        <f t="shared" si="12"/>
        <v>0</v>
      </c>
      <c r="X97" s="49">
        <f t="shared" si="13"/>
        <v>0</v>
      </c>
      <c r="Y97" s="103">
        <f t="shared" si="14"/>
        <v>0</v>
      </c>
      <c r="Z97" s="103">
        <f t="shared" si="15"/>
        <v>0</v>
      </c>
      <c r="AB97" s="49">
        <f t="shared" si="16"/>
        <v>0</v>
      </c>
      <c r="AC97" s="49">
        <f t="shared" si="17"/>
        <v>0</v>
      </c>
      <c r="AD97" s="49">
        <f t="shared" si="18"/>
        <v>0</v>
      </c>
      <c r="AE97" s="103">
        <f t="shared" si="19"/>
        <v>0</v>
      </c>
      <c r="AF97" s="103">
        <f t="shared" si="20"/>
        <v>0</v>
      </c>
      <c r="AH97" s="49">
        <f t="shared" si="21"/>
        <v>0</v>
      </c>
      <c r="AI97" s="49">
        <f t="shared" si="22"/>
        <v>0</v>
      </c>
      <c r="AJ97" s="49">
        <f t="shared" si="23"/>
        <v>0</v>
      </c>
      <c r="AK97" s="103">
        <f t="shared" si="24"/>
        <v>0</v>
      </c>
      <c r="AL97" s="103">
        <f t="shared" si="25"/>
        <v>0</v>
      </c>
      <c r="AN97" s="53">
        <f t="shared" si="26"/>
        <v>0</v>
      </c>
      <c r="AO97" s="53">
        <f t="shared" si="27"/>
        <v>0</v>
      </c>
      <c r="AP97" s="53">
        <f t="shared" si="28"/>
        <v>0</v>
      </c>
      <c r="AQ97" s="206">
        <f t="shared" si="29"/>
        <v>0</v>
      </c>
      <c r="AR97" s="206">
        <f t="shared" si="30"/>
        <v>0</v>
      </c>
      <c r="AY97" s="3"/>
    </row>
    <row r="98" spans="1:51">
      <c r="A98" s="54"/>
      <c r="B98" s="43">
        <f>'11. Desinvesteringen'!B382</f>
        <v>363</v>
      </c>
      <c r="C98" s="54"/>
      <c r="D98" s="54"/>
      <c r="E98" s="54"/>
      <c r="F98" s="48">
        <f>'5. Input GAW-waarde desinv.'!D58</f>
        <v>0</v>
      </c>
      <c r="G98" s="188">
        <f>'11. Desinvesteringen'!D382</f>
        <v>1979</v>
      </c>
      <c r="H98" s="188">
        <f>'11. Desinvesteringen'!G382</f>
        <v>2022</v>
      </c>
      <c r="I98" s="43" t="str">
        <f>'11. Desinvesteringen'!C382</f>
        <v>02 Gasontvangststations</v>
      </c>
      <c r="J98" s="177">
        <f>'11. Desinvesteringen'!F382</f>
        <v>0</v>
      </c>
      <c r="K98" s="44">
        <f>_xlfn.XLOOKUP(I98,'3. Input (des)investeringen '!$B$11:$B$80,'3. Input (des)investeringen '!$E$11:$E$80)</f>
        <v>0</v>
      </c>
      <c r="L98" s="54"/>
      <c r="M98" s="44">
        <f>_xlfn.XLOOKUP(I98,'3. Input (des)investeringen '!$B$11:$B$80,'3. Input (des)investeringen '!$D$11:$D$80,0)</f>
        <v>30</v>
      </c>
      <c r="N98" s="44">
        <f t="shared" si="9"/>
        <v>0</v>
      </c>
      <c r="P98" s="49">
        <f t="shared" si="31"/>
        <v>0</v>
      </c>
      <c r="Q98" s="49">
        <f t="shared" si="31"/>
        <v>0</v>
      </c>
      <c r="R98" s="49">
        <f t="shared" si="31"/>
        <v>0</v>
      </c>
      <c r="S98" s="103">
        <f t="shared" si="31"/>
        <v>0</v>
      </c>
      <c r="T98" s="103">
        <f t="shared" si="31"/>
        <v>0</v>
      </c>
      <c r="V98" s="49">
        <f t="shared" si="11"/>
        <v>0</v>
      </c>
      <c r="W98" s="49">
        <f t="shared" si="12"/>
        <v>0</v>
      </c>
      <c r="X98" s="49">
        <f t="shared" si="13"/>
        <v>0</v>
      </c>
      <c r="Y98" s="103">
        <f t="shared" si="14"/>
        <v>0</v>
      </c>
      <c r="Z98" s="103">
        <f t="shared" si="15"/>
        <v>0</v>
      </c>
      <c r="AB98" s="49">
        <f t="shared" si="16"/>
        <v>0</v>
      </c>
      <c r="AC98" s="49">
        <f t="shared" si="17"/>
        <v>0</v>
      </c>
      <c r="AD98" s="49">
        <f t="shared" si="18"/>
        <v>0</v>
      </c>
      <c r="AE98" s="103">
        <f t="shared" si="19"/>
        <v>0</v>
      </c>
      <c r="AF98" s="103">
        <f t="shared" si="20"/>
        <v>0</v>
      </c>
      <c r="AH98" s="49">
        <f t="shared" si="21"/>
        <v>0</v>
      </c>
      <c r="AI98" s="49">
        <f t="shared" si="22"/>
        <v>0</v>
      </c>
      <c r="AJ98" s="49">
        <f t="shared" si="23"/>
        <v>0</v>
      </c>
      <c r="AK98" s="103">
        <f t="shared" si="24"/>
        <v>0</v>
      </c>
      <c r="AL98" s="103">
        <f t="shared" si="25"/>
        <v>0</v>
      </c>
      <c r="AN98" s="53">
        <f t="shared" si="26"/>
        <v>0</v>
      </c>
      <c r="AO98" s="53">
        <f t="shared" si="27"/>
        <v>0</v>
      </c>
      <c r="AP98" s="53">
        <f t="shared" si="28"/>
        <v>0</v>
      </c>
      <c r="AQ98" s="206">
        <f t="shared" si="29"/>
        <v>0</v>
      </c>
      <c r="AR98" s="206">
        <f t="shared" si="30"/>
        <v>0</v>
      </c>
      <c r="AY98" s="3"/>
    </row>
    <row r="99" spans="1:51">
      <c r="A99" s="54"/>
      <c r="B99" s="43">
        <f>'11. Desinvesteringen'!B383</f>
        <v>364</v>
      </c>
      <c r="C99" s="54"/>
      <c r="D99" s="54"/>
      <c r="E99" s="54"/>
      <c r="F99" s="48">
        <f>'5. Input GAW-waarde desinv.'!D59</f>
        <v>0</v>
      </c>
      <c r="G99" s="188">
        <f>'11. Desinvesteringen'!D383</f>
        <v>1980</v>
      </c>
      <c r="H99" s="188">
        <f>'11. Desinvesteringen'!G383</f>
        <v>2022</v>
      </c>
      <c r="I99" s="43" t="str">
        <f>'11. Desinvesteringen'!C383</f>
        <v>02 Gasontvangststations</v>
      </c>
      <c r="J99" s="177">
        <f>'11. Desinvesteringen'!F383</f>
        <v>0</v>
      </c>
      <c r="K99" s="44">
        <f>_xlfn.XLOOKUP(I99,'3. Input (des)investeringen '!$B$11:$B$80,'3. Input (des)investeringen '!$E$11:$E$80)</f>
        <v>0</v>
      </c>
      <c r="L99" s="54"/>
      <c r="M99" s="44">
        <f>_xlfn.XLOOKUP(I99,'3. Input (des)investeringen '!$B$11:$B$80,'3. Input (des)investeringen '!$D$11:$D$80,0)</f>
        <v>30</v>
      </c>
      <c r="N99" s="44">
        <f t="shared" si="9"/>
        <v>0</v>
      </c>
      <c r="P99" s="49">
        <f t="shared" si="31"/>
        <v>0</v>
      </c>
      <c r="Q99" s="49">
        <f t="shared" si="31"/>
        <v>0</v>
      </c>
      <c r="R99" s="49">
        <f t="shared" si="31"/>
        <v>0</v>
      </c>
      <c r="S99" s="103">
        <f t="shared" si="31"/>
        <v>0</v>
      </c>
      <c r="T99" s="103">
        <f t="shared" si="31"/>
        <v>0</v>
      </c>
      <c r="V99" s="49">
        <f t="shared" si="11"/>
        <v>0</v>
      </c>
      <c r="W99" s="49">
        <f t="shared" si="12"/>
        <v>0</v>
      </c>
      <c r="X99" s="49">
        <f t="shared" si="13"/>
        <v>0</v>
      </c>
      <c r="Y99" s="103">
        <f t="shared" si="14"/>
        <v>0</v>
      </c>
      <c r="Z99" s="103">
        <f t="shared" si="15"/>
        <v>0</v>
      </c>
      <c r="AB99" s="49">
        <f t="shared" si="16"/>
        <v>0</v>
      </c>
      <c r="AC99" s="49">
        <f t="shared" si="17"/>
        <v>0</v>
      </c>
      <c r="AD99" s="49">
        <f t="shared" si="18"/>
        <v>0</v>
      </c>
      <c r="AE99" s="103">
        <f t="shared" si="19"/>
        <v>0</v>
      </c>
      <c r="AF99" s="103">
        <f t="shared" si="20"/>
        <v>0</v>
      </c>
      <c r="AH99" s="49">
        <f t="shared" si="21"/>
        <v>0</v>
      </c>
      <c r="AI99" s="49">
        <f t="shared" si="22"/>
        <v>0</v>
      </c>
      <c r="AJ99" s="49">
        <f t="shared" si="23"/>
        <v>0</v>
      </c>
      <c r="AK99" s="103">
        <f t="shared" si="24"/>
        <v>0</v>
      </c>
      <c r="AL99" s="103">
        <f t="shared" si="25"/>
        <v>0</v>
      </c>
      <c r="AN99" s="53">
        <f t="shared" si="26"/>
        <v>0</v>
      </c>
      <c r="AO99" s="53">
        <f t="shared" si="27"/>
        <v>0</v>
      </c>
      <c r="AP99" s="53">
        <f t="shared" si="28"/>
        <v>0</v>
      </c>
      <c r="AQ99" s="206">
        <f t="shared" si="29"/>
        <v>0</v>
      </c>
      <c r="AR99" s="206">
        <f t="shared" si="30"/>
        <v>0</v>
      </c>
      <c r="AY99" s="3"/>
    </row>
    <row r="100" spans="1:51">
      <c r="A100" s="54"/>
      <c r="B100" s="43">
        <f>'11. Desinvesteringen'!B384</f>
        <v>365</v>
      </c>
      <c r="C100" s="54"/>
      <c r="D100" s="54"/>
      <c r="E100" s="54"/>
      <c r="F100" s="48">
        <f>'5. Input GAW-waarde desinv.'!D60</f>
        <v>0</v>
      </c>
      <c r="G100" s="188">
        <f>'11. Desinvesteringen'!D384</f>
        <v>1981</v>
      </c>
      <c r="H100" s="188">
        <f>'11. Desinvesteringen'!G384</f>
        <v>2022</v>
      </c>
      <c r="I100" s="43" t="str">
        <f>'11. Desinvesteringen'!C384</f>
        <v>02 Gasontvangststations</v>
      </c>
      <c r="J100" s="177">
        <f>'11. Desinvesteringen'!F384</f>
        <v>0</v>
      </c>
      <c r="K100" s="44">
        <f>_xlfn.XLOOKUP(I100,'3. Input (des)investeringen '!$B$11:$B$80,'3. Input (des)investeringen '!$E$11:$E$80)</f>
        <v>0</v>
      </c>
      <c r="L100" s="54"/>
      <c r="M100" s="44">
        <f>_xlfn.XLOOKUP(I100,'3. Input (des)investeringen '!$B$11:$B$80,'3. Input (des)investeringen '!$D$11:$D$80,0)</f>
        <v>30</v>
      </c>
      <c r="N100" s="44">
        <f t="shared" si="9"/>
        <v>0</v>
      </c>
      <c r="P100" s="49">
        <f t="shared" si="31"/>
        <v>0</v>
      </c>
      <c r="Q100" s="49">
        <f t="shared" si="31"/>
        <v>0</v>
      </c>
      <c r="R100" s="49">
        <f t="shared" si="31"/>
        <v>0</v>
      </c>
      <c r="S100" s="103">
        <f t="shared" si="31"/>
        <v>0</v>
      </c>
      <c r="T100" s="103">
        <f t="shared" si="31"/>
        <v>0</v>
      </c>
      <c r="V100" s="49">
        <f t="shared" si="11"/>
        <v>0</v>
      </c>
      <c r="W100" s="49">
        <f t="shared" si="12"/>
        <v>0</v>
      </c>
      <c r="X100" s="49">
        <f t="shared" si="13"/>
        <v>0</v>
      </c>
      <c r="Y100" s="103">
        <f t="shared" si="14"/>
        <v>0</v>
      </c>
      <c r="Z100" s="103">
        <f t="shared" si="15"/>
        <v>0</v>
      </c>
      <c r="AB100" s="49">
        <f t="shared" si="16"/>
        <v>0</v>
      </c>
      <c r="AC100" s="49">
        <f t="shared" si="17"/>
        <v>0</v>
      </c>
      <c r="AD100" s="49">
        <f t="shared" si="18"/>
        <v>0</v>
      </c>
      <c r="AE100" s="103">
        <f t="shared" si="19"/>
        <v>0</v>
      </c>
      <c r="AF100" s="103">
        <f t="shared" si="20"/>
        <v>0</v>
      </c>
      <c r="AH100" s="49">
        <f t="shared" si="21"/>
        <v>0</v>
      </c>
      <c r="AI100" s="49">
        <f t="shared" si="22"/>
        <v>0</v>
      </c>
      <c r="AJ100" s="49">
        <f t="shared" si="23"/>
        <v>0</v>
      </c>
      <c r="AK100" s="103">
        <f t="shared" si="24"/>
        <v>0</v>
      </c>
      <c r="AL100" s="103">
        <f t="shared" si="25"/>
        <v>0</v>
      </c>
      <c r="AN100" s="53">
        <f t="shared" si="26"/>
        <v>0</v>
      </c>
      <c r="AO100" s="53">
        <f t="shared" si="27"/>
        <v>0</v>
      </c>
      <c r="AP100" s="53">
        <f t="shared" si="28"/>
        <v>0</v>
      </c>
      <c r="AQ100" s="206">
        <f t="shared" si="29"/>
        <v>0</v>
      </c>
      <c r="AR100" s="206">
        <f t="shared" si="30"/>
        <v>0</v>
      </c>
      <c r="AY100" s="3"/>
    </row>
    <row r="101" spans="1:51">
      <c r="A101" s="54"/>
      <c r="B101" s="43">
        <f>'11. Desinvesteringen'!B385</f>
        <v>366</v>
      </c>
      <c r="C101" s="54"/>
      <c r="D101" s="54"/>
      <c r="E101" s="54"/>
      <c r="F101" s="48">
        <f>'5. Input GAW-waarde desinv.'!D61</f>
        <v>0</v>
      </c>
      <c r="G101" s="188">
        <f>'11. Desinvesteringen'!D385</f>
        <v>1982</v>
      </c>
      <c r="H101" s="188">
        <f>'11. Desinvesteringen'!G385</f>
        <v>2022</v>
      </c>
      <c r="I101" s="43" t="str">
        <f>'11. Desinvesteringen'!C385</f>
        <v>02 Gasontvangststations</v>
      </c>
      <c r="J101" s="177">
        <f>'11. Desinvesteringen'!F385</f>
        <v>0</v>
      </c>
      <c r="K101" s="44">
        <f>_xlfn.XLOOKUP(I101,'3. Input (des)investeringen '!$B$11:$B$80,'3. Input (des)investeringen '!$E$11:$E$80)</f>
        <v>0</v>
      </c>
      <c r="L101" s="54"/>
      <c r="M101" s="44">
        <f>_xlfn.XLOOKUP(I101,'3. Input (des)investeringen '!$B$11:$B$80,'3. Input (des)investeringen '!$D$11:$D$80,0)</f>
        <v>30</v>
      </c>
      <c r="N101" s="44">
        <f t="shared" si="9"/>
        <v>0</v>
      </c>
      <c r="P101" s="49">
        <f t="shared" si="31"/>
        <v>0</v>
      </c>
      <c r="Q101" s="49">
        <f t="shared" si="31"/>
        <v>0</v>
      </c>
      <c r="R101" s="49">
        <f t="shared" si="31"/>
        <v>0</v>
      </c>
      <c r="S101" s="103">
        <f t="shared" si="31"/>
        <v>0</v>
      </c>
      <c r="T101" s="103">
        <f t="shared" si="31"/>
        <v>0</v>
      </c>
      <c r="V101" s="49">
        <f t="shared" si="11"/>
        <v>0</v>
      </c>
      <c r="W101" s="49">
        <f t="shared" si="12"/>
        <v>0</v>
      </c>
      <c r="X101" s="49">
        <f t="shared" si="13"/>
        <v>0</v>
      </c>
      <c r="Y101" s="103">
        <f t="shared" si="14"/>
        <v>0</v>
      </c>
      <c r="Z101" s="103">
        <f t="shared" si="15"/>
        <v>0</v>
      </c>
      <c r="AB101" s="49">
        <f t="shared" si="16"/>
        <v>0</v>
      </c>
      <c r="AC101" s="49">
        <f t="shared" si="17"/>
        <v>0</v>
      </c>
      <c r="AD101" s="49">
        <f t="shared" si="18"/>
        <v>0</v>
      </c>
      <c r="AE101" s="103">
        <f t="shared" si="19"/>
        <v>0</v>
      </c>
      <c r="AF101" s="103">
        <f t="shared" si="20"/>
        <v>0</v>
      </c>
      <c r="AH101" s="49">
        <f t="shared" si="21"/>
        <v>0</v>
      </c>
      <c r="AI101" s="49">
        <f t="shared" si="22"/>
        <v>0</v>
      </c>
      <c r="AJ101" s="49">
        <f t="shared" si="23"/>
        <v>0</v>
      </c>
      <c r="AK101" s="103">
        <f t="shared" si="24"/>
        <v>0</v>
      </c>
      <c r="AL101" s="103">
        <f t="shared" si="25"/>
        <v>0</v>
      </c>
      <c r="AN101" s="53">
        <f t="shared" si="26"/>
        <v>0</v>
      </c>
      <c r="AO101" s="53">
        <f t="shared" si="27"/>
        <v>0</v>
      </c>
      <c r="AP101" s="53">
        <f t="shared" si="28"/>
        <v>0</v>
      </c>
      <c r="AQ101" s="206">
        <f t="shared" si="29"/>
        <v>0</v>
      </c>
      <c r="AR101" s="206">
        <f t="shared" si="30"/>
        <v>0</v>
      </c>
      <c r="AY101" s="3"/>
    </row>
    <row r="102" spans="1:51">
      <c r="A102" s="54"/>
      <c r="B102" s="43">
        <f>'11. Desinvesteringen'!B386</f>
        <v>367</v>
      </c>
      <c r="C102" s="54"/>
      <c r="D102" s="54"/>
      <c r="E102" s="54"/>
      <c r="F102" s="48">
        <f>'5. Input GAW-waarde desinv.'!D62</f>
        <v>0</v>
      </c>
      <c r="G102" s="188">
        <f>'11. Desinvesteringen'!D386</f>
        <v>1984</v>
      </c>
      <c r="H102" s="188">
        <f>'11. Desinvesteringen'!G386</f>
        <v>2022</v>
      </c>
      <c r="I102" s="43" t="str">
        <f>'11. Desinvesteringen'!C386</f>
        <v>02 Gasontvangststations</v>
      </c>
      <c r="J102" s="177">
        <f>'11. Desinvesteringen'!F386</f>
        <v>0</v>
      </c>
      <c r="K102" s="44">
        <f>_xlfn.XLOOKUP(I102,'3. Input (des)investeringen '!$B$11:$B$80,'3. Input (des)investeringen '!$E$11:$E$80)</f>
        <v>0</v>
      </c>
      <c r="L102" s="54"/>
      <c r="M102" s="44">
        <f>_xlfn.XLOOKUP(I102,'3. Input (des)investeringen '!$B$11:$B$80,'3. Input (des)investeringen '!$D$11:$D$80,0)</f>
        <v>30</v>
      </c>
      <c r="N102" s="44">
        <f t="shared" si="9"/>
        <v>0</v>
      </c>
      <c r="P102" s="49">
        <f t="shared" si="31"/>
        <v>0</v>
      </c>
      <c r="Q102" s="49">
        <f t="shared" si="31"/>
        <v>0</v>
      </c>
      <c r="R102" s="49">
        <f t="shared" si="31"/>
        <v>0</v>
      </c>
      <c r="S102" s="103">
        <f t="shared" si="31"/>
        <v>0</v>
      </c>
      <c r="T102" s="103">
        <f t="shared" si="31"/>
        <v>0</v>
      </c>
      <c r="V102" s="49">
        <f t="shared" si="11"/>
        <v>0</v>
      </c>
      <c r="W102" s="49">
        <f t="shared" si="12"/>
        <v>0</v>
      </c>
      <c r="X102" s="49">
        <f t="shared" si="13"/>
        <v>0</v>
      </c>
      <c r="Y102" s="103">
        <f t="shared" si="14"/>
        <v>0</v>
      </c>
      <c r="Z102" s="103">
        <f t="shared" si="15"/>
        <v>0</v>
      </c>
      <c r="AB102" s="49">
        <f t="shared" si="16"/>
        <v>0</v>
      </c>
      <c r="AC102" s="49">
        <f t="shared" si="17"/>
        <v>0</v>
      </c>
      <c r="AD102" s="49">
        <f t="shared" si="18"/>
        <v>0</v>
      </c>
      <c r="AE102" s="103">
        <f t="shared" si="19"/>
        <v>0</v>
      </c>
      <c r="AF102" s="103">
        <f t="shared" si="20"/>
        <v>0</v>
      </c>
      <c r="AH102" s="49">
        <f t="shared" si="21"/>
        <v>0</v>
      </c>
      <c r="AI102" s="49">
        <f t="shared" si="22"/>
        <v>0</v>
      </c>
      <c r="AJ102" s="49">
        <f t="shared" si="23"/>
        <v>0</v>
      </c>
      <c r="AK102" s="103">
        <f t="shared" si="24"/>
        <v>0</v>
      </c>
      <c r="AL102" s="103">
        <f t="shared" si="25"/>
        <v>0</v>
      </c>
      <c r="AN102" s="53">
        <f t="shared" si="26"/>
        <v>0</v>
      </c>
      <c r="AO102" s="53">
        <f t="shared" si="27"/>
        <v>0</v>
      </c>
      <c r="AP102" s="53">
        <f t="shared" si="28"/>
        <v>0</v>
      </c>
      <c r="AQ102" s="206">
        <f t="shared" si="29"/>
        <v>0</v>
      </c>
      <c r="AR102" s="206">
        <f t="shared" si="30"/>
        <v>0</v>
      </c>
      <c r="AY102" s="3"/>
    </row>
    <row r="103" spans="1:51">
      <c r="A103" s="54"/>
      <c r="B103" s="43">
        <f>'11. Desinvesteringen'!B387</f>
        <v>368</v>
      </c>
      <c r="C103" s="54"/>
      <c r="D103" s="54"/>
      <c r="E103" s="54"/>
      <c r="F103" s="48">
        <f>'5. Input GAW-waarde desinv.'!D63</f>
        <v>0</v>
      </c>
      <c r="G103" s="188">
        <f>'11. Desinvesteringen'!D387</f>
        <v>1989</v>
      </c>
      <c r="H103" s="188">
        <f>'11. Desinvesteringen'!G387</f>
        <v>2022</v>
      </c>
      <c r="I103" s="43" t="str">
        <f>'11. Desinvesteringen'!C387</f>
        <v>02 Gasontvangststations</v>
      </c>
      <c r="J103" s="177">
        <f>'11. Desinvesteringen'!F387</f>
        <v>0</v>
      </c>
      <c r="K103" s="44">
        <f>_xlfn.XLOOKUP(I103,'3. Input (des)investeringen '!$B$11:$B$80,'3. Input (des)investeringen '!$E$11:$E$80)</f>
        <v>0</v>
      </c>
      <c r="L103" s="54"/>
      <c r="M103" s="44">
        <f>_xlfn.XLOOKUP(I103,'3. Input (des)investeringen '!$B$11:$B$80,'3. Input (des)investeringen '!$D$11:$D$80,0)</f>
        <v>30</v>
      </c>
      <c r="N103" s="44">
        <f t="shared" si="9"/>
        <v>0</v>
      </c>
      <c r="P103" s="49">
        <f t="shared" si="31"/>
        <v>0</v>
      </c>
      <c r="Q103" s="49">
        <f t="shared" si="31"/>
        <v>0</v>
      </c>
      <c r="R103" s="49">
        <f t="shared" si="31"/>
        <v>0</v>
      </c>
      <c r="S103" s="103">
        <f t="shared" si="31"/>
        <v>0</v>
      </c>
      <c r="T103" s="103">
        <f t="shared" si="31"/>
        <v>0</v>
      </c>
      <c r="V103" s="49">
        <f t="shared" si="11"/>
        <v>0</v>
      </c>
      <c r="W103" s="49">
        <f t="shared" si="12"/>
        <v>0</v>
      </c>
      <c r="X103" s="49">
        <f t="shared" si="13"/>
        <v>0</v>
      </c>
      <c r="Y103" s="103">
        <f t="shared" si="14"/>
        <v>0</v>
      </c>
      <c r="Z103" s="103">
        <f t="shared" si="15"/>
        <v>0</v>
      </c>
      <c r="AB103" s="49">
        <f t="shared" si="16"/>
        <v>0</v>
      </c>
      <c r="AC103" s="49">
        <f t="shared" si="17"/>
        <v>0</v>
      </c>
      <c r="AD103" s="49">
        <f t="shared" si="18"/>
        <v>0</v>
      </c>
      <c r="AE103" s="103">
        <f t="shared" si="19"/>
        <v>0</v>
      </c>
      <c r="AF103" s="103">
        <f t="shared" si="20"/>
        <v>0</v>
      </c>
      <c r="AH103" s="49">
        <f t="shared" si="21"/>
        <v>0</v>
      </c>
      <c r="AI103" s="49">
        <f t="shared" si="22"/>
        <v>0</v>
      </c>
      <c r="AJ103" s="49">
        <f t="shared" si="23"/>
        <v>0</v>
      </c>
      <c r="AK103" s="103">
        <f t="shared" si="24"/>
        <v>0</v>
      </c>
      <c r="AL103" s="103">
        <f t="shared" si="25"/>
        <v>0</v>
      </c>
      <c r="AN103" s="53">
        <f t="shared" si="26"/>
        <v>0</v>
      </c>
      <c r="AO103" s="53">
        <f t="shared" si="27"/>
        <v>0</v>
      </c>
      <c r="AP103" s="53">
        <f t="shared" si="28"/>
        <v>0</v>
      </c>
      <c r="AQ103" s="206">
        <f t="shared" si="29"/>
        <v>0</v>
      </c>
      <c r="AR103" s="206">
        <f t="shared" si="30"/>
        <v>0</v>
      </c>
      <c r="AY103" s="3"/>
    </row>
    <row r="104" spans="1:51">
      <c r="A104" s="54"/>
      <c r="B104" s="43">
        <f>'11. Desinvesteringen'!B388</f>
        <v>369</v>
      </c>
      <c r="C104" s="54"/>
      <c r="D104" s="54"/>
      <c r="E104" s="54"/>
      <c r="F104" s="48">
        <f>'5. Input GAW-waarde desinv.'!D64</f>
        <v>0</v>
      </c>
      <c r="G104" s="188">
        <f>'11. Desinvesteringen'!D388</f>
        <v>1990</v>
      </c>
      <c r="H104" s="188">
        <f>'11. Desinvesteringen'!G388</f>
        <v>2022</v>
      </c>
      <c r="I104" s="43" t="str">
        <f>'11. Desinvesteringen'!C388</f>
        <v>02 Gasontvangststations</v>
      </c>
      <c r="J104" s="177">
        <f>'11. Desinvesteringen'!F388</f>
        <v>0</v>
      </c>
      <c r="K104" s="44">
        <f>_xlfn.XLOOKUP(I104,'3. Input (des)investeringen '!$B$11:$B$80,'3. Input (des)investeringen '!$E$11:$E$80)</f>
        <v>0</v>
      </c>
      <c r="L104" s="54"/>
      <c r="M104" s="44">
        <f>_xlfn.XLOOKUP(I104,'3. Input (des)investeringen '!$B$11:$B$80,'3. Input (des)investeringen '!$D$11:$D$80,0)</f>
        <v>30</v>
      </c>
      <c r="N104" s="44">
        <f t="shared" si="9"/>
        <v>0</v>
      </c>
      <c r="P104" s="49">
        <f t="shared" si="31"/>
        <v>0</v>
      </c>
      <c r="Q104" s="49">
        <f t="shared" si="31"/>
        <v>0</v>
      </c>
      <c r="R104" s="49">
        <f t="shared" si="31"/>
        <v>0</v>
      </c>
      <c r="S104" s="103">
        <f t="shared" si="31"/>
        <v>0</v>
      </c>
      <c r="T104" s="103">
        <f t="shared" si="31"/>
        <v>0</v>
      </c>
      <c r="V104" s="49">
        <f t="shared" si="11"/>
        <v>0</v>
      </c>
      <c r="W104" s="49">
        <f t="shared" si="12"/>
        <v>0</v>
      </c>
      <c r="X104" s="49">
        <f t="shared" si="13"/>
        <v>0</v>
      </c>
      <c r="Y104" s="103">
        <f t="shared" si="14"/>
        <v>0</v>
      </c>
      <c r="Z104" s="103">
        <f t="shared" si="15"/>
        <v>0</v>
      </c>
      <c r="AB104" s="49">
        <f t="shared" si="16"/>
        <v>0</v>
      </c>
      <c r="AC104" s="49">
        <f t="shared" si="17"/>
        <v>0</v>
      </c>
      <c r="AD104" s="49">
        <f t="shared" si="18"/>
        <v>0</v>
      </c>
      <c r="AE104" s="103">
        <f t="shared" si="19"/>
        <v>0</v>
      </c>
      <c r="AF104" s="103">
        <f t="shared" si="20"/>
        <v>0</v>
      </c>
      <c r="AH104" s="49">
        <f t="shared" si="21"/>
        <v>0</v>
      </c>
      <c r="AI104" s="49">
        <f t="shared" si="22"/>
        <v>0</v>
      </c>
      <c r="AJ104" s="49">
        <f t="shared" si="23"/>
        <v>0</v>
      </c>
      <c r="AK104" s="103">
        <f t="shared" si="24"/>
        <v>0</v>
      </c>
      <c r="AL104" s="103">
        <f t="shared" si="25"/>
        <v>0</v>
      </c>
      <c r="AN104" s="53">
        <f t="shared" si="26"/>
        <v>0</v>
      </c>
      <c r="AO104" s="53">
        <f t="shared" si="27"/>
        <v>0</v>
      </c>
      <c r="AP104" s="53">
        <f t="shared" si="28"/>
        <v>0</v>
      </c>
      <c r="AQ104" s="206">
        <f t="shared" si="29"/>
        <v>0</v>
      </c>
      <c r="AR104" s="206">
        <f t="shared" si="30"/>
        <v>0</v>
      </c>
      <c r="AY104" s="3"/>
    </row>
    <row r="105" spans="1:51">
      <c r="A105" s="54"/>
      <c r="B105" s="43">
        <f>'11. Desinvesteringen'!B389</f>
        <v>370</v>
      </c>
      <c r="C105" s="54"/>
      <c r="D105" s="54"/>
      <c r="E105" s="54"/>
      <c r="F105" s="48">
        <f>'5. Input GAW-waarde desinv.'!D65</f>
        <v>0</v>
      </c>
      <c r="G105" s="188">
        <f>'11. Desinvesteringen'!D389</f>
        <v>1991</v>
      </c>
      <c r="H105" s="188">
        <f>'11. Desinvesteringen'!G389</f>
        <v>2022</v>
      </c>
      <c r="I105" s="43" t="str">
        <f>'11. Desinvesteringen'!C389</f>
        <v>02 Gasontvangststations</v>
      </c>
      <c r="J105" s="177">
        <f>'11. Desinvesteringen'!F389</f>
        <v>0</v>
      </c>
      <c r="K105" s="44">
        <f>_xlfn.XLOOKUP(I105,'3. Input (des)investeringen '!$B$11:$B$80,'3. Input (des)investeringen '!$E$11:$E$80)</f>
        <v>0</v>
      </c>
      <c r="L105" s="54"/>
      <c r="M105" s="44">
        <f>_xlfn.XLOOKUP(I105,'3. Input (des)investeringen '!$B$11:$B$80,'3. Input (des)investeringen '!$D$11:$D$80,0)</f>
        <v>30</v>
      </c>
      <c r="N105" s="44">
        <f t="shared" si="9"/>
        <v>0</v>
      </c>
      <c r="P105" s="49">
        <f t="shared" si="31"/>
        <v>0</v>
      </c>
      <c r="Q105" s="49">
        <f t="shared" si="31"/>
        <v>0</v>
      </c>
      <c r="R105" s="49">
        <f t="shared" si="31"/>
        <v>0</v>
      </c>
      <c r="S105" s="103">
        <f t="shared" si="31"/>
        <v>0</v>
      </c>
      <c r="T105" s="103">
        <f t="shared" si="31"/>
        <v>0</v>
      </c>
      <c r="V105" s="49">
        <f t="shared" si="11"/>
        <v>0</v>
      </c>
      <c r="W105" s="49">
        <f t="shared" si="12"/>
        <v>0</v>
      </c>
      <c r="X105" s="49">
        <f t="shared" si="13"/>
        <v>0</v>
      </c>
      <c r="Y105" s="103">
        <f t="shared" si="14"/>
        <v>0</v>
      </c>
      <c r="Z105" s="103">
        <f t="shared" si="15"/>
        <v>0</v>
      </c>
      <c r="AB105" s="49">
        <f t="shared" si="16"/>
        <v>0</v>
      </c>
      <c r="AC105" s="49">
        <f t="shared" si="17"/>
        <v>0</v>
      </c>
      <c r="AD105" s="49">
        <f t="shared" si="18"/>
        <v>0</v>
      </c>
      <c r="AE105" s="103">
        <f t="shared" si="19"/>
        <v>0</v>
      </c>
      <c r="AF105" s="103">
        <f t="shared" si="20"/>
        <v>0</v>
      </c>
      <c r="AH105" s="49">
        <f t="shared" si="21"/>
        <v>0</v>
      </c>
      <c r="AI105" s="49">
        <f t="shared" si="22"/>
        <v>0</v>
      </c>
      <c r="AJ105" s="49">
        <f t="shared" si="23"/>
        <v>0</v>
      </c>
      <c r="AK105" s="103">
        <f t="shared" si="24"/>
        <v>0</v>
      </c>
      <c r="AL105" s="103">
        <f t="shared" si="25"/>
        <v>0</v>
      </c>
      <c r="AN105" s="53">
        <f t="shared" si="26"/>
        <v>0</v>
      </c>
      <c r="AO105" s="53">
        <f t="shared" si="27"/>
        <v>0</v>
      </c>
      <c r="AP105" s="53">
        <f t="shared" si="28"/>
        <v>0</v>
      </c>
      <c r="AQ105" s="206">
        <f t="shared" si="29"/>
        <v>0</v>
      </c>
      <c r="AR105" s="206">
        <f t="shared" si="30"/>
        <v>0</v>
      </c>
      <c r="AY105" s="3"/>
    </row>
    <row r="106" spans="1:51">
      <c r="A106" s="54"/>
      <c r="B106" s="43">
        <f>'11. Desinvesteringen'!B390</f>
        <v>371</v>
      </c>
      <c r="C106" s="54"/>
      <c r="D106" s="54"/>
      <c r="E106" s="54"/>
      <c r="F106" s="48">
        <f>'5. Input GAW-waarde desinv.'!D66</f>
        <v>646.89002615775189</v>
      </c>
      <c r="G106" s="188">
        <f>'11. Desinvesteringen'!D390</f>
        <v>1992</v>
      </c>
      <c r="H106" s="188">
        <f>'11. Desinvesteringen'!G390</f>
        <v>2022</v>
      </c>
      <c r="I106" s="43" t="str">
        <f>'11. Desinvesteringen'!C390</f>
        <v>02 Gasontvangststations</v>
      </c>
      <c r="J106" s="177">
        <f>'11. Desinvesteringen'!F390</f>
        <v>0</v>
      </c>
      <c r="K106" s="44">
        <f>_xlfn.XLOOKUP(I106,'3. Input (des)investeringen '!$B$11:$B$80,'3. Input (des)investeringen '!$E$11:$E$80)</f>
        <v>0</v>
      </c>
      <c r="L106" s="54"/>
      <c r="M106" s="44">
        <f>_xlfn.XLOOKUP(I106,'3. Input (des)investeringen '!$B$11:$B$80,'3. Input (des)investeringen '!$D$11:$D$80,0)</f>
        <v>30</v>
      </c>
      <c r="N106" s="44">
        <f t="shared" si="9"/>
        <v>0.5</v>
      </c>
      <c r="P106" s="49">
        <f t="shared" si="31"/>
        <v>582.20102354197672</v>
      </c>
      <c r="Q106" s="49">
        <f t="shared" si="31"/>
        <v>0</v>
      </c>
      <c r="R106" s="49">
        <f t="shared" si="31"/>
        <v>0</v>
      </c>
      <c r="S106" s="103">
        <f t="shared" si="31"/>
        <v>0</v>
      </c>
      <c r="T106" s="103">
        <f t="shared" si="31"/>
        <v>0</v>
      </c>
      <c r="V106" s="49">
        <f t="shared" si="11"/>
        <v>64.689002615775195</v>
      </c>
      <c r="W106" s="49">
        <f t="shared" si="12"/>
        <v>0</v>
      </c>
      <c r="X106" s="49">
        <f t="shared" si="13"/>
        <v>0</v>
      </c>
      <c r="Y106" s="103">
        <f t="shared" si="14"/>
        <v>0</v>
      </c>
      <c r="Z106" s="103">
        <f t="shared" si="15"/>
        <v>0</v>
      </c>
      <c r="AB106" s="49">
        <f t="shared" si="16"/>
        <v>646.89002615775189</v>
      </c>
      <c r="AC106" s="49">
        <f t="shared" si="17"/>
        <v>0</v>
      </c>
      <c r="AD106" s="49">
        <f t="shared" si="18"/>
        <v>0</v>
      </c>
      <c r="AE106" s="103">
        <f t="shared" si="19"/>
        <v>0</v>
      </c>
      <c r="AF106" s="103">
        <f t="shared" si="20"/>
        <v>0</v>
      </c>
      <c r="AH106" s="49">
        <f t="shared" si="21"/>
        <v>0</v>
      </c>
      <c r="AI106" s="49">
        <f t="shared" si="22"/>
        <v>0</v>
      </c>
      <c r="AJ106" s="49">
        <f t="shared" si="23"/>
        <v>0</v>
      </c>
      <c r="AK106" s="103">
        <f t="shared" si="24"/>
        <v>0</v>
      </c>
      <c r="AL106" s="103">
        <f t="shared" si="25"/>
        <v>0</v>
      </c>
      <c r="AN106" s="53">
        <f t="shared" si="26"/>
        <v>646.89002615775189</v>
      </c>
      <c r="AO106" s="53">
        <f t="shared" si="27"/>
        <v>0</v>
      </c>
      <c r="AP106" s="53">
        <f t="shared" si="28"/>
        <v>0</v>
      </c>
      <c r="AQ106" s="206">
        <f t="shared" si="29"/>
        <v>0</v>
      </c>
      <c r="AR106" s="206">
        <f t="shared" si="30"/>
        <v>0</v>
      </c>
      <c r="AY106" s="3"/>
    </row>
    <row r="107" spans="1:51">
      <c r="A107" s="54"/>
      <c r="B107" s="43">
        <f>'11. Desinvesteringen'!B391</f>
        <v>372</v>
      </c>
      <c r="C107" s="54"/>
      <c r="D107" s="54"/>
      <c r="E107" s="54"/>
      <c r="F107" s="48">
        <f>'5. Input GAW-waarde desinv.'!D67</f>
        <v>1357.7574875549008</v>
      </c>
      <c r="G107" s="188">
        <f>'11. Desinvesteringen'!D391</f>
        <v>1993</v>
      </c>
      <c r="H107" s="188">
        <f>'11. Desinvesteringen'!G391</f>
        <v>2022</v>
      </c>
      <c r="I107" s="43" t="str">
        <f>'11. Desinvesteringen'!C391</f>
        <v>02 Gasontvangststations</v>
      </c>
      <c r="J107" s="177">
        <f>'11. Desinvesteringen'!F391</f>
        <v>0</v>
      </c>
      <c r="K107" s="44">
        <f>_xlfn.XLOOKUP(I107,'3. Input (des)investeringen '!$B$11:$B$80,'3. Input (des)investeringen '!$E$11:$E$80)</f>
        <v>0</v>
      </c>
      <c r="L107" s="54"/>
      <c r="M107" s="44">
        <f>_xlfn.XLOOKUP(I107,'3. Input (des)investeringen '!$B$11:$B$80,'3. Input (des)investeringen '!$D$11:$D$80,0)</f>
        <v>30</v>
      </c>
      <c r="N107" s="44">
        <f t="shared" si="9"/>
        <v>1.5</v>
      </c>
      <c r="P107" s="49">
        <f t="shared" si="31"/>
        <v>1059.0508402928226</v>
      </c>
      <c r="Q107" s="49">
        <f t="shared" si="31"/>
        <v>162.93089850658814</v>
      </c>
      <c r="R107" s="49">
        <f t="shared" si="31"/>
        <v>0</v>
      </c>
      <c r="S107" s="103">
        <f t="shared" si="31"/>
        <v>0</v>
      </c>
      <c r="T107" s="103">
        <f t="shared" si="31"/>
        <v>0</v>
      </c>
      <c r="V107" s="49">
        <f t="shared" si="11"/>
        <v>90.517165836993399</v>
      </c>
      <c r="W107" s="49">
        <f t="shared" si="12"/>
        <v>45.2585829184967</v>
      </c>
      <c r="X107" s="49">
        <f t="shared" si="13"/>
        <v>0</v>
      </c>
      <c r="Y107" s="103">
        <f t="shared" si="14"/>
        <v>0</v>
      </c>
      <c r="Z107" s="103">
        <f t="shared" si="15"/>
        <v>0</v>
      </c>
      <c r="AB107" s="49">
        <f t="shared" si="16"/>
        <v>1149.568006129816</v>
      </c>
      <c r="AC107" s="49">
        <f t="shared" si="17"/>
        <v>208.18948142508484</v>
      </c>
      <c r="AD107" s="49">
        <f t="shared" si="18"/>
        <v>0</v>
      </c>
      <c r="AE107" s="103">
        <f t="shared" si="19"/>
        <v>0</v>
      </c>
      <c r="AF107" s="103">
        <f t="shared" si="20"/>
        <v>0</v>
      </c>
      <c r="AH107" s="49">
        <f t="shared" si="21"/>
        <v>208.18948142508475</v>
      </c>
      <c r="AI107" s="49">
        <f t="shared" si="22"/>
        <v>0</v>
      </c>
      <c r="AJ107" s="49">
        <f t="shared" si="23"/>
        <v>0</v>
      </c>
      <c r="AK107" s="103">
        <f t="shared" si="24"/>
        <v>0</v>
      </c>
      <c r="AL107" s="103">
        <f t="shared" si="25"/>
        <v>0</v>
      </c>
      <c r="AN107" s="53">
        <f t="shared" si="26"/>
        <v>1157.8955853868194</v>
      </c>
      <c r="AO107" s="53">
        <f t="shared" si="27"/>
        <v>208.18948142508484</v>
      </c>
      <c r="AP107" s="53">
        <f t="shared" si="28"/>
        <v>0</v>
      </c>
      <c r="AQ107" s="206">
        <f t="shared" si="29"/>
        <v>0</v>
      </c>
      <c r="AR107" s="206">
        <f t="shared" si="30"/>
        <v>0</v>
      </c>
      <c r="AY107" s="3"/>
    </row>
    <row r="108" spans="1:51">
      <c r="A108" s="54"/>
      <c r="B108" s="43">
        <f>'11. Desinvesteringen'!B392</f>
        <v>373</v>
      </c>
      <c r="C108" s="54"/>
      <c r="D108" s="54"/>
      <c r="E108" s="54"/>
      <c r="F108" s="48">
        <f>'5. Input GAW-waarde desinv.'!D68</f>
        <v>7195.5569834638591</v>
      </c>
      <c r="G108" s="188">
        <f>'11. Desinvesteringen'!D392</f>
        <v>1994</v>
      </c>
      <c r="H108" s="188">
        <f>'11. Desinvesteringen'!G392</f>
        <v>2022</v>
      </c>
      <c r="I108" s="43" t="str">
        <f>'11. Desinvesteringen'!C392</f>
        <v>02 Gasontvangststations</v>
      </c>
      <c r="J108" s="177">
        <f>'11. Desinvesteringen'!F392</f>
        <v>0</v>
      </c>
      <c r="K108" s="44">
        <f>_xlfn.XLOOKUP(I108,'3. Input (des)investeringen '!$B$11:$B$80,'3. Input (des)investeringen '!$E$11:$E$80)</f>
        <v>0</v>
      </c>
      <c r="L108" s="54"/>
      <c r="M108" s="44">
        <f>_xlfn.XLOOKUP(I108,'3. Input (des)investeringen '!$B$11:$B$80,'3. Input (des)investeringen '!$D$11:$D$80,0)</f>
        <v>30</v>
      </c>
      <c r="N108" s="44">
        <f t="shared" si="9"/>
        <v>2.5</v>
      </c>
      <c r="P108" s="49">
        <f t="shared" si="31"/>
        <v>3367.5206682610865</v>
      </c>
      <c r="Q108" s="49">
        <f t="shared" si="31"/>
        <v>2072.3204112375911</v>
      </c>
      <c r="R108" s="49">
        <f t="shared" si="31"/>
        <v>1036.1602056187955</v>
      </c>
      <c r="S108" s="103">
        <f t="shared" si="31"/>
        <v>0</v>
      </c>
      <c r="T108" s="103">
        <f t="shared" si="31"/>
        <v>0</v>
      </c>
      <c r="V108" s="49">
        <f t="shared" si="11"/>
        <v>287.82227933855438</v>
      </c>
      <c r="W108" s="49">
        <f t="shared" si="12"/>
        <v>287.82227933855432</v>
      </c>
      <c r="X108" s="49">
        <f t="shared" si="13"/>
        <v>143.91113966927716</v>
      </c>
      <c r="Y108" s="103">
        <f t="shared" si="14"/>
        <v>0</v>
      </c>
      <c r="Z108" s="103">
        <f t="shared" si="15"/>
        <v>0</v>
      </c>
      <c r="AB108" s="49">
        <f t="shared" si="16"/>
        <v>3655.3429475996409</v>
      </c>
      <c r="AC108" s="49">
        <f t="shared" si="17"/>
        <v>2360.1426905761455</v>
      </c>
      <c r="AD108" s="49">
        <f t="shared" si="18"/>
        <v>1180.0713452880727</v>
      </c>
      <c r="AE108" s="103">
        <f t="shared" si="19"/>
        <v>0</v>
      </c>
      <c r="AF108" s="103">
        <f t="shared" si="20"/>
        <v>0</v>
      </c>
      <c r="AH108" s="49">
        <f t="shared" si="21"/>
        <v>3540.2140358642182</v>
      </c>
      <c r="AI108" s="49">
        <f t="shared" si="22"/>
        <v>1180.0713452880727</v>
      </c>
      <c r="AJ108" s="49">
        <f t="shared" si="23"/>
        <v>0</v>
      </c>
      <c r="AK108" s="103">
        <f t="shared" si="24"/>
        <v>0</v>
      </c>
      <c r="AL108" s="103">
        <f t="shared" si="25"/>
        <v>0</v>
      </c>
      <c r="AN108" s="53">
        <f t="shared" si="26"/>
        <v>3796.9515090342097</v>
      </c>
      <c r="AO108" s="53">
        <f t="shared" si="27"/>
        <v>2395.5448309347876</v>
      </c>
      <c r="AP108" s="53">
        <f t="shared" si="28"/>
        <v>1180.0713452880727</v>
      </c>
      <c r="AQ108" s="206">
        <f t="shared" si="29"/>
        <v>0</v>
      </c>
      <c r="AR108" s="206">
        <f t="shared" si="30"/>
        <v>0</v>
      </c>
      <c r="AY108" s="3"/>
    </row>
    <row r="109" spans="1:51">
      <c r="A109" s="54"/>
      <c r="B109" s="43">
        <f>'11. Desinvesteringen'!B393</f>
        <v>374</v>
      </c>
      <c r="C109" s="54"/>
      <c r="D109" s="54"/>
      <c r="E109" s="54"/>
      <c r="F109" s="48">
        <f>'5. Input GAW-waarde desinv.'!D69</f>
        <v>11931.605633190833</v>
      </c>
      <c r="G109" s="188">
        <f>'11. Desinvesteringen'!D393</f>
        <v>1995</v>
      </c>
      <c r="H109" s="188">
        <f>'11. Desinvesteringen'!G393</f>
        <v>2022</v>
      </c>
      <c r="I109" s="43" t="str">
        <f>'11. Desinvesteringen'!C393</f>
        <v>02 Gasontvangststations</v>
      </c>
      <c r="J109" s="177">
        <f>'11. Desinvesteringen'!F393</f>
        <v>0</v>
      </c>
      <c r="K109" s="44">
        <f>_xlfn.XLOOKUP(I109,'3. Input (des)investeringen '!$B$11:$B$80,'3. Input (des)investeringen '!$E$11:$E$80)</f>
        <v>0</v>
      </c>
      <c r="L109" s="54"/>
      <c r="M109" s="44">
        <f>_xlfn.XLOOKUP(I109,'3. Input (des)investeringen '!$B$11:$B$80,'3. Input (des)investeringen '!$D$11:$D$80,0)</f>
        <v>30</v>
      </c>
      <c r="N109" s="44">
        <f t="shared" si="9"/>
        <v>3.5</v>
      </c>
      <c r="P109" s="49">
        <f t="shared" si="31"/>
        <v>3988.5653116666504</v>
      </c>
      <c r="Q109" s="49">
        <f t="shared" si="31"/>
        <v>2699.9519032820399</v>
      </c>
      <c r="R109" s="49">
        <f t="shared" si="31"/>
        <v>2699.9519032820399</v>
      </c>
      <c r="S109" s="103">
        <f t="shared" si="31"/>
        <v>1349.9759516410199</v>
      </c>
      <c r="T109" s="103">
        <f t="shared" si="31"/>
        <v>0</v>
      </c>
      <c r="V109" s="49">
        <f t="shared" si="11"/>
        <v>340.9030180911667</v>
      </c>
      <c r="W109" s="49">
        <f t="shared" si="12"/>
        <v>340.9030180911667</v>
      </c>
      <c r="X109" s="49">
        <f t="shared" si="13"/>
        <v>340.9030180911667</v>
      </c>
      <c r="Y109" s="103">
        <f t="shared" si="14"/>
        <v>170.45150904558335</v>
      </c>
      <c r="Z109" s="103">
        <f t="shared" si="15"/>
        <v>0</v>
      </c>
      <c r="AB109" s="49">
        <f t="shared" si="16"/>
        <v>4329.4683297578167</v>
      </c>
      <c r="AC109" s="49">
        <f t="shared" si="17"/>
        <v>3040.8549213732067</v>
      </c>
      <c r="AD109" s="49">
        <f t="shared" si="18"/>
        <v>3040.8549213732067</v>
      </c>
      <c r="AE109" s="103">
        <f t="shared" si="19"/>
        <v>1520.4274606866034</v>
      </c>
      <c r="AF109" s="103">
        <f t="shared" si="20"/>
        <v>0</v>
      </c>
      <c r="AH109" s="49">
        <f t="shared" si="21"/>
        <v>7602.1373034330163</v>
      </c>
      <c r="AI109" s="49">
        <f t="shared" si="22"/>
        <v>4561.2823820598096</v>
      </c>
      <c r="AJ109" s="49">
        <f t="shared" si="23"/>
        <v>1520.4274606866029</v>
      </c>
      <c r="AK109" s="103">
        <f t="shared" si="24"/>
        <v>0</v>
      </c>
      <c r="AL109" s="103">
        <f t="shared" si="25"/>
        <v>0</v>
      </c>
      <c r="AN109" s="53">
        <f t="shared" si="26"/>
        <v>4633.5538218951369</v>
      </c>
      <c r="AO109" s="53">
        <f t="shared" si="27"/>
        <v>3177.6933928350009</v>
      </c>
      <c r="AP109" s="53">
        <f t="shared" si="28"/>
        <v>3086.4677451938046</v>
      </c>
      <c r="AQ109" s="206">
        <f t="shared" si="29"/>
        <v>1520.4274606866034</v>
      </c>
      <c r="AR109" s="206">
        <f t="shared" si="30"/>
        <v>0</v>
      </c>
      <c r="AY109" s="3"/>
    </row>
    <row r="110" spans="1:51">
      <c r="A110" s="54"/>
      <c r="B110" s="43">
        <f>'11. Desinvesteringen'!B394</f>
        <v>375</v>
      </c>
      <c r="C110" s="54"/>
      <c r="D110" s="54"/>
      <c r="E110" s="54"/>
      <c r="F110" s="48">
        <f>'5. Input GAW-waarde desinv.'!D70</f>
        <v>4008.6360537194205</v>
      </c>
      <c r="G110" s="188">
        <f>'11. Desinvesteringen'!D394</f>
        <v>1996</v>
      </c>
      <c r="H110" s="188">
        <f>'11. Desinvesteringen'!G394</f>
        <v>2022</v>
      </c>
      <c r="I110" s="43" t="str">
        <f>'11. Desinvesteringen'!C394</f>
        <v>02 Gasontvangststations</v>
      </c>
      <c r="J110" s="177">
        <f>'11. Desinvesteringen'!F394</f>
        <v>0</v>
      </c>
      <c r="K110" s="44">
        <f>_xlfn.XLOOKUP(I110,'3. Input (des)investeringen '!$B$11:$B$80,'3. Input (des)investeringen '!$E$11:$E$80)</f>
        <v>0</v>
      </c>
      <c r="L110" s="54"/>
      <c r="M110" s="44">
        <f>_xlfn.XLOOKUP(I110,'3. Input (des)investeringen '!$B$11:$B$80,'3. Input (des)investeringen '!$D$11:$D$80,0)</f>
        <v>30</v>
      </c>
      <c r="N110" s="44">
        <f t="shared" si="9"/>
        <v>4.5</v>
      </c>
      <c r="P110" s="49">
        <f t="shared" si="31"/>
        <v>1042.2453739670493</v>
      </c>
      <c r="Q110" s="49">
        <f t="shared" si="31"/>
        <v>741.15226593212401</v>
      </c>
      <c r="R110" s="49">
        <f t="shared" si="31"/>
        <v>729.74992337932213</v>
      </c>
      <c r="S110" s="103">
        <f t="shared" si="31"/>
        <v>729.74992337932213</v>
      </c>
      <c r="T110" s="103">
        <f t="shared" si="31"/>
        <v>364.87496168966106</v>
      </c>
      <c r="V110" s="49">
        <f t="shared" si="11"/>
        <v>89.080801193764898</v>
      </c>
      <c r="W110" s="49">
        <f t="shared" si="12"/>
        <v>89.080801193764898</v>
      </c>
      <c r="X110" s="49">
        <f t="shared" si="13"/>
        <v>89.080801193764898</v>
      </c>
      <c r="Y110" s="103">
        <f t="shared" si="14"/>
        <v>89.080801193764898</v>
      </c>
      <c r="Z110" s="103">
        <f t="shared" si="15"/>
        <v>44.540400596882449</v>
      </c>
      <c r="AB110" s="49">
        <f t="shared" si="16"/>
        <v>1131.3261751608143</v>
      </c>
      <c r="AC110" s="49">
        <f t="shared" si="17"/>
        <v>830.23306712588897</v>
      </c>
      <c r="AD110" s="49">
        <f t="shared" si="18"/>
        <v>818.83072457308708</v>
      </c>
      <c r="AE110" s="103">
        <f t="shared" si="19"/>
        <v>818.83072457308708</v>
      </c>
      <c r="AF110" s="103">
        <f t="shared" si="20"/>
        <v>409.41536228654354</v>
      </c>
      <c r="AH110" s="49">
        <f t="shared" si="21"/>
        <v>2877.3098785586062</v>
      </c>
      <c r="AI110" s="49">
        <f t="shared" si="22"/>
        <v>2047.0768114327172</v>
      </c>
      <c r="AJ110" s="49">
        <f t="shared" si="23"/>
        <v>1228.2460868596302</v>
      </c>
      <c r="AK110" s="103">
        <f t="shared" si="24"/>
        <v>409.41536228654309</v>
      </c>
      <c r="AL110" s="103">
        <f t="shared" si="25"/>
        <v>0</v>
      </c>
      <c r="AN110" s="53">
        <f t="shared" si="26"/>
        <v>1246.4185703031585</v>
      </c>
      <c r="AO110" s="53">
        <f t="shared" si="27"/>
        <v>891.64537146887051</v>
      </c>
      <c r="AP110" s="53">
        <f t="shared" si="28"/>
        <v>855.67810717887596</v>
      </c>
      <c r="AQ110" s="206">
        <f t="shared" si="29"/>
        <v>831.11318544168341</v>
      </c>
      <c r="AR110" s="206">
        <f t="shared" si="30"/>
        <v>409.41536228654354</v>
      </c>
      <c r="AY110" s="3"/>
    </row>
    <row r="111" spans="1:51">
      <c r="A111" s="54"/>
      <c r="B111" s="43">
        <f>'11. Desinvesteringen'!B395</f>
        <v>376</v>
      </c>
      <c r="C111" s="54"/>
      <c r="D111" s="54"/>
      <c r="E111" s="54"/>
      <c r="F111" s="48">
        <f>'5. Input GAW-waarde desinv.'!D71</f>
        <v>4682.8462589200817</v>
      </c>
      <c r="G111" s="188">
        <f>'11. Desinvesteringen'!D395</f>
        <v>1997</v>
      </c>
      <c r="H111" s="188">
        <f>'11. Desinvesteringen'!G395</f>
        <v>2022</v>
      </c>
      <c r="I111" s="43" t="str">
        <f>'11. Desinvesteringen'!C395</f>
        <v>02 Gasontvangststations</v>
      </c>
      <c r="J111" s="177">
        <f>'11. Desinvesteringen'!F395</f>
        <v>0</v>
      </c>
      <c r="K111" s="44">
        <f>_xlfn.XLOOKUP(I111,'3. Input (des)investeringen '!$B$11:$B$80,'3. Input (des)investeringen '!$E$11:$E$80)</f>
        <v>0</v>
      </c>
      <c r="L111" s="54"/>
      <c r="M111" s="44">
        <f>_xlfn.XLOOKUP(I111,'3. Input (des)investeringen '!$B$11:$B$80,'3. Input (des)investeringen '!$D$11:$D$80,0)</f>
        <v>30</v>
      </c>
      <c r="N111" s="44">
        <f t="shared" si="9"/>
        <v>5.5</v>
      </c>
      <c r="P111" s="49">
        <f t="shared" si="31"/>
        <v>996.169113261181</v>
      </c>
      <c r="Q111" s="49">
        <f t="shared" si="31"/>
        <v>760.71095921762912</v>
      </c>
      <c r="R111" s="49">
        <f t="shared" si="31"/>
        <v>702.19473158550386</v>
      </c>
      <c r="S111" s="103">
        <f t="shared" si="31"/>
        <v>702.19473158550386</v>
      </c>
      <c r="T111" s="103">
        <f t="shared" si="31"/>
        <v>702.19473158550386</v>
      </c>
      <c r="V111" s="49">
        <f t="shared" si="11"/>
        <v>85.142659253092404</v>
      </c>
      <c r="W111" s="49">
        <f t="shared" si="12"/>
        <v>85.142659253092404</v>
      </c>
      <c r="X111" s="49">
        <f t="shared" si="13"/>
        <v>85.142659253092404</v>
      </c>
      <c r="Y111" s="103">
        <f t="shared" si="14"/>
        <v>85.142659253092404</v>
      </c>
      <c r="Z111" s="103">
        <f t="shared" si="15"/>
        <v>85.142659253092404</v>
      </c>
      <c r="AB111" s="49">
        <f t="shared" si="16"/>
        <v>1081.3117725142733</v>
      </c>
      <c r="AC111" s="49">
        <f t="shared" si="17"/>
        <v>845.85361847072159</v>
      </c>
      <c r="AD111" s="49">
        <f t="shared" si="18"/>
        <v>787.33739083859632</v>
      </c>
      <c r="AE111" s="103">
        <f t="shared" si="19"/>
        <v>787.33739083859632</v>
      </c>
      <c r="AF111" s="103">
        <f t="shared" si="20"/>
        <v>787.33739083859632</v>
      </c>
      <c r="AH111" s="49">
        <f t="shared" si="21"/>
        <v>3601.5344864058084</v>
      </c>
      <c r="AI111" s="49">
        <f t="shared" si="22"/>
        <v>2755.680867935087</v>
      </c>
      <c r="AJ111" s="49">
        <f t="shared" si="23"/>
        <v>1968.3434770964907</v>
      </c>
      <c r="AK111" s="103">
        <f t="shared" si="24"/>
        <v>1181.0060862578944</v>
      </c>
      <c r="AL111" s="103">
        <f t="shared" si="25"/>
        <v>393.66869541929805</v>
      </c>
      <c r="AN111" s="53">
        <f t="shared" si="26"/>
        <v>1225.3731519705057</v>
      </c>
      <c r="AO111" s="53">
        <f t="shared" si="27"/>
        <v>928.52404450877418</v>
      </c>
      <c r="AP111" s="53">
        <f t="shared" si="28"/>
        <v>846.38769515149102</v>
      </c>
      <c r="AQ111" s="206">
        <f t="shared" si="29"/>
        <v>822.76757342633312</v>
      </c>
      <c r="AR111" s="206">
        <f t="shared" si="30"/>
        <v>799.14745170117521</v>
      </c>
      <c r="AY111" s="3"/>
    </row>
    <row r="112" spans="1:51">
      <c r="A112" s="54"/>
      <c r="B112" s="43">
        <f>'11. Desinvesteringen'!B396</f>
        <v>377</v>
      </c>
      <c r="C112" s="54"/>
      <c r="D112" s="54"/>
      <c r="E112" s="54"/>
      <c r="F112" s="48">
        <f>'5. Input GAW-waarde desinv.'!D72</f>
        <v>4626.8552263726942</v>
      </c>
      <c r="G112" s="188">
        <f>'11. Desinvesteringen'!D396</f>
        <v>2000</v>
      </c>
      <c r="H112" s="188">
        <f>'11. Desinvesteringen'!G396</f>
        <v>2022</v>
      </c>
      <c r="I112" s="43" t="str">
        <f>'11. Desinvesteringen'!C396</f>
        <v>02 Gasontvangststations</v>
      </c>
      <c r="J112" s="177">
        <f>'11. Desinvesteringen'!F396</f>
        <v>0</v>
      </c>
      <c r="K112" s="44">
        <f>_xlfn.XLOOKUP(I112,'3. Input (des)investeringen '!$B$11:$B$80,'3. Input (des)investeringen '!$E$11:$E$80)</f>
        <v>0</v>
      </c>
      <c r="L112" s="54"/>
      <c r="M112" s="44">
        <f>_xlfn.XLOOKUP(I112,'3. Input (des)investeringen '!$B$11:$B$80,'3. Input (des)investeringen '!$D$11:$D$80,0)</f>
        <v>30</v>
      </c>
      <c r="N112" s="44">
        <f t="shared" si="9"/>
        <v>8.5</v>
      </c>
      <c r="P112" s="49">
        <f t="shared" si="31"/>
        <v>636.87301351247675</v>
      </c>
      <c r="Q112" s="49">
        <f t="shared" si="31"/>
        <v>539.46890556350968</v>
      </c>
      <c r="R112" s="49">
        <f t="shared" si="31"/>
        <v>459.66581302452897</v>
      </c>
      <c r="S112" s="103">
        <f t="shared" si="31"/>
        <v>459.66581302452897</v>
      </c>
      <c r="T112" s="103">
        <f t="shared" si="31"/>
        <v>459.66581302452897</v>
      </c>
      <c r="V112" s="49">
        <f t="shared" si="11"/>
        <v>54.433590898502281</v>
      </c>
      <c r="W112" s="49">
        <f t="shared" si="12"/>
        <v>54.433590898502295</v>
      </c>
      <c r="X112" s="49">
        <f t="shared" si="13"/>
        <v>54.433590898502295</v>
      </c>
      <c r="Y112" s="103">
        <f t="shared" si="14"/>
        <v>54.433590898502295</v>
      </c>
      <c r="Z112" s="103">
        <f t="shared" si="15"/>
        <v>54.433590898502295</v>
      </c>
      <c r="AB112" s="49">
        <f t="shared" si="16"/>
        <v>691.30660441097905</v>
      </c>
      <c r="AC112" s="49">
        <f t="shared" si="17"/>
        <v>593.90249646201198</v>
      </c>
      <c r="AD112" s="49">
        <f t="shared" si="18"/>
        <v>514.09940392303122</v>
      </c>
      <c r="AE112" s="103">
        <f t="shared" si="19"/>
        <v>514.09940392303122</v>
      </c>
      <c r="AF112" s="103">
        <f t="shared" si="20"/>
        <v>514.09940392303122</v>
      </c>
      <c r="AH112" s="49">
        <f t="shared" si="21"/>
        <v>3935.5486219617151</v>
      </c>
      <c r="AI112" s="49">
        <f t="shared" si="22"/>
        <v>3341.646125499703</v>
      </c>
      <c r="AJ112" s="49">
        <f t="shared" si="23"/>
        <v>2827.5467215766716</v>
      </c>
      <c r="AK112" s="103">
        <f t="shared" si="24"/>
        <v>2313.4473176536403</v>
      </c>
      <c r="AL112" s="103">
        <f t="shared" si="25"/>
        <v>1799.347913730609</v>
      </c>
      <c r="AN112" s="53">
        <f t="shared" si="26"/>
        <v>848.72854928944764</v>
      </c>
      <c r="AO112" s="53">
        <f t="shared" si="27"/>
        <v>694.15188022700306</v>
      </c>
      <c r="AP112" s="53">
        <f t="shared" si="28"/>
        <v>598.92580557033136</v>
      </c>
      <c r="AQ112" s="206">
        <f t="shared" si="29"/>
        <v>583.50282345264043</v>
      </c>
      <c r="AR112" s="206">
        <f t="shared" si="30"/>
        <v>568.07984133494949</v>
      </c>
      <c r="AY112" s="3"/>
    </row>
    <row r="113" spans="1:51">
      <c r="A113" s="54"/>
      <c r="B113" s="43">
        <f>'11. Desinvesteringen'!B397</f>
        <v>378</v>
      </c>
      <c r="C113" s="54"/>
      <c r="D113" s="54"/>
      <c r="E113" s="54"/>
      <c r="F113" s="48">
        <f>'5. Input GAW-waarde desinv.'!D73</f>
        <v>4611.6740310663999</v>
      </c>
      <c r="G113" s="188">
        <f>'11. Desinvesteringen'!D397</f>
        <v>2002</v>
      </c>
      <c r="H113" s="188">
        <f>'11. Desinvesteringen'!G397</f>
        <v>2022</v>
      </c>
      <c r="I113" s="43" t="str">
        <f>'11. Desinvesteringen'!C397</f>
        <v>02 Gasontvangststations</v>
      </c>
      <c r="J113" s="177">
        <f>'11. Desinvesteringen'!F397</f>
        <v>0</v>
      </c>
      <c r="K113" s="44">
        <f>_xlfn.XLOOKUP(I113,'3. Input (des)investeringen '!$B$11:$B$80,'3. Input (des)investeringen '!$E$11:$E$80)</f>
        <v>0</v>
      </c>
      <c r="L113" s="54"/>
      <c r="M113" s="44">
        <f>_xlfn.XLOOKUP(I113,'3. Input (des)investeringen '!$B$11:$B$80,'3. Input (des)investeringen '!$D$11:$D$80,0)</f>
        <v>30</v>
      </c>
      <c r="N113" s="44">
        <f t="shared" si="9"/>
        <v>10.5</v>
      </c>
      <c r="P113" s="49">
        <f t="shared" si="31"/>
        <v>513.8722491759703</v>
      </c>
      <c r="Q113" s="49">
        <f t="shared" si="31"/>
        <v>450.24997070656451</v>
      </c>
      <c r="R113" s="49">
        <f t="shared" si="31"/>
        <v>394.50473623813264</v>
      </c>
      <c r="S113" s="103">
        <f t="shared" si="31"/>
        <v>372.25062291187896</v>
      </c>
      <c r="T113" s="103">
        <f t="shared" si="31"/>
        <v>372.25062291187896</v>
      </c>
      <c r="V113" s="49">
        <f t="shared" si="11"/>
        <v>43.920705057775244</v>
      </c>
      <c r="W113" s="49">
        <f t="shared" si="12"/>
        <v>43.920705057775244</v>
      </c>
      <c r="X113" s="49">
        <f t="shared" si="13"/>
        <v>43.920705057775244</v>
      </c>
      <c r="Y113" s="103">
        <f t="shared" si="14"/>
        <v>43.920705057775244</v>
      </c>
      <c r="Z113" s="103">
        <f t="shared" si="15"/>
        <v>43.920705057775244</v>
      </c>
      <c r="AB113" s="49">
        <f t="shared" si="16"/>
        <v>557.79295423374549</v>
      </c>
      <c r="AC113" s="49">
        <f t="shared" si="17"/>
        <v>494.17067576433976</v>
      </c>
      <c r="AD113" s="49">
        <f t="shared" si="18"/>
        <v>438.42544129590789</v>
      </c>
      <c r="AE113" s="103">
        <f t="shared" si="19"/>
        <v>416.17132796965421</v>
      </c>
      <c r="AF113" s="103">
        <f t="shared" si="20"/>
        <v>416.17132796965421</v>
      </c>
      <c r="AH113" s="49">
        <f t="shared" si="21"/>
        <v>4053.8810768326543</v>
      </c>
      <c r="AI113" s="49">
        <f t="shared" si="22"/>
        <v>3559.7104010683147</v>
      </c>
      <c r="AJ113" s="49">
        <f t="shared" si="23"/>
        <v>3121.2849597724066</v>
      </c>
      <c r="AK113" s="103">
        <f t="shared" si="24"/>
        <v>2705.1136318027525</v>
      </c>
      <c r="AL113" s="103">
        <f t="shared" si="25"/>
        <v>2288.9423038330983</v>
      </c>
      <c r="AN113" s="53">
        <f t="shared" si="26"/>
        <v>719.94819730705171</v>
      </c>
      <c r="AO113" s="53">
        <f t="shared" si="27"/>
        <v>600.96198779638917</v>
      </c>
      <c r="AP113" s="53">
        <f t="shared" si="28"/>
        <v>532.06399008908011</v>
      </c>
      <c r="AQ113" s="206">
        <f t="shared" si="29"/>
        <v>497.32473692373679</v>
      </c>
      <c r="AR113" s="206">
        <f t="shared" si="30"/>
        <v>484.83959708464715</v>
      </c>
      <c r="AY113" s="3"/>
    </row>
    <row r="114" spans="1:51">
      <c r="A114" s="54"/>
      <c r="B114" s="43">
        <f>'11. Desinvesteringen'!B398</f>
        <v>379</v>
      </c>
      <c r="C114" s="54"/>
      <c r="D114" s="54"/>
      <c r="E114" s="54"/>
      <c r="F114" s="48">
        <f>'5. Input GAW-waarde desinv.'!D74</f>
        <v>19084.802391040361</v>
      </c>
      <c r="G114" s="188">
        <f>'11. Desinvesteringen'!D398</f>
        <v>2003</v>
      </c>
      <c r="H114" s="188">
        <f>'11. Desinvesteringen'!G398</f>
        <v>2022</v>
      </c>
      <c r="I114" s="43" t="str">
        <f>'11. Desinvesteringen'!C398</f>
        <v>02 Gasontvangststations</v>
      </c>
      <c r="J114" s="177">
        <f>'11. Desinvesteringen'!F398</f>
        <v>0</v>
      </c>
      <c r="K114" s="44">
        <f>_xlfn.XLOOKUP(I114,'3. Input (des)investeringen '!$B$11:$B$80,'3. Input (des)investeringen '!$E$11:$E$80)</f>
        <v>0</v>
      </c>
      <c r="L114" s="54"/>
      <c r="M114" s="44">
        <f>_xlfn.XLOOKUP(I114,'3. Input (des)investeringen '!$B$11:$B$80,'3. Input (des)investeringen '!$D$11:$D$80,0)</f>
        <v>30</v>
      </c>
      <c r="N114" s="44">
        <f t="shared" si="9"/>
        <v>11.5</v>
      </c>
      <c r="P114" s="49">
        <f t="shared" si="31"/>
        <v>1941.6711997841064</v>
      </c>
      <c r="Q114" s="49">
        <f t="shared" si="31"/>
        <v>1722.1779337215553</v>
      </c>
      <c r="R114" s="49">
        <f t="shared" si="31"/>
        <v>1527.4969499095535</v>
      </c>
      <c r="S114" s="103">
        <f t="shared" si="31"/>
        <v>1409.9971845318955</v>
      </c>
      <c r="T114" s="103">
        <f t="shared" si="31"/>
        <v>1409.9971845318955</v>
      </c>
      <c r="V114" s="49">
        <f t="shared" si="11"/>
        <v>165.95480340035098</v>
      </c>
      <c r="W114" s="49">
        <f t="shared" si="12"/>
        <v>165.95480340035098</v>
      </c>
      <c r="X114" s="49">
        <f t="shared" si="13"/>
        <v>165.95480340035098</v>
      </c>
      <c r="Y114" s="103">
        <f t="shared" si="14"/>
        <v>165.95480340035098</v>
      </c>
      <c r="Z114" s="103">
        <f t="shared" si="15"/>
        <v>165.95480340035098</v>
      </c>
      <c r="AB114" s="49">
        <f t="shared" si="16"/>
        <v>2107.6260031844572</v>
      </c>
      <c r="AC114" s="49">
        <f t="shared" si="17"/>
        <v>1888.1327371219063</v>
      </c>
      <c r="AD114" s="49">
        <f t="shared" si="18"/>
        <v>1693.4517533099045</v>
      </c>
      <c r="AE114" s="103">
        <f t="shared" si="19"/>
        <v>1575.9519879322465</v>
      </c>
      <c r="AF114" s="103">
        <f t="shared" si="20"/>
        <v>1575.9519879322465</v>
      </c>
      <c r="AH114" s="49">
        <f t="shared" si="21"/>
        <v>16977.176387855903</v>
      </c>
      <c r="AI114" s="49">
        <f t="shared" si="22"/>
        <v>15089.043650733996</v>
      </c>
      <c r="AJ114" s="49">
        <f t="shared" si="23"/>
        <v>13395.591897424092</v>
      </c>
      <c r="AK114" s="103">
        <f t="shared" si="24"/>
        <v>11819.639909491845</v>
      </c>
      <c r="AL114" s="103">
        <f t="shared" si="25"/>
        <v>10243.687921559598</v>
      </c>
      <c r="AN114" s="53">
        <f t="shared" si="26"/>
        <v>2786.7130586986932</v>
      </c>
      <c r="AO114" s="53">
        <f t="shared" si="27"/>
        <v>2340.8040466439261</v>
      </c>
      <c r="AP114" s="53">
        <f t="shared" si="28"/>
        <v>2095.3195102326272</v>
      </c>
      <c r="AQ114" s="206">
        <f t="shared" si="29"/>
        <v>1930.5411852170018</v>
      </c>
      <c r="AR114" s="206">
        <f t="shared" si="30"/>
        <v>1883.2626255790344</v>
      </c>
      <c r="AY114" s="3"/>
    </row>
    <row r="115" spans="1:51">
      <c r="A115" s="54"/>
      <c r="B115" s="43">
        <f>'11. Desinvesteringen'!B399</f>
        <v>380</v>
      </c>
      <c r="C115" s="54"/>
      <c r="D115" s="54"/>
      <c r="E115" s="54"/>
      <c r="F115" s="48">
        <f>'5. Input GAW-waarde desinv.'!D75</f>
        <v>7912.0882258856245</v>
      </c>
      <c r="G115" s="188">
        <f>'11. Desinvesteringen'!D399</f>
        <v>2005</v>
      </c>
      <c r="H115" s="188">
        <f>'11. Desinvesteringen'!G399</f>
        <v>2022</v>
      </c>
      <c r="I115" s="43" t="str">
        <f>'11. Desinvesteringen'!C399</f>
        <v>02 Gasontvangststations</v>
      </c>
      <c r="J115" s="177">
        <f>'11. Desinvesteringen'!F399</f>
        <v>0</v>
      </c>
      <c r="K115" s="44">
        <f>_xlfn.XLOOKUP(I115,'3. Input (des)investeringen '!$B$11:$B$80,'3. Input (des)investeringen '!$E$11:$E$80)</f>
        <v>0</v>
      </c>
      <c r="L115" s="54"/>
      <c r="M115" s="44">
        <f>_xlfn.XLOOKUP(I115,'3. Input (des)investeringen '!$B$11:$B$80,'3. Input (des)investeringen '!$D$11:$D$80,0)</f>
        <v>30</v>
      </c>
      <c r="N115" s="44">
        <f t="shared" si="9"/>
        <v>13.5</v>
      </c>
      <c r="P115" s="49">
        <f t="shared" si="31"/>
        <v>685.71431291008741</v>
      </c>
      <c r="Q115" s="49">
        <f t="shared" si="31"/>
        <v>619.68256425948641</v>
      </c>
      <c r="R115" s="49">
        <f t="shared" si="31"/>
        <v>560.00942844190638</v>
      </c>
      <c r="S115" s="103">
        <f t="shared" si="31"/>
        <v>506.082594591945</v>
      </c>
      <c r="T115" s="103">
        <f t="shared" si="31"/>
        <v>499.93584243090925</v>
      </c>
      <c r="V115" s="49">
        <f t="shared" si="11"/>
        <v>58.608060932486104</v>
      </c>
      <c r="W115" s="49">
        <f t="shared" si="12"/>
        <v>58.608060932486104</v>
      </c>
      <c r="X115" s="49">
        <f t="shared" si="13"/>
        <v>58.608060932486104</v>
      </c>
      <c r="Y115" s="103">
        <f t="shared" si="14"/>
        <v>58.608060932486104</v>
      </c>
      <c r="Z115" s="103">
        <f t="shared" si="15"/>
        <v>58.608060932486104</v>
      </c>
      <c r="AB115" s="49">
        <f t="shared" si="16"/>
        <v>744.32237384257348</v>
      </c>
      <c r="AC115" s="49">
        <f t="shared" si="17"/>
        <v>678.29062519197248</v>
      </c>
      <c r="AD115" s="49">
        <f t="shared" si="18"/>
        <v>618.61748937439245</v>
      </c>
      <c r="AE115" s="103">
        <f t="shared" si="19"/>
        <v>564.69065552443112</v>
      </c>
      <c r="AF115" s="103">
        <f t="shared" si="20"/>
        <v>558.54390336339532</v>
      </c>
      <c r="AH115" s="49">
        <f t="shared" si="21"/>
        <v>7167.7658520430514</v>
      </c>
      <c r="AI115" s="49">
        <f t="shared" si="22"/>
        <v>6489.4752268510792</v>
      </c>
      <c r="AJ115" s="49">
        <f t="shared" si="23"/>
        <v>5870.8577374766865</v>
      </c>
      <c r="AK115" s="103">
        <f t="shared" si="24"/>
        <v>5306.1670819522551</v>
      </c>
      <c r="AL115" s="103">
        <f t="shared" si="25"/>
        <v>4747.6231785888594</v>
      </c>
      <c r="AN115" s="53">
        <f t="shared" si="26"/>
        <v>1031.0330079242956</v>
      </c>
      <c r="AO115" s="53">
        <f t="shared" si="27"/>
        <v>872.97488199750478</v>
      </c>
      <c r="AP115" s="53">
        <f t="shared" si="28"/>
        <v>794.74322149869306</v>
      </c>
      <c r="AQ115" s="206">
        <f t="shared" si="29"/>
        <v>723.87566798299872</v>
      </c>
      <c r="AR115" s="206">
        <f t="shared" si="30"/>
        <v>700.9725987210611</v>
      </c>
      <c r="AY115" s="3"/>
    </row>
    <row r="116" spans="1:51">
      <c r="A116" s="54"/>
      <c r="B116" s="43">
        <f>'11. Desinvesteringen'!B400</f>
        <v>381</v>
      </c>
      <c r="C116" s="54"/>
      <c r="D116" s="54"/>
      <c r="E116" s="54"/>
      <c r="F116" s="48">
        <f>'5. Input GAW-waarde desinv.'!D76</f>
        <v>204757.05379307119</v>
      </c>
      <c r="G116" s="188">
        <f>'11. Desinvesteringen'!D400</f>
        <v>2007</v>
      </c>
      <c r="H116" s="188">
        <f>'11. Desinvesteringen'!G400</f>
        <v>2022</v>
      </c>
      <c r="I116" s="43" t="str">
        <f>'11. Desinvesteringen'!C400</f>
        <v>02 Gasontvangststations</v>
      </c>
      <c r="J116" s="177">
        <f>'11. Desinvesteringen'!F400</f>
        <v>0</v>
      </c>
      <c r="K116" s="44">
        <f>_xlfn.XLOOKUP(I116,'3. Input (des)investeringen '!$B$11:$B$80,'3. Input (des)investeringen '!$E$11:$E$80)</f>
        <v>0</v>
      </c>
      <c r="L116" s="54"/>
      <c r="M116" s="44">
        <f>_xlfn.XLOOKUP(I116,'3. Input (des)investeringen '!$B$11:$B$80,'3. Input (des)investeringen '!$D$11:$D$80,0)</f>
        <v>30</v>
      </c>
      <c r="N116" s="44">
        <f t="shared" ref="N116:N148" si="32">IF($M116&gt;0, MAX(0,IF(G116&lt;2022,M116-2021+G116-0.5,M116)), 0)</f>
        <v>15.5</v>
      </c>
      <c r="P116" s="49">
        <f t="shared" ref="P116:T148" si="33">IF($M116&gt;0, IF(OR($G116&gt;P$49,$G116+$M116&lt;P$49),0,
VDB($F116,0,$N116,MAX(0,P$49-2022),MIN($N116,P$49-2021),$F$22,FALSE))*(1-$F$25), 0)</f>
        <v>15455.855028251181</v>
      </c>
      <c r="Q116" s="49">
        <f t="shared" si="33"/>
        <v>14159.557509752696</v>
      </c>
      <c r="R116" s="49">
        <f t="shared" si="33"/>
        <v>12971.981718612145</v>
      </c>
      <c r="S116" s="103">
        <f t="shared" si="33"/>
        <v>11884.009058341451</v>
      </c>
      <c r="T116" s="103">
        <f t="shared" si="33"/>
        <v>11287.821312939703</v>
      </c>
      <c r="V116" s="49">
        <f t="shared" ref="V116:V148" si="34">IF($M116&gt;0, IF(OR($G116&gt;V$49,$G116+$M116&lt;V$49),0,
VDB($F116,0,$N116,MAX(0,P$49-2022),MIN($N116,P$49-2021),1,FALSE))*$F$25, 0)</f>
        <v>1321.0132502778788</v>
      </c>
      <c r="W116" s="49">
        <f t="shared" ref="W116:W148" si="35">IF($M116&gt;0, IF(OR($G116&gt;W$49,$G116+$M116&lt;W$49),0,
VDB($F116,0,$N116,MAX(0,Q$49-2022),MIN($N116,Q$49-2021),1,FALSE))*$F$25, 0)</f>
        <v>1321.0132502778788</v>
      </c>
      <c r="X116" s="49">
        <f t="shared" ref="X116:X148" si="36">IF($M116&gt;0, IF(OR($G116&gt;X$49,$G116+$M116&lt;X$49),0,
VDB($F116,0,$N116,MAX(0,R$49-2022),MIN($N116,R$49-2021),1,FALSE))*$F$25, 0)</f>
        <v>1321.0132502778788</v>
      </c>
      <c r="Y116" s="103">
        <f t="shared" ref="Y116:Y148" si="37">IF($M116&gt;0, IF(OR($G116&gt;Y$49,$G116+$M116&lt;Y$49),0,
VDB($F116,0,$N116,MAX(0,S$49-2022),MIN($N116,S$49-2021),1,FALSE))*$F$25, 0)</f>
        <v>1321.0132502778788</v>
      </c>
      <c r="Z116" s="103">
        <f t="shared" ref="Z116:Z148" si="38">IF($M116&gt;0, IF(OR($G116&gt;Z$49,$G116+$M116&lt;Z$49),0,
VDB($F116,0,$N116,MAX(0,T$49-2022),MIN($N116,T$49-2021),1,FALSE))*$F$25, 0)</f>
        <v>1321.0132502778788</v>
      </c>
      <c r="AB116" s="49">
        <f t="shared" ref="AB116:AB148" si="39">P116+V116</f>
        <v>16776.868278529058</v>
      </c>
      <c r="AC116" s="49">
        <f t="shared" ref="AC116:AC148" si="40">Q116+W116</f>
        <v>15480.570760030576</v>
      </c>
      <c r="AD116" s="49">
        <f t="shared" ref="AD116:AD148" si="41">R116+X116</f>
        <v>14292.994968890023</v>
      </c>
      <c r="AE116" s="103">
        <f t="shared" ref="AE116:AE148" si="42">S116+Y116</f>
        <v>13205.022308619329</v>
      </c>
      <c r="AF116" s="103">
        <f t="shared" ref="AF116:AF148" si="43">T116+Z116</f>
        <v>12608.834563217581</v>
      </c>
      <c r="AH116" s="49">
        <f t="shared" ref="AH116:AH148" si="44">IF($M116&gt;0, IF($M116&gt;0,IF(OR($G116&gt;AH$49,$G116+$M116&lt;=AH$49),0,IF(AH$49=2022,$F116-AB116,AG116-AB116))), $F116)</f>
        <v>187980.18551454213</v>
      </c>
      <c r="AI116" s="49">
        <f t="shared" ref="AI116:AI148" si="45">IF($M116&gt;0, IF(OR($G116&gt;AI$49,$G116+$M116&lt;=AI$49),0,IF(AI$49=2022,$F116-AC116,AH116-AC116)), AH116)</f>
        <v>172499.61475451157</v>
      </c>
      <c r="AJ116" s="49">
        <f t="shared" ref="AJ116:AJ148" si="46">IF($M116&gt;0, IF(OR($G116&gt;AJ$49,$G116+$M116&lt;=AJ$49),0,IF(AJ$49=2022,$F116-AD116,AI116-AD116)), AI116)</f>
        <v>158206.61978562153</v>
      </c>
      <c r="AK116" s="103">
        <f t="shared" ref="AK116:AK148" si="47">IF($M116&gt;0, IF(OR($G116&gt;AK$49,$G116+$M116&lt;=AK$49),0,IF(AK$49=2022,$F116-AE116,AJ116-AE116)), AJ116)</f>
        <v>145001.59747700219</v>
      </c>
      <c r="AL116" s="103">
        <f t="shared" ref="AL116:AL148" si="48">IF($M116&gt;0, IF(OR($G116&gt;AL$49,$G116+$M116&lt;=AL$49),0,IF(AL$49=2022,$F116-AF116,AK116-AF116)), AK116)</f>
        <v>132392.76291378459</v>
      </c>
      <c r="AN116" s="53">
        <f t="shared" ref="AN116:AN148" si="49">(AB116+AH116*H$16)*IF($K116=1,$F$31,1)</f>
        <v>24296.075699110745</v>
      </c>
      <c r="AO116" s="53">
        <f t="shared" ref="AO116:AO148" si="50">(AC116+AI116*I$16)*IF($K116=1,$F$31,1)</f>
        <v>20655.559202665921</v>
      </c>
      <c r="AP116" s="53">
        <f t="shared" ref="AP116:AP148" si="51">(AD116+AJ116*J$16)*IF($K116=1,$F$31,1)</f>
        <v>19039.193562458669</v>
      </c>
      <c r="AQ116" s="206">
        <f t="shared" ref="AQ116:AQ148" si="52">(AE116+AK116*K$16)*IF($K116=1,$F$31,1)</f>
        <v>17555.070232929393</v>
      </c>
      <c r="AR116" s="206">
        <f t="shared" ref="AR116:AR148" si="53">(AF116+AL116*L$16)*IF($K116=1,$F$31,1)</f>
        <v>16580.617450631118</v>
      </c>
      <c r="AY116" s="3"/>
    </row>
    <row r="117" spans="1:51">
      <c r="A117" s="54"/>
      <c r="B117" s="43">
        <f>'11. Desinvesteringen'!B401</f>
        <v>382</v>
      </c>
      <c r="C117" s="54"/>
      <c r="D117" s="54"/>
      <c r="E117" s="54"/>
      <c r="F117" s="48">
        <f>'5. Input GAW-waarde desinv.'!D77</f>
        <v>114014.92388584625</v>
      </c>
      <c r="G117" s="188">
        <f>'11. Desinvesteringen'!D401</f>
        <v>2010</v>
      </c>
      <c r="H117" s="188">
        <f>'11. Desinvesteringen'!G401</f>
        <v>2022</v>
      </c>
      <c r="I117" s="43" t="str">
        <f>'11. Desinvesteringen'!C401</f>
        <v>02 Gasontvangststations</v>
      </c>
      <c r="J117" s="177">
        <f>'11. Desinvesteringen'!F401</f>
        <v>0</v>
      </c>
      <c r="K117" s="44">
        <f>_xlfn.XLOOKUP(I117,'3. Input (des)investeringen '!$B$11:$B$80,'3. Input (des)investeringen '!$E$11:$E$80)</f>
        <v>0</v>
      </c>
      <c r="L117" s="54"/>
      <c r="M117" s="44">
        <f>_xlfn.XLOOKUP(I117,'3. Input (des)investeringen '!$B$11:$B$80,'3. Input (des)investeringen '!$D$11:$D$80,0)</f>
        <v>30</v>
      </c>
      <c r="N117" s="44">
        <f t="shared" si="32"/>
        <v>18.5</v>
      </c>
      <c r="P117" s="49">
        <f t="shared" si="33"/>
        <v>7210.6735646724383</v>
      </c>
      <c r="Q117" s="49">
        <f t="shared" si="33"/>
        <v>6703.9775844522137</v>
      </c>
      <c r="R117" s="49">
        <f t="shared" si="33"/>
        <v>6232.887267706923</v>
      </c>
      <c r="S117" s="103">
        <f t="shared" si="33"/>
        <v>5794.9005948410313</v>
      </c>
      <c r="T117" s="103">
        <f t="shared" si="33"/>
        <v>5387.6913638522019</v>
      </c>
      <c r="V117" s="49">
        <f t="shared" si="34"/>
        <v>616.29688586943928</v>
      </c>
      <c r="W117" s="49">
        <f t="shared" si="35"/>
        <v>616.29688586943917</v>
      </c>
      <c r="X117" s="49">
        <f t="shared" si="36"/>
        <v>616.29688586943917</v>
      </c>
      <c r="Y117" s="103">
        <f t="shared" si="37"/>
        <v>616.29688586943917</v>
      </c>
      <c r="Z117" s="103">
        <f t="shared" si="38"/>
        <v>616.29688586943917</v>
      </c>
      <c r="AB117" s="49">
        <f t="shared" si="39"/>
        <v>7826.9704505418777</v>
      </c>
      <c r="AC117" s="49">
        <f t="shared" si="40"/>
        <v>7320.2744703216531</v>
      </c>
      <c r="AD117" s="49">
        <f t="shared" si="41"/>
        <v>6849.1841535763624</v>
      </c>
      <c r="AE117" s="103">
        <f t="shared" si="42"/>
        <v>6411.1974807104707</v>
      </c>
      <c r="AF117" s="103">
        <f t="shared" si="43"/>
        <v>6003.9882497216413</v>
      </c>
      <c r="AH117" s="49">
        <f t="shared" si="44"/>
        <v>106187.95343530437</v>
      </c>
      <c r="AI117" s="49">
        <f t="shared" si="45"/>
        <v>98867.678964982711</v>
      </c>
      <c r="AJ117" s="49">
        <f t="shared" si="46"/>
        <v>92018.494811406345</v>
      </c>
      <c r="AK117" s="103">
        <f t="shared" si="47"/>
        <v>85607.297330695874</v>
      </c>
      <c r="AL117" s="103">
        <f t="shared" si="48"/>
        <v>79603.309080974228</v>
      </c>
      <c r="AN117" s="53">
        <f t="shared" si="49"/>
        <v>12074.488587954052</v>
      </c>
      <c r="AO117" s="53">
        <f t="shared" si="50"/>
        <v>10286.304839271135</v>
      </c>
      <c r="AP117" s="53">
        <f t="shared" si="51"/>
        <v>9609.7389979185537</v>
      </c>
      <c r="AQ117" s="206">
        <f t="shared" si="52"/>
        <v>8979.4164006313476</v>
      </c>
      <c r="AR117" s="206">
        <f t="shared" si="53"/>
        <v>8392.0875221508686</v>
      </c>
      <c r="AY117" s="3"/>
    </row>
    <row r="118" spans="1:51">
      <c r="A118" s="54"/>
      <c r="B118" s="43">
        <f>'11. Desinvesteringen'!B402</f>
        <v>383</v>
      </c>
      <c r="C118" s="54"/>
      <c r="D118" s="54"/>
      <c r="E118" s="54"/>
      <c r="F118" s="48">
        <f>'5. Input GAW-waarde desinv.'!D78</f>
        <v>32772.828513993481</v>
      </c>
      <c r="G118" s="188">
        <f>'11. Desinvesteringen'!D402</f>
        <v>2012</v>
      </c>
      <c r="H118" s="188">
        <f>'11. Desinvesteringen'!G402</f>
        <v>2022</v>
      </c>
      <c r="I118" s="43" t="str">
        <f>'11. Desinvesteringen'!C402</f>
        <v>02 Gasontvangststations</v>
      </c>
      <c r="J118" s="177">
        <f>'11. Desinvesteringen'!F402</f>
        <v>0</v>
      </c>
      <c r="K118" s="44">
        <f>_xlfn.XLOOKUP(I118,'3. Input (des)investeringen '!$B$11:$B$80,'3. Input (des)investeringen '!$E$11:$E$80)</f>
        <v>0</v>
      </c>
      <c r="L118" s="54"/>
      <c r="M118" s="44">
        <f>_xlfn.XLOOKUP(I118,'3. Input (des)investeringen '!$B$11:$B$80,'3. Input (des)investeringen '!$D$11:$D$80,0)</f>
        <v>30</v>
      </c>
      <c r="N118" s="44">
        <f t="shared" si="32"/>
        <v>20.5</v>
      </c>
      <c r="P118" s="49">
        <f t="shared" si="33"/>
        <v>1870.4492371401157</v>
      </c>
      <c r="Q118" s="49">
        <f t="shared" si="33"/>
        <v>1751.8353830775718</v>
      </c>
      <c r="R118" s="49">
        <f t="shared" si="33"/>
        <v>1640.7433831750918</v>
      </c>
      <c r="S118" s="103">
        <f t="shared" si="33"/>
        <v>1536.6962418030128</v>
      </c>
      <c r="T118" s="103">
        <f t="shared" si="33"/>
        <v>1439.247211835017</v>
      </c>
      <c r="V118" s="49">
        <f t="shared" si="34"/>
        <v>159.86745616582186</v>
      </c>
      <c r="W118" s="49">
        <f t="shared" si="35"/>
        <v>159.86745616582186</v>
      </c>
      <c r="X118" s="49">
        <f t="shared" si="36"/>
        <v>159.86745616582186</v>
      </c>
      <c r="Y118" s="103">
        <f t="shared" si="37"/>
        <v>159.86745616582186</v>
      </c>
      <c r="Z118" s="103">
        <f t="shared" si="38"/>
        <v>159.86745616582186</v>
      </c>
      <c r="AB118" s="49">
        <f t="shared" si="39"/>
        <v>2030.3166933059374</v>
      </c>
      <c r="AC118" s="49">
        <f t="shared" si="40"/>
        <v>1911.7028392433936</v>
      </c>
      <c r="AD118" s="49">
        <f t="shared" si="41"/>
        <v>1800.6108393409136</v>
      </c>
      <c r="AE118" s="103">
        <f t="shared" si="42"/>
        <v>1696.5636979688347</v>
      </c>
      <c r="AF118" s="103">
        <f t="shared" si="43"/>
        <v>1599.1146680008387</v>
      </c>
      <c r="AH118" s="49">
        <f t="shared" si="44"/>
        <v>30742.511820687545</v>
      </c>
      <c r="AI118" s="49">
        <f t="shared" si="45"/>
        <v>28830.808981444152</v>
      </c>
      <c r="AJ118" s="49">
        <f t="shared" si="46"/>
        <v>27030.19814210324</v>
      </c>
      <c r="AK118" s="103">
        <f t="shared" si="47"/>
        <v>25333.634444134404</v>
      </c>
      <c r="AL118" s="103">
        <f t="shared" si="48"/>
        <v>23734.519776133566</v>
      </c>
      <c r="AN118" s="53">
        <f t="shared" si="49"/>
        <v>3260.0171661334393</v>
      </c>
      <c r="AO118" s="53">
        <f t="shared" si="50"/>
        <v>2776.6271086867182</v>
      </c>
      <c r="AP118" s="53">
        <f t="shared" si="51"/>
        <v>2611.5167836040109</v>
      </c>
      <c r="AQ118" s="206">
        <f t="shared" si="52"/>
        <v>2456.5727312928666</v>
      </c>
      <c r="AR118" s="206">
        <f t="shared" si="53"/>
        <v>2311.1502612848458</v>
      </c>
      <c r="AY118" s="3"/>
    </row>
    <row r="119" spans="1:51">
      <c r="A119" s="54"/>
      <c r="B119" s="43">
        <f>'11. Desinvesteringen'!B403</f>
        <v>384</v>
      </c>
      <c r="C119" s="54"/>
      <c r="D119" s="54"/>
      <c r="E119" s="54"/>
      <c r="F119" s="48">
        <f>'5. Input GAW-waarde desinv.'!D79</f>
        <v>0</v>
      </c>
      <c r="G119" s="188">
        <f>'11. Desinvesteringen'!D403</f>
        <v>1980</v>
      </c>
      <c r="H119" s="188">
        <f>'11. Desinvesteringen'!G403</f>
        <v>2022</v>
      </c>
      <c r="I119" s="43" t="str">
        <f>'11. Desinvesteringen'!C403</f>
        <v>06 Utiliteitsgebouwen</v>
      </c>
      <c r="J119" s="177">
        <f>'11. Desinvesteringen'!F403</f>
        <v>0</v>
      </c>
      <c r="K119" s="44">
        <f>_xlfn.XLOOKUP(I119,'3. Input (des)investeringen '!$B$11:$B$80,'3. Input (des)investeringen '!$E$11:$E$80)</f>
        <v>0</v>
      </c>
      <c r="L119" s="54"/>
      <c r="M119" s="44">
        <f>_xlfn.XLOOKUP(I119,'3. Input (des)investeringen '!$B$11:$B$80,'3. Input (des)investeringen '!$D$11:$D$80,0)</f>
        <v>30</v>
      </c>
      <c r="N119" s="44">
        <f t="shared" si="32"/>
        <v>0</v>
      </c>
      <c r="P119" s="49">
        <f t="shared" si="33"/>
        <v>0</v>
      </c>
      <c r="Q119" s="49">
        <f t="shared" si="33"/>
        <v>0</v>
      </c>
      <c r="R119" s="49">
        <f t="shared" si="33"/>
        <v>0</v>
      </c>
      <c r="S119" s="103">
        <f t="shared" si="33"/>
        <v>0</v>
      </c>
      <c r="T119" s="103">
        <f t="shared" si="33"/>
        <v>0</v>
      </c>
      <c r="V119" s="49">
        <f t="shared" si="34"/>
        <v>0</v>
      </c>
      <c r="W119" s="49">
        <f t="shared" si="35"/>
        <v>0</v>
      </c>
      <c r="X119" s="49">
        <f t="shared" si="36"/>
        <v>0</v>
      </c>
      <c r="Y119" s="103">
        <f t="shared" si="37"/>
        <v>0</v>
      </c>
      <c r="Z119" s="103">
        <f t="shared" si="38"/>
        <v>0</v>
      </c>
      <c r="AB119" s="49">
        <f t="shared" si="39"/>
        <v>0</v>
      </c>
      <c r="AC119" s="49">
        <f t="shared" si="40"/>
        <v>0</v>
      </c>
      <c r="AD119" s="49">
        <f t="shared" si="41"/>
        <v>0</v>
      </c>
      <c r="AE119" s="103">
        <f t="shared" si="42"/>
        <v>0</v>
      </c>
      <c r="AF119" s="103">
        <f t="shared" si="43"/>
        <v>0</v>
      </c>
      <c r="AH119" s="49">
        <f t="shared" si="44"/>
        <v>0</v>
      </c>
      <c r="AI119" s="49">
        <f t="shared" si="45"/>
        <v>0</v>
      </c>
      <c r="AJ119" s="49">
        <f t="shared" si="46"/>
        <v>0</v>
      </c>
      <c r="AK119" s="103">
        <f t="shared" si="47"/>
        <v>0</v>
      </c>
      <c r="AL119" s="103">
        <f t="shared" si="48"/>
        <v>0</v>
      </c>
      <c r="AN119" s="53">
        <f t="shared" si="49"/>
        <v>0</v>
      </c>
      <c r="AO119" s="53">
        <f t="shared" si="50"/>
        <v>0</v>
      </c>
      <c r="AP119" s="53">
        <f t="shared" si="51"/>
        <v>0</v>
      </c>
      <c r="AQ119" s="206">
        <f t="shared" si="52"/>
        <v>0</v>
      </c>
      <c r="AR119" s="206">
        <f t="shared" si="53"/>
        <v>0</v>
      </c>
      <c r="AY119" s="3"/>
    </row>
    <row r="120" spans="1:51">
      <c r="A120" s="54"/>
      <c r="B120" s="43">
        <f>'11. Desinvesteringen'!B404</f>
        <v>385</v>
      </c>
      <c r="C120" s="54"/>
      <c r="D120" s="54"/>
      <c r="E120" s="54"/>
      <c r="F120" s="48">
        <f>'5. Input GAW-waarde desinv.'!D80</f>
        <v>0</v>
      </c>
      <c r="G120" s="188">
        <f>'11. Desinvesteringen'!D404</f>
        <v>1970</v>
      </c>
      <c r="H120" s="188">
        <f>'11. Desinvesteringen'!G404</f>
        <v>2022</v>
      </c>
      <c r="I120" s="43" t="str">
        <f>'11. Desinvesteringen'!C404</f>
        <v>15 Compressorstations (TT-BT-AT)</v>
      </c>
      <c r="J120" s="177">
        <f>'11. Desinvesteringen'!F404</f>
        <v>0</v>
      </c>
      <c r="K120" s="44">
        <f>_xlfn.XLOOKUP(I120,'3. Input (des)investeringen '!$B$11:$B$80,'3. Input (des)investeringen '!$E$11:$E$80)</f>
        <v>1</v>
      </c>
      <c r="L120" s="54"/>
      <c r="M120" s="44">
        <f>_xlfn.XLOOKUP(I120,'3. Input (des)investeringen '!$B$11:$B$80,'3. Input (des)investeringen '!$D$11:$D$80,0)</f>
        <v>30</v>
      </c>
      <c r="N120" s="44">
        <f t="shared" si="32"/>
        <v>0</v>
      </c>
      <c r="P120" s="49">
        <f t="shared" si="33"/>
        <v>0</v>
      </c>
      <c r="Q120" s="49">
        <f t="shared" si="33"/>
        <v>0</v>
      </c>
      <c r="R120" s="49">
        <f t="shared" si="33"/>
        <v>0</v>
      </c>
      <c r="S120" s="103">
        <f t="shared" si="33"/>
        <v>0</v>
      </c>
      <c r="T120" s="103">
        <f t="shared" si="33"/>
        <v>0</v>
      </c>
      <c r="V120" s="49">
        <f t="shared" si="34"/>
        <v>0</v>
      </c>
      <c r="W120" s="49">
        <f t="shared" si="35"/>
        <v>0</v>
      </c>
      <c r="X120" s="49">
        <f t="shared" si="36"/>
        <v>0</v>
      </c>
      <c r="Y120" s="103">
        <f t="shared" si="37"/>
        <v>0</v>
      </c>
      <c r="Z120" s="103">
        <f t="shared" si="38"/>
        <v>0</v>
      </c>
      <c r="AB120" s="49">
        <f t="shared" si="39"/>
        <v>0</v>
      </c>
      <c r="AC120" s="49">
        <f t="shared" si="40"/>
        <v>0</v>
      </c>
      <c r="AD120" s="49">
        <f t="shared" si="41"/>
        <v>0</v>
      </c>
      <c r="AE120" s="103">
        <f t="shared" si="42"/>
        <v>0</v>
      </c>
      <c r="AF120" s="103">
        <f t="shared" si="43"/>
        <v>0</v>
      </c>
      <c r="AH120" s="49">
        <f t="shared" si="44"/>
        <v>0</v>
      </c>
      <c r="AI120" s="49">
        <f t="shared" si="45"/>
        <v>0</v>
      </c>
      <c r="AJ120" s="49">
        <f t="shared" si="46"/>
        <v>0</v>
      </c>
      <c r="AK120" s="103">
        <f t="shared" si="47"/>
        <v>0</v>
      </c>
      <c r="AL120" s="103">
        <f t="shared" si="48"/>
        <v>0</v>
      </c>
      <c r="AN120" s="53">
        <f t="shared" si="49"/>
        <v>0</v>
      </c>
      <c r="AO120" s="53">
        <f t="shared" si="50"/>
        <v>0</v>
      </c>
      <c r="AP120" s="53">
        <f t="shared" si="51"/>
        <v>0</v>
      </c>
      <c r="AQ120" s="206">
        <f t="shared" si="52"/>
        <v>0</v>
      </c>
      <c r="AR120" s="206">
        <f t="shared" si="53"/>
        <v>0</v>
      </c>
      <c r="AY120" s="3"/>
    </row>
    <row r="121" spans="1:51">
      <c r="A121" s="54"/>
      <c r="B121" s="43">
        <f>'11. Desinvesteringen'!B405</f>
        <v>386</v>
      </c>
      <c r="C121" s="54"/>
      <c r="D121" s="54"/>
      <c r="E121" s="54"/>
      <c r="F121" s="48">
        <f>'5. Input GAW-waarde desinv.'!D81</f>
        <v>0</v>
      </c>
      <c r="G121" s="188">
        <f>'11. Desinvesteringen'!D405</f>
        <v>1971</v>
      </c>
      <c r="H121" s="188">
        <f>'11. Desinvesteringen'!G405</f>
        <v>2022</v>
      </c>
      <c r="I121" s="43" t="str">
        <f>'11. Desinvesteringen'!C405</f>
        <v>15 Compressorstations (TT-BT-AT)</v>
      </c>
      <c r="J121" s="177">
        <f>'11. Desinvesteringen'!F405</f>
        <v>0</v>
      </c>
      <c r="K121" s="44">
        <f>_xlfn.XLOOKUP(I121,'3. Input (des)investeringen '!$B$11:$B$80,'3. Input (des)investeringen '!$E$11:$E$80)</f>
        <v>1</v>
      </c>
      <c r="L121" s="54"/>
      <c r="M121" s="44">
        <f>_xlfn.XLOOKUP(I121,'3. Input (des)investeringen '!$B$11:$B$80,'3. Input (des)investeringen '!$D$11:$D$80,0)</f>
        <v>30</v>
      </c>
      <c r="N121" s="44">
        <f t="shared" si="32"/>
        <v>0</v>
      </c>
      <c r="P121" s="49">
        <f t="shared" si="33"/>
        <v>0</v>
      </c>
      <c r="Q121" s="49">
        <f t="shared" si="33"/>
        <v>0</v>
      </c>
      <c r="R121" s="49">
        <f t="shared" si="33"/>
        <v>0</v>
      </c>
      <c r="S121" s="103">
        <f t="shared" si="33"/>
        <v>0</v>
      </c>
      <c r="T121" s="103">
        <f t="shared" si="33"/>
        <v>0</v>
      </c>
      <c r="V121" s="49">
        <f t="shared" si="34"/>
        <v>0</v>
      </c>
      <c r="W121" s="49">
        <f t="shared" si="35"/>
        <v>0</v>
      </c>
      <c r="X121" s="49">
        <f t="shared" si="36"/>
        <v>0</v>
      </c>
      <c r="Y121" s="103">
        <f t="shared" si="37"/>
        <v>0</v>
      </c>
      <c r="Z121" s="103">
        <f t="shared" si="38"/>
        <v>0</v>
      </c>
      <c r="AB121" s="49">
        <f t="shared" si="39"/>
        <v>0</v>
      </c>
      <c r="AC121" s="49">
        <f t="shared" si="40"/>
        <v>0</v>
      </c>
      <c r="AD121" s="49">
        <f t="shared" si="41"/>
        <v>0</v>
      </c>
      <c r="AE121" s="103">
        <f t="shared" si="42"/>
        <v>0</v>
      </c>
      <c r="AF121" s="103">
        <f t="shared" si="43"/>
        <v>0</v>
      </c>
      <c r="AH121" s="49">
        <f t="shared" si="44"/>
        <v>0</v>
      </c>
      <c r="AI121" s="49">
        <f t="shared" si="45"/>
        <v>0</v>
      </c>
      <c r="AJ121" s="49">
        <f t="shared" si="46"/>
        <v>0</v>
      </c>
      <c r="AK121" s="103">
        <f t="shared" si="47"/>
        <v>0</v>
      </c>
      <c r="AL121" s="103">
        <f t="shared" si="48"/>
        <v>0</v>
      </c>
      <c r="AN121" s="53">
        <f t="shared" si="49"/>
        <v>0</v>
      </c>
      <c r="AO121" s="53">
        <f t="shared" si="50"/>
        <v>0</v>
      </c>
      <c r="AP121" s="53">
        <f t="shared" si="51"/>
        <v>0</v>
      </c>
      <c r="AQ121" s="206">
        <f t="shared" si="52"/>
        <v>0</v>
      </c>
      <c r="AR121" s="206">
        <f t="shared" si="53"/>
        <v>0</v>
      </c>
      <c r="AY121" s="3"/>
    </row>
    <row r="122" spans="1:51">
      <c r="A122" s="54"/>
      <c r="B122" s="43">
        <f>'11. Desinvesteringen'!B406</f>
        <v>387</v>
      </c>
      <c r="C122" s="54"/>
      <c r="D122" s="54"/>
      <c r="E122" s="54"/>
      <c r="F122" s="48">
        <f>'5. Input GAW-waarde desinv.'!D82</f>
        <v>0</v>
      </c>
      <c r="G122" s="188">
        <f>'11. Desinvesteringen'!D406</f>
        <v>1974</v>
      </c>
      <c r="H122" s="188">
        <f>'11. Desinvesteringen'!G406</f>
        <v>2022</v>
      </c>
      <c r="I122" s="43" t="str">
        <f>'11. Desinvesteringen'!C406</f>
        <v>15 Compressorstations (TT-BT-AT)</v>
      </c>
      <c r="J122" s="177">
        <f>'11. Desinvesteringen'!F406</f>
        <v>0</v>
      </c>
      <c r="K122" s="44">
        <f>_xlfn.XLOOKUP(I122,'3. Input (des)investeringen '!$B$11:$B$80,'3. Input (des)investeringen '!$E$11:$E$80)</f>
        <v>1</v>
      </c>
      <c r="L122" s="54"/>
      <c r="M122" s="44">
        <f>_xlfn.XLOOKUP(I122,'3. Input (des)investeringen '!$B$11:$B$80,'3. Input (des)investeringen '!$D$11:$D$80,0)</f>
        <v>30</v>
      </c>
      <c r="N122" s="44">
        <f t="shared" si="32"/>
        <v>0</v>
      </c>
      <c r="P122" s="49">
        <f t="shared" si="33"/>
        <v>0</v>
      </c>
      <c r="Q122" s="49">
        <f t="shared" si="33"/>
        <v>0</v>
      </c>
      <c r="R122" s="49">
        <f t="shared" si="33"/>
        <v>0</v>
      </c>
      <c r="S122" s="103">
        <f t="shared" si="33"/>
        <v>0</v>
      </c>
      <c r="T122" s="103">
        <f t="shared" si="33"/>
        <v>0</v>
      </c>
      <c r="V122" s="49">
        <f t="shared" si="34"/>
        <v>0</v>
      </c>
      <c r="W122" s="49">
        <f t="shared" si="35"/>
        <v>0</v>
      </c>
      <c r="X122" s="49">
        <f t="shared" si="36"/>
        <v>0</v>
      </c>
      <c r="Y122" s="103">
        <f t="shared" si="37"/>
        <v>0</v>
      </c>
      <c r="Z122" s="103">
        <f t="shared" si="38"/>
        <v>0</v>
      </c>
      <c r="AB122" s="49">
        <f t="shared" si="39"/>
        <v>0</v>
      </c>
      <c r="AC122" s="49">
        <f t="shared" si="40"/>
        <v>0</v>
      </c>
      <c r="AD122" s="49">
        <f t="shared" si="41"/>
        <v>0</v>
      </c>
      <c r="AE122" s="103">
        <f t="shared" si="42"/>
        <v>0</v>
      </c>
      <c r="AF122" s="103">
        <f t="shared" si="43"/>
        <v>0</v>
      </c>
      <c r="AH122" s="49">
        <f t="shared" si="44"/>
        <v>0</v>
      </c>
      <c r="AI122" s="49">
        <f t="shared" si="45"/>
        <v>0</v>
      </c>
      <c r="AJ122" s="49">
        <f t="shared" si="46"/>
        <v>0</v>
      </c>
      <c r="AK122" s="103">
        <f t="shared" si="47"/>
        <v>0</v>
      </c>
      <c r="AL122" s="103">
        <f t="shared" si="48"/>
        <v>0</v>
      </c>
      <c r="AN122" s="53">
        <f t="shared" si="49"/>
        <v>0</v>
      </c>
      <c r="AO122" s="53">
        <f t="shared" si="50"/>
        <v>0</v>
      </c>
      <c r="AP122" s="53">
        <f t="shared" si="51"/>
        <v>0</v>
      </c>
      <c r="AQ122" s="206">
        <f t="shared" si="52"/>
        <v>0</v>
      </c>
      <c r="AR122" s="206">
        <f t="shared" si="53"/>
        <v>0</v>
      </c>
      <c r="AY122" s="3"/>
    </row>
    <row r="123" spans="1:51">
      <c r="A123" s="54"/>
      <c r="B123" s="43">
        <f>'11. Desinvesteringen'!B407</f>
        <v>388</v>
      </c>
      <c r="C123" s="54"/>
      <c r="D123" s="54"/>
      <c r="E123" s="54"/>
      <c r="F123" s="48">
        <f>'5. Input GAW-waarde desinv.'!D83</f>
        <v>4540.0402775800039</v>
      </c>
      <c r="G123" s="188">
        <f>'11. Desinvesteringen'!D407</f>
        <v>1997</v>
      </c>
      <c r="H123" s="188">
        <f>'11. Desinvesteringen'!G407</f>
        <v>2022</v>
      </c>
      <c r="I123" s="43" t="str">
        <f>'11. Desinvesteringen'!C407</f>
        <v>15 Compressorstations (TT-BT-AT)</v>
      </c>
      <c r="J123" s="177">
        <f>'11. Desinvesteringen'!F407</f>
        <v>0</v>
      </c>
      <c r="K123" s="44">
        <f>_xlfn.XLOOKUP(I123,'3. Input (des)investeringen '!$B$11:$B$80,'3. Input (des)investeringen '!$E$11:$E$80)</f>
        <v>1</v>
      </c>
      <c r="L123" s="54"/>
      <c r="M123" s="44">
        <f>_xlfn.XLOOKUP(I123,'3. Input (des)investeringen '!$B$11:$B$80,'3. Input (des)investeringen '!$D$11:$D$80,0)</f>
        <v>30</v>
      </c>
      <c r="N123" s="44">
        <f t="shared" si="32"/>
        <v>5.5</v>
      </c>
      <c r="P123" s="49">
        <f t="shared" si="33"/>
        <v>965.79038632156448</v>
      </c>
      <c r="Q123" s="49">
        <f t="shared" si="33"/>
        <v>737.5126586455583</v>
      </c>
      <c r="R123" s="49">
        <f t="shared" si="33"/>
        <v>680.78091567282297</v>
      </c>
      <c r="S123" s="103">
        <f t="shared" si="33"/>
        <v>680.78091567282297</v>
      </c>
      <c r="T123" s="103">
        <f t="shared" si="33"/>
        <v>680.78091567282297</v>
      </c>
      <c r="V123" s="49">
        <f t="shared" si="34"/>
        <v>82.546186865090988</v>
      </c>
      <c r="W123" s="49">
        <f t="shared" si="35"/>
        <v>82.546186865090988</v>
      </c>
      <c r="X123" s="49">
        <f t="shared" si="36"/>
        <v>82.546186865090988</v>
      </c>
      <c r="Y123" s="103">
        <f t="shared" si="37"/>
        <v>82.546186865090988</v>
      </c>
      <c r="Z123" s="103">
        <f t="shared" si="38"/>
        <v>82.546186865090988</v>
      </c>
      <c r="AB123" s="49">
        <f t="shared" si="39"/>
        <v>1048.3365731866554</v>
      </c>
      <c r="AC123" s="49">
        <f t="shared" si="40"/>
        <v>820.05884551064923</v>
      </c>
      <c r="AD123" s="49">
        <f t="shared" si="41"/>
        <v>763.32710253791402</v>
      </c>
      <c r="AE123" s="103">
        <f t="shared" si="42"/>
        <v>763.32710253791402</v>
      </c>
      <c r="AF123" s="103">
        <f t="shared" si="43"/>
        <v>763.32710253791402</v>
      </c>
      <c r="AH123" s="49">
        <f t="shared" si="44"/>
        <v>3491.7037043933487</v>
      </c>
      <c r="AI123" s="49">
        <f t="shared" si="45"/>
        <v>2671.6448588826997</v>
      </c>
      <c r="AJ123" s="49">
        <f t="shared" si="46"/>
        <v>1908.3177563447857</v>
      </c>
      <c r="AK123" s="103">
        <f t="shared" si="47"/>
        <v>1144.9906538068717</v>
      </c>
      <c r="AL123" s="103">
        <f t="shared" si="48"/>
        <v>381.66355126895769</v>
      </c>
      <c r="AN123" s="53">
        <f t="shared" si="49"/>
        <v>1113.1604239165588</v>
      </c>
      <c r="AO123" s="53">
        <f t="shared" si="50"/>
        <v>843.49507522667113</v>
      </c>
      <c r="AP123" s="53">
        <f t="shared" si="51"/>
        <v>768.88030720887741</v>
      </c>
      <c r="AQ123" s="206">
        <f t="shared" si="52"/>
        <v>747.42318235653659</v>
      </c>
      <c r="AR123" s="206">
        <f t="shared" si="53"/>
        <v>725.96605750419587</v>
      </c>
      <c r="AY123" s="3"/>
    </row>
    <row r="124" spans="1:51">
      <c r="A124" s="54"/>
      <c r="B124" s="43">
        <f>'11. Desinvesteringen'!B408</f>
        <v>389</v>
      </c>
      <c r="C124" s="54"/>
      <c r="D124" s="54"/>
      <c r="E124" s="54"/>
      <c r="F124" s="48">
        <f>'5. Input GAW-waarde desinv.'!D84</f>
        <v>89847.095733059148</v>
      </c>
      <c r="G124" s="188">
        <f>'11. Desinvesteringen'!D408</f>
        <v>2011</v>
      </c>
      <c r="H124" s="188">
        <f>'11. Desinvesteringen'!G408</f>
        <v>2022</v>
      </c>
      <c r="I124" s="43" t="str">
        <f>'11. Desinvesteringen'!C408</f>
        <v>15 Compressorstations (TT-BT-AT)</v>
      </c>
      <c r="J124" s="177">
        <f>'11. Desinvesteringen'!F408</f>
        <v>0</v>
      </c>
      <c r="K124" s="44">
        <f>_xlfn.XLOOKUP(I124,'3. Input (des)investeringen '!$B$11:$B$80,'3. Input (des)investeringen '!$E$11:$E$80)</f>
        <v>1</v>
      </c>
      <c r="L124" s="54"/>
      <c r="M124" s="44">
        <f>_xlfn.XLOOKUP(I124,'3. Input (des)investeringen '!$B$11:$B$80,'3. Input (des)investeringen '!$D$11:$D$80,0)</f>
        <v>30</v>
      </c>
      <c r="N124" s="44">
        <f t="shared" si="32"/>
        <v>19.5</v>
      </c>
      <c r="P124" s="49">
        <f t="shared" si="33"/>
        <v>5390.8257439835488</v>
      </c>
      <c r="Q124" s="49">
        <f t="shared" si="33"/>
        <v>5031.437361051313</v>
      </c>
      <c r="R124" s="49">
        <f t="shared" si="33"/>
        <v>4696.0082036478907</v>
      </c>
      <c r="S124" s="103">
        <f t="shared" si="33"/>
        <v>4382.9409900713654</v>
      </c>
      <c r="T124" s="103">
        <f t="shared" si="33"/>
        <v>4090.7449240666087</v>
      </c>
      <c r="V124" s="49">
        <f t="shared" si="34"/>
        <v>460.75433709261108</v>
      </c>
      <c r="W124" s="49">
        <f t="shared" si="35"/>
        <v>460.75433709261108</v>
      </c>
      <c r="X124" s="49">
        <f t="shared" si="36"/>
        <v>460.75433709261108</v>
      </c>
      <c r="Y124" s="103">
        <f t="shared" si="37"/>
        <v>460.75433709261108</v>
      </c>
      <c r="Z124" s="103">
        <f t="shared" si="38"/>
        <v>460.75433709261108</v>
      </c>
      <c r="AB124" s="49">
        <f t="shared" si="39"/>
        <v>5851.5800810761602</v>
      </c>
      <c r="AC124" s="49">
        <f t="shared" si="40"/>
        <v>5492.1916981439244</v>
      </c>
      <c r="AD124" s="49">
        <f t="shared" si="41"/>
        <v>5156.7625407405021</v>
      </c>
      <c r="AE124" s="103">
        <f t="shared" si="42"/>
        <v>4843.6953271639768</v>
      </c>
      <c r="AF124" s="103">
        <f t="shared" si="43"/>
        <v>4551.4992611592197</v>
      </c>
      <c r="AH124" s="49">
        <f t="shared" si="44"/>
        <v>83995.515651982991</v>
      </c>
      <c r="AI124" s="49">
        <f t="shared" si="45"/>
        <v>78503.323953839063</v>
      </c>
      <c r="AJ124" s="49">
        <f t="shared" si="46"/>
        <v>73346.561413098563</v>
      </c>
      <c r="AK124" s="103">
        <f t="shared" si="47"/>
        <v>68502.866085934584</v>
      </c>
      <c r="AL124" s="103">
        <f t="shared" si="48"/>
        <v>63951.366824775367</v>
      </c>
      <c r="AN124" s="53">
        <f t="shared" si="49"/>
        <v>8631.0824626046851</v>
      </c>
      <c r="AO124" s="53">
        <f t="shared" si="50"/>
        <v>7352.9120575032739</v>
      </c>
      <c r="AP124" s="53">
        <f t="shared" si="51"/>
        <v>6893.6583419960516</v>
      </c>
      <c r="AQ124" s="206">
        <f t="shared" si="52"/>
        <v>6464.1580872282684</v>
      </c>
      <c r="AR124" s="206">
        <f t="shared" si="53"/>
        <v>6062.4277291506241</v>
      </c>
      <c r="AY124" s="3"/>
    </row>
    <row r="125" spans="1:51">
      <c r="A125" s="54"/>
      <c r="B125" s="43">
        <f>'11. Desinvesteringen'!B409</f>
        <v>390</v>
      </c>
      <c r="C125" s="54"/>
      <c r="D125" s="54"/>
      <c r="E125" s="54"/>
      <c r="F125" s="48">
        <f>'5. Input GAW-waarde desinv.'!D85</f>
        <v>0</v>
      </c>
      <c r="G125" s="188">
        <f>'11. Desinvesteringen'!D409</f>
        <v>1977</v>
      </c>
      <c r="H125" s="188">
        <f>'11. Desinvesteringen'!G409</f>
        <v>2022</v>
      </c>
      <c r="I125" s="43" t="str">
        <f>'11. Desinvesteringen'!C409</f>
        <v>16 LNG installaties</v>
      </c>
      <c r="J125" s="177">
        <f>'11. Desinvesteringen'!F409</f>
        <v>0</v>
      </c>
      <c r="K125" s="44">
        <f>_xlfn.XLOOKUP(I125,'3. Input (des)investeringen '!$B$11:$B$80,'3. Input (des)investeringen '!$E$11:$E$80)</f>
        <v>0</v>
      </c>
      <c r="L125" s="54"/>
      <c r="M125" s="44">
        <f>_xlfn.XLOOKUP(I125,'3. Input (des)investeringen '!$B$11:$B$80,'3. Input (des)investeringen '!$D$11:$D$80,0)</f>
        <v>30</v>
      </c>
      <c r="N125" s="44">
        <f t="shared" si="32"/>
        <v>0</v>
      </c>
      <c r="P125" s="49">
        <f t="shared" si="33"/>
        <v>0</v>
      </c>
      <c r="Q125" s="49">
        <f t="shared" si="33"/>
        <v>0</v>
      </c>
      <c r="R125" s="49">
        <f t="shared" si="33"/>
        <v>0</v>
      </c>
      <c r="S125" s="103">
        <f t="shared" si="33"/>
        <v>0</v>
      </c>
      <c r="T125" s="103">
        <f t="shared" si="33"/>
        <v>0</v>
      </c>
      <c r="V125" s="49">
        <f t="shared" si="34"/>
        <v>0</v>
      </c>
      <c r="W125" s="49">
        <f t="shared" si="35"/>
        <v>0</v>
      </c>
      <c r="X125" s="49">
        <f t="shared" si="36"/>
        <v>0</v>
      </c>
      <c r="Y125" s="103">
        <f t="shared" si="37"/>
        <v>0</v>
      </c>
      <c r="Z125" s="103">
        <f t="shared" si="38"/>
        <v>0</v>
      </c>
      <c r="AB125" s="49">
        <f t="shared" si="39"/>
        <v>0</v>
      </c>
      <c r="AC125" s="49">
        <f t="shared" si="40"/>
        <v>0</v>
      </c>
      <c r="AD125" s="49">
        <f t="shared" si="41"/>
        <v>0</v>
      </c>
      <c r="AE125" s="103">
        <f t="shared" si="42"/>
        <v>0</v>
      </c>
      <c r="AF125" s="103">
        <f t="shared" si="43"/>
        <v>0</v>
      </c>
      <c r="AH125" s="49">
        <f t="shared" si="44"/>
        <v>0</v>
      </c>
      <c r="AI125" s="49">
        <f t="shared" si="45"/>
        <v>0</v>
      </c>
      <c r="AJ125" s="49">
        <f t="shared" si="46"/>
        <v>0</v>
      </c>
      <c r="AK125" s="103">
        <f t="shared" si="47"/>
        <v>0</v>
      </c>
      <c r="AL125" s="103">
        <f t="shared" si="48"/>
        <v>0</v>
      </c>
      <c r="AN125" s="53">
        <f t="shared" si="49"/>
        <v>0</v>
      </c>
      <c r="AO125" s="53">
        <f t="shared" si="50"/>
        <v>0</v>
      </c>
      <c r="AP125" s="53">
        <f t="shared" si="51"/>
        <v>0</v>
      </c>
      <c r="AQ125" s="206">
        <f t="shared" si="52"/>
        <v>0</v>
      </c>
      <c r="AR125" s="206">
        <f t="shared" si="53"/>
        <v>0</v>
      </c>
      <c r="AY125" s="3"/>
    </row>
    <row r="126" spans="1:51">
      <c r="A126" s="54"/>
      <c r="B126" s="43">
        <f>'11. Desinvesteringen'!B410</f>
        <v>391</v>
      </c>
      <c r="C126" s="54"/>
      <c r="D126" s="54"/>
      <c r="E126" s="54"/>
      <c r="F126" s="48">
        <f>'5. Input GAW-waarde desinv.'!D86</f>
        <v>614953.64546122367</v>
      </c>
      <c r="G126" s="188">
        <f>'11. Desinvesteringen'!D410</f>
        <v>1998</v>
      </c>
      <c r="H126" s="188">
        <f>'11. Desinvesteringen'!G410</f>
        <v>2022</v>
      </c>
      <c r="I126" s="43" t="str">
        <f>'11. Desinvesteringen'!C410</f>
        <v>16 LNG installaties</v>
      </c>
      <c r="J126" s="177">
        <f>'11. Desinvesteringen'!F410</f>
        <v>0</v>
      </c>
      <c r="K126" s="44">
        <f>_xlfn.XLOOKUP(I126,'3. Input (des)investeringen '!$B$11:$B$80,'3. Input (des)investeringen '!$E$11:$E$80)</f>
        <v>0</v>
      </c>
      <c r="L126" s="54"/>
      <c r="M126" s="44">
        <f>_xlfn.XLOOKUP(I126,'3. Input (des)investeringen '!$B$11:$B$80,'3. Input (des)investeringen '!$D$11:$D$80,0)</f>
        <v>30</v>
      </c>
      <c r="N126" s="44">
        <f t="shared" si="32"/>
        <v>6.5</v>
      </c>
      <c r="P126" s="49">
        <f t="shared" si="33"/>
        <v>110691.65618302027</v>
      </c>
      <c r="Q126" s="49">
        <f t="shared" si="33"/>
        <v>88553.324946416207</v>
      </c>
      <c r="R126" s="49">
        <f t="shared" si="33"/>
        <v>78714.066619036632</v>
      </c>
      <c r="S126" s="103">
        <f t="shared" si="33"/>
        <v>78714.066619036632</v>
      </c>
      <c r="T126" s="103">
        <f t="shared" si="33"/>
        <v>78714.066619036632</v>
      </c>
      <c r="V126" s="49">
        <f t="shared" si="34"/>
        <v>9460.8253147880587</v>
      </c>
      <c r="W126" s="49">
        <f t="shared" si="35"/>
        <v>9460.8253147880569</v>
      </c>
      <c r="X126" s="49">
        <f t="shared" si="36"/>
        <v>9460.8253147880569</v>
      </c>
      <c r="Y126" s="103">
        <f t="shared" si="37"/>
        <v>9460.8253147880569</v>
      </c>
      <c r="Z126" s="103">
        <f t="shared" si="38"/>
        <v>9460.8253147880569</v>
      </c>
      <c r="AB126" s="49">
        <f t="shared" si="39"/>
        <v>120152.48149780833</v>
      </c>
      <c r="AC126" s="49">
        <f t="shared" si="40"/>
        <v>98014.150261204268</v>
      </c>
      <c r="AD126" s="49">
        <f t="shared" si="41"/>
        <v>88174.891933824692</v>
      </c>
      <c r="AE126" s="103">
        <f t="shared" si="42"/>
        <v>88174.891933824692</v>
      </c>
      <c r="AF126" s="103">
        <f t="shared" si="43"/>
        <v>88174.891933824692</v>
      </c>
      <c r="AH126" s="49">
        <f t="shared" si="44"/>
        <v>494801.16396341531</v>
      </c>
      <c r="AI126" s="49">
        <f t="shared" si="45"/>
        <v>396787.01370221103</v>
      </c>
      <c r="AJ126" s="49">
        <f t="shared" si="46"/>
        <v>308612.12176838634</v>
      </c>
      <c r="AK126" s="103">
        <f t="shared" si="47"/>
        <v>220437.22983456164</v>
      </c>
      <c r="AL126" s="103">
        <f t="shared" si="48"/>
        <v>132262.33790073695</v>
      </c>
      <c r="AN126" s="53">
        <f t="shared" si="49"/>
        <v>139944.52805634495</v>
      </c>
      <c r="AO126" s="53">
        <f t="shared" si="50"/>
        <v>109917.7606722706</v>
      </c>
      <c r="AP126" s="53">
        <f t="shared" si="51"/>
        <v>97433.255586876287</v>
      </c>
      <c r="AQ126" s="206">
        <f t="shared" si="52"/>
        <v>94788.008828861537</v>
      </c>
      <c r="AR126" s="206">
        <f t="shared" si="53"/>
        <v>92142.762070846802</v>
      </c>
      <c r="AY126" s="3"/>
    </row>
    <row r="127" spans="1:51">
      <c r="A127" s="54"/>
      <c r="B127" s="43">
        <f>'11. Desinvesteringen'!B411</f>
        <v>392</v>
      </c>
      <c r="C127" s="54"/>
      <c r="D127" s="54"/>
      <c r="E127" s="54"/>
      <c r="F127" s="48">
        <f>'5. Input GAW-waarde desinv.'!D87</f>
        <v>61437.139832305947</v>
      </c>
      <c r="G127" s="188">
        <f>'11. Desinvesteringen'!D411</f>
        <v>2019</v>
      </c>
      <c r="H127" s="188">
        <f>'11. Desinvesteringen'!G411</f>
        <v>2022</v>
      </c>
      <c r="I127" s="43" t="str">
        <f>'11. Desinvesteringen'!C411</f>
        <v>17 Mengstations</v>
      </c>
      <c r="J127" s="177">
        <f>'11. Desinvesteringen'!F411</f>
        <v>0</v>
      </c>
      <c r="K127" s="44">
        <f>_xlfn.XLOOKUP(I127,'3. Input (des)investeringen '!$B$11:$B$80,'3. Input (des)investeringen '!$E$11:$E$80)</f>
        <v>0</v>
      </c>
      <c r="L127" s="54"/>
      <c r="M127" s="44">
        <f>_xlfn.XLOOKUP(I127,'3. Input (des)investeringen '!$B$11:$B$80,'3. Input (des)investeringen '!$D$11:$D$80,0)</f>
        <v>30</v>
      </c>
      <c r="N127" s="44">
        <f t="shared" si="32"/>
        <v>27.5</v>
      </c>
      <c r="P127" s="49">
        <f t="shared" si="33"/>
        <v>2613.8710401381077</v>
      </c>
      <c r="Q127" s="49">
        <f t="shared" si="33"/>
        <v>2490.3062273315791</v>
      </c>
      <c r="R127" s="49">
        <f t="shared" si="33"/>
        <v>2372.5826602213592</v>
      </c>
      <c r="S127" s="103">
        <f t="shared" si="33"/>
        <v>2260.4242071927129</v>
      </c>
      <c r="T127" s="103">
        <f t="shared" si="33"/>
        <v>2153.5677901254212</v>
      </c>
      <c r="V127" s="49">
        <f t="shared" si="34"/>
        <v>223.40778120838527</v>
      </c>
      <c r="W127" s="49">
        <f t="shared" si="35"/>
        <v>223.40778120838527</v>
      </c>
      <c r="X127" s="49">
        <f t="shared" si="36"/>
        <v>223.40778120838527</v>
      </c>
      <c r="Y127" s="103">
        <f t="shared" si="37"/>
        <v>223.40778120838527</v>
      </c>
      <c r="Z127" s="103">
        <f t="shared" si="38"/>
        <v>223.40778120838527</v>
      </c>
      <c r="AB127" s="49">
        <f t="shared" si="39"/>
        <v>2837.2788213464928</v>
      </c>
      <c r="AC127" s="49">
        <f t="shared" si="40"/>
        <v>2713.7140085399642</v>
      </c>
      <c r="AD127" s="49">
        <f t="shared" si="41"/>
        <v>2595.9904414297444</v>
      </c>
      <c r="AE127" s="103">
        <f t="shared" si="42"/>
        <v>2483.831988401098</v>
      </c>
      <c r="AF127" s="103">
        <f t="shared" si="43"/>
        <v>2376.9755713338063</v>
      </c>
      <c r="AH127" s="49">
        <f t="shared" si="44"/>
        <v>58599.861010959452</v>
      </c>
      <c r="AI127" s="49">
        <f t="shared" si="45"/>
        <v>55886.147002419486</v>
      </c>
      <c r="AJ127" s="49">
        <f t="shared" si="46"/>
        <v>53290.156560989744</v>
      </c>
      <c r="AK127" s="103">
        <f t="shared" si="47"/>
        <v>50806.324572588645</v>
      </c>
      <c r="AL127" s="103">
        <f t="shared" si="48"/>
        <v>48429.349001254835</v>
      </c>
      <c r="AN127" s="53">
        <f t="shared" si="49"/>
        <v>5181.2732617848706</v>
      </c>
      <c r="AO127" s="53">
        <f t="shared" si="50"/>
        <v>4390.2984186125486</v>
      </c>
      <c r="AP127" s="53">
        <f t="shared" si="51"/>
        <v>4194.6951382594361</v>
      </c>
      <c r="AQ127" s="206">
        <f t="shared" si="52"/>
        <v>4008.0217255787575</v>
      </c>
      <c r="AR127" s="206">
        <f t="shared" si="53"/>
        <v>3829.8560413714513</v>
      </c>
      <c r="AY127" s="3"/>
    </row>
    <row r="128" spans="1:51">
      <c r="A128" s="54"/>
      <c r="B128" s="43">
        <f>'11. Desinvesteringen'!B412</f>
        <v>393</v>
      </c>
      <c r="C128" s="54"/>
      <c r="D128" s="54"/>
      <c r="E128" s="54"/>
      <c r="F128" s="48">
        <f>'5. Input GAW-waarde desinv.'!D88</f>
        <v>0</v>
      </c>
      <c r="G128" s="188">
        <f>'11. Desinvesteringen'!D412</f>
        <v>1964</v>
      </c>
      <c r="H128" s="188">
        <f>'11. Desinvesteringen'!G412</f>
        <v>2022</v>
      </c>
      <c r="I128" s="43" t="str">
        <f>'11. Desinvesteringen'!C412</f>
        <v>21 Hoofdtransportleiding</v>
      </c>
      <c r="J128" s="177">
        <f>'11. Desinvesteringen'!F412</f>
        <v>0</v>
      </c>
      <c r="K128" s="44">
        <f>_xlfn.XLOOKUP(I128,'3. Input (des)investeringen '!$B$11:$B$80,'3. Input (des)investeringen '!$E$11:$E$80)</f>
        <v>1</v>
      </c>
      <c r="L128" s="54"/>
      <c r="M128" s="44">
        <f>_xlfn.XLOOKUP(I128,'3. Input (des)investeringen '!$B$11:$B$80,'3. Input (des)investeringen '!$D$11:$D$80,0)</f>
        <v>55</v>
      </c>
      <c r="N128" s="44">
        <f t="shared" si="32"/>
        <v>0</v>
      </c>
      <c r="P128" s="49">
        <f t="shared" si="33"/>
        <v>0</v>
      </c>
      <c r="Q128" s="49">
        <f t="shared" si="33"/>
        <v>0</v>
      </c>
      <c r="R128" s="49">
        <f t="shared" si="33"/>
        <v>0</v>
      </c>
      <c r="S128" s="103">
        <f t="shared" si="33"/>
        <v>0</v>
      </c>
      <c r="T128" s="103">
        <f t="shared" si="33"/>
        <v>0</v>
      </c>
      <c r="V128" s="49">
        <f t="shared" si="34"/>
        <v>0</v>
      </c>
      <c r="W128" s="49">
        <f t="shared" si="35"/>
        <v>0</v>
      </c>
      <c r="X128" s="49">
        <f t="shared" si="36"/>
        <v>0</v>
      </c>
      <c r="Y128" s="103">
        <f t="shared" si="37"/>
        <v>0</v>
      </c>
      <c r="Z128" s="103">
        <f t="shared" si="38"/>
        <v>0</v>
      </c>
      <c r="AB128" s="49">
        <f t="shared" si="39"/>
        <v>0</v>
      </c>
      <c r="AC128" s="49">
        <f t="shared" si="40"/>
        <v>0</v>
      </c>
      <c r="AD128" s="49">
        <f t="shared" si="41"/>
        <v>0</v>
      </c>
      <c r="AE128" s="103">
        <f t="shared" si="42"/>
        <v>0</v>
      </c>
      <c r="AF128" s="103">
        <f t="shared" si="43"/>
        <v>0</v>
      </c>
      <c r="AH128" s="49">
        <f t="shared" si="44"/>
        <v>0</v>
      </c>
      <c r="AI128" s="49">
        <f t="shared" si="45"/>
        <v>0</v>
      </c>
      <c r="AJ128" s="49">
        <f t="shared" si="46"/>
        <v>0</v>
      </c>
      <c r="AK128" s="103">
        <f t="shared" si="47"/>
        <v>0</v>
      </c>
      <c r="AL128" s="103">
        <f t="shared" si="48"/>
        <v>0</v>
      </c>
      <c r="AN128" s="53">
        <f t="shared" si="49"/>
        <v>0</v>
      </c>
      <c r="AO128" s="53">
        <f t="shared" si="50"/>
        <v>0</v>
      </c>
      <c r="AP128" s="53">
        <f t="shared" si="51"/>
        <v>0</v>
      </c>
      <c r="AQ128" s="206">
        <f t="shared" si="52"/>
        <v>0</v>
      </c>
      <c r="AR128" s="206">
        <f t="shared" si="53"/>
        <v>0</v>
      </c>
      <c r="AY128" s="3"/>
    </row>
    <row r="129" spans="1:51">
      <c r="A129" s="54"/>
      <c r="B129" s="43">
        <f>'11. Desinvesteringen'!B413</f>
        <v>394</v>
      </c>
      <c r="C129" s="54"/>
      <c r="D129" s="54"/>
      <c r="E129" s="54"/>
      <c r="F129" s="48">
        <f>'5. Input GAW-waarde desinv.'!D89</f>
        <v>27710.301790765967</v>
      </c>
      <c r="G129" s="188">
        <f>'11. Desinvesteringen'!D413</f>
        <v>1977</v>
      </c>
      <c r="H129" s="188">
        <f>'11. Desinvesteringen'!G413</f>
        <v>2022</v>
      </c>
      <c r="I129" s="43" t="str">
        <f>'11. Desinvesteringen'!C413</f>
        <v>21 Hoofdtransportleiding</v>
      </c>
      <c r="J129" s="177">
        <f>'11. Desinvesteringen'!F413</f>
        <v>0</v>
      </c>
      <c r="K129" s="44">
        <f>_xlfn.XLOOKUP(I129,'3. Input (des)investeringen '!$B$11:$B$80,'3. Input (des)investeringen '!$E$11:$E$80)</f>
        <v>1</v>
      </c>
      <c r="L129" s="54"/>
      <c r="M129" s="44">
        <f>_xlfn.XLOOKUP(I129,'3. Input (des)investeringen '!$B$11:$B$80,'3. Input (des)investeringen '!$D$11:$D$80,0)</f>
        <v>55</v>
      </c>
      <c r="N129" s="44">
        <f t="shared" si="32"/>
        <v>10.5</v>
      </c>
      <c r="P129" s="49">
        <f t="shared" si="33"/>
        <v>3087.7193423996364</v>
      </c>
      <c r="Q129" s="49">
        <f t="shared" si="33"/>
        <v>2705.4302809596816</v>
      </c>
      <c r="R129" s="49">
        <f t="shared" si="33"/>
        <v>2370.4722461741972</v>
      </c>
      <c r="S129" s="103">
        <f t="shared" si="33"/>
        <v>2236.7532989541141</v>
      </c>
      <c r="T129" s="103">
        <f t="shared" si="33"/>
        <v>2236.7532989541141</v>
      </c>
      <c r="V129" s="49">
        <f t="shared" si="34"/>
        <v>263.90763610253305</v>
      </c>
      <c r="W129" s="49">
        <f t="shared" si="35"/>
        <v>263.90763610253305</v>
      </c>
      <c r="X129" s="49">
        <f t="shared" si="36"/>
        <v>263.90763610253305</v>
      </c>
      <c r="Y129" s="103">
        <f t="shared" si="37"/>
        <v>263.90763610253305</v>
      </c>
      <c r="Z129" s="103">
        <f t="shared" si="38"/>
        <v>263.90763610253305</v>
      </c>
      <c r="AB129" s="49">
        <f t="shared" si="39"/>
        <v>3351.6269785021695</v>
      </c>
      <c r="AC129" s="49">
        <f t="shared" si="40"/>
        <v>2969.3379170622147</v>
      </c>
      <c r="AD129" s="49">
        <f t="shared" si="41"/>
        <v>2634.3798822767303</v>
      </c>
      <c r="AE129" s="103">
        <f t="shared" si="42"/>
        <v>2500.6609350566473</v>
      </c>
      <c r="AF129" s="103">
        <f t="shared" si="43"/>
        <v>2500.6609350566473</v>
      </c>
      <c r="AH129" s="49">
        <f t="shared" si="44"/>
        <v>24358.674812263798</v>
      </c>
      <c r="AI129" s="49">
        <f t="shared" si="45"/>
        <v>21389.336895201584</v>
      </c>
      <c r="AJ129" s="49">
        <f t="shared" si="46"/>
        <v>18754.957012924853</v>
      </c>
      <c r="AK129" s="103">
        <f t="shared" si="47"/>
        <v>16254.296077868206</v>
      </c>
      <c r="AL129" s="103">
        <f t="shared" si="48"/>
        <v>13753.635142811559</v>
      </c>
      <c r="AN129" s="53">
        <f t="shared" si="49"/>
        <v>4053.4376108201805</v>
      </c>
      <c r="AO129" s="53">
        <f t="shared" si="50"/>
        <v>3383.5238884114119</v>
      </c>
      <c r="AP129" s="53">
        <f t="shared" si="51"/>
        <v>2995.6157913266143</v>
      </c>
      <c r="AQ129" s="206">
        <f t="shared" si="52"/>
        <v>2800.0275588969539</v>
      </c>
      <c r="AR129" s="206">
        <f t="shared" si="53"/>
        <v>2729.7339800125114</v>
      </c>
      <c r="AY129" s="3"/>
    </row>
    <row r="130" spans="1:51">
      <c r="A130" s="54"/>
      <c r="B130" s="43">
        <f>'11. Desinvesteringen'!B414</f>
        <v>395</v>
      </c>
      <c r="C130" s="54"/>
      <c r="D130" s="54"/>
      <c r="E130" s="54"/>
      <c r="F130" s="48">
        <f>'5. Input GAW-waarde desinv.'!D90</f>
        <v>9353.7976978691713</v>
      </c>
      <c r="G130" s="188">
        <f>'11. Desinvesteringen'!D414</f>
        <v>1978</v>
      </c>
      <c r="H130" s="188">
        <f>'11. Desinvesteringen'!G414</f>
        <v>2022</v>
      </c>
      <c r="I130" s="43" t="str">
        <f>'11. Desinvesteringen'!C414</f>
        <v>21 Hoofdtransportleiding</v>
      </c>
      <c r="J130" s="177">
        <f>'11. Desinvesteringen'!F414</f>
        <v>0</v>
      </c>
      <c r="K130" s="44">
        <f>_xlfn.XLOOKUP(I130,'3. Input (des)investeringen '!$B$11:$B$80,'3. Input (des)investeringen '!$E$11:$E$80)</f>
        <v>1</v>
      </c>
      <c r="L130" s="54"/>
      <c r="M130" s="44">
        <f>_xlfn.XLOOKUP(I130,'3. Input (des)investeringen '!$B$11:$B$80,'3. Input (des)investeringen '!$D$11:$D$80,0)</f>
        <v>55</v>
      </c>
      <c r="N130" s="44">
        <f t="shared" si="32"/>
        <v>11.5</v>
      </c>
      <c r="P130" s="49">
        <f t="shared" si="33"/>
        <v>951.64724404408094</v>
      </c>
      <c r="Q130" s="49">
        <f t="shared" si="33"/>
        <v>844.06972949996748</v>
      </c>
      <c r="R130" s="49">
        <f t="shared" si="33"/>
        <v>748.65315138257984</v>
      </c>
      <c r="S130" s="103">
        <f t="shared" si="33"/>
        <v>691.06444743007376</v>
      </c>
      <c r="T130" s="103">
        <f t="shared" si="33"/>
        <v>691.06444743007376</v>
      </c>
      <c r="V130" s="49">
        <f t="shared" si="34"/>
        <v>81.33737128581889</v>
      </c>
      <c r="W130" s="49">
        <f t="shared" si="35"/>
        <v>81.33737128581889</v>
      </c>
      <c r="X130" s="49">
        <f t="shared" si="36"/>
        <v>81.33737128581889</v>
      </c>
      <c r="Y130" s="103">
        <f t="shared" si="37"/>
        <v>81.33737128581889</v>
      </c>
      <c r="Z130" s="103">
        <f t="shared" si="38"/>
        <v>81.33737128581889</v>
      </c>
      <c r="AB130" s="49">
        <f t="shared" si="39"/>
        <v>1032.9846153298997</v>
      </c>
      <c r="AC130" s="49">
        <f t="shared" si="40"/>
        <v>925.40710078578638</v>
      </c>
      <c r="AD130" s="49">
        <f t="shared" si="41"/>
        <v>829.99052266839874</v>
      </c>
      <c r="AE130" s="103">
        <f t="shared" si="42"/>
        <v>772.40181871589266</v>
      </c>
      <c r="AF130" s="103">
        <f t="shared" si="43"/>
        <v>772.40181871589266</v>
      </c>
      <c r="AH130" s="49">
        <f t="shared" si="44"/>
        <v>8320.8130825392709</v>
      </c>
      <c r="AI130" s="49">
        <f t="shared" si="45"/>
        <v>7395.4059817534844</v>
      </c>
      <c r="AJ130" s="49">
        <f t="shared" si="46"/>
        <v>6565.4154590850858</v>
      </c>
      <c r="AK130" s="103">
        <f t="shared" si="47"/>
        <v>5793.0136403691931</v>
      </c>
      <c r="AL130" s="103">
        <f t="shared" si="48"/>
        <v>5020.6118216533005</v>
      </c>
      <c r="AN130" s="53">
        <f t="shared" si="49"/>
        <v>1279.770658897688</v>
      </c>
      <c r="AO130" s="53">
        <f t="shared" si="50"/>
        <v>1074.9913155833722</v>
      </c>
      <c r="AP130" s="53">
        <f t="shared" si="51"/>
        <v>962.2549482951714</v>
      </c>
      <c r="AQ130" s="206">
        <f t="shared" si="52"/>
        <v>886.58211756756953</v>
      </c>
      <c r="AR130" s="206">
        <f t="shared" si="53"/>
        <v>864.86990244346578</v>
      </c>
      <c r="AY130" s="3"/>
    </row>
    <row r="131" spans="1:51">
      <c r="A131" s="54"/>
      <c r="B131" s="43">
        <f>'11. Desinvesteringen'!B415</f>
        <v>396</v>
      </c>
      <c r="C131" s="54"/>
      <c r="D131" s="54"/>
      <c r="E131" s="54"/>
      <c r="F131" s="48">
        <f>'5. Input GAW-waarde desinv.'!D91</f>
        <v>27670.188323616749</v>
      </c>
      <c r="G131" s="188">
        <f>'11. Desinvesteringen'!D415</f>
        <v>1983</v>
      </c>
      <c r="H131" s="188">
        <f>'11. Desinvesteringen'!G415</f>
        <v>2022</v>
      </c>
      <c r="I131" s="43" t="str">
        <f>'11. Desinvesteringen'!C415</f>
        <v>21 Hoofdtransportleiding</v>
      </c>
      <c r="J131" s="177">
        <f>'11. Desinvesteringen'!F415</f>
        <v>0</v>
      </c>
      <c r="K131" s="44">
        <f>_xlfn.XLOOKUP(I131,'3. Input (des)investeringen '!$B$11:$B$80,'3. Input (des)investeringen '!$E$11:$E$80)</f>
        <v>1</v>
      </c>
      <c r="L131" s="54"/>
      <c r="M131" s="44">
        <f>_xlfn.XLOOKUP(I131,'3. Input (des)investeringen '!$B$11:$B$80,'3. Input (des)investeringen '!$D$11:$D$80,0)</f>
        <v>55</v>
      </c>
      <c r="N131" s="44">
        <f t="shared" si="32"/>
        <v>16.5</v>
      </c>
      <c r="P131" s="49">
        <f t="shared" si="33"/>
        <v>1962.0678993110062</v>
      </c>
      <c r="Q131" s="49">
        <f t="shared" si="33"/>
        <v>1807.4807314865025</v>
      </c>
      <c r="R131" s="49">
        <f t="shared" si="33"/>
        <v>1665.0731587027176</v>
      </c>
      <c r="S131" s="103">
        <f t="shared" si="33"/>
        <v>1533.8855765018973</v>
      </c>
      <c r="T131" s="103">
        <f t="shared" si="33"/>
        <v>1434.7729700202362</v>
      </c>
      <c r="V131" s="49">
        <f t="shared" si="34"/>
        <v>167.69811105222274</v>
      </c>
      <c r="W131" s="49">
        <f t="shared" si="35"/>
        <v>167.69811105222271</v>
      </c>
      <c r="X131" s="49">
        <f t="shared" si="36"/>
        <v>167.69811105222271</v>
      </c>
      <c r="Y131" s="103">
        <f t="shared" si="37"/>
        <v>167.69811105222271</v>
      </c>
      <c r="Z131" s="103">
        <f t="shared" si="38"/>
        <v>167.69811105222271</v>
      </c>
      <c r="AB131" s="49">
        <f t="shared" si="39"/>
        <v>2129.7660103632288</v>
      </c>
      <c r="AC131" s="49">
        <f t="shared" si="40"/>
        <v>1975.1788425387251</v>
      </c>
      <c r="AD131" s="49">
        <f t="shared" si="41"/>
        <v>1832.7712697549402</v>
      </c>
      <c r="AE131" s="103">
        <f t="shared" si="42"/>
        <v>1701.5836875541199</v>
      </c>
      <c r="AF131" s="103">
        <f t="shared" si="43"/>
        <v>1602.4710810724589</v>
      </c>
      <c r="AH131" s="49">
        <f t="shared" si="44"/>
        <v>25540.422313253519</v>
      </c>
      <c r="AI131" s="49">
        <f t="shared" si="45"/>
        <v>23565.243470714795</v>
      </c>
      <c r="AJ131" s="49">
        <f t="shared" si="46"/>
        <v>21732.472200959855</v>
      </c>
      <c r="AK131" s="103">
        <f t="shared" si="47"/>
        <v>20030.888513405735</v>
      </c>
      <c r="AL131" s="103">
        <f t="shared" si="48"/>
        <v>18428.417432333277</v>
      </c>
      <c r="AN131" s="53">
        <f t="shared" si="49"/>
        <v>2952.8457800110878</v>
      </c>
      <c r="AO131" s="53">
        <f t="shared" si="50"/>
        <v>2513.1615694205784</v>
      </c>
      <c r="AP131" s="53">
        <f t="shared" si="51"/>
        <v>2328.2064733293605</v>
      </c>
      <c r="AQ131" s="206">
        <f t="shared" si="52"/>
        <v>2157.4521913500457</v>
      </c>
      <c r="AR131" s="206">
        <f t="shared" si="53"/>
        <v>2019.5382169877826</v>
      </c>
      <c r="AY131" s="3"/>
    </row>
    <row r="132" spans="1:51">
      <c r="A132" s="54"/>
      <c r="B132" s="43">
        <f>'11. Desinvesteringen'!B416</f>
        <v>397</v>
      </c>
      <c r="C132" s="54"/>
      <c r="D132" s="54"/>
      <c r="E132" s="54"/>
      <c r="F132" s="48">
        <f>'5. Input GAW-waarde desinv.'!D92</f>
        <v>65069.242178936642</v>
      </c>
      <c r="G132" s="188">
        <f>'11. Desinvesteringen'!D416</f>
        <v>1987</v>
      </c>
      <c r="H132" s="188">
        <f>'11. Desinvesteringen'!G416</f>
        <v>2022</v>
      </c>
      <c r="I132" s="43" t="str">
        <f>'11. Desinvesteringen'!C416</f>
        <v>21 Hoofdtransportleiding</v>
      </c>
      <c r="J132" s="177">
        <f>'11. Desinvesteringen'!F416</f>
        <v>0</v>
      </c>
      <c r="K132" s="44">
        <f>_xlfn.XLOOKUP(I132,'3. Input (des)investeringen '!$B$11:$B$80,'3. Input (des)investeringen '!$E$11:$E$80)</f>
        <v>1</v>
      </c>
      <c r="L132" s="54"/>
      <c r="M132" s="44">
        <f>_xlfn.XLOOKUP(I132,'3. Input (des)investeringen '!$B$11:$B$80,'3. Input (des)investeringen '!$D$11:$D$80,0)</f>
        <v>55</v>
      </c>
      <c r="N132" s="44">
        <f t="shared" si="32"/>
        <v>20.5</v>
      </c>
      <c r="P132" s="49">
        <f t="shared" si="33"/>
        <v>3713.7079682612616</v>
      </c>
      <c r="Q132" s="49">
        <f t="shared" si="33"/>
        <v>3478.2045361276209</v>
      </c>
      <c r="R132" s="49">
        <f t="shared" si="33"/>
        <v>3257.6354679829424</v>
      </c>
      <c r="S132" s="103">
        <f t="shared" si="33"/>
        <v>3051.0537065986582</v>
      </c>
      <c r="T132" s="103">
        <f t="shared" si="33"/>
        <v>2857.572252033865</v>
      </c>
      <c r="V132" s="49">
        <f t="shared" si="34"/>
        <v>317.41093745822758</v>
      </c>
      <c r="W132" s="49">
        <f t="shared" si="35"/>
        <v>317.41093745822758</v>
      </c>
      <c r="X132" s="49">
        <f t="shared" si="36"/>
        <v>317.41093745822758</v>
      </c>
      <c r="Y132" s="103">
        <f t="shared" si="37"/>
        <v>317.41093745822758</v>
      </c>
      <c r="Z132" s="103">
        <f t="shared" si="38"/>
        <v>317.41093745822758</v>
      </c>
      <c r="AB132" s="49">
        <f t="shared" si="39"/>
        <v>4031.1189057194892</v>
      </c>
      <c r="AC132" s="49">
        <f t="shared" si="40"/>
        <v>3795.6154735858486</v>
      </c>
      <c r="AD132" s="49">
        <f t="shared" si="41"/>
        <v>3575.04640544117</v>
      </c>
      <c r="AE132" s="103">
        <f t="shared" si="42"/>
        <v>3368.4646440568858</v>
      </c>
      <c r="AF132" s="103">
        <f t="shared" si="43"/>
        <v>3174.9831894920926</v>
      </c>
      <c r="AH132" s="49">
        <f t="shared" si="44"/>
        <v>61038.123273217156</v>
      </c>
      <c r="AI132" s="49">
        <f t="shared" si="45"/>
        <v>57242.507799631305</v>
      </c>
      <c r="AJ132" s="49">
        <f t="shared" si="46"/>
        <v>53667.461394190133</v>
      </c>
      <c r="AK132" s="103">
        <f t="shared" si="47"/>
        <v>50298.99675013325</v>
      </c>
      <c r="AL132" s="103">
        <f t="shared" si="48"/>
        <v>47124.013560641157</v>
      </c>
      <c r="AN132" s="53">
        <f t="shared" si="49"/>
        <v>6064.8672749393418</v>
      </c>
      <c r="AO132" s="53">
        <f t="shared" si="50"/>
        <v>5165.5785929975764</v>
      </c>
      <c r="AP132" s="53">
        <f t="shared" si="51"/>
        <v>4858.4108216890618</v>
      </c>
      <c r="AQ132" s="206">
        <f t="shared" si="52"/>
        <v>4570.1561701275477</v>
      </c>
      <c r="AR132" s="206">
        <f t="shared" si="53"/>
        <v>4299.6152697437137</v>
      </c>
      <c r="AY132" s="3"/>
    </row>
    <row r="133" spans="1:51">
      <c r="A133" s="54"/>
      <c r="B133" s="43">
        <f>'11. Desinvesteringen'!B417</f>
        <v>398</v>
      </c>
      <c r="C133" s="54"/>
      <c r="D133" s="54"/>
      <c r="E133" s="54"/>
      <c r="F133" s="48">
        <f>'5. Input GAW-waarde desinv.'!D93</f>
        <v>0</v>
      </c>
      <c r="G133" s="188">
        <f>'11. Desinvesteringen'!D417</f>
        <v>1964</v>
      </c>
      <c r="H133" s="188">
        <f>'11. Desinvesteringen'!G417</f>
        <v>2022</v>
      </c>
      <c r="I133" s="43" t="str">
        <f>'11. Desinvesteringen'!C417</f>
        <v>32 M&amp;R stations</v>
      </c>
      <c r="J133" s="177">
        <f>'11. Desinvesteringen'!F417</f>
        <v>0</v>
      </c>
      <c r="K133" s="44">
        <f>_xlfn.XLOOKUP(I133,'3. Input (des)investeringen '!$B$11:$B$80,'3. Input (des)investeringen '!$E$11:$E$80)</f>
        <v>1</v>
      </c>
      <c r="L133" s="54"/>
      <c r="M133" s="44">
        <f>_xlfn.XLOOKUP(I133,'3. Input (des)investeringen '!$B$11:$B$80,'3. Input (des)investeringen '!$D$11:$D$80,0)</f>
        <v>30</v>
      </c>
      <c r="N133" s="44">
        <f t="shared" si="32"/>
        <v>0</v>
      </c>
      <c r="P133" s="49">
        <f t="shared" si="33"/>
        <v>0</v>
      </c>
      <c r="Q133" s="49">
        <f t="shared" si="33"/>
        <v>0</v>
      </c>
      <c r="R133" s="49">
        <f t="shared" si="33"/>
        <v>0</v>
      </c>
      <c r="S133" s="103">
        <f t="shared" si="33"/>
        <v>0</v>
      </c>
      <c r="T133" s="103">
        <f t="shared" si="33"/>
        <v>0</v>
      </c>
      <c r="V133" s="49">
        <f t="shared" si="34"/>
        <v>0</v>
      </c>
      <c r="W133" s="49">
        <f t="shared" si="35"/>
        <v>0</v>
      </c>
      <c r="X133" s="49">
        <f t="shared" si="36"/>
        <v>0</v>
      </c>
      <c r="Y133" s="103">
        <f t="shared" si="37"/>
        <v>0</v>
      </c>
      <c r="Z133" s="103">
        <f t="shared" si="38"/>
        <v>0</v>
      </c>
      <c r="AB133" s="49">
        <f t="shared" si="39"/>
        <v>0</v>
      </c>
      <c r="AC133" s="49">
        <f t="shared" si="40"/>
        <v>0</v>
      </c>
      <c r="AD133" s="49">
        <f t="shared" si="41"/>
        <v>0</v>
      </c>
      <c r="AE133" s="103">
        <f t="shared" si="42"/>
        <v>0</v>
      </c>
      <c r="AF133" s="103">
        <f t="shared" si="43"/>
        <v>0</v>
      </c>
      <c r="AH133" s="49">
        <f t="shared" si="44"/>
        <v>0</v>
      </c>
      <c r="AI133" s="49">
        <f t="shared" si="45"/>
        <v>0</v>
      </c>
      <c r="AJ133" s="49">
        <f t="shared" si="46"/>
        <v>0</v>
      </c>
      <c r="AK133" s="103">
        <f t="shared" si="47"/>
        <v>0</v>
      </c>
      <c r="AL133" s="103">
        <f t="shared" si="48"/>
        <v>0</v>
      </c>
      <c r="AN133" s="53">
        <f t="shared" si="49"/>
        <v>0</v>
      </c>
      <c r="AO133" s="53">
        <f t="shared" si="50"/>
        <v>0</v>
      </c>
      <c r="AP133" s="53">
        <f t="shared" si="51"/>
        <v>0</v>
      </c>
      <c r="AQ133" s="206">
        <f t="shared" si="52"/>
        <v>0</v>
      </c>
      <c r="AR133" s="206">
        <f t="shared" si="53"/>
        <v>0</v>
      </c>
      <c r="AY133" s="3"/>
    </row>
    <row r="134" spans="1:51">
      <c r="A134" s="54"/>
      <c r="B134" s="43">
        <f>'11. Desinvesteringen'!B418</f>
        <v>399</v>
      </c>
      <c r="C134" s="54"/>
      <c r="D134" s="54"/>
      <c r="E134" s="54"/>
      <c r="F134" s="48">
        <f>'5. Input GAW-waarde desinv.'!D94</f>
        <v>0</v>
      </c>
      <c r="G134" s="188">
        <f>'11. Desinvesteringen'!D418</f>
        <v>1967</v>
      </c>
      <c r="H134" s="188">
        <f>'11. Desinvesteringen'!G418</f>
        <v>2022</v>
      </c>
      <c r="I134" s="43" t="str">
        <f>'11. Desinvesteringen'!C418</f>
        <v>32 M&amp;R stations</v>
      </c>
      <c r="J134" s="177">
        <f>'11. Desinvesteringen'!F418</f>
        <v>0</v>
      </c>
      <c r="K134" s="44">
        <f>_xlfn.XLOOKUP(I134,'3. Input (des)investeringen '!$B$11:$B$80,'3. Input (des)investeringen '!$E$11:$E$80)</f>
        <v>1</v>
      </c>
      <c r="L134" s="54"/>
      <c r="M134" s="44">
        <f>_xlfn.XLOOKUP(I134,'3. Input (des)investeringen '!$B$11:$B$80,'3. Input (des)investeringen '!$D$11:$D$80,0)</f>
        <v>30</v>
      </c>
      <c r="N134" s="44">
        <f t="shared" si="32"/>
        <v>0</v>
      </c>
      <c r="P134" s="49">
        <f t="shared" si="33"/>
        <v>0</v>
      </c>
      <c r="Q134" s="49">
        <f t="shared" si="33"/>
        <v>0</v>
      </c>
      <c r="R134" s="49">
        <f t="shared" si="33"/>
        <v>0</v>
      </c>
      <c r="S134" s="103">
        <f t="shared" si="33"/>
        <v>0</v>
      </c>
      <c r="T134" s="103">
        <f t="shared" si="33"/>
        <v>0</v>
      </c>
      <c r="V134" s="49">
        <f t="shared" si="34"/>
        <v>0</v>
      </c>
      <c r="W134" s="49">
        <f t="shared" si="35"/>
        <v>0</v>
      </c>
      <c r="X134" s="49">
        <f t="shared" si="36"/>
        <v>0</v>
      </c>
      <c r="Y134" s="103">
        <f t="shared" si="37"/>
        <v>0</v>
      </c>
      <c r="Z134" s="103">
        <f t="shared" si="38"/>
        <v>0</v>
      </c>
      <c r="AB134" s="49">
        <f t="shared" si="39"/>
        <v>0</v>
      </c>
      <c r="AC134" s="49">
        <f t="shared" si="40"/>
        <v>0</v>
      </c>
      <c r="AD134" s="49">
        <f t="shared" si="41"/>
        <v>0</v>
      </c>
      <c r="AE134" s="103">
        <f t="shared" si="42"/>
        <v>0</v>
      </c>
      <c r="AF134" s="103">
        <f t="shared" si="43"/>
        <v>0</v>
      </c>
      <c r="AH134" s="49">
        <f t="shared" si="44"/>
        <v>0</v>
      </c>
      <c r="AI134" s="49">
        <f t="shared" si="45"/>
        <v>0</v>
      </c>
      <c r="AJ134" s="49">
        <f t="shared" si="46"/>
        <v>0</v>
      </c>
      <c r="AK134" s="103">
        <f t="shared" si="47"/>
        <v>0</v>
      </c>
      <c r="AL134" s="103">
        <f t="shared" si="48"/>
        <v>0</v>
      </c>
      <c r="AN134" s="53">
        <f t="shared" si="49"/>
        <v>0</v>
      </c>
      <c r="AO134" s="53">
        <f t="shared" si="50"/>
        <v>0</v>
      </c>
      <c r="AP134" s="53">
        <f t="shared" si="51"/>
        <v>0</v>
      </c>
      <c r="AQ134" s="206">
        <f t="shared" si="52"/>
        <v>0</v>
      </c>
      <c r="AR134" s="206">
        <f t="shared" si="53"/>
        <v>0</v>
      </c>
      <c r="AY134" s="3"/>
    </row>
    <row r="135" spans="1:51">
      <c r="A135" s="54"/>
      <c r="B135" s="43">
        <f>'11. Desinvesteringen'!B419</f>
        <v>400</v>
      </c>
      <c r="C135" s="54"/>
      <c r="D135" s="54"/>
      <c r="E135" s="54"/>
      <c r="F135" s="48">
        <f>'5. Input GAW-waarde desinv.'!D95</f>
        <v>0</v>
      </c>
      <c r="G135" s="188">
        <f>'11. Desinvesteringen'!D419</f>
        <v>1968</v>
      </c>
      <c r="H135" s="188">
        <f>'11. Desinvesteringen'!G419</f>
        <v>2022</v>
      </c>
      <c r="I135" s="43" t="str">
        <f>'11. Desinvesteringen'!C419</f>
        <v>32 M&amp;R stations</v>
      </c>
      <c r="J135" s="177">
        <f>'11. Desinvesteringen'!F419</f>
        <v>0</v>
      </c>
      <c r="K135" s="44">
        <f>_xlfn.XLOOKUP(I135,'3. Input (des)investeringen '!$B$11:$B$80,'3. Input (des)investeringen '!$E$11:$E$80)</f>
        <v>1</v>
      </c>
      <c r="L135" s="54"/>
      <c r="M135" s="44">
        <f>_xlfn.XLOOKUP(I135,'3. Input (des)investeringen '!$B$11:$B$80,'3. Input (des)investeringen '!$D$11:$D$80,0)</f>
        <v>30</v>
      </c>
      <c r="N135" s="44">
        <f t="shared" si="32"/>
        <v>0</v>
      </c>
      <c r="P135" s="49">
        <f t="shared" si="33"/>
        <v>0</v>
      </c>
      <c r="Q135" s="49">
        <f t="shared" si="33"/>
        <v>0</v>
      </c>
      <c r="R135" s="49">
        <f t="shared" si="33"/>
        <v>0</v>
      </c>
      <c r="S135" s="103">
        <f t="shared" si="33"/>
        <v>0</v>
      </c>
      <c r="T135" s="103">
        <f t="shared" si="33"/>
        <v>0</v>
      </c>
      <c r="V135" s="49">
        <f t="shared" si="34"/>
        <v>0</v>
      </c>
      <c r="W135" s="49">
        <f t="shared" si="35"/>
        <v>0</v>
      </c>
      <c r="X135" s="49">
        <f t="shared" si="36"/>
        <v>0</v>
      </c>
      <c r="Y135" s="103">
        <f t="shared" si="37"/>
        <v>0</v>
      </c>
      <c r="Z135" s="103">
        <f t="shared" si="38"/>
        <v>0</v>
      </c>
      <c r="AB135" s="49">
        <f t="shared" si="39"/>
        <v>0</v>
      </c>
      <c r="AC135" s="49">
        <f t="shared" si="40"/>
        <v>0</v>
      </c>
      <c r="AD135" s="49">
        <f t="shared" si="41"/>
        <v>0</v>
      </c>
      <c r="AE135" s="103">
        <f t="shared" si="42"/>
        <v>0</v>
      </c>
      <c r="AF135" s="103">
        <f t="shared" si="43"/>
        <v>0</v>
      </c>
      <c r="AH135" s="49">
        <f t="shared" si="44"/>
        <v>0</v>
      </c>
      <c r="AI135" s="49">
        <f t="shared" si="45"/>
        <v>0</v>
      </c>
      <c r="AJ135" s="49">
        <f t="shared" si="46"/>
        <v>0</v>
      </c>
      <c r="AK135" s="103">
        <f t="shared" si="47"/>
        <v>0</v>
      </c>
      <c r="AL135" s="103">
        <f t="shared" si="48"/>
        <v>0</v>
      </c>
      <c r="AN135" s="53">
        <f t="shared" si="49"/>
        <v>0</v>
      </c>
      <c r="AO135" s="53">
        <f t="shared" si="50"/>
        <v>0</v>
      </c>
      <c r="AP135" s="53">
        <f t="shared" si="51"/>
        <v>0</v>
      </c>
      <c r="AQ135" s="206">
        <f t="shared" si="52"/>
        <v>0</v>
      </c>
      <c r="AR135" s="206">
        <f t="shared" si="53"/>
        <v>0</v>
      </c>
      <c r="AY135" s="3"/>
    </row>
    <row r="136" spans="1:51">
      <c r="A136" s="54"/>
      <c r="B136" s="43">
        <f>'11. Desinvesteringen'!B420</f>
        <v>401</v>
      </c>
      <c r="C136" s="54"/>
      <c r="D136" s="54"/>
      <c r="E136" s="54"/>
      <c r="F136" s="48">
        <f>'5. Input GAW-waarde desinv.'!D96</f>
        <v>0</v>
      </c>
      <c r="G136" s="188">
        <f>'11. Desinvesteringen'!D420</f>
        <v>1969</v>
      </c>
      <c r="H136" s="188">
        <f>'11. Desinvesteringen'!G420</f>
        <v>2022</v>
      </c>
      <c r="I136" s="43" t="str">
        <f>'11. Desinvesteringen'!C420</f>
        <v>32 M&amp;R stations</v>
      </c>
      <c r="J136" s="177">
        <f>'11. Desinvesteringen'!F420</f>
        <v>0</v>
      </c>
      <c r="K136" s="44">
        <f>_xlfn.XLOOKUP(I136,'3. Input (des)investeringen '!$B$11:$B$80,'3. Input (des)investeringen '!$E$11:$E$80)</f>
        <v>1</v>
      </c>
      <c r="L136" s="54"/>
      <c r="M136" s="44">
        <f>_xlfn.XLOOKUP(I136,'3. Input (des)investeringen '!$B$11:$B$80,'3. Input (des)investeringen '!$D$11:$D$80,0)</f>
        <v>30</v>
      </c>
      <c r="N136" s="44">
        <f t="shared" si="32"/>
        <v>0</v>
      </c>
      <c r="P136" s="49">
        <f t="shared" si="33"/>
        <v>0</v>
      </c>
      <c r="Q136" s="49">
        <f t="shared" si="33"/>
        <v>0</v>
      </c>
      <c r="R136" s="49">
        <f t="shared" si="33"/>
        <v>0</v>
      </c>
      <c r="S136" s="103">
        <f t="shared" si="33"/>
        <v>0</v>
      </c>
      <c r="T136" s="103">
        <f t="shared" si="33"/>
        <v>0</v>
      </c>
      <c r="V136" s="49">
        <f t="shared" si="34"/>
        <v>0</v>
      </c>
      <c r="W136" s="49">
        <f t="shared" si="35"/>
        <v>0</v>
      </c>
      <c r="X136" s="49">
        <f t="shared" si="36"/>
        <v>0</v>
      </c>
      <c r="Y136" s="103">
        <f t="shared" si="37"/>
        <v>0</v>
      </c>
      <c r="Z136" s="103">
        <f t="shared" si="38"/>
        <v>0</v>
      </c>
      <c r="AB136" s="49">
        <f t="shared" si="39"/>
        <v>0</v>
      </c>
      <c r="AC136" s="49">
        <f t="shared" si="40"/>
        <v>0</v>
      </c>
      <c r="AD136" s="49">
        <f t="shared" si="41"/>
        <v>0</v>
      </c>
      <c r="AE136" s="103">
        <f t="shared" si="42"/>
        <v>0</v>
      </c>
      <c r="AF136" s="103">
        <f t="shared" si="43"/>
        <v>0</v>
      </c>
      <c r="AH136" s="49">
        <f t="shared" si="44"/>
        <v>0</v>
      </c>
      <c r="AI136" s="49">
        <f t="shared" si="45"/>
        <v>0</v>
      </c>
      <c r="AJ136" s="49">
        <f t="shared" si="46"/>
        <v>0</v>
      </c>
      <c r="AK136" s="103">
        <f t="shared" si="47"/>
        <v>0</v>
      </c>
      <c r="AL136" s="103">
        <f t="shared" si="48"/>
        <v>0</v>
      </c>
      <c r="AN136" s="53">
        <f t="shared" si="49"/>
        <v>0</v>
      </c>
      <c r="AO136" s="53">
        <f t="shared" si="50"/>
        <v>0</v>
      </c>
      <c r="AP136" s="53">
        <f t="shared" si="51"/>
        <v>0</v>
      </c>
      <c r="AQ136" s="206">
        <f t="shared" si="52"/>
        <v>0</v>
      </c>
      <c r="AR136" s="206">
        <f t="shared" si="53"/>
        <v>0</v>
      </c>
      <c r="AY136" s="3"/>
    </row>
    <row r="137" spans="1:51">
      <c r="A137" s="54"/>
      <c r="B137" s="43">
        <f>'11. Desinvesteringen'!B421</f>
        <v>402</v>
      </c>
      <c r="C137" s="54"/>
      <c r="D137" s="54"/>
      <c r="E137" s="54"/>
      <c r="F137" s="48">
        <f>'5. Input GAW-waarde desinv.'!D97</f>
        <v>0</v>
      </c>
      <c r="G137" s="188">
        <f>'11. Desinvesteringen'!D421</f>
        <v>1972</v>
      </c>
      <c r="H137" s="188">
        <f>'11. Desinvesteringen'!G421</f>
        <v>2022</v>
      </c>
      <c r="I137" s="43" t="str">
        <f>'11. Desinvesteringen'!C421</f>
        <v>32 M&amp;R stations</v>
      </c>
      <c r="J137" s="177">
        <f>'11. Desinvesteringen'!F421</f>
        <v>0</v>
      </c>
      <c r="K137" s="44">
        <f>_xlfn.XLOOKUP(I137,'3. Input (des)investeringen '!$B$11:$B$80,'3. Input (des)investeringen '!$E$11:$E$80)</f>
        <v>1</v>
      </c>
      <c r="L137" s="54"/>
      <c r="M137" s="44">
        <f>_xlfn.XLOOKUP(I137,'3. Input (des)investeringen '!$B$11:$B$80,'3. Input (des)investeringen '!$D$11:$D$80,0)</f>
        <v>30</v>
      </c>
      <c r="N137" s="44">
        <f t="shared" si="32"/>
        <v>0</v>
      </c>
      <c r="P137" s="49">
        <f t="shared" si="33"/>
        <v>0</v>
      </c>
      <c r="Q137" s="49">
        <f t="shared" si="33"/>
        <v>0</v>
      </c>
      <c r="R137" s="49">
        <f t="shared" si="33"/>
        <v>0</v>
      </c>
      <c r="S137" s="103">
        <f t="shared" si="33"/>
        <v>0</v>
      </c>
      <c r="T137" s="103">
        <f t="shared" si="33"/>
        <v>0</v>
      </c>
      <c r="V137" s="49">
        <f t="shared" si="34"/>
        <v>0</v>
      </c>
      <c r="W137" s="49">
        <f t="shared" si="35"/>
        <v>0</v>
      </c>
      <c r="X137" s="49">
        <f t="shared" si="36"/>
        <v>0</v>
      </c>
      <c r="Y137" s="103">
        <f t="shared" si="37"/>
        <v>0</v>
      </c>
      <c r="Z137" s="103">
        <f t="shared" si="38"/>
        <v>0</v>
      </c>
      <c r="AB137" s="49">
        <f t="shared" si="39"/>
        <v>0</v>
      </c>
      <c r="AC137" s="49">
        <f t="shared" si="40"/>
        <v>0</v>
      </c>
      <c r="AD137" s="49">
        <f t="shared" si="41"/>
        <v>0</v>
      </c>
      <c r="AE137" s="103">
        <f t="shared" si="42"/>
        <v>0</v>
      </c>
      <c r="AF137" s="103">
        <f t="shared" si="43"/>
        <v>0</v>
      </c>
      <c r="AH137" s="49">
        <f t="shared" si="44"/>
        <v>0</v>
      </c>
      <c r="AI137" s="49">
        <f t="shared" si="45"/>
        <v>0</v>
      </c>
      <c r="AJ137" s="49">
        <f t="shared" si="46"/>
        <v>0</v>
      </c>
      <c r="AK137" s="103">
        <f t="shared" si="47"/>
        <v>0</v>
      </c>
      <c r="AL137" s="103">
        <f t="shared" si="48"/>
        <v>0</v>
      </c>
      <c r="AN137" s="53">
        <f t="shared" si="49"/>
        <v>0</v>
      </c>
      <c r="AO137" s="53">
        <f t="shared" si="50"/>
        <v>0</v>
      </c>
      <c r="AP137" s="53">
        <f t="shared" si="51"/>
        <v>0</v>
      </c>
      <c r="AQ137" s="206">
        <f t="shared" si="52"/>
        <v>0</v>
      </c>
      <c r="AR137" s="206">
        <f t="shared" si="53"/>
        <v>0</v>
      </c>
      <c r="AY137" s="3"/>
    </row>
    <row r="138" spans="1:51">
      <c r="A138" s="54"/>
      <c r="B138" s="43">
        <f>'11. Desinvesteringen'!B422</f>
        <v>403</v>
      </c>
      <c r="C138" s="54"/>
      <c r="D138" s="54"/>
      <c r="E138" s="54"/>
      <c r="F138" s="48">
        <f>'5. Input GAW-waarde desinv.'!D98</f>
        <v>0</v>
      </c>
      <c r="G138" s="188">
        <f>'11. Desinvesteringen'!D422</f>
        <v>1974</v>
      </c>
      <c r="H138" s="188">
        <f>'11. Desinvesteringen'!G422</f>
        <v>2022</v>
      </c>
      <c r="I138" s="43" t="str">
        <f>'11. Desinvesteringen'!C422</f>
        <v>32 M&amp;R stations</v>
      </c>
      <c r="J138" s="177">
        <f>'11. Desinvesteringen'!F422</f>
        <v>0</v>
      </c>
      <c r="K138" s="44">
        <f>_xlfn.XLOOKUP(I138,'3. Input (des)investeringen '!$B$11:$B$80,'3. Input (des)investeringen '!$E$11:$E$80)</f>
        <v>1</v>
      </c>
      <c r="L138" s="54"/>
      <c r="M138" s="44">
        <f>_xlfn.XLOOKUP(I138,'3. Input (des)investeringen '!$B$11:$B$80,'3. Input (des)investeringen '!$D$11:$D$80,0)</f>
        <v>30</v>
      </c>
      <c r="N138" s="44">
        <f t="shared" si="32"/>
        <v>0</v>
      </c>
      <c r="P138" s="49">
        <f t="shared" si="33"/>
        <v>0</v>
      </c>
      <c r="Q138" s="49">
        <f t="shared" si="33"/>
        <v>0</v>
      </c>
      <c r="R138" s="49">
        <f t="shared" si="33"/>
        <v>0</v>
      </c>
      <c r="S138" s="103">
        <f t="shared" si="33"/>
        <v>0</v>
      </c>
      <c r="T138" s="103">
        <f t="shared" si="33"/>
        <v>0</v>
      </c>
      <c r="V138" s="49">
        <f t="shared" si="34"/>
        <v>0</v>
      </c>
      <c r="W138" s="49">
        <f t="shared" si="35"/>
        <v>0</v>
      </c>
      <c r="X138" s="49">
        <f t="shared" si="36"/>
        <v>0</v>
      </c>
      <c r="Y138" s="103">
        <f t="shared" si="37"/>
        <v>0</v>
      </c>
      <c r="Z138" s="103">
        <f t="shared" si="38"/>
        <v>0</v>
      </c>
      <c r="AB138" s="49">
        <f t="shared" si="39"/>
        <v>0</v>
      </c>
      <c r="AC138" s="49">
        <f t="shared" si="40"/>
        <v>0</v>
      </c>
      <c r="AD138" s="49">
        <f t="shared" si="41"/>
        <v>0</v>
      </c>
      <c r="AE138" s="103">
        <f t="shared" si="42"/>
        <v>0</v>
      </c>
      <c r="AF138" s="103">
        <f t="shared" si="43"/>
        <v>0</v>
      </c>
      <c r="AH138" s="49">
        <f t="shared" si="44"/>
        <v>0</v>
      </c>
      <c r="AI138" s="49">
        <f t="shared" si="45"/>
        <v>0</v>
      </c>
      <c r="AJ138" s="49">
        <f t="shared" si="46"/>
        <v>0</v>
      </c>
      <c r="AK138" s="103">
        <f t="shared" si="47"/>
        <v>0</v>
      </c>
      <c r="AL138" s="103">
        <f t="shared" si="48"/>
        <v>0</v>
      </c>
      <c r="AN138" s="53">
        <f t="shared" si="49"/>
        <v>0</v>
      </c>
      <c r="AO138" s="53">
        <f t="shared" si="50"/>
        <v>0</v>
      </c>
      <c r="AP138" s="53">
        <f t="shared" si="51"/>
        <v>0</v>
      </c>
      <c r="AQ138" s="206">
        <f t="shared" si="52"/>
        <v>0</v>
      </c>
      <c r="AR138" s="206">
        <f t="shared" si="53"/>
        <v>0</v>
      </c>
      <c r="AY138" s="3"/>
    </row>
    <row r="139" spans="1:51">
      <c r="A139" s="54"/>
      <c r="B139" s="43">
        <f>'11. Desinvesteringen'!B423</f>
        <v>404</v>
      </c>
      <c r="C139" s="54"/>
      <c r="D139" s="54"/>
      <c r="E139" s="54"/>
      <c r="F139" s="48">
        <f>'5. Input GAW-waarde desinv.'!D99</f>
        <v>0</v>
      </c>
      <c r="G139" s="188">
        <f>'11. Desinvesteringen'!D423</f>
        <v>1978</v>
      </c>
      <c r="H139" s="188">
        <f>'11. Desinvesteringen'!G423</f>
        <v>2022</v>
      </c>
      <c r="I139" s="43" t="str">
        <f>'11. Desinvesteringen'!C423</f>
        <v>32 M&amp;R stations</v>
      </c>
      <c r="J139" s="177">
        <f>'11. Desinvesteringen'!F423</f>
        <v>0</v>
      </c>
      <c r="K139" s="44">
        <f>_xlfn.XLOOKUP(I139,'3. Input (des)investeringen '!$B$11:$B$80,'3. Input (des)investeringen '!$E$11:$E$80)</f>
        <v>1</v>
      </c>
      <c r="L139" s="54"/>
      <c r="M139" s="44">
        <f>_xlfn.XLOOKUP(I139,'3. Input (des)investeringen '!$B$11:$B$80,'3. Input (des)investeringen '!$D$11:$D$80,0)</f>
        <v>30</v>
      </c>
      <c r="N139" s="44">
        <f t="shared" si="32"/>
        <v>0</v>
      </c>
      <c r="P139" s="49">
        <f t="shared" si="33"/>
        <v>0</v>
      </c>
      <c r="Q139" s="49">
        <f t="shared" si="33"/>
        <v>0</v>
      </c>
      <c r="R139" s="49">
        <f t="shared" si="33"/>
        <v>0</v>
      </c>
      <c r="S139" s="103">
        <f t="shared" si="33"/>
        <v>0</v>
      </c>
      <c r="T139" s="103">
        <f t="shared" si="33"/>
        <v>0</v>
      </c>
      <c r="V139" s="49">
        <f t="shared" si="34"/>
        <v>0</v>
      </c>
      <c r="W139" s="49">
        <f t="shared" si="35"/>
        <v>0</v>
      </c>
      <c r="X139" s="49">
        <f t="shared" si="36"/>
        <v>0</v>
      </c>
      <c r="Y139" s="103">
        <f t="shared" si="37"/>
        <v>0</v>
      </c>
      <c r="Z139" s="103">
        <f t="shared" si="38"/>
        <v>0</v>
      </c>
      <c r="AB139" s="49">
        <f t="shared" si="39"/>
        <v>0</v>
      </c>
      <c r="AC139" s="49">
        <f t="shared" si="40"/>
        <v>0</v>
      </c>
      <c r="AD139" s="49">
        <f t="shared" si="41"/>
        <v>0</v>
      </c>
      <c r="AE139" s="103">
        <f t="shared" si="42"/>
        <v>0</v>
      </c>
      <c r="AF139" s="103">
        <f t="shared" si="43"/>
        <v>0</v>
      </c>
      <c r="AH139" s="49">
        <f t="shared" si="44"/>
        <v>0</v>
      </c>
      <c r="AI139" s="49">
        <f t="shared" si="45"/>
        <v>0</v>
      </c>
      <c r="AJ139" s="49">
        <f t="shared" si="46"/>
        <v>0</v>
      </c>
      <c r="AK139" s="103">
        <f t="shared" si="47"/>
        <v>0</v>
      </c>
      <c r="AL139" s="103">
        <f t="shared" si="48"/>
        <v>0</v>
      </c>
      <c r="AN139" s="53">
        <f t="shared" si="49"/>
        <v>0</v>
      </c>
      <c r="AO139" s="53">
        <f t="shared" si="50"/>
        <v>0</v>
      </c>
      <c r="AP139" s="53">
        <f t="shared" si="51"/>
        <v>0</v>
      </c>
      <c r="AQ139" s="206">
        <f t="shared" si="52"/>
        <v>0</v>
      </c>
      <c r="AR139" s="206">
        <f t="shared" si="53"/>
        <v>0</v>
      </c>
      <c r="AY139" s="3"/>
    </row>
    <row r="140" spans="1:51">
      <c r="A140" s="54"/>
      <c r="B140" s="43">
        <f>'11. Desinvesteringen'!B424</f>
        <v>405</v>
      </c>
      <c r="C140" s="54"/>
      <c r="D140" s="54"/>
      <c r="E140" s="54"/>
      <c r="F140" s="48">
        <f>'5. Input GAW-waarde desinv.'!D100</f>
        <v>3006.4882057138966</v>
      </c>
      <c r="G140" s="188">
        <f>'11. Desinvesteringen'!D424</f>
        <v>1995</v>
      </c>
      <c r="H140" s="188">
        <f>'11. Desinvesteringen'!G424</f>
        <v>2022</v>
      </c>
      <c r="I140" s="43" t="str">
        <f>'11. Desinvesteringen'!C424</f>
        <v>32 M&amp;R stations</v>
      </c>
      <c r="J140" s="177">
        <f>'11. Desinvesteringen'!F424</f>
        <v>0</v>
      </c>
      <c r="K140" s="44">
        <f>_xlfn.XLOOKUP(I140,'3. Input (des)investeringen '!$B$11:$B$80,'3. Input (des)investeringen '!$E$11:$E$80)</f>
        <v>1</v>
      </c>
      <c r="L140" s="54"/>
      <c r="M140" s="44">
        <f>_xlfn.XLOOKUP(I140,'3. Input (des)investeringen '!$B$11:$B$80,'3. Input (des)investeringen '!$D$11:$D$80,0)</f>
        <v>30</v>
      </c>
      <c r="N140" s="44">
        <f t="shared" si="32"/>
        <v>3.5</v>
      </c>
      <c r="P140" s="49">
        <f t="shared" si="33"/>
        <v>1005.0260573386455</v>
      </c>
      <c r="Q140" s="49">
        <f t="shared" si="33"/>
        <v>680.32533112154454</v>
      </c>
      <c r="R140" s="49">
        <f t="shared" si="33"/>
        <v>680.32533112154454</v>
      </c>
      <c r="S140" s="103">
        <f t="shared" si="33"/>
        <v>340.16266556077227</v>
      </c>
      <c r="T140" s="103">
        <f t="shared" si="33"/>
        <v>0</v>
      </c>
      <c r="V140" s="49">
        <f t="shared" si="34"/>
        <v>85.899663020397043</v>
      </c>
      <c r="W140" s="49">
        <f t="shared" si="35"/>
        <v>85.899663020397057</v>
      </c>
      <c r="X140" s="49">
        <f t="shared" si="36"/>
        <v>85.899663020397057</v>
      </c>
      <c r="Y140" s="103">
        <f t="shared" si="37"/>
        <v>42.949831510198528</v>
      </c>
      <c r="Z140" s="103">
        <f t="shared" si="38"/>
        <v>0</v>
      </c>
      <c r="AB140" s="49">
        <f t="shared" si="39"/>
        <v>1090.9257203590425</v>
      </c>
      <c r="AC140" s="49">
        <f t="shared" si="40"/>
        <v>766.22499414194158</v>
      </c>
      <c r="AD140" s="49">
        <f t="shared" si="41"/>
        <v>766.22499414194158</v>
      </c>
      <c r="AE140" s="103">
        <f t="shared" si="42"/>
        <v>383.11249707097079</v>
      </c>
      <c r="AF140" s="103">
        <f t="shared" si="43"/>
        <v>0</v>
      </c>
      <c r="AH140" s="49">
        <f t="shared" si="44"/>
        <v>1915.5624853548541</v>
      </c>
      <c r="AI140" s="49">
        <f t="shared" si="45"/>
        <v>1149.3374912129125</v>
      </c>
      <c r="AJ140" s="49">
        <f t="shared" si="46"/>
        <v>383.1124970709709</v>
      </c>
      <c r="AK140" s="103">
        <f t="shared" si="47"/>
        <v>0</v>
      </c>
      <c r="AL140" s="103">
        <f t="shared" si="48"/>
        <v>0</v>
      </c>
      <c r="AN140" s="53">
        <f t="shared" si="49"/>
        <v>1093.9926819275229</v>
      </c>
      <c r="AO140" s="53">
        <f t="shared" si="50"/>
        <v>750.26069638899423</v>
      </c>
      <c r="AP140" s="53">
        <f t="shared" si="51"/>
        <v>728.72211180366435</v>
      </c>
      <c r="AQ140" s="206">
        <f t="shared" si="52"/>
        <v>358.97640975549967</v>
      </c>
      <c r="AR140" s="206">
        <f t="shared" si="53"/>
        <v>0</v>
      </c>
      <c r="AY140" s="3"/>
    </row>
    <row r="141" spans="1:51">
      <c r="A141" s="54"/>
      <c r="B141" s="43">
        <f>'11. Desinvesteringen'!B425</f>
        <v>406</v>
      </c>
      <c r="C141" s="54"/>
      <c r="D141" s="54"/>
      <c r="E141" s="54"/>
      <c r="F141" s="48">
        <f>'5. Input GAW-waarde desinv.'!D101</f>
        <v>303439.87492153718</v>
      </c>
      <c r="G141" s="188">
        <f>'11. Desinvesteringen'!D425</f>
        <v>2012</v>
      </c>
      <c r="H141" s="188">
        <f>'11. Desinvesteringen'!G425</f>
        <v>2022</v>
      </c>
      <c r="I141" s="43" t="str">
        <f>'11. Desinvesteringen'!C425</f>
        <v>32 M&amp;R stations</v>
      </c>
      <c r="J141" s="177">
        <f>'11. Desinvesteringen'!F425</f>
        <v>0</v>
      </c>
      <c r="K141" s="44">
        <f>_xlfn.XLOOKUP(I141,'3. Input (des)investeringen '!$B$11:$B$80,'3. Input (des)investeringen '!$E$11:$E$80)</f>
        <v>1</v>
      </c>
      <c r="L141" s="54"/>
      <c r="M141" s="44">
        <f>_xlfn.XLOOKUP(I141,'3. Input (des)investeringen '!$B$11:$B$80,'3. Input (des)investeringen '!$D$11:$D$80,0)</f>
        <v>30</v>
      </c>
      <c r="N141" s="44">
        <f t="shared" si="32"/>
        <v>20.5</v>
      </c>
      <c r="P141" s="49">
        <f t="shared" si="33"/>
        <v>17318.275788204806</v>
      </c>
      <c r="Q141" s="49">
        <f t="shared" si="33"/>
        <v>16220.043665050354</v>
      </c>
      <c r="R141" s="49">
        <f t="shared" si="33"/>
        <v>15191.455530193502</v>
      </c>
      <c r="S141" s="103">
        <f t="shared" si="33"/>
        <v>14228.094935595866</v>
      </c>
      <c r="T141" s="103">
        <f t="shared" si="33"/>
        <v>13325.825500655641</v>
      </c>
      <c r="V141" s="49">
        <f t="shared" si="34"/>
        <v>1480.1945118123767</v>
      </c>
      <c r="W141" s="49">
        <f t="shared" si="35"/>
        <v>1480.1945118123765</v>
      </c>
      <c r="X141" s="49">
        <f t="shared" si="36"/>
        <v>1480.1945118123765</v>
      </c>
      <c r="Y141" s="103">
        <f t="shared" si="37"/>
        <v>1480.1945118123765</v>
      </c>
      <c r="Z141" s="103">
        <f t="shared" si="38"/>
        <v>1480.1945118123765</v>
      </c>
      <c r="AB141" s="49">
        <f t="shared" si="39"/>
        <v>18798.470300017183</v>
      </c>
      <c r="AC141" s="49">
        <f t="shared" si="40"/>
        <v>17700.238176862731</v>
      </c>
      <c r="AD141" s="49">
        <f t="shared" si="41"/>
        <v>16671.650042005876</v>
      </c>
      <c r="AE141" s="103">
        <f t="shared" si="42"/>
        <v>15708.289447408242</v>
      </c>
      <c r="AF141" s="103">
        <f t="shared" si="43"/>
        <v>14806.020012468018</v>
      </c>
      <c r="AH141" s="49">
        <f t="shared" si="44"/>
        <v>284641.40462152002</v>
      </c>
      <c r="AI141" s="49">
        <f t="shared" si="45"/>
        <v>266941.16644465731</v>
      </c>
      <c r="AJ141" s="49">
        <f t="shared" si="46"/>
        <v>250269.51640265144</v>
      </c>
      <c r="AK141" s="103">
        <f t="shared" si="47"/>
        <v>234561.22695524321</v>
      </c>
      <c r="AL141" s="103">
        <f t="shared" si="48"/>
        <v>219755.2069427752</v>
      </c>
      <c r="AN141" s="53">
        <f t="shared" si="49"/>
        <v>28282.526516330672</v>
      </c>
      <c r="AO141" s="53">
        <f t="shared" si="50"/>
        <v>24088.839360479698</v>
      </c>
      <c r="AP141" s="53">
        <f t="shared" si="51"/>
        <v>22656.412195438039</v>
      </c>
      <c r="AQ141" s="206">
        <f t="shared" si="52"/>
        <v>21312.183301933412</v>
      </c>
      <c r="AR141" s="206">
        <f t="shared" si="53"/>
        <v>20050.559618843945</v>
      </c>
      <c r="AY141" s="3"/>
    </row>
    <row r="142" spans="1:51">
      <c r="A142" s="54"/>
      <c r="B142" s="43">
        <f>'11. Desinvesteringen'!B426</f>
        <v>407</v>
      </c>
      <c r="C142" s="54"/>
      <c r="D142" s="54"/>
      <c r="E142" s="54"/>
      <c r="F142" s="48">
        <f>'5. Input GAW-waarde desinv.'!D102</f>
        <v>0</v>
      </c>
      <c r="G142" s="188">
        <f>'11. Desinvesteringen'!D426</f>
        <v>1986</v>
      </c>
      <c r="H142" s="188">
        <f>'11. Desinvesteringen'!G426</f>
        <v>2022</v>
      </c>
      <c r="I142" s="43" t="str">
        <f>'11. Desinvesteringen'!C426</f>
        <v>34 Reduceerstations</v>
      </c>
      <c r="J142" s="177">
        <f>'11. Desinvesteringen'!F426</f>
        <v>0</v>
      </c>
      <c r="K142" s="44">
        <f>_xlfn.XLOOKUP(I142,'3. Input (des)investeringen '!$B$11:$B$80,'3. Input (des)investeringen '!$E$11:$E$80)</f>
        <v>1</v>
      </c>
      <c r="L142" s="54"/>
      <c r="M142" s="44">
        <f>_xlfn.XLOOKUP(I142,'3. Input (des)investeringen '!$B$11:$B$80,'3. Input (des)investeringen '!$D$11:$D$80,0)</f>
        <v>30</v>
      </c>
      <c r="N142" s="44">
        <f t="shared" si="32"/>
        <v>0</v>
      </c>
      <c r="P142" s="49">
        <f t="shared" si="33"/>
        <v>0</v>
      </c>
      <c r="Q142" s="49">
        <f t="shared" si="33"/>
        <v>0</v>
      </c>
      <c r="R142" s="49">
        <f t="shared" si="33"/>
        <v>0</v>
      </c>
      <c r="S142" s="103">
        <f t="shared" si="33"/>
        <v>0</v>
      </c>
      <c r="T142" s="103">
        <f t="shared" si="33"/>
        <v>0</v>
      </c>
      <c r="V142" s="49">
        <f t="shared" si="34"/>
        <v>0</v>
      </c>
      <c r="W142" s="49">
        <f t="shared" si="35"/>
        <v>0</v>
      </c>
      <c r="X142" s="49">
        <f t="shared" si="36"/>
        <v>0</v>
      </c>
      <c r="Y142" s="103">
        <f t="shared" si="37"/>
        <v>0</v>
      </c>
      <c r="Z142" s="103">
        <f t="shared" si="38"/>
        <v>0</v>
      </c>
      <c r="AB142" s="49">
        <f t="shared" si="39"/>
        <v>0</v>
      </c>
      <c r="AC142" s="49">
        <f t="shared" si="40"/>
        <v>0</v>
      </c>
      <c r="AD142" s="49">
        <f t="shared" si="41"/>
        <v>0</v>
      </c>
      <c r="AE142" s="103">
        <f t="shared" si="42"/>
        <v>0</v>
      </c>
      <c r="AF142" s="103">
        <f t="shared" si="43"/>
        <v>0</v>
      </c>
      <c r="AH142" s="49">
        <f t="shared" si="44"/>
        <v>0</v>
      </c>
      <c r="AI142" s="49">
        <f t="shared" si="45"/>
        <v>0</v>
      </c>
      <c r="AJ142" s="49">
        <f t="shared" si="46"/>
        <v>0</v>
      </c>
      <c r="AK142" s="103">
        <f t="shared" si="47"/>
        <v>0</v>
      </c>
      <c r="AL142" s="103">
        <f t="shared" si="48"/>
        <v>0</v>
      </c>
      <c r="AN142" s="53">
        <f t="shared" si="49"/>
        <v>0</v>
      </c>
      <c r="AO142" s="53">
        <f t="shared" si="50"/>
        <v>0</v>
      </c>
      <c r="AP142" s="53">
        <f t="shared" si="51"/>
        <v>0</v>
      </c>
      <c r="AQ142" s="206">
        <f t="shared" si="52"/>
        <v>0</v>
      </c>
      <c r="AR142" s="206">
        <f t="shared" si="53"/>
        <v>0</v>
      </c>
      <c r="AY142" s="3"/>
    </row>
    <row r="143" spans="1:51">
      <c r="A143" s="54"/>
      <c r="B143" s="43">
        <f>'11. Desinvesteringen'!B427</f>
        <v>0</v>
      </c>
      <c r="C143" s="54"/>
      <c r="D143" s="54"/>
      <c r="E143" s="54"/>
      <c r="F143" s="48">
        <f>'5. Input GAW-waarde desinv.'!D103</f>
        <v>0</v>
      </c>
      <c r="G143" s="188">
        <f>'11. Desinvesteringen'!D427</f>
        <v>0</v>
      </c>
      <c r="H143" s="188">
        <f>'11. Desinvesteringen'!G427</f>
        <v>0</v>
      </c>
      <c r="I143" s="43">
        <f>'11. Desinvesteringen'!C427</f>
        <v>0</v>
      </c>
      <c r="J143" s="177">
        <f>'11. Desinvesteringen'!F427</f>
        <v>0</v>
      </c>
      <c r="K143" s="44" t="e">
        <f>_xlfn.XLOOKUP(I143,'3. Input (des)investeringen '!$B$11:$B$80,'3. Input (des)investeringen '!$E$11:$E$80)</f>
        <v>#N/A</v>
      </c>
      <c r="L143" s="54"/>
      <c r="M143" s="44">
        <f>_xlfn.XLOOKUP(I143,'3. Input (des)investeringen '!$B$11:$B$80,'3. Input (des)investeringen '!$D$11:$D$80,0)</f>
        <v>0</v>
      </c>
      <c r="N143" s="44">
        <f t="shared" si="32"/>
        <v>0</v>
      </c>
      <c r="P143" s="49">
        <f t="shared" si="33"/>
        <v>0</v>
      </c>
      <c r="Q143" s="49">
        <f t="shared" si="33"/>
        <v>0</v>
      </c>
      <c r="R143" s="49">
        <f t="shared" si="33"/>
        <v>0</v>
      </c>
      <c r="S143" s="103">
        <f t="shared" si="33"/>
        <v>0</v>
      </c>
      <c r="T143" s="103">
        <f t="shared" si="33"/>
        <v>0</v>
      </c>
      <c r="V143" s="49">
        <f t="shared" si="34"/>
        <v>0</v>
      </c>
      <c r="W143" s="49">
        <f t="shared" si="35"/>
        <v>0</v>
      </c>
      <c r="X143" s="49">
        <f t="shared" si="36"/>
        <v>0</v>
      </c>
      <c r="Y143" s="103">
        <f t="shared" si="37"/>
        <v>0</v>
      </c>
      <c r="Z143" s="103">
        <f t="shared" si="38"/>
        <v>0</v>
      </c>
      <c r="AB143" s="49">
        <f t="shared" si="39"/>
        <v>0</v>
      </c>
      <c r="AC143" s="49">
        <f t="shared" si="40"/>
        <v>0</v>
      </c>
      <c r="AD143" s="49">
        <f t="shared" si="41"/>
        <v>0</v>
      </c>
      <c r="AE143" s="103">
        <f t="shared" si="42"/>
        <v>0</v>
      </c>
      <c r="AF143" s="103">
        <f t="shared" si="43"/>
        <v>0</v>
      </c>
      <c r="AH143" s="49">
        <f t="shared" si="44"/>
        <v>0</v>
      </c>
      <c r="AI143" s="49">
        <f t="shared" si="45"/>
        <v>0</v>
      </c>
      <c r="AJ143" s="49">
        <f t="shared" si="46"/>
        <v>0</v>
      </c>
      <c r="AK143" s="103">
        <f t="shared" si="47"/>
        <v>0</v>
      </c>
      <c r="AL143" s="103">
        <f t="shared" si="48"/>
        <v>0</v>
      </c>
      <c r="AN143" s="53" t="e">
        <f t="shared" si="49"/>
        <v>#N/A</v>
      </c>
      <c r="AO143" s="53" t="e">
        <f t="shared" si="50"/>
        <v>#N/A</v>
      </c>
      <c r="AP143" s="53" t="e">
        <f t="shared" si="51"/>
        <v>#N/A</v>
      </c>
      <c r="AQ143" s="206" t="e">
        <f t="shared" si="52"/>
        <v>#N/A</v>
      </c>
      <c r="AR143" s="206" t="e">
        <f t="shared" si="53"/>
        <v>#N/A</v>
      </c>
      <c r="AY143" s="3"/>
    </row>
    <row r="144" spans="1:51">
      <c r="A144" s="54"/>
      <c r="B144" s="43">
        <f>'11. Desinvesteringen'!B428</f>
        <v>0</v>
      </c>
      <c r="C144" s="54"/>
      <c r="D144" s="54"/>
      <c r="E144" s="54"/>
      <c r="F144" s="48">
        <f>'5. Input GAW-waarde desinv.'!D104</f>
        <v>0</v>
      </c>
      <c r="G144" s="188">
        <f>'11. Desinvesteringen'!D428</f>
        <v>0</v>
      </c>
      <c r="H144" s="188">
        <f>'11. Desinvesteringen'!G428</f>
        <v>0</v>
      </c>
      <c r="I144" s="43">
        <f>'11. Desinvesteringen'!C428</f>
        <v>0</v>
      </c>
      <c r="J144" s="177">
        <f>'11. Desinvesteringen'!F428</f>
        <v>0</v>
      </c>
      <c r="K144" s="44" t="e">
        <f>_xlfn.XLOOKUP(I144,'3. Input (des)investeringen '!$B$11:$B$80,'3. Input (des)investeringen '!$E$11:$E$80)</f>
        <v>#N/A</v>
      </c>
      <c r="L144" s="54"/>
      <c r="M144" s="44">
        <f>_xlfn.XLOOKUP(I144,'3. Input (des)investeringen '!$B$11:$B$80,'3. Input (des)investeringen '!$D$11:$D$80,0)</f>
        <v>0</v>
      </c>
      <c r="N144" s="44">
        <f t="shared" si="32"/>
        <v>0</v>
      </c>
      <c r="P144" s="49">
        <f t="shared" si="33"/>
        <v>0</v>
      </c>
      <c r="Q144" s="49">
        <f t="shared" si="33"/>
        <v>0</v>
      </c>
      <c r="R144" s="49">
        <f t="shared" si="33"/>
        <v>0</v>
      </c>
      <c r="S144" s="103">
        <f t="shared" si="33"/>
        <v>0</v>
      </c>
      <c r="T144" s="103">
        <f t="shared" si="33"/>
        <v>0</v>
      </c>
      <c r="V144" s="49">
        <f t="shared" si="34"/>
        <v>0</v>
      </c>
      <c r="W144" s="49">
        <f t="shared" si="35"/>
        <v>0</v>
      </c>
      <c r="X144" s="49">
        <f t="shared" si="36"/>
        <v>0</v>
      </c>
      <c r="Y144" s="103">
        <f t="shared" si="37"/>
        <v>0</v>
      </c>
      <c r="Z144" s="103">
        <f t="shared" si="38"/>
        <v>0</v>
      </c>
      <c r="AB144" s="49">
        <f t="shared" si="39"/>
        <v>0</v>
      </c>
      <c r="AC144" s="49">
        <f t="shared" si="40"/>
        <v>0</v>
      </c>
      <c r="AD144" s="49">
        <f t="shared" si="41"/>
        <v>0</v>
      </c>
      <c r="AE144" s="103">
        <f t="shared" si="42"/>
        <v>0</v>
      </c>
      <c r="AF144" s="103">
        <f t="shared" si="43"/>
        <v>0</v>
      </c>
      <c r="AH144" s="49">
        <f t="shared" si="44"/>
        <v>0</v>
      </c>
      <c r="AI144" s="49">
        <f t="shared" si="45"/>
        <v>0</v>
      </c>
      <c r="AJ144" s="49">
        <f t="shared" si="46"/>
        <v>0</v>
      </c>
      <c r="AK144" s="103">
        <f t="shared" si="47"/>
        <v>0</v>
      </c>
      <c r="AL144" s="103">
        <f t="shared" si="48"/>
        <v>0</v>
      </c>
      <c r="AN144" s="53" t="e">
        <f t="shared" si="49"/>
        <v>#N/A</v>
      </c>
      <c r="AO144" s="53" t="e">
        <f t="shared" si="50"/>
        <v>#N/A</v>
      </c>
      <c r="AP144" s="53" t="e">
        <f t="shared" si="51"/>
        <v>#N/A</v>
      </c>
      <c r="AQ144" s="206" t="e">
        <f t="shared" si="52"/>
        <v>#N/A</v>
      </c>
      <c r="AR144" s="206" t="e">
        <f t="shared" si="53"/>
        <v>#N/A</v>
      </c>
      <c r="AY144" s="3"/>
    </row>
    <row r="145" spans="1:51">
      <c r="A145" s="54"/>
      <c r="B145" s="43">
        <f>'11. Desinvesteringen'!B429</f>
        <v>0</v>
      </c>
      <c r="C145" s="54"/>
      <c r="D145" s="54"/>
      <c r="E145" s="54"/>
      <c r="F145" s="48">
        <f>'5. Input GAW-waarde desinv.'!D105</f>
        <v>0</v>
      </c>
      <c r="G145" s="188">
        <f>'11. Desinvesteringen'!D429</f>
        <v>0</v>
      </c>
      <c r="H145" s="188">
        <f>'11. Desinvesteringen'!G429</f>
        <v>0</v>
      </c>
      <c r="I145" s="43">
        <f>'11. Desinvesteringen'!C429</f>
        <v>0</v>
      </c>
      <c r="J145" s="177">
        <f>'11. Desinvesteringen'!F429</f>
        <v>0</v>
      </c>
      <c r="K145" s="44" t="e">
        <f>_xlfn.XLOOKUP(I145,'3. Input (des)investeringen '!$B$11:$B$80,'3. Input (des)investeringen '!$E$11:$E$80)</f>
        <v>#N/A</v>
      </c>
      <c r="L145" s="54"/>
      <c r="M145" s="44">
        <f>_xlfn.XLOOKUP(I145,'3. Input (des)investeringen '!$B$11:$B$80,'3. Input (des)investeringen '!$D$11:$D$80,0)</f>
        <v>0</v>
      </c>
      <c r="N145" s="44">
        <f t="shared" si="32"/>
        <v>0</v>
      </c>
      <c r="P145" s="49">
        <f t="shared" si="33"/>
        <v>0</v>
      </c>
      <c r="Q145" s="49">
        <f t="shared" si="33"/>
        <v>0</v>
      </c>
      <c r="R145" s="49">
        <f t="shared" si="33"/>
        <v>0</v>
      </c>
      <c r="S145" s="103">
        <f t="shared" si="33"/>
        <v>0</v>
      </c>
      <c r="T145" s="103">
        <f t="shared" si="33"/>
        <v>0</v>
      </c>
      <c r="V145" s="49">
        <f t="shared" si="34"/>
        <v>0</v>
      </c>
      <c r="W145" s="49">
        <f t="shared" si="35"/>
        <v>0</v>
      </c>
      <c r="X145" s="49">
        <f t="shared" si="36"/>
        <v>0</v>
      </c>
      <c r="Y145" s="103">
        <f t="shared" si="37"/>
        <v>0</v>
      </c>
      <c r="Z145" s="103">
        <f t="shared" si="38"/>
        <v>0</v>
      </c>
      <c r="AB145" s="49">
        <f t="shared" si="39"/>
        <v>0</v>
      </c>
      <c r="AC145" s="49">
        <f t="shared" si="40"/>
        <v>0</v>
      </c>
      <c r="AD145" s="49">
        <f t="shared" si="41"/>
        <v>0</v>
      </c>
      <c r="AE145" s="103">
        <f t="shared" si="42"/>
        <v>0</v>
      </c>
      <c r="AF145" s="103">
        <f t="shared" si="43"/>
        <v>0</v>
      </c>
      <c r="AH145" s="49">
        <f t="shared" si="44"/>
        <v>0</v>
      </c>
      <c r="AI145" s="49">
        <f t="shared" si="45"/>
        <v>0</v>
      </c>
      <c r="AJ145" s="49">
        <f t="shared" si="46"/>
        <v>0</v>
      </c>
      <c r="AK145" s="103">
        <f t="shared" si="47"/>
        <v>0</v>
      </c>
      <c r="AL145" s="103">
        <f t="shared" si="48"/>
        <v>0</v>
      </c>
      <c r="AN145" s="53" t="e">
        <f t="shared" si="49"/>
        <v>#N/A</v>
      </c>
      <c r="AO145" s="53" t="e">
        <f t="shared" si="50"/>
        <v>#N/A</v>
      </c>
      <c r="AP145" s="53" t="e">
        <f t="shared" si="51"/>
        <v>#N/A</v>
      </c>
      <c r="AQ145" s="206" t="e">
        <f t="shared" si="52"/>
        <v>#N/A</v>
      </c>
      <c r="AR145" s="206" t="e">
        <f t="shared" si="53"/>
        <v>#N/A</v>
      </c>
      <c r="AY145" s="3"/>
    </row>
    <row r="146" spans="1:51">
      <c r="A146" s="54"/>
      <c r="B146" s="43">
        <f>'11. Desinvesteringen'!B430</f>
        <v>0</v>
      </c>
      <c r="C146" s="54"/>
      <c r="D146" s="54"/>
      <c r="E146" s="54"/>
      <c r="F146" s="48">
        <f>'5. Input GAW-waarde desinv.'!D106</f>
        <v>0</v>
      </c>
      <c r="G146" s="188">
        <f>'11. Desinvesteringen'!D430</f>
        <v>0</v>
      </c>
      <c r="H146" s="188">
        <f>'11. Desinvesteringen'!G430</f>
        <v>0</v>
      </c>
      <c r="I146" s="43">
        <f>'11. Desinvesteringen'!C430</f>
        <v>0</v>
      </c>
      <c r="J146" s="177">
        <f>'11. Desinvesteringen'!F430</f>
        <v>0</v>
      </c>
      <c r="K146" s="44" t="e">
        <f>_xlfn.XLOOKUP(I146,'3. Input (des)investeringen '!$B$11:$B$80,'3. Input (des)investeringen '!$E$11:$E$80)</f>
        <v>#N/A</v>
      </c>
      <c r="L146" s="54"/>
      <c r="M146" s="44">
        <f>_xlfn.XLOOKUP(I146,'3. Input (des)investeringen '!$B$11:$B$80,'3. Input (des)investeringen '!$D$11:$D$80,0)</f>
        <v>0</v>
      </c>
      <c r="N146" s="44">
        <f t="shared" si="32"/>
        <v>0</v>
      </c>
      <c r="P146" s="49">
        <f t="shared" si="33"/>
        <v>0</v>
      </c>
      <c r="Q146" s="49">
        <f t="shared" si="33"/>
        <v>0</v>
      </c>
      <c r="R146" s="49">
        <f t="shared" si="33"/>
        <v>0</v>
      </c>
      <c r="S146" s="103">
        <f t="shared" si="33"/>
        <v>0</v>
      </c>
      <c r="T146" s="103">
        <f t="shared" si="33"/>
        <v>0</v>
      </c>
      <c r="V146" s="49">
        <f t="shared" si="34"/>
        <v>0</v>
      </c>
      <c r="W146" s="49">
        <f t="shared" si="35"/>
        <v>0</v>
      </c>
      <c r="X146" s="49">
        <f t="shared" si="36"/>
        <v>0</v>
      </c>
      <c r="Y146" s="103">
        <f t="shared" si="37"/>
        <v>0</v>
      </c>
      <c r="Z146" s="103">
        <f t="shared" si="38"/>
        <v>0</v>
      </c>
      <c r="AB146" s="49">
        <f t="shared" si="39"/>
        <v>0</v>
      </c>
      <c r="AC146" s="49">
        <f t="shared" si="40"/>
        <v>0</v>
      </c>
      <c r="AD146" s="49">
        <f t="shared" si="41"/>
        <v>0</v>
      </c>
      <c r="AE146" s="103">
        <f t="shared" si="42"/>
        <v>0</v>
      </c>
      <c r="AF146" s="103">
        <f t="shared" si="43"/>
        <v>0</v>
      </c>
      <c r="AH146" s="49">
        <f t="shared" si="44"/>
        <v>0</v>
      </c>
      <c r="AI146" s="49">
        <f t="shared" si="45"/>
        <v>0</v>
      </c>
      <c r="AJ146" s="49">
        <f t="shared" si="46"/>
        <v>0</v>
      </c>
      <c r="AK146" s="103">
        <f t="shared" si="47"/>
        <v>0</v>
      </c>
      <c r="AL146" s="103">
        <f t="shared" si="48"/>
        <v>0</v>
      </c>
      <c r="AN146" s="53" t="e">
        <f t="shared" si="49"/>
        <v>#N/A</v>
      </c>
      <c r="AO146" s="53" t="e">
        <f t="shared" si="50"/>
        <v>#N/A</v>
      </c>
      <c r="AP146" s="53" t="e">
        <f t="shared" si="51"/>
        <v>#N/A</v>
      </c>
      <c r="AQ146" s="206" t="e">
        <f t="shared" si="52"/>
        <v>#N/A</v>
      </c>
      <c r="AR146" s="206" t="e">
        <f t="shared" si="53"/>
        <v>#N/A</v>
      </c>
      <c r="AY146" s="3"/>
    </row>
    <row r="147" spans="1:51">
      <c r="A147" s="54"/>
      <c r="B147" s="43">
        <f>'11. Desinvesteringen'!B431</f>
        <v>0</v>
      </c>
      <c r="C147" s="54"/>
      <c r="D147" s="54"/>
      <c r="E147" s="54"/>
      <c r="F147" s="48">
        <f>'5. Input GAW-waarde desinv.'!D107</f>
        <v>0</v>
      </c>
      <c r="G147" s="188">
        <f>'11. Desinvesteringen'!D431</f>
        <v>0</v>
      </c>
      <c r="H147" s="188">
        <f>'11. Desinvesteringen'!G431</f>
        <v>0</v>
      </c>
      <c r="I147" s="43">
        <f>'11. Desinvesteringen'!C431</f>
        <v>0</v>
      </c>
      <c r="J147" s="177">
        <f>'11. Desinvesteringen'!F431</f>
        <v>0</v>
      </c>
      <c r="K147" s="44" t="e">
        <f>_xlfn.XLOOKUP(I147,'3. Input (des)investeringen '!$B$11:$B$80,'3. Input (des)investeringen '!$E$11:$E$80)</f>
        <v>#N/A</v>
      </c>
      <c r="L147" s="54"/>
      <c r="M147" s="44">
        <f>_xlfn.XLOOKUP(I147,'3. Input (des)investeringen '!$B$11:$B$80,'3. Input (des)investeringen '!$D$11:$D$80,0)</f>
        <v>0</v>
      </c>
      <c r="N147" s="44">
        <f t="shared" si="32"/>
        <v>0</v>
      </c>
      <c r="P147" s="49">
        <f t="shared" si="33"/>
        <v>0</v>
      </c>
      <c r="Q147" s="49">
        <f t="shared" si="33"/>
        <v>0</v>
      </c>
      <c r="R147" s="49">
        <f t="shared" si="33"/>
        <v>0</v>
      </c>
      <c r="S147" s="103">
        <f t="shared" si="33"/>
        <v>0</v>
      </c>
      <c r="T147" s="103">
        <f t="shared" si="33"/>
        <v>0</v>
      </c>
      <c r="V147" s="49">
        <f t="shared" si="34"/>
        <v>0</v>
      </c>
      <c r="W147" s="49">
        <f t="shared" si="35"/>
        <v>0</v>
      </c>
      <c r="X147" s="49">
        <f t="shared" si="36"/>
        <v>0</v>
      </c>
      <c r="Y147" s="103">
        <f t="shared" si="37"/>
        <v>0</v>
      </c>
      <c r="Z147" s="103">
        <f t="shared" si="38"/>
        <v>0</v>
      </c>
      <c r="AB147" s="49">
        <f t="shared" si="39"/>
        <v>0</v>
      </c>
      <c r="AC147" s="49">
        <f t="shared" si="40"/>
        <v>0</v>
      </c>
      <c r="AD147" s="49">
        <f t="shared" si="41"/>
        <v>0</v>
      </c>
      <c r="AE147" s="103">
        <f t="shared" si="42"/>
        <v>0</v>
      </c>
      <c r="AF147" s="103">
        <f t="shared" si="43"/>
        <v>0</v>
      </c>
      <c r="AH147" s="49">
        <f t="shared" si="44"/>
        <v>0</v>
      </c>
      <c r="AI147" s="49">
        <f t="shared" si="45"/>
        <v>0</v>
      </c>
      <c r="AJ147" s="49">
        <f t="shared" si="46"/>
        <v>0</v>
      </c>
      <c r="AK147" s="103">
        <f t="shared" si="47"/>
        <v>0</v>
      </c>
      <c r="AL147" s="103">
        <f t="shared" si="48"/>
        <v>0</v>
      </c>
      <c r="AN147" s="53" t="e">
        <f t="shared" si="49"/>
        <v>#N/A</v>
      </c>
      <c r="AO147" s="53" t="e">
        <f t="shared" si="50"/>
        <v>#N/A</v>
      </c>
      <c r="AP147" s="53" t="e">
        <f t="shared" si="51"/>
        <v>#N/A</v>
      </c>
      <c r="AQ147" s="206" t="e">
        <f t="shared" si="52"/>
        <v>#N/A</v>
      </c>
      <c r="AR147" s="206" t="e">
        <f t="shared" si="53"/>
        <v>#N/A</v>
      </c>
      <c r="AY147" s="3"/>
    </row>
    <row r="148" spans="1:51">
      <c r="A148" s="54"/>
      <c r="B148" s="43">
        <f>'11. Desinvesteringen'!B432</f>
        <v>0</v>
      </c>
      <c r="C148" s="54"/>
      <c r="D148" s="54"/>
      <c r="E148" s="54"/>
      <c r="F148" s="48">
        <f>'5. Input GAW-waarde desinv.'!D108</f>
        <v>0</v>
      </c>
      <c r="G148" s="188">
        <f>'11. Desinvesteringen'!D432</f>
        <v>0</v>
      </c>
      <c r="H148" s="188">
        <f>'11. Desinvesteringen'!G432</f>
        <v>0</v>
      </c>
      <c r="I148" s="43">
        <f>'11. Desinvesteringen'!C432</f>
        <v>0</v>
      </c>
      <c r="J148" s="177">
        <f>'11. Desinvesteringen'!F432</f>
        <v>0</v>
      </c>
      <c r="K148" s="44" t="e">
        <f>_xlfn.XLOOKUP(I148,'3. Input (des)investeringen '!$B$11:$B$80,'3. Input (des)investeringen '!$E$11:$E$80)</f>
        <v>#N/A</v>
      </c>
      <c r="L148" s="54"/>
      <c r="M148" s="44">
        <f>_xlfn.XLOOKUP(I148,'3. Input (des)investeringen '!$B$11:$B$80,'3. Input (des)investeringen '!$D$11:$D$80,0)</f>
        <v>0</v>
      </c>
      <c r="N148" s="44">
        <f t="shared" si="32"/>
        <v>0</v>
      </c>
      <c r="P148" s="49">
        <f t="shared" si="33"/>
        <v>0</v>
      </c>
      <c r="Q148" s="49">
        <f t="shared" si="33"/>
        <v>0</v>
      </c>
      <c r="R148" s="49">
        <f t="shared" si="33"/>
        <v>0</v>
      </c>
      <c r="S148" s="103">
        <f t="shared" si="33"/>
        <v>0</v>
      </c>
      <c r="T148" s="103">
        <f t="shared" si="33"/>
        <v>0</v>
      </c>
      <c r="V148" s="49">
        <f t="shared" si="34"/>
        <v>0</v>
      </c>
      <c r="W148" s="49">
        <f t="shared" si="35"/>
        <v>0</v>
      </c>
      <c r="X148" s="49">
        <f t="shared" si="36"/>
        <v>0</v>
      </c>
      <c r="Y148" s="103">
        <f t="shared" si="37"/>
        <v>0</v>
      </c>
      <c r="Z148" s="103">
        <f t="shared" si="38"/>
        <v>0</v>
      </c>
      <c r="AB148" s="49">
        <f t="shared" si="39"/>
        <v>0</v>
      </c>
      <c r="AC148" s="49">
        <f t="shared" si="40"/>
        <v>0</v>
      </c>
      <c r="AD148" s="49">
        <f t="shared" si="41"/>
        <v>0</v>
      </c>
      <c r="AE148" s="103">
        <f t="shared" si="42"/>
        <v>0</v>
      </c>
      <c r="AF148" s="103">
        <f t="shared" si="43"/>
        <v>0</v>
      </c>
      <c r="AH148" s="49">
        <f t="shared" si="44"/>
        <v>0</v>
      </c>
      <c r="AI148" s="49">
        <f t="shared" si="45"/>
        <v>0</v>
      </c>
      <c r="AJ148" s="49">
        <f t="shared" si="46"/>
        <v>0</v>
      </c>
      <c r="AK148" s="103">
        <f t="shared" si="47"/>
        <v>0</v>
      </c>
      <c r="AL148" s="103">
        <f t="shared" si="48"/>
        <v>0</v>
      </c>
      <c r="AN148" s="53" t="e">
        <f t="shared" si="49"/>
        <v>#N/A</v>
      </c>
      <c r="AO148" s="53" t="e">
        <f t="shared" si="50"/>
        <v>#N/A</v>
      </c>
      <c r="AP148" s="53" t="e">
        <f t="shared" si="51"/>
        <v>#N/A</v>
      </c>
      <c r="AQ148" s="206" t="e">
        <f t="shared" si="52"/>
        <v>#N/A</v>
      </c>
      <c r="AR148" s="206" t="e">
        <f t="shared" si="53"/>
        <v>#N/A</v>
      </c>
      <c r="AY148" s="3"/>
    </row>
    <row r="149" spans="1:51" s="251" customFormat="1">
      <c r="A149" s="247"/>
      <c r="B149" s="246">
        <f>'11. Desinvesteringen'!B456</f>
        <v>0</v>
      </c>
      <c r="C149" s="247"/>
      <c r="D149" s="247"/>
      <c r="E149" s="247"/>
      <c r="F149" s="248">
        <f>'5. Input GAW-waarde desinv.'!D40</f>
        <v>354150.64233630133</v>
      </c>
      <c r="G149" s="246">
        <f>'11. Desinvesteringen'!D456</f>
        <v>0</v>
      </c>
      <c r="H149" s="246">
        <f>'11. Desinvesteringen'!G456</f>
        <v>0</v>
      </c>
      <c r="I149" s="246">
        <f>'11. Desinvesteringen'!C456</f>
        <v>0</v>
      </c>
      <c r="J149" s="249">
        <f>'11. Desinvesteringen'!F456</f>
        <v>0</v>
      </c>
      <c r="K149" s="44" t="e">
        <f>_xlfn.XLOOKUP(I149,'3. Input (des)investeringen '!$B$11:$B$80,'3. Input (des)investeringen '!$E$11:$E$80)</f>
        <v>#N/A</v>
      </c>
      <c r="L149" s="247"/>
      <c r="M149" s="250">
        <f>_xlfn.XLOOKUP(I149,'3. Input (des)investeringen '!$B$11:$B$80,'3. Input (des)investeringen '!$D$11:$D$80,0)</f>
        <v>0</v>
      </c>
      <c r="N149" s="250">
        <f t="shared" ref="N149:N150" si="54">IF($M149&gt;0, MAX(0,IF(G149&lt;2022,M149-2021+G149-0.5,M149)), 0)</f>
        <v>0</v>
      </c>
      <c r="P149" s="252">
        <f t="shared" ref="P149:T150" si="55">IF($M149&gt;0, IF(OR($G149&gt;P$49,$G149+$M149&lt;P$49),0,
VDB($F149,0,$N149,MAX(0,P$49-2022),MIN($N149,P$49-2021),$F$22,FALSE))*(1-$F$25), 0)</f>
        <v>0</v>
      </c>
      <c r="Q149" s="252">
        <f t="shared" si="55"/>
        <v>0</v>
      </c>
      <c r="R149" s="252">
        <f t="shared" si="55"/>
        <v>0</v>
      </c>
      <c r="S149" s="253">
        <f t="shared" si="55"/>
        <v>0</v>
      </c>
      <c r="T149" s="253">
        <f t="shared" si="55"/>
        <v>0</v>
      </c>
      <c r="V149" s="252">
        <f t="shared" ref="V149:V150" si="56">IF($M149&gt;0, IF(OR($G149&gt;V$49,$G149+$M149&lt;V$49),0,
VDB($F149,0,$N149,MAX(0,P$49-2022),MIN($N149,P$49-2021),1,FALSE))*$F$25, 0)</f>
        <v>0</v>
      </c>
      <c r="W149" s="252">
        <f t="shared" ref="W149:W150" si="57">IF($M149&gt;0, IF(OR($G149&gt;W$49,$G149+$M149&lt;W$49),0,
VDB($F149,0,$N149,MAX(0,Q$49-2022),MIN($N149,Q$49-2021),1,FALSE))*$F$25, 0)</f>
        <v>0</v>
      </c>
      <c r="X149" s="252">
        <f t="shared" ref="X149:X150" si="58">IF($M149&gt;0, IF(OR($G149&gt;X$49,$G149+$M149&lt;X$49),0,
VDB($F149,0,$N149,MAX(0,R$49-2022),MIN($N149,R$49-2021),1,FALSE))*$F$25, 0)</f>
        <v>0</v>
      </c>
      <c r="Y149" s="253">
        <f t="shared" ref="Y149:Y150" si="59">IF($M149&gt;0, IF(OR($G149&gt;Y$49,$G149+$M149&lt;Y$49),0,
VDB($F149,0,$N149,MAX(0,S$49-2022),MIN($N149,S$49-2021),1,FALSE))*$F$25, 0)</f>
        <v>0</v>
      </c>
      <c r="Z149" s="253">
        <f t="shared" ref="Z149:Z150" si="60">IF($M149&gt;0, IF(OR($G149&gt;Z$49,$G149+$M149&lt;Z$49),0,
VDB($F149,0,$N149,MAX(0,T$49-2022),MIN($N149,T$49-2021),1,FALSE))*$F$25, 0)</f>
        <v>0</v>
      </c>
      <c r="AB149" s="252">
        <f t="shared" ref="AB149:AB150" si="61">P149+V149</f>
        <v>0</v>
      </c>
      <c r="AC149" s="252">
        <f t="shared" ref="AC149:AC150" si="62">Q149+W149</f>
        <v>0</v>
      </c>
      <c r="AD149" s="252">
        <f t="shared" ref="AD149:AD150" si="63">R149+X149</f>
        <v>0</v>
      </c>
      <c r="AE149" s="253">
        <f t="shared" ref="AE149:AE150" si="64">S149+Y149</f>
        <v>0</v>
      </c>
      <c r="AF149" s="253">
        <f t="shared" ref="AF149:AF150" si="65">T149+Z149</f>
        <v>0</v>
      </c>
      <c r="AH149" s="252">
        <f t="shared" ref="AH149:AH150" si="66">IF($M149&gt;0, IF($M149&gt;0,IF(OR($G149&gt;AH$49,$G149+$M149&lt;=AH$49),0,IF(AH$49=2022,$F149-AB149,AG149-AB149))), $F149)</f>
        <v>354150.64233630133</v>
      </c>
      <c r="AI149" s="252">
        <f t="shared" ref="AI149:AI150" si="67">IF($M149&gt;0, IF(OR($G149&gt;AI$49,$G149+$M149&lt;=AI$49),0,IF(AI$49=2022,$F149-AC149,AH149-AC149)), AH149)</f>
        <v>354150.64233630133</v>
      </c>
      <c r="AJ149" s="252">
        <f t="shared" ref="AJ149:AJ150" si="68">IF($M149&gt;0, IF(OR($G149&gt;AJ$49,$G149+$M149&lt;=AJ$49),0,IF(AJ$49=2022,$F149-AD149,AI149-AD149)), AI149)</f>
        <v>354150.64233630133</v>
      </c>
      <c r="AK149" s="253">
        <f t="shared" ref="AK149:AK150" si="69">IF($M149&gt;0, IF(OR($G149&gt;AK$49,$G149+$M149&lt;=AK$49),0,IF(AK$49=2022,$F149-AE149,AJ149-AE149)), AJ149)</f>
        <v>354150.64233630133</v>
      </c>
      <c r="AL149" s="253">
        <f t="shared" ref="AL149:AL150" si="70">IF($M149&gt;0, IF(OR($G149&gt;AL$49,$G149+$M149&lt;=AL$49),0,IF(AL$49=2022,$F149-AF149,AK149-AF149)), AK149)</f>
        <v>354150.64233630133</v>
      </c>
      <c r="AN149" s="250" t="e">
        <f t="shared" ref="AN149:AN150" si="71">(AB149+AH149*H$16)*IF($K149=1,$F$31,1)</f>
        <v>#N/A</v>
      </c>
      <c r="AO149" s="250" t="e">
        <f t="shared" ref="AO149:AO150" si="72">(AC149+AI149*I$16)*IF($K149=1,$F$31,1)</f>
        <v>#N/A</v>
      </c>
      <c r="AP149" s="250" t="e">
        <f t="shared" ref="AP149:AP150" si="73">(AD149+AJ149*J$16)*IF($K149=1,$F$31,1)</f>
        <v>#N/A</v>
      </c>
      <c r="AQ149" s="262" t="e">
        <f t="shared" ref="AQ149:AQ150" si="74">(AE149+AK149*K$16)*IF($K149=1,$F$31,1)</f>
        <v>#N/A</v>
      </c>
      <c r="AR149" s="262" t="e">
        <f t="shared" ref="AR149:AR150" si="75">(AF149+AL149*L$16)*IF($K149=1,$F$31,1)</f>
        <v>#N/A</v>
      </c>
      <c r="AS149" s="254"/>
      <c r="AT149" s="254"/>
      <c r="AU149" s="254"/>
      <c r="AV149" s="254"/>
      <c r="AW149" s="254"/>
      <c r="AX149" s="254"/>
    </row>
    <row r="150" spans="1:51" s="251" customFormat="1">
      <c r="A150" s="247"/>
      <c r="B150" s="246">
        <f>'11. Desinvesteringen'!B457</f>
        <v>0</v>
      </c>
      <c r="C150" s="247"/>
      <c r="D150" s="247"/>
      <c r="E150" s="247"/>
      <c r="F150" s="248">
        <f>'5. Input GAW-waarde desinv.'!D41</f>
        <v>152476.71374613314</v>
      </c>
      <c r="G150" s="246">
        <f>'11. Desinvesteringen'!D457</f>
        <v>0</v>
      </c>
      <c r="H150" s="246">
        <f>'11. Desinvesteringen'!G457</f>
        <v>0</v>
      </c>
      <c r="I150" s="246">
        <f>'11. Desinvesteringen'!C457</f>
        <v>0</v>
      </c>
      <c r="J150" s="249">
        <f>'11. Desinvesteringen'!F457</f>
        <v>0</v>
      </c>
      <c r="K150" s="44" t="e">
        <f>_xlfn.XLOOKUP(I150,'3. Input (des)investeringen '!$B$11:$B$80,'3. Input (des)investeringen '!$E$11:$E$80)</f>
        <v>#N/A</v>
      </c>
      <c r="L150" s="247"/>
      <c r="M150" s="250">
        <f>_xlfn.XLOOKUP(I150,'3. Input (des)investeringen '!$B$11:$B$80,'3. Input (des)investeringen '!$D$11:$D$80,0)</f>
        <v>0</v>
      </c>
      <c r="N150" s="250">
        <f t="shared" si="54"/>
        <v>0</v>
      </c>
      <c r="P150" s="252">
        <f t="shared" si="55"/>
        <v>0</v>
      </c>
      <c r="Q150" s="252">
        <f t="shared" si="55"/>
        <v>0</v>
      </c>
      <c r="R150" s="252">
        <f t="shared" si="55"/>
        <v>0</v>
      </c>
      <c r="S150" s="253">
        <f t="shared" si="55"/>
        <v>0</v>
      </c>
      <c r="T150" s="253">
        <f t="shared" si="55"/>
        <v>0</v>
      </c>
      <c r="V150" s="252">
        <f t="shared" si="56"/>
        <v>0</v>
      </c>
      <c r="W150" s="252">
        <f t="shared" si="57"/>
        <v>0</v>
      </c>
      <c r="X150" s="252">
        <f t="shared" si="58"/>
        <v>0</v>
      </c>
      <c r="Y150" s="253">
        <f t="shared" si="59"/>
        <v>0</v>
      </c>
      <c r="Z150" s="253">
        <f t="shared" si="60"/>
        <v>0</v>
      </c>
      <c r="AB150" s="252">
        <f t="shared" si="61"/>
        <v>0</v>
      </c>
      <c r="AC150" s="252">
        <f t="shared" si="62"/>
        <v>0</v>
      </c>
      <c r="AD150" s="252">
        <f t="shared" si="63"/>
        <v>0</v>
      </c>
      <c r="AE150" s="253">
        <f t="shared" si="64"/>
        <v>0</v>
      </c>
      <c r="AF150" s="253">
        <f t="shared" si="65"/>
        <v>0</v>
      </c>
      <c r="AH150" s="252">
        <f t="shared" si="66"/>
        <v>152476.71374613314</v>
      </c>
      <c r="AI150" s="252">
        <f t="shared" si="67"/>
        <v>152476.71374613314</v>
      </c>
      <c r="AJ150" s="252">
        <f t="shared" si="68"/>
        <v>152476.71374613314</v>
      </c>
      <c r="AK150" s="253">
        <f t="shared" si="69"/>
        <v>152476.71374613314</v>
      </c>
      <c r="AL150" s="253">
        <f t="shared" si="70"/>
        <v>152476.71374613314</v>
      </c>
      <c r="AN150" s="250" t="e">
        <f t="shared" si="71"/>
        <v>#N/A</v>
      </c>
      <c r="AO150" s="250" t="e">
        <f t="shared" si="72"/>
        <v>#N/A</v>
      </c>
      <c r="AP150" s="250" t="e">
        <f t="shared" si="73"/>
        <v>#N/A</v>
      </c>
      <c r="AQ150" s="262" t="e">
        <f t="shared" si="74"/>
        <v>#N/A</v>
      </c>
      <c r="AR150" s="262" t="e">
        <f t="shared" si="75"/>
        <v>#N/A</v>
      </c>
      <c r="AS150" s="254"/>
      <c r="AT150" s="254"/>
      <c r="AU150" s="254"/>
      <c r="AV150" s="254"/>
      <c r="AW150" s="254"/>
      <c r="AX150" s="254"/>
    </row>
    <row r="151" spans="1:51">
      <c r="C151" s="54"/>
      <c r="E151" s="54"/>
      <c r="G151" s="54"/>
      <c r="M151" s="54"/>
      <c r="AS151" s="3"/>
    </row>
    <row r="152" spans="1:51" s="39" customFormat="1">
      <c r="A152" s="106"/>
      <c r="B152" s="39" t="s">
        <v>858</v>
      </c>
    </row>
    <row r="153" spans="1:51" s="40" customFormat="1">
      <c r="A153" s="107"/>
      <c r="B153" s="40" t="s">
        <v>134</v>
      </c>
      <c r="D153" s="40" t="s">
        <v>175</v>
      </c>
      <c r="H153" s="109">
        <v>2022</v>
      </c>
      <c r="I153" s="109">
        <v>2023</v>
      </c>
      <c r="J153" s="109">
        <v>2024</v>
      </c>
      <c r="K153" s="109">
        <v>2025</v>
      </c>
      <c r="L153" s="109">
        <v>2026</v>
      </c>
    </row>
    <row r="155" spans="1:51">
      <c r="B155" s="3" t="s">
        <v>859</v>
      </c>
      <c r="D155" s="3" t="s">
        <v>183</v>
      </c>
      <c r="H155" s="10"/>
      <c r="I155" s="53">
        <f>SUMIF($H51:$H150,2022,AO51:AO150)</f>
        <v>341666.03329633852</v>
      </c>
      <c r="J155" s="53">
        <f t="shared" ref="J155:L155" si="76">SUMIF($H51:$H150,2022,AP51:AP150)</f>
        <v>309182.44478556217</v>
      </c>
      <c r="K155" s="53">
        <f t="shared" si="76"/>
        <v>286889.68893443007</v>
      </c>
      <c r="L155" s="53">
        <f t="shared" si="76"/>
        <v>268027.8214785484</v>
      </c>
    </row>
    <row r="156" spans="1:51">
      <c r="B156" s="3" t="s">
        <v>860</v>
      </c>
      <c r="D156" s="3" t="s">
        <v>183</v>
      </c>
      <c r="H156" s="49">
        <f>SUMIF($H51:$H150,H$153,AH$51:AH150)-SUMIF($H51:$H150,H$153,$J51:J150)*$F$28</f>
        <v>2854373.1382739237</v>
      </c>
      <c r="I156" s="49">
        <f ca="1">SUMIF($H51:$H150,I$153,AI$51)-SUMIF($H51:$H150,I$153,$J51)*$F$28</f>
        <v>0</v>
      </c>
      <c r="J156" s="49">
        <f ca="1">SUMIF($H51:$H150,J$153,AJ$51)-SUMIF($H51:$H150,J$153,$J51)*$F$28</f>
        <v>0</v>
      </c>
      <c r="K156" s="49">
        <f ca="1">SUMIF($H51:$H150,K$153,AK$51)-SUMIF($H51:$H150,K$153,$J51)*$F$28</f>
        <v>0</v>
      </c>
      <c r="L156" s="49">
        <f t="shared" ref="L156" ca="1" si="77">SUMIF($H51:$H150,L$153,AL$51)-SUMIF($H51:$H150,L$153,$J51)*$F$28</f>
        <v>0</v>
      </c>
    </row>
    <row r="157" spans="1:51">
      <c r="B157" s="3" t="s">
        <v>861</v>
      </c>
      <c r="D157" s="3" t="s">
        <v>183</v>
      </c>
      <c r="H157" s="10"/>
      <c r="I157" s="10"/>
      <c r="J157" s="57">
        <f>(H156-H155)*J34-I155*J35-J155</f>
        <v>2363403.9056672235</v>
      </c>
      <c r="K157" s="10"/>
      <c r="L157" s="10"/>
    </row>
  </sheetData>
  <mergeCells count="3">
    <mergeCell ref="B5:D5"/>
    <mergeCell ref="B7:D7"/>
    <mergeCell ref="B8:D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948"/>
  <sheetViews>
    <sheetView showGridLines="0" zoomScale="90" zoomScaleNormal="90" workbookViewId="0">
      <pane ySplit="9" topLeftCell="A10" activePane="bottomLeft" state="frozen"/>
      <selection pane="bottomLeft"/>
    </sheetView>
  </sheetViews>
  <sheetFormatPr defaultRowHeight="12.75"/>
  <cols>
    <col min="1" max="1" width="2.7109375" customWidth="1"/>
    <col min="2" max="2" width="72.42578125" bestFit="1" customWidth="1"/>
    <col min="3" max="3" width="2.7109375" customWidth="1"/>
    <col min="4" max="4" width="60.7109375" bestFit="1" customWidth="1"/>
    <col min="5" max="5" width="33.5703125" bestFit="1" customWidth="1"/>
    <col min="6" max="6" width="37.140625" bestFit="1" customWidth="1"/>
    <col min="7" max="7" width="30" customWidth="1"/>
    <col min="8" max="10" width="13.7109375"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862</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786</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22" t="s">
        <v>863</v>
      </c>
      <c r="C5" s="322"/>
      <c r="D5" s="322"/>
      <c r="E5" s="322"/>
      <c r="F5" s="322"/>
      <c r="G5" s="322"/>
      <c r="H5" s="322"/>
      <c r="I5" s="322"/>
      <c r="J5" s="322"/>
      <c r="K5" s="322"/>
      <c r="L5" s="322"/>
      <c r="M5" s="322"/>
      <c r="N5" s="322"/>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471</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22" t="s">
        <v>864</v>
      </c>
      <c r="C7" s="322"/>
      <c r="D7" s="322"/>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134</v>
      </c>
      <c r="H9" s="59"/>
      <c r="I9" s="52"/>
      <c r="J9" s="59"/>
      <c r="K9" s="52"/>
      <c r="L9" s="59"/>
      <c r="M9" s="52"/>
      <c r="N9" s="52"/>
      <c r="O9" s="52"/>
      <c r="P9" s="52"/>
      <c r="Q9" s="52"/>
      <c r="R9" s="52"/>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865</v>
      </c>
      <c r="C11" s="8"/>
      <c r="D11" s="8" t="s">
        <v>175</v>
      </c>
      <c r="E11" s="120">
        <v>1946</v>
      </c>
      <c r="F11" s="120">
        <v>1947</v>
      </c>
      <c r="G11" s="120">
        <v>1948</v>
      </c>
      <c r="H11" s="120">
        <v>1949</v>
      </c>
      <c r="I11" s="120">
        <v>1950</v>
      </c>
      <c r="J11" s="120">
        <v>1951</v>
      </c>
      <c r="K11" s="120">
        <v>1952</v>
      </c>
      <c r="L11" s="120">
        <v>1953</v>
      </c>
      <c r="M11" s="120">
        <v>1954</v>
      </c>
      <c r="N11" s="120">
        <v>1955</v>
      </c>
      <c r="O11" s="120">
        <v>1956</v>
      </c>
      <c r="P11" s="120">
        <v>1957</v>
      </c>
      <c r="Q11" s="120">
        <v>1958</v>
      </c>
      <c r="R11" s="120">
        <v>1959</v>
      </c>
      <c r="S11" s="120">
        <v>1960</v>
      </c>
      <c r="T11" s="120">
        <v>1961</v>
      </c>
      <c r="U11" s="120">
        <v>1962</v>
      </c>
      <c r="V11" s="120">
        <v>1963</v>
      </c>
      <c r="W11" s="120">
        <v>1964</v>
      </c>
      <c r="X11" s="120">
        <v>1965</v>
      </c>
      <c r="Y11" s="120">
        <v>1966</v>
      </c>
      <c r="Z11" s="120">
        <v>1967</v>
      </c>
      <c r="AA11" s="120">
        <v>1968</v>
      </c>
      <c r="AB11" s="120">
        <v>1969</v>
      </c>
      <c r="AC11" s="120">
        <v>1970</v>
      </c>
      <c r="AD11" s="120">
        <v>1971</v>
      </c>
      <c r="AE11" s="120">
        <v>1972</v>
      </c>
      <c r="AF11" s="120">
        <v>1973</v>
      </c>
      <c r="AG11" s="120">
        <v>1974</v>
      </c>
      <c r="AH11" s="120">
        <v>1975</v>
      </c>
      <c r="AI11" s="120">
        <v>1976</v>
      </c>
      <c r="AJ11" s="120">
        <v>1977</v>
      </c>
      <c r="AK11" s="120">
        <v>1978</v>
      </c>
      <c r="AL11" s="120">
        <v>1979</v>
      </c>
      <c r="AM11" s="120">
        <v>1980</v>
      </c>
      <c r="AN11" s="120">
        <v>1981</v>
      </c>
      <c r="AO11" s="120">
        <v>1982</v>
      </c>
      <c r="AP11" s="120">
        <v>1983</v>
      </c>
      <c r="AQ11" s="120">
        <v>1984</v>
      </c>
      <c r="AR11" s="120">
        <v>1985</v>
      </c>
      <c r="AS11" s="120">
        <v>1986</v>
      </c>
      <c r="AT11" s="120">
        <v>1987</v>
      </c>
      <c r="AU11" s="120">
        <v>1988</v>
      </c>
      <c r="AV11" s="120">
        <v>1989</v>
      </c>
      <c r="AW11" s="120">
        <v>1990</v>
      </c>
      <c r="AX11" s="120">
        <v>1991</v>
      </c>
      <c r="AY11" s="120">
        <v>1992</v>
      </c>
      <c r="AZ11" s="120">
        <v>1993</v>
      </c>
      <c r="BA11" s="120">
        <v>1994</v>
      </c>
      <c r="BB11" s="120">
        <v>1995</v>
      </c>
      <c r="BC11" s="120">
        <v>1996</v>
      </c>
      <c r="BD11" s="120">
        <v>1997</v>
      </c>
      <c r="BE11" s="120">
        <v>1998</v>
      </c>
      <c r="BF11" s="120">
        <v>1999</v>
      </c>
      <c r="BG11" s="120">
        <v>2000</v>
      </c>
      <c r="BH11" s="120">
        <v>2001</v>
      </c>
      <c r="BI11" s="120">
        <v>2002</v>
      </c>
      <c r="BJ11" s="120">
        <v>2003</v>
      </c>
      <c r="BK11" s="120">
        <v>2004</v>
      </c>
      <c r="BL11" s="120">
        <v>2005</v>
      </c>
      <c r="BM11" s="120">
        <v>2006</v>
      </c>
      <c r="BN11" s="120">
        <v>2007</v>
      </c>
      <c r="BO11" s="120">
        <v>2008</v>
      </c>
      <c r="BP11" s="120">
        <v>2009</v>
      </c>
      <c r="BQ11" s="120">
        <v>2010</v>
      </c>
      <c r="BR11" s="120">
        <v>2011</v>
      </c>
      <c r="BS11" s="120">
        <v>2012</v>
      </c>
      <c r="BT11" s="120">
        <v>2013</v>
      </c>
      <c r="BU11" s="120">
        <v>2014</v>
      </c>
      <c r="BV11" s="120">
        <v>2015</v>
      </c>
      <c r="BW11" s="120">
        <v>2016</v>
      </c>
      <c r="BX11" s="120">
        <v>2017</v>
      </c>
      <c r="BY11" s="120">
        <v>2018</v>
      </c>
      <c r="BZ11" s="120">
        <v>2019</v>
      </c>
      <c r="CA11" s="120">
        <v>2020</v>
      </c>
      <c r="CB11" s="120">
        <v>2021</v>
      </c>
      <c r="CC11" s="120">
        <v>2022</v>
      </c>
      <c r="CD11" s="120">
        <v>2023</v>
      </c>
      <c r="CE11" s="120">
        <v>2024</v>
      </c>
      <c r="CF11" s="120">
        <v>2025</v>
      </c>
      <c r="CG11" s="120">
        <v>2026</v>
      </c>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c r="IY11" s="120"/>
      <c r="IZ11" s="120"/>
      <c r="JA11" s="120"/>
      <c r="JB11" s="120"/>
      <c r="JC11" s="120"/>
      <c r="JD11" s="120"/>
      <c r="JE11" s="120"/>
      <c r="JF11" s="120"/>
      <c r="JG11" s="120"/>
      <c r="JH11" s="120"/>
      <c r="JI11" s="120"/>
      <c r="JJ11" s="120"/>
      <c r="JK11" s="120"/>
      <c r="JL11" s="120"/>
      <c r="JM11" s="120"/>
      <c r="JN11" s="120"/>
      <c r="JO11" s="120"/>
      <c r="JP11" s="120"/>
      <c r="JQ11" s="120"/>
      <c r="JR11" s="120"/>
      <c r="JS11" s="120"/>
      <c r="JT11" s="120"/>
      <c r="JU11" s="120"/>
      <c r="JV11" s="120"/>
      <c r="JW11" s="120"/>
      <c r="JX11" s="120"/>
      <c r="JY11" s="120"/>
      <c r="JZ11" s="120"/>
      <c r="KA11" s="120"/>
      <c r="KB11" s="120"/>
      <c r="KC11" s="120"/>
      <c r="KD11" s="120"/>
      <c r="KE11" s="120"/>
      <c r="KF11" s="120"/>
      <c r="KG11" s="120"/>
      <c r="KH11" s="120"/>
      <c r="KI11" s="120"/>
      <c r="KJ11" s="120"/>
      <c r="KK11" s="120"/>
      <c r="KL11" s="120"/>
      <c r="KM11" s="120"/>
      <c r="KN11" s="120"/>
      <c r="KO11" s="120"/>
      <c r="KP11" s="120"/>
      <c r="KQ11" s="120"/>
      <c r="KR11" s="120"/>
      <c r="KS11" s="120"/>
      <c r="KT11" s="120"/>
      <c r="KU11" s="120"/>
      <c r="KV11" s="120"/>
      <c r="KW11" s="120"/>
      <c r="KX11" s="120"/>
      <c r="KY11" s="120"/>
      <c r="KZ11" s="120"/>
      <c r="LA11" s="120"/>
      <c r="LB11" s="120"/>
      <c r="LC11" s="120"/>
      <c r="LD11" s="120"/>
      <c r="LE11" s="120"/>
      <c r="LF11" s="120"/>
      <c r="LG11" s="120"/>
      <c r="LH11" s="120"/>
      <c r="LI11" s="120"/>
      <c r="LJ11" s="120"/>
      <c r="LK11" s="120"/>
      <c r="LL11" s="120"/>
      <c r="LM11" s="120"/>
      <c r="LN11" s="120"/>
      <c r="LO11" s="120"/>
      <c r="LP11" s="120"/>
      <c r="LQ11" s="120"/>
      <c r="LR11" s="120"/>
      <c r="LS11" s="120"/>
      <c r="LT11" s="120"/>
      <c r="LU11" s="120"/>
      <c r="LV11" s="120"/>
      <c r="LW11" s="120"/>
      <c r="LX11" s="120"/>
      <c r="LY11" s="120"/>
      <c r="LZ11" s="120"/>
      <c r="MA11" s="120"/>
      <c r="MB11" s="120"/>
      <c r="MC11" s="120"/>
      <c r="MD11" s="120"/>
      <c r="ME11" s="120"/>
      <c r="MF11" s="120"/>
      <c r="MG11" s="120"/>
      <c r="MH11" s="120"/>
      <c r="MI11" s="120"/>
      <c r="MJ11" s="120"/>
      <c r="MK11" s="120"/>
      <c r="ML11" s="120"/>
      <c r="MM11" s="120"/>
      <c r="MN11" s="120"/>
      <c r="MO11" s="120"/>
      <c r="MP11" s="120"/>
      <c r="MQ11" s="120"/>
      <c r="MR11" s="120"/>
      <c r="MS11" s="120"/>
      <c r="MT11" s="120"/>
      <c r="MU11" s="120"/>
      <c r="MV11" s="120"/>
      <c r="MW11" s="120"/>
      <c r="MX11" s="120"/>
      <c r="MY11" s="120"/>
      <c r="MZ11" s="120"/>
      <c r="NA11" s="120"/>
      <c r="NB11" s="120"/>
      <c r="NC11" s="120"/>
      <c r="ND11" s="120"/>
      <c r="NE11" s="120"/>
      <c r="NF11" s="120"/>
      <c r="NG11" s="120"/>
      <c r="NH11" s="120"/>
      <c r="NI11" s="120"/>
      <c r="NJ11" s="120"/>
      <c r="NK11" s="120"/>
      <c r="NL11" s="120"/>
      <c r="NM11" s="120"/>
      <c r="NN11" s="120"/>
      <c r="NO11" s="120"/>
      <c r="NP11" s="120"/>
      <c r="NQ11" s="120"/>
      <c r="NR11" s="120"/>
      <c r="NS11" s="120"/>
      <c r="NT11" s="120"/>
      <c r="NU11" s="120"/>
      <c r="NV11" s="120"/>
      <c r="NW11" s="120"/>
      <c r="NX11" s="120"/>
      <c r="NY11" s="120"/>
      <c r="NZ11" s="120"/>
      <c r="OA11" s="120"/>
      <c r="OB11" s="120"/>
      <c r="OC11" s="120"/>
      <c r="OD11" s="120"/>
      <c r="OE11" s="120"/>
      <c r="OF11" s="120"/>
      <c r="OG11" s="120"/>
      <c r="OH11" s="120"/>
      <c r="OI11" s="120"/>
      <c r="OJ11" s="120"/>
      <c r="OK11" s="120"/>
      <c r="OL11" s="120"/>
      <c r="OM11" s="120"/>
      <c r="ON11" s="120"/>
      <c r="OO11" s="120"/>
      <c r="OP11" s="120"/>
      <c r="OQ11" s="120"/>
      <c r="OR11" s="120"/>
      <c r="OS11" s="120"/>
      <c r="OT11" s="120"/>
      <c r="OU11" s="120"/>
      <c r="OV11" s="120"/>
      <c r="OW11" s="120"/>
      <c r="OX11" s="120"/>
      <c r="OY11" s="120"/>
      <c r="OZ11" s="120"/>
      <c r="PA11" s="120"/>
      <c r="PB11" s="120"/>
      <c r="PC11" s="120"/>
      <c r="PD11" s="120"/>
      <c r="PE11" s="120"/>
      <c r="PF11" s="120"/>
      <c r="PG11" s="120"/>
      <c r="PH11" s="120"/>
      <c r="PI11" s="120"/>
      <c r="PJ11" s="120"/>
      <c r="PK11" s="120"/>
      <c r="PL11" s="120"/>
      <c r="PM11" s="120"/>
      <c r="PN11" s="120"/>
      <c r="PO11" s="120"/>
      <c r="PP11" s="120"/>
      <c r="PQ11" s="120"/>
      <c r="PR11" s="120"/>
      <c r="PS11" s="120"/>
      <c r="PT11" s="120"/>
      <c r="PU11" s="120"/>
      <c r="PV11" s="120"/>
      <c r="PW11" s="120"/>
      <c r="PX11" s="120"/>
      <c r="PY11" s="120"/>
      <c r="PZ11" s="120"/>
      <c r="QA11" s="120"/>
      <c r="QB11" s="120"/>
      <c r="QC11" s="120"/>
      <c r="QD11" s="120"/>
      <c r="QE11" s="120"/>
      <c r="QF11" s="120"/>
      <c r="QG11" s="120"/>
      <c r="QH11" s="120"/>
      <c r="QI11" s="120"/>
      <c r="QJ11" s="120"/>
      <c r="QK11" s="120"/>
      <c r="QL11" s="120"/>
      <c r="QM11" s="120"/>
      <c r="QN11" s="120"/>
      <c r="QO11" s="120"/>
      <c r="QP11" s="120"/>
      <c r="QQ11" s="120"/>
      <c r="QR11" s="120"/>
      <c r="QS11" s="120"/>
      <c r="QT11" s="120"/>
      <c r="QU11" s="120"/>
      <c r="QV11" s="120"/>
      <c r="QW11" s="120"/>
      <c r="QX11" s="120"/>
      <c r="QY11" s="120"/>
      <c r="QZ11" s="120"/>
      <c r="RA11" s="120"/>
      <c r="RB11" s="120"/>
      <c r="RC11" s="120"/>
      <c r="RD11" s="120"/>
      <c r="RE11" s="120"/>
      <c r="RF11" s="120"/>
      <c r="RG11" s="120"/>
      <c r="RH11" s="120"/>
      <c r="RI11" s="120"/>
      <c r="RJ11" s="120"/>
      <c r="RK11" s="120"/>
      <c r="RL11" s="120"/>
      <c r="RM11" s="120"/>
      <c r="RN11" s="120"/>
      <c r="RO11" s="120"/>
      <c r="RP11" s="120"/>
      <c r="RQ11" s="120"/>
      <c r="RR11" s="120"/>
      <c r="RS11" s="120"/>
      <c r="RT11" s="120"/>
      <c r="RU11" s="120"/>
      <c r="RV11" s="120"/>
      <c r="RW11" s="120"/>
      <c r="RX11" s="120"/>
      <c r="RY11" s="120"/>
      <c r="RZ11" s="120"/>
      <c r="SA11" s="120"/>
      <c r="SB11" s="120"/>
      <c r="SC11" s="120"/>
      <c r="SD11" s="120"/>
      <c r="SE11" s="120"/>
      <c r="SF11" s="120"/>
      <c r="SG11" s="120"/>
      <c r="SH11" s="120"/>
      <c r="SI11" s="120"/>
      <c r="SJ11" s="120"/>
      <c r="SK11" s="120"/>
      <c r="SL11" s="120"/>
      <c r="SM11" s="120"/>
      <c r="SN11" s="120"/>
      <c r="SO11" s="120"/>
      <c r="SP11" s="120"/>
      <c r="SQ11" s="120"/>
      <c r="SR11" s="120"/>
      <c r="SS11" s="120"/>
      <c r="ST11" s="120"/>
      <c r="SU11" s="120"/>
      <c r="SV11" s="120"/>
      <c r="SW11" s="120"/>
      <c r="SX11" s="120"/>
      <c r="SY11" s="120"/>
      <c r="SZ11" s="120"/>
      <c r="TA11" s="120"/>
      <c r="TB11" s="120"/>
      <c r="TC11" s="120"/>
      <c r="TD11" s="120"/>
      <c r="TE11" s="120"/>
      <c r="TF11" s="120"/>
      <c r="TG11" s="120"/>
      <c r="TH11" s="120"/>
      <c r="TI11" s="120"/>
      <c r="TJ11" s="120"/>
      <c r="TK11" s="120"/>
      <c r="TL11" s="120"/>
      <c r="TM11" s="120"/>
      <c r="TN11" s="120"/>
      <c r="TO11" s="120"/>
      <c r="TP11" s="120"/>
      <c r="TQ11" s="120"/>
      <c r="TR11" s="120"/>
      <c r="TS11" s="120"/>
      <c r="TT11" s="120"/>
      <c r="TU11" s="120"/>
      <c r="TV11" s="120"/>
      <c r="TW11" s="120"/>
      <c r="TX11" s="120"/>
      <c r="TY11" s="120"/>
      <c r="TZ11" s="120"/>
      <c r="UA11" s="120"/>
      <c r="UB11" s="120"/>
      <c r="UC11" s="120"/>
      <c r="UD11" s="120"/>
      <c r="UE11" s="120"/>
      <c r="UF11" s="120"/>
      <c r="UG11" s="120"/>
      <c r="UH11" s="120"/>
      <c r="UI11" s="120"/>
      <c r="UJ11" s="120"/>
      <c r="UK11" s="120"/>
      <c r="UL11" s="120"/>
      <c r="UM11" s="120"/>
      <c r="UN11" s="120"/>
      <c r="UO11" s="120"/>
      <c r="UP11" s="120"/>
      <c r="UQ11" s="120"/>
      <c r="UR11" s="120"/>
      <c r="US11" s="120"/>
      <c r="UT11" s="120"/>
      <c r="UU11" s="120"/>
      <c r="UV11" s="120"/>
      <c r="UW11" s="120"/>
      <c r="UX11" s="120"/>
      <c r="UY11" s="120"/>
      <c r="UZ11" s="120"/>
      <c r="VA11" s="120"/>
      <c r="VB11" s="120"/>
      <c r="VC11" s="120"/>
      <c r="VD11" s="120"/>
      <c r="VE11" s="120"/>
      <c r="VF11" s="120"/>
      <c r="VG11" s="120"/>
      <c r="VH11" s="120"/>
      <c r="VI11" s="120"/>
      <c r="VJ11" s="120"/>
      <c r="VK11" s="120"/>
      <c r="VL11" s="120"/>
      <c r="VM11" s="120"/>
      <c r="VN11" s="120"/>
      <c r="VO11" s="120"/>
      <c r="VP11" s="120"/>
      <c r="VQ11" s="120"/>
      <c r="VR11" s="120"/>
      <c r="VS11" s="120"/>
      <c r="VT11" s="120"/>
      <c r="VU11" s="120"/>
      <c r="VV11" s="120"/>
      <c r="VW11" s="120"/>
      <c r="VX11" s="120"/>
      <c r="VY11" s="120"/>
      <c r="VZ11" s="120"/>
      <c r="WA11" s="120"/>
      <c r="WB11" s="120"/>
      <c r="WC11" s="120"/>
      <c r="WD11" s="120"/>
      <c r="WE11" s="120"/>
      <c r="WF11" s="120"/>
      <c r="WG11" s="120"/>
      <c r="WH11" s="120"/>
      <c r="WI11" s="120"/>
      <c r="WJ11" s="120"/>
      <c r="WK11" s="120"/>
      <c r="WL11" s="120"/>
      <c r="WM11" s="120"/>
      <c r="WN11" s="120"/>
      <c r="WO11" s="120"/>
      <c r="WP11" s="120"/>
      <c r="WQ11" s="120"/>
      <c r="WR11" s="120"/>
      <c r="WS11" s="120"/>
      <c r="WT11" s="120"/>
      <c r="WU11" s="120"/>
      <c r="WV11" s="120"/>
      <c r="WW11" s="120"/>
      <c r="WX11" s="120"/>
      <c r="WY11" s="120"/>
      <c r="WZ11" s="120"/>
      <c r="XA11" s="120"/>
      <c r="XB11" s="120"/>
      <c r="XC11" s="120"/>
      <c r="XD11" s="120"/>
      <c r="XE11" s="120"/>
      <c r="XF11" s="120"/>
      <c r="XG11" s="120"/>
      <c r="XH11" s="120"/>
      <c r="XI11" s="120"/>
      <c r="XJ11" s="120"/>
      <c r="XK11" s="120"/>
      <c r="XL11" s="120"/>
      <c r="XM11" s="120"/>
      <c r="XN11" s="120"/>
      <c r="XO11" s="120"/>
      <c r="XP11" s="120"/>
      <c r="XQ11" s="120"/>
      <c r="XR11" s="120"/>
      <c r="XS11" s="120"/>
      <c r="XT11" s="120"/>
      <c r="XU11" s="120"/>
      <c r="XV11" s="120"/>
      <c r="XW11" s="120"/>
      <c r="XX11" s="120"/>
      <c r="XY11" s="120"/>
      <c r="XZ11" s="120"/>
      <c r="YA11" s="120"/>
      <c r="YB11" s="120"/>
      <c r="YC11" s="120"/>
      <c r="YD11" s="120"/>
      <c r="YE11" s="120"/>
      <c r="YF11" s="120"/>
      <c r="YG11" s="120"/>
      <c r="YH11" s="120"/>
      <c r="YI11" s="120"/>
      <c r="YJ11" s="120"/>
      <c r="YK11" s="120"/>
      <c r="YL11" s="120"/>
      <c r="YM11" s="120"/>
      <c r="YN11" s="120"/>
      <c r="YO11" s="120"/>
      <c r="YP11" s="120"/>
      <c r="YQ11" s="120"/>
      <c r="YR11" s="120"/>
      <c r="YS11" s="120"/>
      <c r="YT11" s="120"/>
      <c r="YU11" s="120"/>
      <c r="YV11" s="120"/>
      <c r="YW11" s="120"/>
      <c r="YX11" s="120"/>
      <c r="YY11" s="120"/>
      <c r="YZ11" s="120"/>
      <c r="ZA11" s="120"/>
      <c r="ZB11" s="120"/>
      <c r="ZC11" s="120"/>
      <c r="ZD11" s="120"/>
      <c r="ZE11" s="120"/>
      <c r="ZF11" s="120"/>
      <c r="ZG11" s="120"/>
      <c r="ZH11" s="120"/>
      <c r="ZI11" s="120"/>
      <c r="ZJ11" s="120"/>
      <c r="ZK11" s="120"/>
      <c r="ZL11" s="120"/>
      <c r="ZM11" s="120"/>
      <c r="ZN11" s="120"/>
      <c r="ZO11" s="120"/>
      <c r="ZP11" s="120"/>
      <c r="ZQ11" s="120"/>
      <c r="ZR11" s="120"/>
      <c r="ZS11" s="120"/>
      <c r="ZT11" s="120"/>
      <c r="ZU11" s="120"/>
      <c r="ZV11" s="120"/>
      <c r="ZW11" s="120"/>
      <c r="ZX11" s="120"/>
      <c r="ZY11" s="120"/>
      <c r="ZZ11" s="120"/>
      <c r="AAA11" s="120"/>
      <c r="AAB11" s="120"/>
      <c r="AAC11" s="120"/>
      <c r="AAD11" s="120"/>
      <c r="AAE11" s="120"/>
      <c r="AAF11" s="120"/>
      <c r="AAG11" s="120"/>
      <c r="AAH11" s="120"/>
      <c r="AAI11" s="120"/>
      <c r="AAJ11" s="120"/>
      <c r="AAK11" s="120"/>
      <c r="AAL11" s="120"/>
      <c r="AAM11" s="120"/>
      <c r="AAN11" s="120"/>
      <c r="AAO11" s="120"/>
      <c r="AAP11" s="120"/>
      <c r="AAQ11" s="120"/>
      <c r="AAR11" s="120"/>
      <c r="AAS11" s="120"/>
      <c r="AAT11" s="120"/>
      <c r="AAU11" s="120"/>
      <c r="AAV11" s="120"/>
      <c r="AAW11" s="120"/>
      <c r="AAX11" s="120"/>
      <c r="AAY11" s="120"/>
      <c r="AAZ11" s="120"/>
      <c r="ABA11" s="120"/>
      <c r="ABB11" s="120"/>
      <c r="ABC11" s="120"/>
      <c r="ABD11" s="120"/>
      <c r="ABE11" s="120"/>
      <c r="ABF11" s="120"/>
      <c r="ABG11" s="120"/>
      <c r="ABH11" s="120"/>
      <c r="ABI11" s="120"/>
      <c r="ABJ11" s="120"/>
      <c r="ABK11" s="120"/>
      <c r="ABL11" s="120"/>
      <c r="ABM11" s="120"/>
      <c r="ABN11" s="120"/>
      <c r="ABO11" s="120"/>
      <c r="ABP11" s="120"/>
      <c r="ABQ11" s="120"/>
      <c r="ABR11" s="120"/>
      <c r="ABS11" s="120"/>
      <c r="ABT11" s="120"/>
      <c r="ABU11" s="120"/>
      <c r="ABV11" s="120"/>
      <c r="ABW11" s="120"/>
      <c r="ABX11" s="120"/>
      <c r="ABY11" s="120"/>
      <c r="ABZ11" s="120"/>
      <c r="ACA11" s="120"/>
      <c r="ACB11" s="120"/>
      <c r="ACC11" s="120"/>
      <c r="ACD11" s="120"/>
      <c r="ACE11" s="120"/>
      <c r="ACF11" s="120"/>
      <c r="ACG11" s="120"/>
      <c r="ACH11" s="120"/>
      <c r="ACI11" s="120"/>
      <c r="ACJ11" s="120"/>
      <c r="ACK11" s="120"/>
      <c r="ACL11" s="120"/>
      <c r="ACM11" s="120"/>
      <c r="ACN11" s="120"/>
      <c r="ACO11" s="120"/>
      <c r="ACP11" s="120"/>
      <c r="ACQ11" s="120"/>
      <c r="ACR11" s="120"/>
      <c r="ACS11" s="120"/>
      <c r="ACT11" s="120"/>
      <c r="ACU11" s="120"/>
      <c r="ACV11" s="120"/>
      <c r="ACW11" s="120"/>
      <c r="ACX11" s="120"/>
      <c r="ACY11" s="120"/>
      <c r="ACZ11" s="120"/>
      <c r="ADA11" s="120"/>
      <c r="ADB11" s="120"/>
      <c r="ADC11" s="120"/>
      <c r="ADD11" s="120"/>
      <c r="ADE11" s="120"/>
      <c r="ADF11" s="120"/>
      <c r="ADG11" s="120"/>
      <c r="ADH11" s="120"/>
      <c r="ADI11" s="120"/>
      <c r="ADJ11" s="120"/>
      <c r="ADK11" s="120"/>
      <c r="ADL11" s="120"/>
      <c r="ADM11" s="120"/>
      <c r="ADN11" s="120"/>
      <c r="ADO11" s="120"/>
      <c r="ADP11" s="120"/>
      <c r="ADQ11" s="120"/>
      <c r="ADR11" s="120"/>
      <c r="ADS11" s="120"/>
      <c r="ADT11" s="120"/>
      <c r="ADU11" s="120"/>
      <c r="ADV11" s="120"/>
      <c r="ADW11" s="120"/>
      <c r="ADX11" s="120"/>
      <c r="ADY11" s="120"/>
      <c r="ADZ11" s="120"/>
      <c r="AEA11" s="120"/>
      <c r="AEB11" s="120"/>
      <c r="AEC11" s="120"/>
      <c r="AED11" s="120"/>
      <c r="AEE11" s="120"/>
      <c r="AEF11" s="120"/>
      <c r="AEG11" s="120"/>
      <c r="AEH11" s="120"/>
      <c r="AEI11" s="120"/>
      <c r="AEJ11" s="120"/>
      <c r="AEK11" s="120"/>
      <c r="AEL11" s="120"/>
      <c r="AEM11" s="120"/>
      <c r="AEN11" s="120"/>
      <c r="AEO11" s="120"/>
      <c r="AEP11" s="120"/>
      <c r="AEQ11" s="120"/>
      <c r="AER11" s="120"/>
      <c r="AES11" s="120"/>
      <c r="AET11" s="120"/>
      <c r="AEU11" s="120"/>
      <c r="AEV11" s="120"/>
      <c r="AEW11" s="120"/>
      <c r="AEX11" s="120"/>
      <c r="AEY11" s="120"/>
      <c r="AEZ11" s="120"/>
      <c r="AFA11" s="120"/>
      <c r="AFB11" s="120"/>
      <c r="AFC11" s="120"/>
      <c r="AFD11" s="120"/>
      <c r="AFE11" s="120"/>
      <c r="AFF11" s="120"/>
      <c r="AFG11" s="120"/>
      <c r="AFH11" s="120"/>
      <c r="AFI11" s="120"/>
      <c r="AFJ11" s="120"/>
      <c r="AFK11" s="120"/>
      <c r="AFL11" s="120"/>
      <c r="AFM11" s="120"/>
      <c r="AFN11" s="120"/>
      <c r="AFO11" s="120"/>
      <c r="AFP11" s="120"/>
      <c r="AFQ11" s="120"/>
      <c r="AFR11" s="120"/>
      <c r="AFS11" s="120"/>
      <c r="AFT11" s="120"/>
      <c r="AFU11" s="120"/>
      <c r="AFV11" s="120"/>
      <c r="AFW11" s="120"/>
      <c r="AFX11" s="120"/>
      <c r="AFY11" s="120"/>
      <c r="AFZ11" s="120"/>
      <c r="AGA11" s="120"/>
      <c r="AGB11" s="120"/>
      <c r="AGC11" s="120"/>
      <c r="AGD11" s="120"/>
      <c r="AGE11" s="120"/>
      <c r="AGF11" s="120"/>
      <c r="AGG11" s="120"/>
      <c r="AGH11" s="120"/>
      <c r="AGI11" s="120"/>
      <c r="AGJ11" s="120"/>
      <c r="AGK11" s="120"/>
      <c r="AGL11" s="120"/>
      <c r="AGM11" s="120"/>
      <c r="AGN11" s="120"/>
      <c r="AGO11" s="120"/>
      <c r="AGP11" s="120"/>
      <c r="AGQ11" s="120"/>
      <c r="AGR11" s="120"/>
      <c r="AGS11" s="120"/>
      <c r="AGT11" s="120"/>
      <c r="AGU11" s="120"/>
      <c r="AGV11" s="120"/>
      <c r="AGW11" s="120"/>
      <c r="AGX11" s="120"/>
      <c r="AGY11" s="120"/>
      <c r="AGZ11" s="120"/>
      <c r="AHA11" s="120"/>
      <c r="AHB11" s="120"/>
      <c r="AHC11" s="120"/>
      <c r="AHD11" s="120"/>
      <c r="AHE11" s="120"/>
      <c r="AHF11" s="120"/>
      <c r="AHG11" s="120"/>
      <c r="AHH11" s="120"/>
      <c r="AHI11" s="120"/>
      <c r="AHJ11" s="120"/>
      <c r="AHK11" s="120"/>
      <c r="AHL11" s="120"/>
      <c r="AHM11" s="120"/>
      <c r="AHN11" s="120"/>
      <c r="AHO11" s="120"/>
      <c r="AHP11" s="120"/>
      <c r="AHQ11" s="120"/>
      <c r="AHR11" s="120"/>
      <c r="AHS11" s="120"/>
      <c r="AHT11" s="120"/>
      <c r="AHU11" s="120"/>
      <c r="AHV11" s="120"/>
      <c r="AHW11" s="120"/>
      <c r="AHX11" s="120"/>
      <c r="AHY11" s="120"/>
      <c r="AHZ11" s="120"/>
      <c r="AIA11" s="120"/>
      <c r="AIB11" s="120"/>
      <c r="AIC11" s="120"/>
      <c r="AID11" s="120"/>
      <c r="AIE11" s="120"/>
      <c r="AIF11" s="120"/>
      <c r="AIG11" s="120"/>
      <c r="AIH11" s="120"/>
      <c r="AII11" s="120"/>
      <c r="AIJ11" s="120"/>
      <c r="AIK11" s="120"/>
      <c r="AIL11" s="120"/>
      <c r="AIM11" s="120"/>
      <c r="AIN11" s="120"/>
      <c r="AIO11" s="120"/>
      <c r="AIP11" s="120"/>
      <c r="AIQ11" s="120"/>
      <c r="AIR11" s="120"/>
      <c r="AIS11" s="120"/>
      <c r="AIT11" s="120"/>
      <c r="AIU11" s="120"/>
      <c r="AIV11" s="120"/>
      <c r="AIW11" s="120"/>
      <c r="AIX11" s="120"/>
      <c r="AIY11" s="120"/>
      <c r="AIZ11" s="120"/>
      <c r="AJA11" s="120"/>
      <c r="AJB11" s="120"/>
      <c r="AJC11" s="120"/>
      <c r="AJD11" s="120"/>
      <c r="AJE11" s="120"/>
      <c r="AJF11" s="120"/>
      <c r="AJG11" s="120"/>
      <c r="AJH11" s="120"/>
      <c r="AJI11" s="120"/>
      <c r="AJJ11" s="120"/>
      <c r="AJK11" s="120"/>
      <c r="AJL11" s="120"/>
      <c r="AJM11" s="120"/>
      <c r="AJN11" s="120"/>
      <c r="AJO11" s="120"/>
      <c r="AJP11" s="120"/>
      <c r="AJQ11" s="120"/>
      <c r="AJR11" s="120"/>
      <c r="AJS11" s="120"/>
      <c r="AJT11" s="120"/>
      <c r="AJU11" s="120"/>
      <c r="AJV11" s="120"/>
      <c r="AJW11" s="120"/>
      <c r="AJX11" s="120"/>
      <c r="AJY11" s="120"/>
      <c r="AJZ11" s="120"/>
      <c r="AKA11" s="120"/>
      <c r="AKB11" s="120"/>
      <c r="AKC11" s="120"/>
      <c r="AKD11" s="120"/>
      <c r="AKE11" s="120"/>
      <c r="AKF11" s="120"/>
      <c r="AKG11" s="120"/>
      <c r="AKH11" s="120"/>
      <c r="AKI11" s="120"/>
      <c r="AKJ11" s="120"/>
      <c r="AKK11" s="120"/>
      <c r="AKL11" s="120"/>
      <c r="AKM11" s="120"/>
      <c r="AKN11" s="120"/>
      <c r="AKO11" s="120"/>
      <c r="AKP11" s="120"/>
      <c r="AKQ11" s="120"/>
      <c r="AKR11" s="120"/>
      <c r="AKS11" s="120"/>
      <c r="AKT11" s="120"/>
      <c r="AKU11" s="120"/>
      <c r="AKV11" s="120"/>
      <c r="AKW11" s="120"/>
      <c r="AKX11" s="120"/>
      <c r="AKY11" s="120"/>
      <c r="AKZ11" s="120"/>
      <c r="ALA11" s="120"/>
      <c r="ALB11" s="120"/>
      <c r="ALC11" s="120"/>
      <c r="ALD11" s="120"/>
      <c r="ALE11" s="120"/>
      <c r="ALF11" s="120"/>
      <c r="ALG11" s="120"/>
      <c r="ALH11" s="120"/>
      <c r="ALI11" s="120"/>
      <c r="ALJ11" s="120"/>
      <c r="ALK11" s="120"/>
      <c r="ALL11" s="120"/>
      <c r="ALM11" s="120"/>
      <c r="ALN11" s="120"/>
      <c r="ALO11" s="120"/>
      <c r="ALP11" s="120"/>
      <c r="ALQ11" s="120"/>
      <c r="ALR11" s="120"/>
      <c r="ALS11" s="120"/>
      <c r="ALT11" s="120"/>
      <c r="ALU11" s="120"/>
      <c r="ALV11" s="120"/>
      <c r="ALW11" s="120"/>
      <c r="ALX11" s="120"/>
      <c r="ALY11" s="120"/>
      <c r="ALZ11" s="120"/>
      <c r="AMA11" s="120"/>
      <c r="AMB11" s="120"/>
      <c r="AMC11" s="120"/>
      <c r="AMD11" s="120"/>
      <c r="AME11" s="120"/>
      <c r="AMF11" s="120"/>
      <c r="AMG11" s="120"/>
      <c r="AMH11" s="120"/>
      <c r="AMI11" s="120"/>
      <c r="AMJ11" s="120"/>
      <c r="AMK11" s="120"/>
      <c r="AML11" s="120"/>
      <c r="AMM11" s="120"/>
      <c r="AMN11" s="120"/>
      <c r="AMO11" s="120"/>
      <c r="AMP11" s="120"/>
      <c r="AMQ11" s="120"/>
      <c r="AMR11" s="120"/>
      <c r="AMS11" s="120"/>
      <c r="AMT11" s="120"/>
      <c r="AMU11" s="120"/>
      <c r="AMV11" s="120"/>
      <c r="AMW11" s="120"/>
      <c r="AMX11" s="120"/>
      <c r="AMY11" s="120"/>
      <c r="AMZ11" s="120"/>
      <c r="ANA11" s="120"/>
      <c r="ANB11" s="120"/>
      <c r="ANC11" s="120"/>
      <c r="AND11" s="120"/>
      <c r="ANE11" s="120"/>
      <c r="ANF11" s="120"/>
      <c r="ANG11" s="120"/>
      <c r="ANH11" s="120"/>
      <c r="ANI11" s="120"/>
      <c r="ANJ11" s="120"/>
      <c r="ANK11" s="120"/>
      <c r="ANL11" s="120"/>
      <c r="ANM11" s="120"/>
      <c r="ANN11" s="120"/>
      <c r="ANO11" s="120"/>
      <c r="ANP11" s="120"/>
      <c r="ANQ11" s="120"/>
      <c r="ANR11" s="120"/>
      <c r="ANS11" s="120"/>
      <c r="ANT11" s="120"/>
      <c r="ANU11" s="120"/>
      <c r="ANV11" s="120"/>
      <c r="ANW11" s="120"/>
      <c r="ANX11" s="120"/>
      <c r="ANY11" s="120"/>
      <c r="ANZ11" s="120"/>
      <c r="AOA11" s="120"/>
      <c r="AOB11" s="120"/>
      <c r="AOC11" s="120"/>
      <c r="AOD11" s="120"/>
      <c r="AOE11" s="120"/>
      <c r="AOF11" s="120"/>
      <c r="AOG11" s="120"/>
      <c r="AOH11" s="120"/>
      <c r="AOI11" s="120"/>
      <c r="AOJ11" s="120"/>
      <c r="AOK11" s="120"/>
      <c r="AOL11" s="120"/>
      <c r="AOM11" s="120"/>
      <c r="AON11" s="120"/>
      <c r="AOO11" s="120"/>
      <c r="AOP11" s="120"/>
      <c r="AOQ11" s="120"/>
      <c r="AOR11" s="120"/>
      <c r="AOS11" s="120"/>
      <c r="AOT11" s="120"/>
      <c r="AOU11" s="120"/>
      <c r="AOV11" s="120"/>
      <c r="AOW11" s="120"/>
      <c r="AOX11" s="120"/>
      <c r="AOY11" s="120"/>
      <c r="AOZ11" s="120"/>
      <c r="APA11" s="120"/>
      <c r="APB11" s="120"/>
      <c r="APC11" s="120"/>
      <c r="APD11" s="120"/>
      <c r="APE11" s="120"/>
      <c r="APF11" s="120"/>
      <c r="APG11" s="120"/>
      <c r="APH11" s="120"/>
      <c r="API11" s="120"/>
      <c r="APJ11" s="120"/>
      <c r="APK11" s="120"/>
      <c r="APL11" s="120"/>
      <c r="APM11" s="120"/>
      <c r="APN11" s="120"/>
      <c r="APO11" s="120"/>
      <c r="APP11" s="120"/>
      <c r="APQ11" s="120"/>
      <c r="APR11" s="120"/>
      <c r="APS11" s="120"/>
      <c r="APT11" s="120"/>
      <c r="APU11" s="120"/>
      <c r="APV11" s="120"/>
      <c r="APW11" s="120"/>
      <c r="APX11" s="120"/>
      <c r="APY11" s="120"/>
      <c r="APZ11" s="120"/>
      <c r="AQA11" s="120"/>
      <c r="AQB11" s="120"/>
      <c r="AQC11" s="120"/>
      <c r="AQD11" s="120"/>
      <c r="AQE11" s="120"/>
      <c r="AQF11" s="120"/>
      <c r="AQG11" s="120"/>
      <c r="AQH11" s="120"/>
      <c r="AQI11" s="120"/>
      <c r="AQJ11" s="120"/>
      <c r="AQK11" s="120"/>
      <c r="AQL11" s="120"/>
      <c r="AQM11" s="120"/>
      <c r="AQN11" s="120"/>
      <c r="AQO11" s="120"/>
      <c r="AQP11" s="120"/>
      <c r="AQQ11" s="120"/>
      <c r="AQR11" s="120"/>
      <c r="AQS11" s="120"/>
      <c r="AQT11" s="120"/>
      <c r="AQU11" s="120"/>
      <c r="AQV11" s="120"/>
      <c r="AQW11" s="120"/>
      <c r="AQX11" s="120"/>
      <c r="AQY11" s="120"/>
      <c r="AQZ11" s="120"/>
      <c r="ARA11" s="120"/>
      <c r="ARB11" s="120"/>
      <c r="ARC11" s="120"/>
      <c r="ARD11" s="120"/>
      <c r="ARE11" s="120"/>
      <c r="ARF11" s="120"/>
      <c r="ARG11" s="120"/>
      <c r="ARH11" s="120"/>
      <c r="ARI11" s="120"/>
      <c r="ARJ11" s="120"/>
      <c r="ARK11" s="120"/>
      <c r="ARL11" s="120"/>
      <c r="ARM11" s="120"/>
      <c r="ARN11" s="120"/>
      <c r="ARO11" s="120"/>
      <c r="ARP11" s="120"/>
      <c r="ARQ11" s="120"/>
      <c r="ARR11" s="120"/>
      <c r="ARS11" s="120"/>
      <c r="ART11" s="120"/>
      <c r="ARU11" s="120"/>
      <c r="ARV11" s="120"/>
      <c r="ARW11" s="120"/>
      <c r="ARX11" s="120"/>
      <c r="ARY11" s="120"/>
      <c r="ARZ11" s="120"/>
      <c r="ASA11" s="120"/>
      <c r="ASB11" s="120"/>
      <c r="ASC11" s="120"/>
      <c r="ASD11" s="120"/>
      <c r="ASE11" s="120"/>
      <c r="ASF11" s="120"/>
      <c r="ASG11" s="120"/>
      <c r="ASH11" s="120"/>
      <c r="ASI11" s="120"/>
      <c r="ASJ11" s="120"/>
      <c r="ASK11" s="120"/>
      <c r="ASL11" s="120"/>
      <c r="ASM11" s="120"/>
      <c r="ASN11" s="120"/>
      <c r="ASO11" s="120"/>
      <c r="ASP11" s="120"/>
      <c r="ASQ11" s="120"/>
      <c r="ASR11" s="120"/>
      <c r="ASS11" s="120"/>
      <c r="AST11" s="120"/>
      <c r="ASU11" s="120"/>
      <c r="ASV11" s="120"/>
      <c r="ASW11" s="120"/>
      <c r="ASX11" s="120"/>
      <c r="ASY11" s="120"/>
      <c r="ASZ11" s="120"/>
      <c r="ATA11" s="120"/>
      <c r="ATB11" s="120"/>
      <c r="ATC11" s="120"/>
      <c r="ATD11" s="120"/>
      <c r="ATE11" s="120"/>
      <c r="ATF11" s="120"/>
      <c r="ATG11" s="120"/>
      <c r="ATH11" s="120"/>
      <c r="ATI11" s="120"/>
      <c r="ATJ11" s="120"/>
      <c r="ATK11" s="120"/>
      <c r="ATL11" s="120"/>
      <c r="ATM11" s="120"/>
      <c r="ATN11" s="120"/>
      <c r="ATO11" s="120"/>
      <c r="ATP11" s="120"/>
      <c r="ATQ11" s="120"/>
      <c r="ATR11" s="120"/>
      <c r="ATS11" s="120"/>
      <c r="ATT11" s="120"/>
      <c r="ATU11" s="120"/>
      <c r="ATV11" s="120"/>
      <c r="ATW11" s="120"/>
      <c r="ATX11" s="120"/>
      <c r="ATY11" s="120"/>
      <c r="ATZ11" s="120"/>
      <c r="AUA11" s="120"/>
      <c r="AUB11" s="120"/>
      <c r="AUC11" s="120"/>
      <c r="AUD11" s="120"/>
      <c r="AUE11" s="120"/>
      <c r="AUF11" s="120"/>
      <c r="AUG11" s="120"/>
      <c r="AUH11" s="120"/>
      <c r="AUI11" s="120"/>
      <c r="AUJ11" s="120"/>
      <c r="AUK11" s="120"/>
      <c r="AUL11" s="120"/>
      <c r="AUM11" s="120"/>
      <c r="AUN11" s="120"/>
      <c r="AUO11" s="120"/>
      <c r="AUP11" s="120"/>
      <c r="AUQ11" s="120"/>
      <c r="AUR11" s="120"/>
      <c r="AUS11" s="120"/>
      <c r="AUT11" s="120"/>
      <c r="AUU11" s="120"/>
      <c r="AUV11" s="120"/>
      <c r="AUW11" s="120"/>
      <c r="AUX11" s="120"/>
      <c r="AUY11" s="120"/>
      <c r="AUZ11" s="120"/>
      <c r="AVA11" s="120"/>
      <c r="AVB11" s="120"/>
      <c r="AVC11" s="120"/>
      <c r="AVD11" s="120"/>
      <c r="AVE11" s="120"/>
      <c r="AVF11" s="120"/>
      <c r="AVG11" s="120"/>
      <c r="AVH11" s="120"/>
      <c r="AVI11" s="120"/>
      <c r="AVJ11" s="120"/>
      <c r="AVK11" s="120"/>
      <c r="AVL11" s="120"/>
      <c r="AVM11" s="120"/>
      <c r="AVN11" s="120"/>
      <c r="AVO11" s="120"/>
      <c r="AVP11" s="120"/>
      <c r="AVQ11" s="120"/>
      <c r="AVR11" s="120"/>
      <c r="AVS11" s="120"/>
      <c r="AVT11" s="120"/>
      <c r="AVU11" s="120"/>
      <c r="AVV11" s="120"/>
      <c r="AVW11" s="120"/>
      <c r="AVX11" s="120"/>
      <c r="AVY11" s="120"/>
      <c r="AVZ11" s="120"/>
      <c r="AWA11" s="120"/>
      <c r="AWB11" s="120"/>
      <c r="AWC11" s="120"/>
      <c r="AWD11" s="120"/>
      <c r="AWE11" s="120"/>
      <c r="AWF11" s="120"/>
      <c r="AWG11" s="120"/>
      <c r="AWH11" s="120"/>
      <c r="AWI11" s="120"/>
      <c r="AWJ11" s="120"/>
      <c r="AWK11" s="120"/>
      <c r="AWL11" s="120"/>
      <c r="AWM11" s="120"/>
      <c r="AWN11" s="120"/>
      <c r="AWO11" s="120"/>
      <c r="AWP11" s="120"/>
      <c r="AWQ11" s="120"/>
      <c r="AWR11" s="120"/>
      <c r="AWS11" s="120"/>
      <c r="AWT11" s="120"/>
      <c r="AWU11" s="120"/>
      <c r="AWV11" s="120"/>
      <c r="AWW11" s="120"/>
      <c r="AWX11" s="120"/>
      <c r="AWY11" s="120"/>
      <c r="AWZ11" s="120"/>
      <c r="AXA11" s="120"/>
      <c r="AXB11" s="120"/>
      <c r="AXC11" s="120"/>
      <c r="AXD11" s="120"/>
      <c r="AXE11" s="120"/>
      <c r="AXF11" s="120"/>
      <c r="AXG11" s="120"/>
      <c r="AXH11" s="120"/>
      <c r="AXI11" s="120"/>
      <c r="AXJ11" s="120"/>
      <c r="AXK11" s="120"/>
      <c r="AXL11" s="120"/>
      <c r="AXM11" s="120"/>
      <c r="AXN11" s="120"/>
      <c r="AXO11" s="120"/>
      <c r="AXP11" s="120"/>
      <c r="AXQ11" s="120"/>
      <c r="AXR11" s="120"/>
      <c r="AXS11" s="120"/>
      <c r="AXT11" s="120"/>
      <c r="AXU11" s="120"/>
      <c r="AXV11" s="120"/>
      <c r="AXW11" s="120"/>
      <c r="AXX11" s="120"/>
      <c r="AXY11" s="120"/>
      <c r="AXZ11" s="120"/>
      <c r="AYA11" s="120"/>
      <c r="AYB11" s="120"/>
      <c r="AYC11" s="120"/>
      <c r="AYD11" s="120"/>
      <c r="AYE11" s="120"/>
      <c r="AYF11" s="120"/>
      <c r="AYG11" s="120"/>
      <c r="AYH11" s="120"/>
      <c r="AYI11" s="120"/>
      <c r="AYJ11" s="120"/>
      <c r="AYK11" s="120"/>
      <c r="AYL11" s="120"/>
      <c r="AYM11" s="120"/>
      <c r="AYN11" s="120"/>
      <c r="AYO11" s="120"/>
      <c r="AYP11" s="120"/>
      <c r="AYQ11" s="120"/>
      <c r="AYR11" s="120"/>
      <c r="AYS11" s="120"/>
      <c r="AYT11" s="120"/>
      <c r="AYU11" s="120"/>
      <c r="AYV11" s="120"/>
      <c r="AYW11" s="120"/>
      <c r="AYX11" s="120"/>
      <c r="AYY11" s="120"/>
      <c r="AYZ11" s="120"/>
      <c r="AZA11" s="120"/>
      <c r="AZB11" s="120"/>
      <c r="AZC11" s="120"/>
      <c r="AZD11" s="120"/>
      <c r="AZE11" s="120"/>
      <c r="AZF11" s="120"/>
      <c r="AZG11" s="120"/>
      <c r="AZH11" s="120"/>
      <c r="AZI11" s="120"/>
      <c r="AZJ11" s="120"/>
      <c r="AZK11" s="120"/>
      <c r="AZL11" s="120"/>
      <c r="AZM11" s="120"/>
      <c r="AZN11" s="120"/>
      <c r="AZO11" s="120"/>
      <c r="AZP11" s="120"/>
      <c r="AZQ11" s="120"/>
      <c r="AZR11" s="120"/>
      <c r="AZS11" s="120"/>
      <c r="AZT11" s="120"/>
      <c r="AZU11" s="120"/>
      <c r="AZV11" s="120"/>
      <c r="AZW11" s="120"/>
      <c r="AZX11" s="120"/>
      <c r="AZY11" s="120"/>
      <c r="AZZ11" s="120"/>
      <c r="BAA11" s="120"/>
      <c r="BAB11" s="120"/>
      <c r="BAC11" s="120"/>
      <c r="BAD11" s="120"/>
      <c r="BAE11" s="120"/>
      <c r="BAF11" s="120"/>
      <c r="BAG11" s="120"/>
      <c r="BAH11" s="120"/>
      <c r="BAI11" s="120"/>
      <c r="BAJ11" s="120"/>
      <c r="BAK11" s="120"/>
      <c r="BAL11" s="120"/>
      <c r="BAM11" s="120"/>
      <c r="BAN11" s="120"/>
      <c r="BAO11" s="120"/>
      <c r="BAP11" s="120"/>
      <c r="BAQ11" s="120"/>
      <c r="BAR11" s="120"/>
      <c r="BAS11" s="120"/>
      <c r="BAT11" s="120"/>
      <c r="BAU11" s="120"/>
      <c r="BAV11" s="120"/>
      <c r="BAW11" s="120"/>
      <c r="BAX11" s="120"/>
      <c r="BAY11" s="120"/>
      <c r="BAZ11" s="120"/>
      <c r="BBA11" s="120"/>
      <c r="BBB11" s="120"/>
      <c r="BBC11" s="120"/>
      <c r="BBD11" s="120"/>
      <c r="BBE11" s="120"/>
      <c r="BBF11" s="120"/>
      <c r="BBG11" s="120"/>
      <c r="BBH11" s="120"/>
      <c r="BBI11" s="120"/>
      <c r="BBJ11" s="120"/>
      <c r="BBK11" s="120"/>
      <c r="BBL11" s="120"/>
      <c r="BBM11" s="120"/>
      <c r="BBN11" s="120"/>
      <c r="BBO11" s="120"/>
      <c r="BBP11" s="120"/>
      <c r="BBQ11" s="120"/>
      <c r="BBR11" s="120"/>
      <c r="BBS11" s="120"/>
      <c r="BBT11" s="120"/>
      <c r="BBU11" s="120"/>
      <c r="BBV11" s="120"/>
      <c r="BBW11" s="120"/>
      <c r="BBX11" s="120"/>
      <c r="BBY11" s="120"/>
      <c r="BBZ11" s="120"/>
      <c r="BCA11" s="120"/>
      <c r="BCB11" s="120"/>
      <c r="BCC11" s="120"/>
      <c r="BCD11" s="120"/>
      <c r="BCE11" s="120"/>
      <c r="BCF11" s="120"/>
      <c r="BCG11" s="120"/>
      <c r="BCH11" s="120"/>
      <c r="BCI11" s="120"/>
      <c r="BCJ11" s="120"/>
      <c r="BCK11" s="120"/>
      <c r="BCL11" s="120"/>
      <c r="BCM11" s="120"/>
      <c r="BCN11" s="120"/>
      <c r="BCO11" s="120"/>
      <c r="BCP11" s="120"/>
      <c r="BCQ11" s="120"/>
      <c r="BCR11" s="120"/>
      <c r="BCS11" s="120"/>
      <c r="BCT11" s="120"/>
      <c r="BCU11" s="120"/>
      <c r="BCV11" s="120"/>
      <c r="BCW11" s="120"/>
      <c r="BCX11" s="120"/>
      <c r="BCY11" s="120"/>
      <c r="BCZ11" s="120"/>
      <c r="BDA11" s="120"/>
      <c r="BDB11" s="120"/>
      <c r="BDC11" s="120"/>
      <c r="BDD11" s="120"/>
      <c r="BDE11" s="120"/>
      <c r="BDF11" s="120"/>
      <c r="BDG11" s="120"/>
      <c r="BDH11" s="120"/>
      <c r="BDI11" s="120"/>
      <c r="BDJ11" s="120"/>
      <c r="BDK11" s="120"/>
      <c r="BDL11" s="120"/>
      <c r="BDM11" s="120"/>
      <c r="BDN11" s="120"/>
      <c r="BDO11" s="120"/>
      <c r="BDP11" s="120"/>
      <c r="BDQ11" s="120"/>
      <c r="BDR11" s="120"/>
      <c r="BDS11" s="120"/>
      <c r="BDT11" s="120"/>
      <c r="BDU11" s="120"/>
      <c r="BDV11" s="120"/>
      <c r="BDW11" s="120"/>
      <c r="BDX11" s="120"/>
      <c r="BDY11" s="120"/>
      <c r="BDZ11" s="120"/>
      <c r="BEA11" s="120"/>
      <c r="BEB11" s="120"/>
      <c r="BEC11" s="120"/>
      <c r="BED11" s="120"/>
      <c r="BEE11" s="120"/>
      <c r="BEF11" s="120"/>
      <c r="BEG11" s="120"/>
      <c r="BEH11" s="120"/>
      <c r="BEI11" s="120"/>
      <c r="BEJ11" s="120"/>
      <c r="BEK11" s="120"/>
      <c r="BEL11" s="120"/>
      <c r="BEM11" s="120"/>
      <c r="BEN11" s="120"/>
      <c r="BEO11" s="120"/>
      <c r="BEP11" s="120"/>
      <c r="BEQ11" s="120"/>
      <c r="BER11" s="120"/>
      <c r="BES11" s="120"/>
      <c r="BET11" s="120"/>
      <c r="BEU11" s="120"/>
      <c r="BEV11" s="120"/>
      <c r="BEW11" s="120"/>
      <c r="BEX11" s="120"/>
      <c r="BEY11" s="120"/>
      <c r="BEZ11" s="120"/>
      <c r="BFA11" s="120"/>
      <c r="BFB11" s="120"/>
      <c r="BFC11" s="120"/>
      <c r="BFD11" s="120"/>
      <c r="BFE11" s="120"/>
      <c r="BFF11" s="120"/>
      <c r="BFG11" s="120"/>
      <c r="BFH11" s="120"/>
      <c r="BFI11" s="120"/>
      <c r="BFJ11" s="120"/>
      <c r="BFK11" s="120"/>
      <c r="BFL11" s="120"/>
      <c r="BFM11" s="120"/>
      <c r="BFN11" s="120"/>
      <c r="BFO11" s="120"/>
      <c r="BFP11" s="120"/>
      <c r="BFQ11" s="120"/>
      <c r="BFR11" s="120"/>
      <c r="BFS11" s="120"/>
      <c r="BFT11" s="120"/>
      <c r="BFU11" s="120"/>
      <c r="BFV11" s="120"/>
      <c r="BFW11" s="120"/>
      <c r="BFX11" s="120"/>
      <c r="BFY11" s="120"/>
      <c r="BFZ11" s="120"/>
      <c r="BGA11" s="120"/>
      <c r="BGB11" s="120"/>
      <c r="BGC11" s="120"/>
      <c r="BGD11" s="120"/>
      <c r="BGE11" s="120"/>
      <c r="BGF11" s="120"/>
      <c r="BGG11" s="120"/>
      <c r="BGH11" s="120"/>
      <c r="BGI11" s="120"/>
      <c r="BGJ11" s="120"/>
      <c r="BGK11" s="120"/>
      <c r="BGL11" s="120"/>
      <c r="BGM11" s="120"/>
      <c r="BGN11" s="120"/>
      <c r="BGO11" s="120"/>
      <c r="BGP11" s="120"/>
      <c r="BGQ11" s="120"/>
      <c r="BGR11" s="120"/>
      <c r="BGS11" s="120"/>
      <c r="BGT11" s="120"/>
      <c r="BGU11" s="120"/>
      <c r="BGV11" s="120"/>
      <c r="BGW11" s="120"/>
      <c r="BGX11" s="120"/>
      <c r="BGY11" s="120"/>
      <c r="BGZ11" s="120"/>
      <c r="BHA11" s="120"/>
      <c r="BHB11" s="120"/>
      <c r="BHC11" s="120"/>
      <c r="BHD11" s="120"/>
      <c r="BHE11" s="120"/>
      <c r="BHF11" s="120"/>
      <c r="BHG11" s="120"/>
      <c r="BHH11" s="120"/>
      <c r="BHI11" s="120"/>
      <c r="BHJ11" s="120"/>
      <c r="BHK11" s="120"/>
      <c r="BHL11" s="120"/>
      <c r="BHM11" s="120"/>
      <c r="BHN11" s="120"/>
      <c r="BHO11" s="120"/>
      <c r="BHP11" s="120"/>
      <c r="BHQ11" s="120"/>
      <c r="BHR11" s="120"/>
      <c r="BHS11" s="120"/>
      <c r="BHT11" s="120"/>
      <c r="BHU11" s="120"/>
      <c r="BHV11" s="120"/>
      <c r="BHW11" s="120"/>
      <c r="BHX11" s="120"/>
      <c r="BHY11" s="120"/>
      <c r="BHZ11" s="120"/>
      <c r="BIA11" s="120"/>
      <c r="BIB11" s="120"/>
      <c r="BIC11" s="120"/>
      <c r="BID11" s="120"/>
      <c r="BIE11" s="120"/>
      <c r="BIF11" s="120"/>
      <c r="BIG11" s="120"/>
      <c r="BIH11" s="120"/>
      <c r="BII11" s="120"/>
      <c r="BIJ11" s="120"/>
      <c r="BIK11" s="120"/>
      <c r="BIL11" s="120"/>
      <c r="BIM11" s="120"/>
      <c r="BIN11" s="120"/>
      <c r="BIO11" s="120"/>
      <c r="BIP11" s="120"/>
      <c r="BIQ11" s="120"/>
      <c r="BIR11" s="120"/>
      <c r="BIS11" s="120"/>
      <c r="BIT11" s="120"/>
      <c r="BIU11" s="120"/>
      <c r="BIV11" s="120"/>
      <c r="BIW11" s="120"/>
      <c r="BIX11" s="120"/>
      <c r="BIY11" s="120"/>
      <c r="BIZ11" s="120"/>
      <c r="BJA11" s="120"/>
      <c r="BJB11" s="120"/>
      <c r="BJC11" s="120"/>
      <c r="BJD11" s="120"/>
      <c r="BJE11" s="120"/>
      <c r="BJF11" s="120"/>
      <c r="BJG11" s="120"/>
      <c r="BJH11" s="120"/>
      <c r="BJI11" s="120"/>
      <c r="BJJ11" s="120"/>
      <c r="BJK11" s="120"/>
      <c r="BJL11" s="120"/>
      <c r="BJM11" s="120"/>
      <c r="BJN11" s="120"/>
      <c r="BJO11" s="120"/>
      <c r="BJP11" s="120"/>
      <c r="BJQ11" s="120"/>
      <c r="BJR11" s="120"/>
      <c r="BJS11" s="120"/>
      <c r="BJT11" s="120"/>
      <c r="BJU11" s="120"/>
      <c r="BJV11" s="120"/>
      <c r="BJW11" s="120"/>
      <c r="BJX11" s="120"/>
      <c r="BJY11" s="120"/>
      <c r="BJZ11" s="120"/>
      <c r="BKA11" s="120"/>
      <c r="BKB11" s="120"/>
      <c r="BKC11" s="120"/>
      <c r="BKD11" s="120"/>
      <c r="BKE11" s="120"/>
      <c r="BKF11" s="120"/>
      <c r="BKG11" s="120"/>
      <c r="BKH11" s="120"/>
      <c r="BKI11" s="120"/>
      <c r="BKJ11" s="120"/>
      <c r="BKK11" s="120"/>
      <c r="BKL11" s="120"/>
      <c r="BKM11" s="120"/>
      <c r="BKN11" s="120"/>
      <c r="BKO11" s="120"/>
      <c r="BKP11" s="120"/>
      <c r="BKQ11" s="120"/>
      <c r="BKR11" s="120"/>
      <c r="BKS11" s="120"/>
      <c r="BKT11" s="120"/>
      <c r="BKU11" s="120"/>
      <c r="BKV11" s="120"/>
      <c r="BKW11" s="120"/>
      <c r="BKX11" s="120"/>
      <c r="BKY11" s="120"/>
      <c r="BKZ11" s="120"/>
      <c r="BLA11" s="120"/>
      <c r="BLB11" s="120"/>
      <c r="BLC11" s="120"/>
      <c r="BLD11" s="120"/>
      <c r="BLE11" s="120"/>
      <c r="BLF11" s="120"/>
      <c r="BLG11" s="120"/>
      <c r="BLH11" s="120"/>
      <c r="BLI11" s="120"/>
      <c r="BLJ11" s="120"/>
      <c r="BLK11" s="120"/>
      <c r="BLL11" s="120"/>
      <c r="BLM11" s="120"/>
      <c r="BLN11" s="120"/>
      <c r="BLO11" s="120"/>
      <c r="BLP11" s="120"/>
      <c r="BLQ11" s="120"/>
      <c r="BLR11" s="120"/>
      <c r="BLS11" s="120"/>
      <c r="BLT11" s="120"/>
      <c r="BLU11" s="120"/>
      <c r="BLV11" s="120"/>
      <c r="BLW11" s="120"/>
      <c r="BLX11" s="120"/>
      <c r="BLY11" s="120"/>
      <c r="BLZ11" s="120"/>
      <c r="BMA11" s="120"/>
      <c r="BMB11" s="120"/>
      <c r="BMC11" s="120"/>
      <c r="BMD11" s="120"/>
      <c r="BME11" s="120"/>
      <c r="BMF11" s="120"/>
      <c r="BMG11" s="120"/>
      <c r="BMH11" s="120"/>
      <c r="BMI11" s="120"/>
      <c r="BMJ11" s="120"/>
      <c r="BMK11" s="120"/>
      <c r="BML11" s="120"/>
      <c r="BMM11" s="120"/>
      <c r="BMN11" s="120"/>
      <c r="BMO11" s="120"/>
      <c r="BMP11" s="120"/>
      <c r="BMQ11" s="120"/>
      <c r="BMR11" s="120"/>
      <c r="BMS11" s="120"/>
      <c r="BMT11" s="120"/>
      <c r="BMU11" s="120"/>
      <c r="BMV11" s="120"/>
      <c r="BMW11" s="120"/>
      <c r="BMX11" s="120"/>
      <c r="BMY11" s="120"/>
      <c r="BMZ11" s="120"/>
      <c r="BNA11" s="120"/>
      <c r="BNB11" s="120"/>
      <c r="BNC11" s="120"/>
      <c r="BND11" s="120"/>
      <c r="BNE11" s="120"/>
      <c r="BNF11" s="120"/>
      <c r="BNG11" s="120"/>
      <c r="BNH11" s="120"/>
      <c r="BNI11" s="120"/>
      <c r="BNJ11" s="120"/>
      <c r="BNK11" s="120"/>
      <c r="BNL11" s="120"/>
      <c r="BNM11" s="120"/>
      <c r="BNN11" s="120"/>
      <c r="BNO11" s="120"/>
      <c r="BNP11" s="120"/>
      <c r="BNQ11" s="120"/>
      <c r="BNR11" s="120"/>
      <c r="BNS11" s="120"/>
      <c r="BNT11" s="120"/>
      <c r="BNU11" s="120"/>
      <c r="BNV11" s="120"/>
      <c r="BNW11" s="120"/>
      <c r="BNX11" s="120"/>
      <c r="BNY11" s="120"/>
      <c r="BNZ11" s="120"/>
      <c r="BOA11" s="120"/>
      <c r="BOB11" s="120"/>
      <c r="BOC11" s="120"/>
      <c r="BOD11" s="120"/>
      <c r="BOE11" s="120"/>
      <c r="BOF11" s="120"/>
      <c r="BOG11" s="120"/>
      <c r="BOH11" s="120"/>
      <c r="BOI11" s="120"/>
      <c r="BOJ11" s="120"/>
      <c r="BOK11" s="120"/>
      <c r="BOL11" s="120"/>
      <c r="BOM11" s="120"/>
      <c r="BON11" s="120"/>
      <c r="BOO11" s="120"/>
      <c r="BOP11" s="120"/>
      <c r="BOQ11" s="120"/>
      <c r="BOR11" s="120"/>
      <c r="BOS11" s="120"/>
      <c r="BOT11" s="120"/>
      <c r="BOU11" s="120"/>
      <c r="BOV11" s="120"/>
      <c r="BOW11" s="120"/>
      <c r="BOX11" s="120"/>
      <c r="BOY11" s="120"/>
      <c r="BOZ11" s="120"/>
      <c r="BPA11" s="120"/>
      <c r="BPB11" s="120"/>
      <c r="BPC11" s="120"/>
      <c r="BPD11" s="120"/>
      <c r="BPE11" s="120"/>
      <c r="BPF11" s="120"/>
      <c r="BPG11" s="120"/>
      <c r="BPH11" s="120"/>
      <c r="BPI11" s="120"/>
      <c r="BPJ11" s="120"/>
      <c r="BPK11" s="120"/>
      <c r="BPL11" s="120"/>
      <c r="BPM11" s="120"/>
      <c r="BPN11" s="120"/>
      <c r="BPO11" s="120"/>
      <c r="BPP11" s="120"/>
      <c r="BPQ11" s="120"/>
      <c r="BPR11" s="120"/>
      <c r="BPS11" s="120"/>
      <c r="BPT11" s="120"/>
      <c r="BPU11" s="120"/>
      <c r="BPV11" s="120"/>
      <c r="BPW11" s="120"/>
      <c r="BPX11" s="120"/>
      <c r="BPY11" s="120"/>
      <c r="BPZ11" s="120"/>
      <c r="BQA11" s="120"/>
      <c r="BQB11" s="120"/>
      <c r="BQC11" s="120"/>
      <c r="BQD11" s="120"/>
      <c r="BQE11" s="120"/>
      <c r="BQF11" s="120"/>
      <c r="BQG11" s="120"/>
      <c r="BQH11" s="120"/>
      <c r="BQI11" s="120"/>
      <c r="BQJ11" s="120"/>
      <c r="BQK11" s="120"/>
      <c r="BQL11" s="120"/>
      <c r="BQM11" s="120"/>
      <c r="BQN11" s="120"/>
      <c r="BQO11" s="120"/>
      <c r="BQP11" s="120"/>
      <c r="BQQ11" s="120"/>
      <c r="BQR11" s="120"/>
      <c r="BQS11" s="120"/>
      <c r="BQT11" s="120"/>
      <c r="BQU11" s="120"/>
      <c r="BQV11" s="120"/>
      <c r="BQW11" s="120"/>
      <c r="BQX11" s="120"/>
      <c r="BQY11" s="120"/>
      <c r="BQZ11" s="120"/>
      <c r="BRA11" s="120"/>
      <c r="BRB11" s="120"/>
      <c r="BRC11" s="120"/>
      <c r="BRD11" s="120"/>
      <c r="BRE11" s="120"/>
      <c r="BRF11" s="120"/>
      <c r="BRG11" s="120"/>
      <c r="BRH11" s="120"/>
      <c r="BRI11" s="120"/>
      <c r="BRJ11" s="120"/>
      <c r="BRK11" s="120"/>
      <c r="BRL11" s="120"/>
      <c r="BRM11" s="120"/>
      <c r="BRN11" s="120"/>
      <c r="BRO11" s="120"/>
      <c r="BRP11" s="120"/>
      <c r="BRQ11" s="120"/>
      <c r="BRR11" s="120"/>
      <c r="BRS11" s="120"/>
      <c r="BRT11" s="120"/>
      <c r="BRU11" s="120"/>
      <c r="BRV11" s="120"/>
      <c r="BRW11" s="120"/>
      <c r="BRX11" s="120"/>
      <c r="BRY11" s="120"/>
      <c r="BRZ11" s="120"/>
      <c r="BSA11" s="120"/>
      <c r="BSB11" s="120"/>
      <c r="BSC11" s="120"/>
      <c r="BSD11" s="120"/>
      <c r="BSE11" s="120"/>
      <c r="BSF11" s="120"/>
      <c r="BSG11" s="120"/>
      <c r="BSH11" s="120"/>
      <c r="BSI11" s="120"/>
      <c r="BSJ11" s="120"/>
      <c r="BSK11" s="120"/>
      <c r="BSL11" s="120"/>
      <c r="BSM11" s="120"/>
      <c r="BSN11" s="120"/>
      <c r="BSO11" s="120"/>
      <c r="BSP11" s="120"/>
      <c r="BSQ11" s="120"/>
      <c r="BSR11" s="120"/>
      <c r="BSS11" s="120"/>
      <c r="BST11" s="120"/>
      <c r="BSU11" s="120"/>
      <c r="BSV11" s="120"/>
      <c r="BSW11" s="120"/>
      <c r="BSX11" s="120"/>
      <c r="BSY11" s="120"/>
      <c r="BSZ11" s="120"/>
      <c r="BTA11" s="120"/>
      <c r="BTB11" s="120"/>
      <c r="BTC11" s="120"/>
      <c r="BTD11" s="120"/>
      <c r="BTE11" s="120"/>
      <c r="BTF11" s="120"/>
      <c r="BTG11" s="120"/>
      <c r="BTH11" s="120"/>
      <c r="BTI11" s="120"/>
      <c r="BTJ11" s="120"/>
      <c r="BTK11" s="120"/>
      <c r="BTL11" s="120"/>
      <c r="BTM11" s="120"/>
      <c r="BTN11" s="120"/>
      <c r="BTO11" s="120"/>
      <c r="BTP11" s="120"/>
      <c r="BTQ11" s="120"/>
      <c r="BTR11" s="120"/>
      <c r="BTS11" s="120"/>
      <c r="BTT11" s="120"/>
      <c r="BTU11" s="120"/>
      <c r="BTV11" s="120"/>
      <c r="BTW11" s="120"/>
      <c r="BTX11" s="120"/>
      <c r="BTY11" s="120"/>
      <c r="BTZ11" s="120"/>
      <c r="BUA11" s="120"/>
      <c r="BUB11" s="120"/>
      <c r="BUC11" s="120"/>
      <c r="BUD11" s="120"/>
      <c r="BUE11" s="120"/>
      <c r="BUF11" s="120"/>
      <c r="BUG11" s="120"/>
      <c r="BUH11" s="120"/>
      <c r="BUI11" s="120"/>
      <c r="BUJ11" s="120"/>
      <c r="BUK11" s="120"/>
      <c r="BUL11" s="120"/>
      <c r="BUM11" s="120"/>
      <c r="BUN11" s="120"/>
      <c r="BUO11" s="120"/>
      <c r="BUP11" s="120"/>
      <c r="BUQ11" s="120"/>
      <c r="BUR11" s="120"/>
      <c r="BUS11" s="120"/>
      <c r="BUT11" s="120"/>
      <c r="BUU11" s="120"/>
      <c r="BUV11" s="120"/>
      <c r="BUW11" s="120"/>
      <c r="BUX11" s="120"/>
      <c r="BUY11" s="120"/>
      <c r="BUZ11" s="120"/>
      <c r="BVA11" s="120"/>
      <c r="BVB11" s="120"/>
      <c r="BVC11" s="120"/>
      <c r="BVD11" s="120"/>
      <c r="BVE11" s="120"/>
      <c r="BVF11" s="120"/>
      <c r="BVG11" s="120"/>
      <c r="BVH11" s="120"/>
      <c r="BVI11" s="120"/>
      <c r="BVJ11" s="120"/>
      <c r="BVK11" s="120"/>
      <c r="BVL11" s="120"/>
      <c r="BVM11" s="120"/>
      <c r="BVN11" s="120"/>
      <c r="BVO11" s="120"/>
      <c r="BVP11" s="120"/>
      <c r="BVQ11" s="120"/>
      <c r="BVR11" s="120"/>
      <c r="BVS11" s="120"/>
      <c r="BVT11" s="120"/>
      <c r="BVU11" s="120"/>
      <c r="BVV11" s="120"/>
      <c r="BVW11" s="120"/>
      <c r="BVX11" s="120"/>
      <c r="BVY11" s="120"/>
      <c r="BVZ11" s="120"/>
      <c r="BWA11" s="120"/>
      <c r="BWB11" s="120"/>
      <c r="BWC11" s="120"/>
      <c r="BWD11" s="120"/>
      <c r="BWE11" s="120"/>
      <c r="BWF11" s="120"/>
      <c r="BWG11" s="120"/>
      <c r="BWH11" s="120"/>
      <c r="BWI11" s="120"/>
      <c r="BWJ11" s="120"/>
      <c r="BWK11" s="120"/>
      <c r="BWL11" s="120"/>
      <c r="BWM11" s="120"/>
      <c r="BWN11" s="120"/>
      <c r="BWO11" s="120"/>
      <c r="BWP11" s="120"/>
      <c r="BWQ11" s="120"/>
      <c r="BWR11" s="120"/>
      <c r="BWS11" s="120"/>
      <c r="BWT11" s="120"/>
      <c r="BWU11" s="120"/>
      <c r="BWV11" s="120"/>
      <c r="BWW11" s="120"/>
      <c r="BWX11" s="120"/>
      <c r="BWY11" s="120"/>
      <c r="BWZ11" s="120"/>
      <c r="BXA11" s="120"/>
      <c r="BXB11" s="120"/>
      <c r="BXC11" s="120"/>
      <c r="BXD11" s="120"/>
      <c r="BXE11" s="120"/>
      <c r="BXF11" s="120"/>
      <c r="BXG11" s="120"/>
      <c r="BXH11" s="120"/>
      <c r="BXI11" s="120"/>
      <c r="BXJ11" s="120"/>
      <c r="BXK11" s="120"/>
      <c r="BXL11" s="120"/>
      <c r="BXM11" s="120"/>
      <c r="BXN11" s="120"/>
      <c r="BXO11" s="120"/>
      <c r="BXP11" s="120"/>
      <c r="BXQ11" s="120"/>
      <c r="BXR11" s="120"/>
      <c r="BXS11" s="120"/>
      <c r="BXT11" s="120"/>
      <c r="BXU11" s="120"/>
      <c r="BXV11" s="120"/>
      <c r="BXW11" s="120"/>
      <c r="BXX11" s="120"/>
      <c r="BXY11" s="120"/>
      <c r="BXZ11" s="120"/>
      <c r="BYA11" s="120"/>
      <c r="BYB11" s="120"/>
      <c r="BYC11" s="120"/>
      <c r="BYD11" s="120"/>
      <c r="BYE11" s="120"/>
      <c r="BYF11" s="120"/>
      <c r="BYG11" s="120"/>
      <c r="BYH11" s="120"/>
      <c r="BYI11" s="120"/>
      <c r="BYJ11" s="120"/>
      <c r="BYK11" s="120"/>
      <c r="BYL11" s="120"/>
      <c r="BYM11" s="120"/>
      <c r="BYN11" s="120"/>
      <c r="BYO11" s="120"/>
      <c r="BYP11" s="120"/>
      <c r="BYQ11" s="120"/>
      <c r="BYR11" s="120"/>
      <c r="BYS11" s="120"/>
      <c r="BYT11" s="120"/>
      <c r="BYU11" s="120"/>
      <c r="BYV11" s="120"/>
      <c r="BYW11" s="120"/>
      <c r="BYX11" s="120"/>
      <c r="BYY11" s="120"/>
      <c r="BYZ11" s="120"/>
      <c r="BZA11" s="120"/>
      <c r="BZB11" s="120"/>
      <c r="BZC11" s="120"/>
      <c r="BZD11" s="120"/>
      <c r="BZE11" s="120"/>
      <c r="BZF11" s="120"/>
      <c r="BZG11" s="120"/>
      <c r="BZH11" s="120"/>
      <c r="BZI11" s="120"/>
      <c r="BZJ11" s="120"/>
      <c r="BZK11" s="120"/>
      <c r="BZL11" s="120"/>
      <c r="BZM11" s="120"/>
      <c r="BZN11" s="120"/>
      <c r="BZO11" s="120"/>
      <c r="BZP11" s="120"/>
      <c r="BZQ11" s="120"/>
      <c r="BZR11" s="120"/>
      <c r="BZS11" s="120"/>
      <c r="BZT11" s="120"/>
      <c r="BZU11" s="120"/>
      <c r="BZV11" s="120"/>
      <c r="BZW11" s="120"/>
      <c r="BZX11" s="120"/>
      <c r="BZY11" s="120"/>
      <c r="BZZ11" s="120"/>
      <c r="CAA11" s="120"/>
      <c r="CAB11" s="120"/>
      <c r="CAC11" s="120"/>
      <c r="CAD11" s="120"/>
      <c r="CAE11" s="120"/>
      <c r="CAF11" s="120"/>
      <c r="CAG11" s="120"/>
      <c r="CAH11" s="120"/>
      <c r="CAI11" s="120"/>
      <c r="CAJ11" s="120"/>
      <c r="CAK11" s="120"/>
      <c r="CAL11" s="120"/>
      <c r="CAM11" s="120"/>
      <c r="CAN11" s="120"/>
      <c r="CAO11" s="120"/>
      <c r="CAP11" s="120"/>
      <c r="CAQ11" s="120"/>
      <c r="CAR11" s="120"/>
      <c r="CAS11" s="120"/>
      <c r="CAT11" s="120"/>
      <c r="CAU11" s="120"/>
      <c r="CAV11" s="120"/>
      <c r="CAW11" s="120"/>
      <c r="CAX11" s="120"/>
      <c r="CAY11" s="120"/>
      <c r="CAZ11" s="120"/>
      <c r="CBA11" s="120"/>
      <c r="CBB11" s="120"/>
      <c r="CBC11" s="120"/>
      <c r="CBD11" s="120"/>
      <c r="CBE11" s="120"/>
      <c r="CBF11" s="120"/>
      <c r="CBG11" s="120"/>
      <c r="CBH11" s="120"/>
      <c r="CBI11" s="120"/>
      <c r="CBJ11" s="120"/>
      <c r="CBK11" s="120"/>
      <c r="CBL11" s="120"/>
      <c r="CBM11" s="120"/>
      <c r="CBN11" s="120"/>
      <c r="CBO11" s="120"/>
      <c r="CBP11" s="120"/>
      <c r="CBQ11" s="120"/>
      <c r="CBR11" s="120"/>
      <c r="CBS11" s="120"/>
      <c r="CBT11" s="120"/>
      <c r="CBU11" s="120"/>
      <c r="CBV11" s="120"/>
      <c r="CBW11" s="120"/>
      <c r="CBX11" s="120"/>
      <c r="CBY11" s="120"/>
      <c r="CBZ11" s="120"/>
      <c r="CCA11" s="120"/>
      <c r="CCB11" s="120"/>
      <c r="CCC11" s="120"/>
      <c r="CCD11" s="120"/>
      <c r="CCE11" s="120"/>
      <c r="CCF11" s="120"/>
      <c r="CCG11" s="120"/>
      <c r="CCH11" s="120"/>
      <c r="CCI11" s="120"/>
      <c r="CCJ11" s="120"/>
      <c r="CCK11" s="120"/>
      <c r="CCL11" s="120"/>
      <c r="CCM11" s="120"/>
      <c r="CCN11" s="120"/>
      <c r="CCO11" s="120"/>
      <c r="CCP11" s="120"/>
      <c r="CCQ11" s="120"/>
      <c r="CCR11" s="120"/>
      <c r="CCS11" s="120"/>
      <c r="CCT11" s="120"/>
      <c r="CCU11" s="120"/>
      <c r="CCV11" s="120"/>
      <c r="CCW11" s="120"/>
      <c r="CCX11" s="120"/>
      <c r="CCY11" s="120"/>
      <c r="CCZ11" s="120"/>
      <c r="CDA11" s="120"/>
      <c r="CDB11" s="120"/>
      <c r="CDC11" s="120"/>
      <c r="CDD11" s="120"/>
      <c r="CDE11" s="120"/>
      <c r="CDF11" s="120"/>
      <c r="CDG11" s="120"/>
      <c r="CDH11" s="120"/>
      <c r="CDI11" s="120"/>
      <c r="CDJ11" s="120"/>
      <c r="CDK11" s="120"/>
      <c r="CDL11" s="120"/>
      <c r="CDM11" s="120"/>
      <c r="CDN11" s="120"/>
      <c r="CDO11" s="120"/>
      <c r="CDP11" s="120"/>
      <c r="CDQ11" s="120"/>
      <c r="CDR11" s="120"/>
      <c r="CDS11" s="120"/>
      <c r="CDT11" s="120"/>
      <c r="CDU11" s="120"/>
      <c r="CDV11" s="120"/>
      <c r="CDW11" s="120"/>
      <c r="CDX11" s="120"/>
      <c r="CDY11" s="120"/>
      <c r="CDZ11" s="120"/>
      <c r="CEA11" s="120"/>
      <c r="CEB11" s="120"/>
      <c r="CEC11" s="120"/>
      <c r="CED11" s="120"/>
      <c r="CEE11" s="120"/>
      <c r="CEF11" s="120"/>
      <c r="CEG11" s="120"/>
      <c r="CEH11" s="120"/>
      <c r="CEI11" s="120"/>
      <c r="CEJ11" s="120"/>
      <c r="CEK11" s="120"/>
      <c r="CEL11" s="120"/>
      <c r="CEM11" s="120"/>
      <c r="CEN11" s="120"/>
      <c r="CEO11" s="120"/>
      <c r="CEP11" s="120"/>
      <c r="CEQ11" s="120"/>
      <c r="CER11" s="120"/>
      <c r="CES11" s="120"/>
      <c r="CET11" s="120"/>
      <c r="CEU11" s="120"/>
      <c r="CEV11" s="120"/>
      <c r="CEW11" s="120"/>
      <c r="CEX11" s="120"/>
      <c r="CEY11" s="120"/>
      <c r="CEZ11" s="120"/>
      <c r="CFA11" s="120"/>
      <c r="CFB11" s="120"/>
      <c r="CFC11" s="120"/>
      <c r="CFD11" s="120"/>
      <c r="CFE11" s="120"/>
      <c r="CFF11" s="120"/>
      <c r="CFG11" s="120"/>
      <c r="CFH11" s="120"/>
      <c r="CFI11" s="120"/>
      <c r="CFJ11" s="120"/>
      <c r="CFK11" s="120"/>
      <c r="CFL11" s="120"/>
      <c r="CFM11" s="120"/>
      <c r="CFN11" s="120"/>
      <c r="CFO11" s="120"/>
      <c r="CFP11" s="120"/>
      <c r="CFQ11" s="120"/>
      <c r="CFR11" s="120"/>
      <c r="CFS11" s="120"/>
      <c r="CFT11" s="120"/>
      <c r="CFU11" s="120"/>
      <c r="CFV11" s="120"/>
      <c r="CFW11" s="120"/>
      <c r="CFX11" s="120"/>
      <c r="CFY11" s="120"/>
      <c r="CFZ11" s="120"/>
      <c r="CGA11" s="120"/>
      <c r="CGB11" s="120"/>
      <c r="CGC11" s="120"/>
      <c r="CGD11" s="120"/>
      <c r="CGE11" s="120"/>
      <c r="CGF11" s="120"/>
      <c r="CGG11" s="120"/>
      <c r="CGH11" s="120"/>
      <c r="CGI11" s="120"/>
      <c r="CGJ11" s="120"/>
      <c r="CGK11" s="120"/>
      <c r="CGL11" s="120"/>
      <c r="CGM11" s="120"/>
      <c r="CGN11" s="120"/>
      <c r="CGO11" s="120"/>
      <c r="CGP11" s="120"/>
      <c r="CGQ11" s="120"/>
      <c r="CGR11" s="120"/>
      <c r="CGS11" s="120"/>
      <c r="CGT11" s="120"/>
      <c r="CGU11" s="120"/>
      <c r="CGV11" s="120"/>
      <c r="CGW11" s="120"/>
      <c r="CGX11" s="120"/>
      <c r="CGY11" s="120"/>
      <c r="CGZ11" s="120"/>
      <c r="CHA11" s="120"/>
      <c r="CHB11" s="120"/>
      <c r="CHC11" s="120"/>
      <c r="CHD11" s="120"/>
      <c r="CHE11" s="120"/>
      <c r="CHF11" s="120"/>
      <c r="CHG11" s="120"/>
      <c r="CHH11" s="120"/>
      <c r="CHI11" s="120"/>
      <c r="CHJ11" s="120"/>
      <c r="CHK11" s="120"/>
      <c r="CHL11" s="120"/>
      <c r="CHM11" s="120"/>
      <c r="CHN11" s="120"/>
      <c r="CHO11" s="120"/>
      <c r="CHP11" s="120"/>
      <c r="CHQ11" s="120"/>
      <c r="CHR11" s="120"/>
      <c r="CHS11" s="120"/>
      <c r="CHT11" s="120"/>
      <c r="CHU11" s="120"/>
      <c r="CHV11" s="120"/>
      <c r="CHW11" s="120"/>
      <c r="CHX11" s="120"/>
      <c r="CHY11" s="120"/>
      <c r="CHZ11" s="120"/>
      <c r="CIA11" s="120"/>
      <c r="CIB11" s="120"/>
      <c r="CIC11" s="120"/>
      <c r="CID11" s="120"/>
      <c r="CIE11" s="120"/>
      <c r="CIF11" s="120"/>
      <c r="CIG11" s="120"/>
      <c r="CIH11" s="120"/>
      <c r="CII11" s="120"/>
      <c r="CIJ11" s="120"/>
      <c r="CIK11" s="120"/>
      <c r="CIL11" s="120"/>
      <c r="CIM11" s="120"/>
      <c r="CIN11" s="120"/>
      <c r="CIO11" s="120"/>
      <c r="CIP11" s="120"/>
      <c r="CIQ11" s="120"/>
      <c r="CIR11" s="120"/>
      <c r="CIS11" s="120"/>
      <c r="CIT11" s="120"/>
      <c r="CIU11" s="120"/>
      <c r="CIV11" s="120"/>
      <c r="CIW11" s="120"/>
      <c r="CIX11" s="120"/>
      <c r="CIY11" s="120"/>
      <c r="CIZ11" s="120"/>
      <c r="CJA11" s="120"/>
      <c r="CJB11" s="120"/>
      <c r="CJC11" s="120"/>
      <c r="CJD11" s="120"/>
      <c r="CJE11" s="120"/>
      <c r="CJF11" s="120"/>
      <c r="CJG11" s="120"/>
      <c r="CJH11" s="120"/>
      <c r="CJI11" s="120"/>
      <c r="CJJ11" s="120"/>
      <c r="CJK11" s="120"/>
      <c r="CJL11" s="120"/>
      <c r="CJM11" s="120"/>
      <c r="CJN11" s="120"/>
      <c r="CJO11" s="120"/>
      <c r="CJP11" s="120"/>
      <c r="CJQ11" s="120"/>
      <c r="CJR11" s="120"/>
      <c r="CJS11" s="120"/>
      <c r="CJT11" s="120"/>
      <c r="CJU11" s="120"/>
      <c r="CJV11" s="120"/>
      <c r="CJW11" s="120"/>
      <c r="CJX11" s="120"/>
      <c r="CJY11" s="120"/>
      <c r="CJZ11" s="120"/>
      <c r="CKA11" s="120"/>
      <c r="CKB11" s="120"/>
      <c r="CKC11" s="120"/>
      <c r="CKD11" s="120"/>
      <c r="CKE11" s="120"/>
      <c r="CKF11" s="120"/>
      <c r="CKG11" s="120"/>
      <c r="CKH11" s="120"/>
      <c r="CKI11" s="120"/>
      <c r="CKJ11" s="120"/>
      <c r="CKK11" s="120"/>
      <c r="CKL11" s="120"/>
      <c r="CKM11" s="120"/>
      <c r="CKN11" s="120"/>
      <c r="CKO11" s="120"/>
      <c r="CKP11" s="120"/>
      <c r="CKQ11" s="120"/>
      <c r="CKR11" s="120"/>
      <c r="CKS11" s="120"/>
      <c r="CKT11" s="120"/>
      <c r="CKU11" s="120"/>
      <c r="CKV11" s="120"/>
      <c r="CKW11" s="120"/>
      <c r="CKX11" s="120"/>
      <c r="CKY11" s="120"/>
      <c r="CKZ11" s="120"/>
      <c r="CLA11" s="120"/>
      <c r="CLB11" s="120"/>
      <c r="CLC11" s="120"/>
      <c r="CLD11" s="120"/>
      <c r="CLE11" s="120"/>
      <c r="CLF11" s="120"/>
      <c r="CLG11" s="120"/>
      <c r="CLH11" s="120"/>
      <c r="CLI11" s="120"/>
      <c r="CLJ11" s="120"/>
      <c r="CLK11" s="120"/>
      <c r="CLL11" s="120"/>
      <c r="CLM11" s="120"/>
      <c r="CLN11" s="120"/>
      <c r="CLO11" s="120"/>
      <c r="CLP11" s="120"/>
      <c r="CLQ11" s="120"/>
      <c r="CLR11" s="120"/>
      <c r="CLS11" s="120"/>
      <c r="CLT11" s="120"/>
      <c r="CLU11" s="120"/>
      <c r="CLV11" s="120"/>
      <c r="CLW11" s="120"/>
      <c r="CLX11" s="120"/>
      <c r="CLY11" s="120"/>
      <c r="CLZ11" s="120"/>
      <c r="CMA11" s="120"/>
      <c r="CMB11" s="120"/>
      <c r="CMC11" s="120"/>
      <c r="CMD11" s="120"/>
      <c r="CME11" s="120"/>
      <c r="CMF11" s="120"/>
      <c r="CMG11" s="120"/>
      <c r="CMH11" s="120"/>
      <c r="CMI11" s="120"/>
      <c r="CMJ11" s="120"/>
      <c r="CMK11" s="120"/>
      <c r="CML11" s="120"/>
      <c r="CMM11" s="120"/>
      <c r="CMN11" s="120"/>
      <c r="CMO11" s="120"/>
      <c r="CMP11" s="120"/>
      <c r="CMQ11" s="120"/>
      <c r="CMR11" s="120"/>
      <c r="CMS11" s="120"/>
      <c r="CMT11" s="120"/>
      <c r="CMU11" s="120"/>
      <c r="CMV11" s="120"/>
      <c r="CMW11" s="120"/>
      <c r="CMX11" s="120"/>
      <c r="CMY11" s="120"/>
      <c r="CMZ11" s="120"/>
      <c r="CNA11" s="120"/>
      <c r="CNB11" s="120"/>
      <c r="CNC11" s="120"/>
      <c r="CND11" s="120"/>
      <c r="CNE11" s="120"/>
      <c r="CNF11" s="120"/>
      <c r="CNG11" s="120"/>
      <c r="CNH11" s="120"/>
      <c r="CNI11" s="120"/>
      <c r="CNJ11" s="120"/>
      <c r="CNK11" s="120"/>
      <c r="CNL11" s="120"/>
      <c r="CNM11" s="120"/>
      <c r="CNN11" s="120"/>
      <c r="CNO11" s="120"/>
      <c r="CNP11" s="120"/>
      <c r="CNQ11" s="120"/>
      <c r="CNR11" s="120"/>
      <c r="CNS11" s="120"/>
      <c r="CNT11" s="120"/>
      <c r="CNU11" s="120"/>
      <c r="CNV11" s="120"/>
      <c r="CNW11" s="120"/>
      <c r="CNX11" s="120"/>
      <c r="CNY11" s="120"/>
      <c r="CNZ11" s="120"/>
      <c r="COA11" s="120"/>
      <c r="COB11" s="120"/>
      <c r="COC11" s="120"/>
      <c r="COD11" s="120"/>
      <c r="COE11" s="120"/>
      <c r="COF11" s="120"/>
      <c r="COG11" s="120"/>
      <c r="COH11" s="120"/>
      <c r="COI11" s="120"/>
      <c r="COJ11" s="120"/>
      <c r="COK11" s="120"/>
      <c r="COL11" s="120"/>
      <c r="COM11" s="120"/>
      <c r="CON11" s="120"/>
      <c r="COO11" s="120"/>
      <c r="COP11" s="120"/>
      <c r="COQ11" s="120"/>
      <c r="COR11" s="120"/>
      <c r="COS11" s="120"/>
      <c r="COT11" s="120"/>
      <c r="COU11" s="120"/>
      <c r="COV11" s="120"/>
      <c r="COW11" s="120"/>
      <c r="COX11" s="120"/>
      <c r="COY11" s="120"/>
      <c r="COZ11" s="120"/>
      <c r="CPA11" s="120"/>
      <c r="CPB11" s="120"/>
      <c r="CPC11" s="120"/>
      <c r="CPD11" s="120"/>
      <c r="CPE11" s="120"/>
      <c r="CPF11" s="120"/>
      <c r="CPG11" s="120"/>
      <c r="CPH11" s="120"/>
      <c r="CPI11" s="120"/>
      <c r="CPJ11" s="120"/>
      <c r="CPK11" s="120"/>
      <c r="CPL11" s="120"/>
      <c r="CPM11" s="120"/>
      <c r="CPN11" s="120"/>
      <c r="CPO11" s="120"/>
      <c r="CPP11" s="120"/>
      <c r="CPQ11" s="120"/>
      <c r="CPR11" s="120"/>
      <c r="CPS11" s="120"/>
      <c r="CPT11" s="120"/>
      <c r="CPU11" s="120"/>
      <c r="CPV11" s="120"/>
      <c r="CPW11" s="120"/>
      <c r="CPX11" s="120"/>
      <c r="CPY11" s="120"/>
      <c r="CPZ11" s="120"/>
      <c r="CQA11" s="120"/>
      <c r="CQB11" s="120"/>
      <c r="CQC11" s="120"/>
      <c r="CQD11" s="120"/>
      <c r="CQE11" s="120"/>
      <c r="CQF11" s="120"/>
      <c r="CQG11" s="120"/>
      <c r="CQH11" s="120"/>
      <c r="CQI11" s="120"/>
      <c r="CQJ11" s="120"/>
      <c r="CQK11" s="120"/>
      <c r="CQL11" s="120"/>
      <c r="CQM11" s="120"/>
      <c r="CQN11" s="120"/>
      <c r="CQO11" s="120"/>
      <c r="CQP11" s="120"/>
      <c r="CQQ11" s="120"/>
      <c r="CQR11" s="120"/>
      <c r="CQS11" s="120"/>
      <c r="CQT11" s="120"/>
      <c r="CQU11" s="120"/>
      <c r="CQV11" s="120"/>
      <c r="CQW11" s="120"/>
      <c r="CQX11" s="120"/>
      <c r="CQY11" s="120"/>
      <c r="CQZ11" s="120"/>
      <c r="CRA11" s="120"/>
      <c r="CRB11" s="120"/>
      <c r="CRC11" s="120"/>
      <c r="CRD11" s="120"/>
      <c r="CRE11" s="120"/>
      <c r="CRF11" s="120"/>
      <c r="CRG11" s="120"/>
      <c r="CRH11" s="120"/>
      <c r="CRI11" s="120"/>
      <c r="CRJ11" s="120"/>
      <c r="CRK11" s="120"/>
      <c r="CRL11" s="120"/>
      <c r="CRM11" s="120"/>
      <c r="CRN11" s="120"/>
      <c r="CRO11" s="120"/>
      <c r="CRP11" s="120"/>
      <c r="CRQ11" s="120"/>
      <c r="CRR11" s="120"/>
      <c r="CRS11" s="120"/>
      <c r="CRT11" s="120"/>
      <c r="CRU11" s="120"/>
      <c r="CRV11" s="120"/>
      <c r="CRW11" s="120"/>
      <c r="CRX11" s="120"/>
      <c r="CRY11" s="120"/>
      <c r="CRZ11" s="120"/>
      <c r="CSA11" s="120"/>
      <c r="CSB11" s="120"/>
      <c r="CSC11" s="120"/>
      <c r="CSD11" s="120"/>
      <c r="CSE11" s="120"/>
      <c r="CSF11" s="120"/>
      <c r="CSG11" s="120"/>
      <c r="CSH11" s="120"/>
      <c r="CSI11" s="120"/>
      <c r="CSJ11" s="120"/>
      <c r="CSK11" s="120"/>
      <c r="CSL11" s="120"/>
      <c r="CSM11" s="120"/>
      <c r="CSN11" s="120"/>
      <c r="CSO11" s="120"/>
      <c r="CSP11" s="120"/>
      <c r="CSQ11" s="120"/>
      <c r="CSR11" s="120"/>
      <c r="CSS11" s="120"/>
      <c r="CST11" s="120"/>
      <c r="CSU11" s="120"/>
      <c r="CSV11" s="120"/>
      <c r="CSW11" s="120"/>
      <c r="CSX11" s="120"/>
      <c r="CSY11" s="120"/>
      <c r="CSZ11" s="120"/>
      <c r="CTA11" s="120"/>
      <c r="CTB11" s="120"/>
      <c r="CTC11" s="120"/>
      <c r="CTD11" s="120"/>
      <c r="CTE11" s="120"/>
      <c r="CTF11" s="120"/>
      <c r="CTG11" s="120"/>
      <c r="CTH11" s="120"/>
      <c r="CTI11" s="120"/>
      <c r="CTJ11" s="120"/>
      <c r="CTK11" s="120"/>
      <c r="CTL11" s="120"/>
      <c r="CTM11" s="120"/>
      <c r="CTN11" s="120"/>
      <c r="CTO11" s="120"/>
      <c r="CTP11" s="120"/>
      <c r="CTQ11" s="120"/>
      <c r="CTR11" s="120"/>
      <c r="CTS11" s="120"/>
      <c r="CTT11" s="120"/>
      <c r="CTU11" s="120"/>
      <c r="CTV11" s="120"/>
      <c r="CTW11" s="120"/>
      <c r="CTX11" s="120"/>
      <c r="CTY11" s="120"/>
      <c r="CTZ11" s="120"/>
      <c r="CUA11" s="120"/>
      <c r="CUB11" s="120"/>
      <c r="CUC11" s="120"/>
      <c r="CUD11" s="120"/>
      <c r="CUE11" s="120"/>
      <c r="CUF11" s="120"/>
      <c r="CUG11" s="120"/>
      <c r="CUH11" s="120"/>
      <c r="CUI11" s="120"/>
      <c r="CUJ11" s="120"/>
      <c r="CUK11" s="120"/>
      <c r="CUL11" s="120"/>
      <c r="CUM11" s="120"/>
      <c r="CUN11" s="120"/>
      <c r="CUO11" s="120"/>
      <c r="CUP11" s="120"/>
      <c r="CUQ11" s="120"/>
      <c r="CUR11" s="120"/>
      <c r="CUS11" s="120"/>
      <c r="CUT11" s="120"/>
      <c r="CUU11" s="120"/>
      <c r="CUV11" s="120"/>
      <c r="CUW11" s="120"/>
      <c r="CUX11" s="120"/>
      <c r="CUY11" s="120"/>
      <c r="CUZ11" s="120"/>
      <c r="CVA11" s="120"/>
      <c r="CVB11" s="120"/>
      <c r="CVC11" s="120"/>
      <c r="CVD11" s="120"/>
      <c r="CVE11" s="120"/>
      <c r="CVF11" s="120"/>
      <c r="CVG11" s="120"/>
      <c r="CVH11" s="120"/>
      <c r="CVI11" s="120"/>
      <c r="CVJ11" s="120"/>
      <c r="CVK11" s="120"/>
      <c r="CVL11" s="120"/>
      <c r="CVM11" s="120"/>
      <c r="CVN11" s="120"/>
      <c r="CVO11" s="120"/>
      <c r="CVP11" s="120"/>
      <c r="CVQ11" s="120"/>
      <c r="CVR11" s="120"/>
      <c r="CVS11" s="120"/>
      <c r="CVT11" s="120"/>
      <c r="CVU11" s="120"/>
      <c r="CVV11" s="120"/>
      <c r="CVW11" s="120"/>
      <c r="CVX11" s="120"/>
      <c r="CVY11" s="120"/>
      <c r="CVZ11" s="120"/>
      <c r="CWA11" s="120"/>
      <c r="CWB11" s="120"/>
      <c r="CWC11" s="120"/>
      <c r="CWD11" s="120"/>
      <c r="CWE11" s="120"/>
      <c r="CWF11" s="120"/>
      <c r="CWG11" s="120"/>
      <c r="CWH11" s="120"/>
      <c r="CWI11" s="120"/>
      <c r="CWJ11" s="120"/>
      <c r="CWK11" s="120"/>
      <c r="CWL11" s="120"/>
      <c r="CWM11" s="120"/>
      <c r="CWN11" s="120"/>
      <c r="CWO11" s="120"/>
      <c r="CWP11" s="120"/>
      <c r="CWQ11" s="120"/>
      <c r="CWR11" s="120"/>
      <c r="CWS11" s="120"/>
      <c r="CWT11" s="120"/>
      <c r="CWU11" s="120"/>
      <c r="CWV11" s="120"/>
      <c r="CWW11" s="120"/>
      <c r="CWX11" s="120"/>
      <c r="CWY11" s="120"/>
      <c r="CWZ11" s="120"/>
      <c r="CXA11" s="120"/>
      <c r="CXB11" s="120"/>
      <c r="CXC11" s="120"/>
      <c r="CXD11" s="120"/>
      <c r="CXE11" s="120"/>
      <c r="CXF11" s="120"/>
      <c r="CXG11" s="120"/>
      <c r="CXH11" s="120"/>
      <c r="CXI11" s="120"/>
      <c r="CXJ11" s="120"/>
      <c r="CXK11" s="120"/>
      <c r="CXL11" s="120"/>
      <c r="CXM11" s="120"/>
      <c r="CXN11" s="120"/>
      <c r="CXO11" s="120"/>
      <c r="CXP11" s="120"/>
      <c r="CXQ11" s="120"/>
      <c r="CXR11" s="120"/>
      <c r="CXS11" s="120"/>
      <c r="CXT11" s="120"/>
      <c r="CXU11" s="120"/>
      <c r="CXV11" s="120"/>
      <c r="CXW11" s="120"/>
      <c r="CXX11" s="120"/>
      <c r="CXY11" s="120"/>
      <c r="CXZ11" s="120"/>
      <c r="CYA11" s="120"/>
      <c r="CYB11" s="120"/>
      <c r="CYC11" s="120"/>
      <c r="CYD11" s="120"/>
      <c r="CYE11" s="120"/>
      <c r="CYF11" s="120"/>
      <c r="CYG11" s="120"/>
      <c r="CYH11" s="120"/>
      <c r="CYI11" s="120"/>
      <c r="CYJ11" s="120"/>
      <c r="CYK11" s="120"/>
      <c r="CYL11" s="120"/>
      <c r="CYM11" s="120"/>
      <c r="CYN11" s="120"/>
      <c r="CYO11" s="120"/>
      <c r="CYP11" s="120"/>
      <c r="CYQ11" s="120"/>
      <c r="CYR11" s="120"/>
      <c r="CYS11" s="120"/>
      <c r="CYT11" s="120"/>
      <c r="CYU11" s="120"/>
      <c r="CYV11" s="120"/>
      <c r="CYW11" s="120"/>
      <c r="CYX11" s="120"/>
      <c r="CYY11" s="120"/>
      <c r="CYZ11" s="120"/>
      <c r="CZA11" s="120"/>
      <c r="CZB11" s="120"/>
      <c r="CZC11" s="120"/>
      <c r="CZD11" s="120"/>
      <c r="CZE11" s="120"/>
      <c r="CZF11" s="120"/>
      <c r="CZG11" s="120"/>
      <c r="CZH11" s="120"/>
      <c r="CZI11" s="120"/>
      <c r="CZJ11" s="120"/>
      <c r="CZK11" s="120"/>
      <c r="CZL11" s="120"/>
      <c r="CZM11" s="120"/>
      <c r="CZN11" s="120"/>
      <c r="CZO11" s="120"/>
      <c r="CZP11" s="120"/>
      <c r="CZQ11" s="120"/>
      <c r="CZR11" s="120"/>
      <c r="CZS11" s="120"/>
      <c r="CZT11" s="120"/>
      <c r="CZU11" s="120"/>
      <c r="CZV11" s="120"/>
      <c r="CZW11" s="120"/>
      <c r="CZX11" s="120"/>
      <c r="CZY11" s="120"/>
      <c r="CZZ11" s="120"/>
      <c r="DAA11" s="120"/>
      <c r="DAB11" s="120"/>
      <c r="DAC11" s="120"/>
      <c r="DAD11" s="120"/>
      <c r="DAE11" s="120"/>
      <c r="DAF11" s="120"/>
      <c r="DAG11" s="120"/>
      <c r="DAH11" s="120"/>
      <c r="DAI11" s="120"/>
      <c r="DAJ11" s="120"/>
      <c r="DAK11" s="120"/>
      <c r="DAL11" s="120"/>
      <c r="DAM11" s="120"/>
      <c r="DAN11" s="120"/>
      <c r="DAO11" s="120"/>
      <c r="DAP11" s="120"/>
      <c r="DAQ11" s="120"/>
      <c r="DAR11" s="120"/>
      <c r="DAS11" s="120"/>
      <c r="DAT11" s="120"/>
      <c r="DAU11" s="120"/>
      <c r="DAV11" s="120"/>
      <c r="DAW11" s="120"/>
      <c r="DAX11" s="120"/>
      <c r="DAY11" s="120"/>
      <c r="DAZ11" s="120"/>
      <c r="DBA11" s="120"/>
      <c r="DBB11" s="120"/>
      <c r="DBC11" s="120"/>
      <c r="DBD11" s="120"/>
      <c r="DBE11" s="120"/>
      <c r="DBF11" s="120"/>
      <c r="DBG11" s="120"/>
      <c r="DBH11" s="120"/>
      <c r="DBI11" s="120"/>
      <c r="DBJ11" s="120"/>
      <c r="DBK11" s="120"/>
      <c r="DBL11" s="120"/>
      <c r="DBM11" s="120"/>
      <c r="DBN11" s="120"/>
      <c r="DBO11" s="120"/>
      <c r="DBP11" s="120"/>
      <c r="DBQ11" s="120"/>
      <c r="DBR11" s="120"/>
      <c r="DBS11" s="120"/>
      <c r="DBT11" s="120"/>
      <c r="DBU11" s="120"/>
      <c r="DBV11" s="120"/>
      <c r="DBW11" s="120"/>
      <c r="DBX11" s="120"/>
      <c r="DBY11" s="120"/>
      <c r="DBZ11" s="120"/>
      <c r="DCA11" s="120"/>
      <c r="DCB11" s="120"/>
      <c r="DCC11" s="120"/>
      <c r="DCD11" s="120"/>
      <c r="DCE11" s="120"/>
      <c r="DCF11" s="120"/>
      <c r="DCG11" s="120"/>
      <c r="DCH11" s="120"/>
      <c r="DCI11" s="120"/>
      <c r="DCJ11" s="120"/>
      <c r="DCK11" s="120"/>
      <c r="DCL11" s="120"/>
      <c r="DCM11" s="120"/>
      <c r="DCN11" s="120"/>
      <c r="DCO11" s="120"/>
      <c r="DCP11" s="120"/>
      <c r="DCQ11" s="120"/>
      <c r="DCR11" s="120"/>
      <c r="DCS11" s="120"/>
      <c r="DCT11" s="120"/>
      <c r="DCU11" s="120"/>
      <c r="DCV11" s="120"/>
      <c r="DCW11" s="120"/>
      <c r="DCX11" s="120"/>
      <c r="DCY11" s="120"/>
      <c r="DCZ11" s="120"/>
      <c r="DDA11" s="120"/>
      <c r="DDB11" s="120"/>
      <c r="DDC11" s="120"/>
      <c r="DDD11" s="120"/>
      <c r="DDE11" s="120"/>
      <c r="DDF11" s="120"/>
      <c r="DDG11" s="120"/>
      <c r="DDH11" s="120"/>
      <c r="DDI11" s="120"/>
      <c r="DDJ11" s="120"/>
      <c r="DDK11" s="120"/>
      <c r="DDL11" s="120"/>
      <c r="DDM11" s="120"/>
      <c r="DDN11" s="120"/>
      <c r="DDO11" s="120"/>
      <c r="DDP11" s="120"/>
      <c r="DDQ11" s="120"/>
      <c r="DDR11" s="120"/>
      <c r="DDS11" s="120"/>
      <c r="DDT11" s="120"/>
      <c r="DDU11" s="120"/>
      <c r="DDV11" s="120"/>
      <c r="DDW11" s="120"/>
      <c r="DDX11" s="120"/>
      <c r="DDY11" s="120"/>
      <c r="DDZ11" s="120"/>
      <c r="DEA11" s="120"/>
      <c r="DEB11" s="120"/>
      <c r="DEC11" s="120"/>
      <c r="DED11" s="120"/>
      <c r="DEE11" s="120"/>
      <c r="DEF11" s="120"/>
      <c r="DEG11" s="120"/>
      <c r="DEH11" s="120"/>
      <c r="DEI11" s="120"/>
      <c r="DEJ11" s="120"/>
      <c r="DEK11" s="120"/>
      <c r="DEL11" s="120"/>
      <c r="DEM11" s="120"/>
      <c r="DEN11" s="120"/>
      <c r="DEO11" s="120"/>
      <c r="DEP11" s="120"/>
      <c r="DEQ11" s="120"/>
      <c r="DER11" s="120"/>
      <c r="DES11" s="120"/>
      <c r="DET11" s="120"/>
      <c r="DEU11" s="120"/>
      <c r="DEV11" s="120"/>
      <c r="DEW11" s="120"/>
      <c r="DEX11" s="120"/>
      <c r="DEY11" s="120"/>
      <c r="DEZ11" s="120"/>
      <c r="DFA11" s="120"/>
      <c r="DFB11" s="120"/>
      <c r="DFC11" s="120"/>
      <c r="DFD11" s="120"/>
      <c r="DFE11" s="120"/>
      <c r="DFF11" s="120"/>
      <c r="DFG11" s="120"/>
      <c r="DFH11" s="120"/>
      <c r="DFI11" s="120"/>
      <c r="DFJ11" s="120"/>
      <c r="DFK11" s="120"/>
      <c r="DFL11" s="120"/>
      <c r="DFM11" s="120"/>
      <c r="DFN11" s="120"/>
      <c r="DFO11" s="120"/>
      <c r="DFP11" s="120"/>
      <c r="DFQ11" s="120"/>
      <c r="DFR11" s="120"/>
      <c r="DFS11" s="120"/>
      <c r="DFT11" s="120"/>
      <c r="DFU11" s="120"/>
      <c r="DFV11" s="120"/>
      <c r="DFW11" s="120"/>
      <c r="DFX11" s="120"/>
      <c r="DFY11" s="120"/>
      <c r="DFZ11" s="120"/>
      <c r="DGA11" s="120"/>
      <c r="DGB11" s="120"/>
      <c r="DGC11" s="120"/>
      <c r="DGD11" s="120"/>
      <c r="DGE11" s="120"/>
      <c r="DGF11" s="120"/>
      <c r="DGG11" s="120"/>
      <c r="DGH11" s="120"/>
      <c r="DGI11" s="120"/>
      <c r="DGJ11" s="120"/>
      <c r="DGK11" s="120"/>
      <c r="DGL11" s="120"/>
      <c r="DGM11" s="120"/>
      <c r="DGN11" s="120"/>
      <c r="DGO11" s="120"/>
      <c r="DGP11" s="120"/>
      <c r="DGQ11" s="120"/>
      <c r="DGR11" s="120"/>
      <c r="DGS11" s="120"/>
      <c r="DGT11" s="120"/>
      <c r="DGU11" s="120"/>
      <c r="DGV11" s="120"/>
      <c r="DGW11" s="120"/>
      <c r="DGX11" s="120"/>
      <c r="DGY11" s="120"/>
      <c r="DGZ11" s="120"/>
      <c r="DHA11" s="120"/>
      <c r="DHB11" s="120"/>
      <c r="DHC11" s="120"/>
      <c r="DHD11" s="120"/>
      <c r="DHE11" s="120"/>
      <c r="DHF11" s="120"/>
      <c r="DHG11" s="120"/>
      <c r="DHH11" s="120"/>
      <c r="DHI11" s="120"/>
      <c r="DHJ11" s="120"/>
      <c r="DHK11" s="120"/>
      <c r="DHL11" s="120"/>
      <c r="DHM11" s="120"/>
      <c r="DHN11" s="120"/>
      <c r="DHO11" s="120"/>
      <c r="DHP11" s="120"/>
      <c r="DHQ11" s="120"/>
      <c r="DHR11" s="120"/>
      <c r="DHS11" s="120"/>
      <c r="DHT11" s="120"/>
      <c r="DHU11" s="120"/>
      <c r="DHV11" s="120"/>
      <c r="DHW11" s="120"/>
      <c r="DHX11" s="120"/>
      <c r="DHY11" s="120"/>
      <c r="DHZ11" s="120"/>
      <c r="DIA11" s="120"/>
      <c r="DIB11" s="120"/>
      <c r="DIC11" s="120"/>
      <c r="DID11" s="120"/>
      <c r="DIE11" s="120"/>
      <c r="DIF11" s="120"/>
      <c r="DIG11" s="120"/>
      <c r="DIH11" s="120"/>
      <c r="DII11" s="120"/>
      <c r="DIJ11" s="120"/>
      <c r="DIK11" s="120"/>
      <c r="DIL11" s="120"/>
      <c r="DIM11" s="120"/>
      <c r="DIN11" s="120"/>
      <c r="DIO11" s="120"/>
      <c r="DIP11" s="120"/>
      <c r="DIQ11" s="120"/>
      <c r="DIR11" s="120"/>
      <c r="DIS11" s="120"/>
      <c r="DIT11" s="120"/>
      <c r="DIU11" s="120"/>
      <c r="DIV11" s="120"/>
      <c r="DIW11" s="120"/>
      <c r="DIX11" s="120"/>
      <c r="DIY11" s="120"/>
      <c r="DIZ11" s="120"/>
      <c r="DJA11" s="120"/>
      <c r="DJB11" s="120"/>
      <c r="DJC11" s="120"/>
      <c r="DJD11" s="120"/>
      <c r="DJE11" s="120"/>
      <c r="DJF11" s="120"/>
      <c r="DJG11" s="120"/>
      <c r="DJH11" s="120"/>
      <c r="DJI11" s="120"/>
      <c r="DJJ11" s="120"/>
      <c r="DJK11" s="120"/>
      <c r="DJL11" s="120"/>
      <c r="DJM11" s="120"/>
      <c r="DJN11" s="120"/>
      <c r="DJO11" s="120"/>
      <c r="DJP11" s="120"/>
      <c r="DJQ11" s="120"/>
      <c r="DJR11" s="120"/>
      <c r="DJS11" s="120"/>
      <c r="DJT11" s="120"/>
      <c r="DJU11" s="120"/>
      <c r="DJV11" s="120"/>
      <c r="DJW11" s="120"/>
      <c r="DJX11" s="120"/>
      <c r="DJY11" s="120"/>
      <c r="DJZ11" s="120"/>
      <c r="DKA11" s="120"/>
      <c r="DKB11" s="120"/>
      <c r="DKC11" s="120"/>
      <c r="DKD11" s="120"/>
      <c r="DKE11" s="120"/>
      <c r="DKF11" s="120"/>
      <c r="DKG11" s="120"/>
      <c r="DKH11" s="120"/>
      <c r="DKI11" s="120"/>
      <c r="DKJ11" s="120"/>
      <c r="DKK11" s="120"/>
      <c r="DKL11" s="120"/>
      <c r="DKM11" s="120"/>
      <c r="DKN11" s="120"/>
      <c r="DKO11" s="120"/>
      <c r="DKP11" s="120"/>
      <c r="DKQ11" s="120"/>
      <c r="DKR11" s="120"/>
      <c r="DKS11" s="120"/>
      <c r="DKT11" s="120"/>
      <c r="DKU11" s="120"/>
      <c r="DKV11" s="120"/>
      <c r="DKW11" s="120"/>
      <c r="DKX11" s="120"/>
      <c r="DKY11" s="120"/>
      <c r="DKZ11" s="120"/>
      <c r="DLA11" s="120"/>
      <c r="DLB11" s="120"/>
      <c r="DLC11" s="120"/>
      <c r="DLD11" s="120"/>
      <c r="DLE11" s="120"/>
      <c r="DLF11" s="120"/>
      <c r="DLG11" s="120"/>
      <c r="DLH11" s="120"/>
      <c r="DLI11" s="120"/>
      <c r="DLJ11" s="120"/>
      <c r="DLK11" s="120"/>
      <c r="DLL11" s="120"/>
      <c r="DLM11" s="120"/>
      <c r="DLN11" s="120"/>
      <c r="DLO11" s="120"/>
      <c r="DLP11" s="120"/>
      <c r="DLQ11" s="120"/>
      <c r="DLR11" s="120"/>
      <c r="DLS11" s="120"/>
      <c r="DLT11" s="120"/>
      <c r="DLU11" s="120"/>
      <c r="DLV11" s="120"/>
      <c r="DLW11" s="120"/>
      <c r="DLX11" s="120"/>
      <c r="DLY11" s="120"/>
      <c r="DLZ11" s="120"/>
      <c r="DMA11" s="120"/>
      <c r="DMB11" s="120"/>
      <c r="DMC11" s="120"/>
      <c r="DMD11" s="120"/>
      <c r="DME11" s="120"/>
      <c r="DMF11" s="120"/>
      <c r="DMG11" s="120"/>
      <c r="DMH11" s="120"/>
      <c r="DMI11" s="120"/>
      <c r="DMJ11" s="120"/>
      <c r="DMK11" s="120"/>
      <c r="DML11" s="120"/>
      <c r="DMM11" s="120"/>
      <c r="DMN11" s="120"/>
      <c r="DMO11" s="120"/>
      <c r="DMP11" s="120"/>
      <c r="DMQ11" s="120"/>
      <c r="DMR11" s="120"/>
      <c r="DMS11" s="120"/>
      <c r="DMT11" s="120"/>
      <c r="DMU11" s="120"/>
      <c r="DMV11" s="120"/>
      <c r="DMW11" s="120"/>
      <c r="DMX11" s="120"/>
      <c r="DMY11" s="120"/>
      <c r="DMZ11" s="120"/>
      <c r="DNA11" s="120"/>
      <c r="DNB11" s="120"/>
      <c r="DNC11" s="120"/>
      <c r="DND11" s="120"/>
      <c r="DNE11" s="120"/>
      <c r="DNF11" s="120"/>
      <c r="DNG11" s="120"/>
      <c r="DNH11" s="120"/>
      <c r="DNI11" s="120"/>
      <c r="DNJ11" s="120"/>
      <c r="DNK11" s="120"/>
      <c r="DNL11" s="120"/>
      <c r="DNM11" s="120"/>
      <c r="DNN11" s="120"/>
      <c r="DNO11" s="120"/>
      <c r="DNP11" s="120"/>
      <c r="DNQ11" s="120"/>
      <c r="DNR11" s="120"/>
      <c r="DNS11" s="120"/>
      <c r="DNT11" s="120"/>
      <c r="DNU11" s="120"/>
      <c r="DNV11" s="120"/>
      <c r="DNW11" s="120"/>
      <c r="DNX11" s="120"/>
      <c r="DNY11" s="120"/>
      <c r="DNZ11" s="120"/>
      <c r="DOA11" s="120"/>
      <c r="DOB11" s="120"/>
      <c r="DOC11" s="120"/>
      <c r="DOD11" s="120"/>
      <c r="DOE11" s="120"/>
      <c r="DOF11" s="120"/>
      <c r="DOG11" s="120"/>
      <c r="DOH11" s="120"/>
      <c r="DOI11" s="120"/>
      <c r="DOJ11" s="120"/>
      <c r="DOK11" s="120"/>
      <c r="DOL11" s="120"/>
      <c r="DOM11" s="120"/>
      <c r="DON11" s="120"/>
      <c r="DOO11" s="120"/>
      <c r="DOP11" s="120"/>
      <c r="DOQ11" s="120"/>
      <c r="DOR11" s="120"/>
      <c r="DOS11" s="120"/>
      <c r="DOT11" s="120"/>
      <c r="DOU11" s="120"/>
      <c r="DOV11" s="120"/>
      <c r="DOW11" s="120"/>
      <c r="DOX11" s="120"/>
      <c r="DOY11" s="120"/>
      <c r="DOZ11" s="120"/>
      <c r="DPA11" s="120"/>
      <c r="DPB11" s="120"/>
      <c r="DPC11" s="120"/>
      <c r="DPD11" s="120"/>
      <c r="DPE11" s="120"/>
      <c r="DPF11" s="120"/>
      <c r="DPG11" s="120"/>
      <c r="DPH11" s="120"/>
      <c r="DPI11" s="120"/>
      <c r="DPJ11" s="120"/>
      <c r="DPK11" s="120"/>
      <c r="DPL11" s="120"/>
      <c r="DPM11" s="120"/>
      <c r="DPN11" s="120"/>
      <c r="DPO11" s="120"/>
      <c r="DPP11" s="120"/>
      <c r="DPQ11" s="120"/>
      <c r="DPR11" s="120"/>
      <c r="DPS11" s="120"/>
      <c r="DPT11" s="120"/>
      <c r="DPU11" s="120"/>
      <c r="DPV11" s="120"/>
      <c r="DPW11" s="120"/>
      <c r="DPX11" s="120"/>
      <c r="DPY11" s="120"/>
      <c r="DPZ11" s="120"/>
      <c r="DQA11" s="120"/>
      <c r="DQB11" s="120"/>
      <c r="DQC11" s="120"/>
      <c r="DQD11" s="120"/>
      <c r="DQE11" s="120"/>
      <c r="DQF11" s="120"/>
      <c r="DQG11" s="120"/>
      <c r="DQH11" s="120"/>
      <c r="DQI11" s="120"/>
      <c r="DQJ11" s="120"/>
      <c r="DQK11" s="120"/>
      <c r="DQL11" s="120"/>
      <c r="DQM11" s="120"/>
      <c r="DQN11" s="120"/>
      <c r="DQO11" s="120"/>
      <c r="DQP11" s="120"/>
      <c r="DQQ11" s="120"/>
      <c r="DQR11" s="120"/>
      <c r="DQS11" s="120"/>
      <c r="DQT11" s="120"/>
      <c r="DQU11" s="120"/>
      <c r="DQV11" s="120"/>
      <c r="DQW11" s="120"/>
      <c r="DQX11" s="120"/>
      <c r="DQY11" s="120"/>
      <c r="DQZ11" s="120"/>
      <c r="DRA11" s="120"/>
      <c r="DRB11" s="120"/>
      <c r="DRC11" s="120"/>
      <c r="DRD11" s="120"/>
      <c r="DRE11" s="120"/>
      <c r="DRF11" s="120"/>
      <c r="DRG11" s="120"/>
      <c r="DRH11" s="120"/>
      <c r="DRI11" s="120"/>
      <c r="DRJ11" s="120"/>
      <c r="DRK11" s="120"/>
      <c r="DRL11" s="120"/>
      <c r="DRM11" s="120"/>
      <c r="DRN11" s="120"/>
      <c r="DRO11" s="120"/>
      <c r="DRP11" s="120"/>
      <c r="DRQ11" s="120"/>
      <c r="DRR11" s="120"/>
      <c r="DRS11" s="120"/>
      <c r="DRT11" s="120"/>
      <c r="DRU11" s="120"/>
      <c r="DRV11" s="120"/>
      <c r="DRW11" s="120"/>
      <c r="DRX11" s="120"/>
      <c r="DRY11" s="120"/>
      <c r="DRZ11" s="120"/>
      <c r="DSA11" s="120"/>
      <c r="DSB11" s="120"/>
      <c r="DSC11" s="120"/>
      <c r="DSD11" s="120"/>
      <c r="DSE11" s="120"/>
      <c r="DSF11" s="120"/>
      <c r="DSG11" s="120"/>
      <c r="DSH11" s="120"/>
      <c r="DSI11" s="120"/>
      <c r="DSJ11" s="120"/>
      <c r="DSK11" s="120"/>
      <c r="DSL11" s="120"/>
      <c r="DSM11" s="120"/>
      <c r="DSN11" s="120"/>
      <c r="DSO11" s="120"/>
      <c r="DSP11" s="120"/>
      <c r="DSQ11" s="120"/>
      <c r="DSR11" s="120"/>
      <c r="DSS11" s="120"/>
      <c r="DST11" s="120"/>
      <c r="DSU11" s="120"/>
      <c r="DSV11" s="120"/>
      <c r="DSW11" s="120"/>
      <c r="DSX11" s="120"/>
      <c r="DSY11" s="120"/>
      <c r="DSZ11" s="120"/>
      <c r="DTA11" s="120"/>
      <c r="DTB11" s="120"/>
      <c r="DTC11" s="120"/>
      <c r="DTD11" s="120"/>
      <c r="DTE11" s="120"/>
      <c r="DTF11" s="120"/>
      <c r="DTG11" s="120"/>
      <c r="DTH11" s="120"/>
      <c r="DTI11" s="120"/>
      <c r="DTJ11" s="120"/>
      <c r="DTK11" s="120"/>
      <c r="DTL11" s="120"/>
      <c r="DTM11" s="120"/>
      <c r="DTN11" s="120"/>
      <c r="DTO11" s="120"/>
      <c r="DTP11" s="120"/>
      <c r="DTQ11" s="120"/>
      <c r="DTR11" s="120"/>
      <c r="DTS11" s="120"/>
      <c r="DTT11" s="120"/>
      <c r="DTU11" s="120"/>
      <c r="DTV11" s="120"/>
      <c r="DTW11" s="120"/>
      <c r="DTX11" s="120"/>
      <c r="DTY11" s="120"/>
      <c r="DTZ11" s="120"/>
      <c r="DUA11" s="120"/>
      <c r="DUB11" s="120"/>
      <c r="DUC11" s="120"/>
      <c r="DUD11" s="120"/>
      <c r="DUE11" s="120"/>
      <c r="DUF11" s="120"/>
      <c r="DUG11" s="120"/>
      <c r="DUH11" s="120"/>
      <c r="DUI11" s="120"/>
      <c r="DUJ11" s="120"/>
      <c r="DUK11" s="120"/>
      <c r="DUL11" s="120"/>
      <c r="DUM11" s="120"/>
      <c r="DUN11" s="120"/>
      <c r="DUO11" s="120"/>
      <c r="DUP11" s="120"/>
      <c r="DUQ11" s="120"/>
      <c r="DUR11" s="120"/>
      <c r="DUS11" s="120"/>
      <c r="DUT11" s="120"/>
      <c r="DUU11" s="120"/>
      <c r="DUV11" s="120"/>
      <c r="DUW11" s="120"/>
      <c r="DUX11" s="120"/>
      <c r="DUY11" s="120"/>
      <c r="DUZ11" s="120"/>
      <c r="DVA11" s="120"/>
      <c r="DVB11" s="120"/>
      <c r="DVC11" s="120"/>
      <c r="DVD11" s="120"/>
      <c r="DVE11" s="120"/>
      <c r="DVF11" s="120"/>
      <c r="DVG11" s="120"/>
      <c r="DVH11" s="120"/>
      <c r="DVI11" s="120"/>
      <c r="DVJ11" s="120"/>
      <c r="DVK11" s="120"/>
      <c r="DVL11" s="120"/>
      <c r="DVM11" s="120"/>
      <c r="DVN11" s="120"/>
      <c r="DVO11" s="120"/>
      <c r="DVP11" s="120"/>
      <c r="DVQ11" s="120"/>
      <c r="DVR11" s="120"/>
      <c r="DVS11" s="120"/>
      <c r="DVT11" s="120"/>
      <c r="DVU11" s="120"/>
      <c r="DVV11" s="120"/>
      <c r="DVW11" s="120"/>
      <c r="DVX11" s="120"/>
      <c r="DVY11" s="120"/>
      <c r="DVZ11" s="120"/>
      <c r="DWA11" s="120"/>
      <c r="DWB11" s="120"/>
      <c r="DWC11" s="120"/>
      <c r="DWD11" s="120"/>
      <c r="DWE11" s="120"/>
      <c r="DWF11" s="120"/>
      <c r="DWG11" s="120"/>
      <c r="DWH11" s="120"/>
      <c r="DWI11" s="120"/>
      <c r="DWJ11" s="120"/>
      <c r="DWK11" s="120"/>
      <c r="DWL11" s="120"/>
      <c r="DWM11" s="120"/>
      <c r="DWN11" s="120"/>
      <c r="DWO11" s="120"/>
      <c r="DWP11" s="120"/>
      <c r="DWQ11" s="120"/>
      <c r="DWR11" s="120"/>
      <c r="DWS11" s="120"/>
      <c r="DWT11" s="120"/>
      <c r="DWU11" s="120"/>
      <c r="DWV11" s="120"/>
      <c r="DWW11" s="120"/>
      <c r="DWX11" s="120"/>
      <c r="DWY11" s="120"/>
      <c r="DWZ11" s="120"/>
      <c r="DXA11" s="120"/>
      <c r="DXB11" s="120"/>
      <c r="DXC11" s="120"/>
      <c r="DXD11" s="120"/>
      <c r="DXE11" s="120"/>
      <c r="DXF11" s="120"/>
      <c r="DXG11" s="120"/>
      <c r="DXH11" s="120"/>
      <c r="DXI11" s="120"/>
      <c r="DXJ11" s="120"/>
      <c r="DXK11" s="120"/>
      <c r="DXL11" s="120"/>
      <c r="DXM11" s="120"/>
      <c r="DXN11" s="120"/>
      <c r="DXO11" s="120"/>
      <c r="DXP11" s="120"/>
      <c r="DXQ11" s="120"/>
      <c r="DXR11" s="120"/>
      <c r="DXS11" s="120"/>
      <c r="DXT11" s="120"/>
      <c r="DXU11" s="120"/>
      <c r="DXV11" s="120"/>
      <c r="DXW11" s="120"/>
      <c r="DXX11" s="120"/>
      <c r="DXY11" s="120"/>
      <c r="DXZ11" s="120"/>
      <c r="DYA11" s="120"/>
      <c r="DYB11" s="120"/>
      <c r="DYC11" s="120"/>
      <c r="DYD11" s="120"/>
      <c r="DYE11" s="120"/>
      <c r="DYF11" s="120"/>
      <c r="DYG11" s="120"/>
      <c r="DYH11" s="120"/>
      <c r="DYI11" s="120"/>
      <c r="DYJ11" s="120"/>
      <c r="DYK11" s="120"/>
      <c r="DYL11" s="120"/>
      <c r="DYM11" s="120"/>
      <c r="DYN11" s="120"/>
      <c r="DYO11" s="120"/>
      <c r="DYP11" s="120"/>
      <c r="DYQ11" s="120"/>
      <c r="DYR11" s="120"/>
      <c r="DYS11" s="120"/>
      <c r="DYT11" s="120"/>
      <c r="DYU11" s="120"/>
      <c r="DYV11" s="120"/>
      <c r="DYW11" s="120"/>
      <c r="DYX11" s="120"/>
      <c r="DYY11" s="120"/>
      <c r="DYZ11" s="120"/>
      <c r="DZA11" s="120"/>
      <c r="DZB11" s="120"/>
      <c r="DZC11" s="120"/>
      <c r="DZD11" s="120"/>
      <c r="DZE11" s="120"/>
      <c r="DZF11" s="120"/>
      <c r="DZG11" s="120"/>
      <c r="DZH11" s="120"/>
      <c r="DZI11" s="120"/>
      <c r="DZJ11" s="120"/>
      <c r="DZK11" s="120"/>
      <c r="DZL11" s="120"/>
      <c r="DZM11" s="120"/>
      <c r="DZN11" s="120"/>
      <c r="DZO11" s="120"/>
      <c r="DZP11" s="120"/>
      <c r="DZQ11" s="120"/>
      <c r="DZR11" s="120"/>
      <c r="DZS11" s="120"/>
      <c r="DZT11" s="120"/>
      <c r="DZU11" s="120"/>
      <c r="DZV11" s="120"/>
      <c r="DZW11" s="120"/>
      <c r="DZX11" s="120"/>
      <c r="DZY11" s="120"/>
      <c r="DZZ11" s="120"/>
      <c r="EAA11" s="120"/>
      <c r="EAB11" s="120"/>
      <c r="EAC11" s="120"/>
      <c r="EAD11" s="120"/>
      <c r="EAE11" s="120"/>
      <c r="EAF11" s="120"/>
      <c r="EAG11" s="120"/>
      <c r="EAH11" s="120"/>
      <c r="EAI11" s="120"/>
      <c r="EAJ11" s="120"/>
      <c r="EAK11" s="120"/>
      <c r="EAL11" s="120"/>
      <c r="EAM11" s="120"/>
      <c r="EAN11" s="120"/>
      <c r="EAO11" s="120"/>
      <c r="EAP11" s="120"/>
      <c r="EAQ11" s="120"/>
      <c r="EAR11" s="120"/>
      <c r="EAS11" s="120"/>
      <c r="EAT11" s="120"/>
      <c r="EAU11" s="120"/>
      <c r="EAV11" s="120"/>
      <c r="EAW11" s="120"/>
      <c r="EAX11" s="120"/>
      <c r="EAY11" s="120"/>
      <c r="EAZ11" s="120"/>
      <c r="EBA11" s="120"/>
      <c r="EBB11" s="120"/>
      <c r="EBC11" s="120"/>
      <c r="EBD11" s="120"/>
      <c r="EBE11" s="120"/>
      <c r="EBF11" s="120"/>
      <c r="EBG11" s="120"/>
      <c r="EBH11" s="120"/>
      <c r="EBI11" s="120"/>
      <c r="EBJ11" s="120"/>
      <c r="EBK11" s="120"/>
      <c r="EBL11" s="120"/>
      <c r="EBM11" s="120"/>
      <c r="EBN11" s="120"/>
      <c r="EBO11" s="120"/>
      <c r="EBP11" s="120"/>
      <c r="EBQ11" s="120"/>
      <c r="EBR11" s="120"/>
      <c r="EBS11" s="120"/>
      <c r="EBT11" s="120"/>
      <c r="EBU11" s="120"/>
      <c r="EBV11" s="120"/>
      <c r="EBW11" s="120"/>
      <c r="EBX11" s="120"/>
      <c r="EBY11" s="120"/>
      <c r="EBZ11" s="120"/>
      <c r="ECA11" s="120"/>
      <c r="ECB11" s="120"/>
      <c r="ECC11" s="120"/>
      <c r="ECD11" s="120"/>
      <c r="ECE11" s="120"/>
      <c r="ECF11" s="120"/>
      <c r="ECG11" s="120"/>
      <c r="ECH11" s="120"/>
      <c r="ECI11" s="120"/>
      <c r="ECJ11" s="120"/>
      <c r="ECK11" s="120"/>
      <c r="ECL11" s="120"/>
      <c r="ECM11" s="120"/>
      <c r="ECN11" s="120"/>
      <c r="ECO11" s="120"/>
      <c r="ECP11" s="120"/>
      <c r="ECQ11" s="120"/>
      <c r="ECR11" s="120"/>
      <c r="ECS11" s="120"/>
      <c r="ECT11" s="120"/>
      <c r="ECU11" s="120"/>
      <c r="ECV11" s="120"/>
      <c r="ECW11" s="120"/>
      <c r="ECX11" s="120"/>
      <c r="ECY11" s="120"/>
      <c r="ECZ11" s="120"/>
      <c r="EDA11" s="120"/>
      <c r="EDB11" s="120"/>
      <c r="EDC11" s="120"/>
      <c r="EDD11" s="120"/>
      <c r="EDE11" s="120"/>
      <c r="EDF11" s="120"/>
      <c r="EDG11" s="120"/>
      <c r="EDH11" s="120"/>
      <c r="EDI11" s="120"/>
      <c r="EDJ11" s="120"/>
      <c r="EDK11" s="120"/>
      <c r="EDL11" s="120"/>
      <c r="EDM11" s="120"/>
      <c r="EDN11" s="120"/>
      <c r="EDO11" s="120"/>
      <c r="EDP11" s="120"/>
      <c r="EDQ11" s="120"/>
      <c r="EDR11" s="120"/>
      <c r="EDS11" s="120"/>
      <c r="EDT11" s="120"/>
      <c r="EDU11" s="120"/>
      <c r="EDV11" s="120"/>
      <c r="EDW11" s="120"/>
      <c r="EDX11" s="120"/>
      <c r="EDY11" s="120"/>
      <c r="EDZ11" s="120"/>
      <c r="EEA11" s="120"/>
      <c r="EEB11" s="120"/>
      <c r="EEC11" s="120"/>
      <c r="EED11" s="120"/>
      <c r="EEE11" s="120"/>
      <c r="EEF11" s="120"/>
      <c r="EEG11" s="120"/>
      <c r="EEH11" s="120"/>
      <c r="EEI11" s="120"/>
      <c r="EEJ11" s="120"/>
      <c r="EEK11" s="120"/>
      <c r="EEL11" s="120"/>
      <c r="EEM11" s="120"/>
      <c r="EEN11" s="120"/>
      <c r="EEO11" s="120"/>
      <c r="EEP11" s="120"/>
      <c r="EEQ11" s="120"/>
      <c r="EER11" s="120"/>
      <c r="EES11" s="120"/>
      <c r="EET11" s="120"/>
      <c r="EEU11" s="120"/>
      <c r="EEV11" s="120"/>
      <c r="EEW11" s="120"/>
      <c r="EEX11" s="120"/>
      <c r="EEY11" s="120"/>
      <c r="EEZ11" s="120"/>
      <c r="EFA11" s="120"/>
      <c r="EFB11" s="120"/>
      <c r="EFC11" s="120"/>
      <c r="EFD11" s="120"/>
      <c r="EFE11" s="120"/>
      <c r="EFF11" s="120"/>
      <c r="EFG11" s="120"/>
      <c r="EFH11" s="120"/>
      <c r="EFI11" s="120"/>
      <c r="EFJ11" s="120"/>
      <c r="EFK11" s="120"/>
      <c r="EFL11" s="120"/>
      <c r="EFM11" s="120"/>
      <c r="EFN11" s="120"/>
      <c r="EFO11" s="120"/>
      <c r="EFP11" s="120"/>
      <c r="EFQ11" s="120"/>
      <c r="EFR11" s="120"/>
      <c r="EFS11" s="120"/>
      <c r="EFT11" s="120"/>
      <c r="EFU11" s="120"/>
      <c r="EFV11" s="120"/>
      <c r="EFW11" s="120"/>
      <c r="EFX11" s="120"/>
      <c r="EFY11" s="120"/>
      <c r="EFZ11" s="120"/>
      <c r="EGA11" s="120"/>
      <c r="EGB11" s="120"/>
      <c r="EGC11" s="120"/>
      <c r="EGD11" s="120"/>
      <c r="EGE11" s="120"/>
      <c r="EGF11" s="120"/>
      <c r="EGG11" s="120"/>
      <c r="EGH11" s="120"/>
      <c r="EGI11" s="120"/>
      <c r="EGJ11" s="120"/>
      <c r="EGK11" s="120"/>
      <c r="EGL11" s="120"/>
      <c r="EGM11" s="120"/>
      <c r="EGN11" s="120"/>
      <c r="EGO11" s="120"/>
      <c r="EGP11" s="120"/>
      <c r="EGQ11" s="120"/>
      <c r="EGR11" s="120"/>
      <c r="EGS11" s="120"/>
      <c r="EGT11" s="120"/>
      <c r="EGU11" s="120"/>
      <c r="EGV11" s="120"/>
      <c r="EGW11" s="120"/>
      <c r="EGX11" s="120"/>
      <c r="EGY11" s="120"/>
      <c r="EGZ11" s="120"/>
      <c r="EHA11" s="120"/>
      <c r="EHB11" s="120"/>
      <c r="EHC11" s="120"/>
      <c r="EHD11" s="120"/>
      <c r="EHE11" s="120"/>
      <c r="EHF11" s="120"/>
      <c r="EHG11" s="120"/>
      <c r="EHH11" s="120"/>
      <c r="EHI11" s="120"/>
      <c r="EHJ11" s="120"/>
      <c r="EHK11" s="120"/>
      <c r="EHL11" s="120"/>
      <c r="EHM11" s="120"/>
      <c r="EHN11" s="120"/>
      <c r="EHO11" s="120"/>
      <c r="EHP11" s="120"/>
      <c r="EHQ11" s="120"/>
      <c r="EHR11" s="120"/>
      <c r="EHS11" s="120"/>
      <c r="EHT11" s="120"/>
      <c r="EHU11" s="120"/>
      <c r="EHV11" s="120"/>
      <c r="EHW11" s="120"/>
      <c r="EHX11" s="120"/>
      <c r="EHY11" s="120"/>
      <c r="EHZ11" s="120"/>
      <c r="EIA11" s="120"/>
      <c r="EIB11" s="120"/>
      <c r="EIC11" s="120"/>
      <c r="EID11" s="120"/>
      <c r="EIE11" s="120"/>
      <c r="EIF11" s="120"/>
      <c r="EIG11" s="120"/>
      <c r="EIH11" s="120"/>
      <c r="EII11" s="120"/>
      <c r="EIJ11" s="120"/>
      <c r="EIK11" s="120"/>
      <c r="EIL11" s="120"/>
      <c r="EIM11" s="120"/>
      <c r="EIN11" s="120"/>
      <c r="EIO11" s="120"/>
      <c r="EIP11" s="120"/>
      <c r="EIQ11" s="120"/>
      <c r="EIR11" s="120"/>
      <c r="EIS11" s="120"/>
      <c r="EIT11" s="120"/>
      <c r="EIU11" s="120"/>
      <c r="EIV11" s="120"/>
      <c r="EIW11" s="120"/>
      <c r="EIX11" s="120"/>
      <c r="EIY11" s="120"/>
      <c r="EIZ11" s="120"/>
      <c r="EJA11" s="120"/>
      <c r="EJB11" s="120"/>
      <c r="EJC11" s="120"/>
      <c r="EJD11" s="120"/>
      <c r="EJE11" s="120"/>
      <c r="EJF11" s="120"/>
      <c r="EJG11" s="120"/>
      <c r="EJH11" s="120"/>
      <c r="EJI11" s="120"/>
      <c r="EJJ11" s="120"/>
      <c r="EJK11" s="120"/>
      <c r="EJL11" s="120"/>
      <c r="EJM11" s="120"/>
      <c r="EJN11" s="120"/>
      <c r="EJO11" s="120"/>
      <c r="EJP11" s="120"/>
      <c r="EJQ11" s="120"/>
      <c r="EJR11" s="120"/>
      <c r="EJS11" s="120"/>
      <c r="EJT11" s="120"/>
      <c r="EJU11" s="120"/>
      <c r="EJV11" s="120"/>
      <c r="EJW11" s="120"/>
      <c r="EJX11" s="120"/>
      <c r="EJY11" s="120"/>
      <c r="EJZ11" s="120"/>
      <c r="EKA11" s="120"/>
      <c r="EKB11" s="120"/>
      <c r="EKC11" s="120"/>
      <c r="EKD11" s="120"/>
      <c r="EKE11" s="120"/>
      <c r="EKF11" s="120"/>
      <c r="EKG11" s="120"/>
      <c r="EKH11" s="120"/>
      <c r="EKI11" s="120"/>
      <c r="EKJ11" s="120"/>
      <c r="EKK11" s="120"/>
      <c r="EKL11" s="120"/>
      <c r="EKM11" s="120"/>
      <c r="EKN11" s="120"/>
      <c r="EKO11" s="120"/>
      <c r="EKP11" s="120"/>
      <c r="EKQ11" s="120"/>
      <c r="EKR11" s="120"/>
      <c r="EKS11" s="120"/>
      <c r="EKT11" s="120"/>
      <c r="EKU11" s="120"/>
      <c r="EKV11" s="120"/>
      <c r="EKW11" s="120"/>
      <c r="EKX11" s="120"/>
      <c r="EKY11" s="120"/>
      <c r="EKZ11" s="120"/>
      <c r="ELA11" s="120"/>
      <c r="ELB11" s="120"/>
      <c r="ELC11" s="120"/>
      <c r="ELD11" s="120"/>
      <c r="ELE11" s="120"/>
      <c r="ELF11" s="120"/>
      <c r="ELG11" s="120"/>
      <c r="ELH11" s="120"/>
      <c r="ELI11" s="120"/>
      <c r="ELJ11" s="120"/>
      <c r="ELK11" s="120"/>
      <c r="ELL11" s="120"/>
      <c r="ELM11" s="120"/>
      <c r="ELN11" s="120"/>
      <c r="ELO11" s="120"/>
      <c r="ELP11" s="120"/>
      <c r="ELQ11" s="120"/>
      <c r="ELR11" s="120"/>
      <c r="ELS11" s="120"/>
      <c r="ELT11" s="120"/>
      <c r="ELU11" s="120"/>
      <c r="ELV11" s="120"/>
      <c r="ELW11" s="120"/>
      <c r="ELX11" s="120"/>
      <c r="ELY11" s="120"/>
      <c r="ELZ11" s="120"/>
      <c r="EMA11" s="120"/>
      <c r="EMB11" s="120"/>
      <c r="EMC11" s="120"/>
      <c r="EMD11" s="120"/>
      <c r="EME11" s="120"/>
      <c r="EMF11" s="120"/>
      <c r="EMG11" s="120"/>
      <c r="EMH11" s="120"/>
      <c r="EMI11" s="120"/>
      <c r="EMJ11" s="120"/>
      <c r="EMK11" s="120"/>
      <c r="EML11" s="120"/>
      <c r="EMM11" s="120"/>
      <c r="EMN11" s="120"/>
      <c r="EMO11" s="120"/>
      <c r="EMP11" s="120"/>
      <c r="EMQ11" s="120"/>
      <c r="EMR11" s="120"/>
      <c r="EMS11" s="120"/>
      <c r="EMT11" s="120"/>
      <c r="EMU11" s="120"/>
      <c r="EMV11" s="120"/>
      <c r="EMW11" s="120"/>
      <c r="EMX11" s="120"/>
      <c r="EMY11" s="120"/>
      <c r="EMZ11" s="120"/>
      <c r="ENA11" s="120"/>
      <c r="ENB11" s="120"/>
      <c r="ENC11" s="120"/>
      <c r="END11" s="120"/>
      <c r="ENE11" s="120"/>
      <c r="ENF11" s="120"/>
      <c r="ENG11" s="120"/>
      <c r="ENH11" s="120"/>
      <c r="ENI11" s="120"/>
      <c r="ENJ11" s="120"/>
      <c r="ENK11" s="120"/>
      <c r="ENL11" s="120"/>
      <c r="ENM11" s="120"/>
      <c r="ENN11" s="120"/>
      <c r="ENO11" s="120"/>
      <c r="ENP11" s="120"/>
      <c r="ENQ11" s="120"/>
      <c r="ENR11" s="120"/>
      <c r="ENS11" s="120"/>
      <c r="ENT11" s="120"/>
      <c r="ENU11" s="120"/>
      <c r="ENV11" s="120"/>
      <c r="ENW11" s="120"/>
      <c r="ENX11" s="120"/>
      <c r="ENY11" s="120"/>
      <c r="ENZ11" s="120"/>
      <c r="EOA11" s="120"/>
      <c r="EOB11" s="120"/>
      <c r="EOC11" s="120"/>
      <c r="EOD11" s="120"/>
      <c r="EOE11" s="120"/>
      <c r="EOF11" s="120"/>
      <c r="EOG11" s="120"/>
      <c r="EOH11" s="120"/>
      <c r="EOI11" s="120"/>
      <c r="EOJ11" s="120"/>
      <c r="EOK11" s="120"/>
      <c r="EOL11" s="120"/>
      <c r="EOM11" s="120"/>
      <c r="EON11" s="120"/>
      <c r="EOO11" s="120"/>
      <c r="EOP11" s="120"/>
      <c r="EOQ11" s="120"/>
      <c r="EOR11" s="120"/>
      <c r="EOS11" s="120"/>
      <c r="EOT11" s="120"/>
      <c r="EOU11" s="120"/>
      <c r="EOV11" s="120"/>
      <c r="EOW11" s="120"/>
      <c r="EOX11" s="120"/>
      <c r="EOY11" s="120"/>
      <c r="EOZ11" s="120"/>
      <c r="EPA11" s="120"/>
      <c r="EPB11" s="120"/>
      <c r="EPC11" s="120"/>
      <c r="EPD11" s="120"/>
      <c r="EPE11" s="120"/>
      <c r="EPF11" s="120"/>
      <c r="EPG11" s="120"/>
      <c r="EPH11" s="120"/>
      <c r="EPI11" s="120"/>
      <c r="EPJ11" s="120"/>
      <c r="EPK11" s="120"/>
      <c r="EPL11" s="120"/>
      <c r="EPM11" s="120"/>
      <c r="EPN11" s="120"/>
      <c r="EPO11" s="120"/>
      <c r="EPP11" s="120"/>
      <c r="EPQ11" s="120"/>
      <c r="EPR11" s="120"/>
      <c r="EPS11" s="120"/>
      <c r="EPT11" s="120"/>
      <c r="EPU11" s="120"/>
      <c r="EPV11" s="120"/>
      <c r="EPW11" s="120"/>
      <c r="EPX11" s="120"/>
      <c r="EPY11" s="120"/>
      <c r="EPZ11" s="120"/>
      <c r="EQA11" s="120"/>
      <c r="EQB11" s="120"/>
      <c r="EQC11" s="120"/>
      <c r="EQD11" s="120"/>
      <c r="EQE11" s="120"/>
      <c r="EQF11" s="120"/>
      <c r="EQG11" s="120"/>
      <c r="EQH11" s="120"/>
      <c r="EQI11" s="120"/>
      <c r="EQJ11" s="120"/>
      <c r="EQK11" s="120"/>
      <c r="EQL11" s="120"/>
      <c r="EQM11" s="120"/>
      <c r="EQN11" s="120"/>
      <c r="EQO11" s="120"/>
      <c r="EQP11" s="120"/>
      <c r="EQQ11" s="120"/>
      <c r="EQR11" s="120"/>
      <c r="EQS11" s="120"/>
      <c r="EQT11" s="120"/>
      <c r="EQU11" s="120"/>
      <c r="EQV11" s="120"/>
      <c r="EQW11" s="120"/>
      <c r="EQX11" s="120"/>
      <c r="EQY11" s="120"/>
      <c r="EQZ11" s="120"/>
      <c r="ERA11" s="120"/>
      <c r="ERB11" s="120"/>
      <c r="ERC11" s="120"/>
      <c r="ERD11" s="120"/>
      <c r="ERE11" s="120"/>
      <c r="ERF11" s="120"/>
      <c r="ERG11" s="120"/>
      <c r="ERH11" s="120"/>
      <c r="ERI11" s="120"/>
      <c r="ERJ11" s="120"/>
      <c r="ERK11" s="120"/>
      <c r="ERL11" s="120"/>
      <c r="ERM11" s="120"/>
      <c r="ERN11" s="120"/>
      <c r="ERO11" s="120"/>
      <c r="ERP11" s="120"/>
      <c r="ERQ11" s="120"/>
      <c r="ERR11" s="120"/>
      <c r="ERS11" s="120"/>
      <c r="ERT11" s="120"/>
      <c r="ERU11" s="120"/>
      <c r="ERV11" s="120"/>
      <c r="ERW11" s="120"/>
      <c r="ERX11" s="120"/>
      <c r="ERY11" s="120"/>
      <c r="ERZ11" s="120"/>
      <c r="ESA11" s="120"/>
      <c r="ESB11" s="120"/>
      <c r="ESC11" s="120"/>
      <c r="ESD11" s="120"/>
      <c r="ESE11" s="120"/>
      <c r="ESF11" s="120"/>
      <c r="ESG11" s="120"/>
      <c r="ESH11" s="120"/>
      <c r="ESI11" s="120"/>
      <c r="ESJ11" s="120"/>
      <c r="ESK11" s="120"/>
      <c r="ESL11" s="120"/>
      <c r="ESM11" s="120"/>
      <c r="ESN11" s="120"/>
      <c r="ESO11" s="120"/>
      <c r="ESP11" s="120"/>
      <c r="ESQ11" s="120"/>
      <c r="ESR11" s="120"/>
      <c r="ESS11" s="120"/>
      <c r="EST11" s="120"/>
      <c r="ESU11" s="120"/>
      <c r="ESV11" s="120"/>
      <c r="ESW11" s="120"/>
      <c r="ESX11" s="120"/>
      <c r="ESY11" s="120"/>
      <c r="ESZ11" s="120"/>
      <c r="ETA11" s="120"/>
      <c r="ETB11" s="120"/>
      <c r="ETC11" s="120"/>
      <c r="ETD11" s="120"/>
      <c r="ETE11" s="120"/>
      <c r="ETF11" s="120"/>
      <c r="ETG11" s="120"/>
      <c r="ETH11" s="120"/>
      <c r="ETI11" s="120"/>
      <c r="ETJ11" s="120"/>
      <c r="ETK11" s="120"/>
      <c r="ETL11" s="120"/>
      <c r="ETM11" s="120"/>
      <c r="ETN11" s="120"/>
      <c r="ETO11" s="120"/>
      <c r="ETP11" s="120"/>
      <c r="ETQ11" s="120"/>
      <c r="ETR11" s="120"/>
      <c r="ETS11" s="120"/>
      <c r="ETT11" s="120"/>
      <c r="ETU11" s="120"/>
      <c r="ETV11" s="120"/>
      <c r="ETW11" s="120"/>
      <c r="ETX11" s="120"/>
      <c r="ETY11" s="120"/>
      <c r="ETZ11" s="120"/>
      <c r="EUA11" s="120"/>
      <c r="EUB11" s="120"/>
      <c r="EUC11" s="120"/>
      <c r="EUD11" s="120"/>
      <c r="EUE11" s="120"/>
      <c r="EUF11" s="120"/>
      <c r="EUG11" s="120"/>
      <c r="EUH11" s="120"/>
      <c r="EUI11" s="120"/>
      <c r="EUJ11" s="120"/>
      <c r="EUK11" s="120"/>
      <c r="EUL11" s="120"/>
      <c r="EUM11" s="120"/>
      <c r="EUN11" s="120"/>
      <c r="EUO11" s="120"/>
      <c r="EUP11" s="120"/>
      <c r="EUQ11" s="120"/>
      <c r="EUR11" s="120"/>
      <c r="EUS11" s="120"/>
      <c r="EUT11" s="120"/>
      <c r="EUU11" s="120"/>
      <c r="EUV11" s="120"/>
      <c r="EUW11" s="120"/>
      <c r="EUX11" s="120"/>
      <c r="EUY11" s="120"/>
      <c r="EUZ11" s="120"/>
      <c r="EVA11" s="120"/>
      <c r="EVB11" s="120"/>
      <c r="EVC11" s="120"/>
      <c r="EVD11" s="120"/>
      <c r="EVE11" s="120"/>
      <c r="EVF11" s="120"/>
      <c r="EVG11" s="120"/>
      <c r="EVH11" s="120"/>
      <c r="EVI11" s="120"/>
      <c r="EVJ11" s="120"/>
      <c r="EVK11" s="120"/>
      <c r="EVL11" s="120"/>
      <c r="EVM11" s="120"/>
      <c r="EVN11" s="120"/>
      <c r="EVO11" s="120"/>
      <c r="EVP11" s="120"/>
      <c r="EVQ11" s="120"/>
      <c r="EVR11" s="120"/>
      <c r="EVS11" s="120"/>
      <c r="EVT11" s="120"/>
      <c r="EVU11" s="120"/>
      <c r="EVV11" s="120"/>
      <c r="EVW11" s="120"/>
      <c r="EVX11" s="120"/>
      <c r="EVY11" s="120"/>
      <c r="EVZ11" s="120"/>
      <c r="EWA11" s="120"/>
      <c r="EWB11" s="120"/>
      <c r="EWC11" s="120"/>
      <c r="EWD11" s="120"/>
      <c r="EWE11" s="120"/>
      <c r="EWF11" s="120"/>
      <c r="EWG11" s="120"/>
      <c r="EWH11" s="120"/>
      <c r="EWI11" s="120"/>
      <c r="EWJ11" s="120"/>
      <c r="EWK11" s="120"/>
      <c r="EWL11" s="120"/>
      <c r="EWM11" s="120"/>
      <c r="EWN11" s="120"/>
      <c r="EWO11" s="120"/>
      <c r="EWP11" s="120"/>
      <c r="EWQ11" s="120"/>
      <c r="EWR11" s="120"/>
      <c r="EWS11" s="120"/>
      <c r="EWT11" s="120"/>
      <c r="EWU11" s="120"/>
      <c r="EWV11" s="120"/>
      <c r="EWW11" s="120"/>
      <c r="EWX11" s="120"/>
      <c r="EWY11" s="120"/>
      <c r="EWZ11" s="120"/>
      <c r="EXA11" s="120"/>
      <c r="EXB11" s="120"/>
      <c r="EXC11" s="120"/>
      <c r="EXD11" s="120"/>
      <c r="EXE11" s="120"/>
      <c r="EXF11" s="120"/>
      <c r="EXG11" s="120"/>
      <c r="EXH11" s="120"/>
      <c r="EXI11" s="120"/>
      <c r="EXJ11" s="120"/>
      <c r="EXK11" s="120"/>
      <c r="EXL11" s="120"/>
      <c r="EXM11" s="120"/>
      <c r="EXN11" s="120"/>
      <c r="EXO11" s="120"/>
      <c r="EXP11" s="120"/>
      <c r="EXQ11" s="120"/>
      <c r="EXR11" s="120"/>
      <c r="EXS11" s="120"/>
      <c r="EXT11" s="120"/>
      <c r="EXU11" s="120"/>
      <c r="EXV11" s="120"/>
      <c r="EXW11" s="120"/>
      <c r="EXX11" s="120"/>
      <c r="EXY11" s="120"/>
      <c r="EXZ11" s="120"/>
      <c r="EYA11" s="120"/>
      <c r="EYB11" s="120"/>
      <c r="EYC11" s="120"/>
      <c r="EYD11" s="120"/>
      <c r="EYE11" s="120"/>
      <c r="EYF11" s="120"/>
      <c r="EYG11" s="120"/>
      <c r="EYH11" s="120"/>
      <c r="EYI11" s="120"/>
      <c r="EYJ11" s="120"/>
      <c r="EYK11" s="120"/>
      <c r="EYL11" s="120"/>
      <c r="EYM11" s="120"/>
      <c r="EYN11" s="120"/>
      <c r="EYO11" s="120"/>
      <c r="EYP11" s="120"/>
      <c r="EYQ11" s="120"/>
      <c r="EYR11" s="120"/>
      <c r="EYS11" s="120"/>
      <c r="EYT11" s="120"/>
      <c r="EYU11" s="120"/>
      <c r="EYV11" s="120"/>
      <c r="EYW11" s="120"/>
      <c r="EYX11" s="120"/>
      <c r="EYY11" s="120"/>
      <c r="EYZ11" s="120"/>
      <c r="EZA11" s="120"/>
      <c r="EZB11" s="120"/>
      <c r="EZC11" s="120"/>
      <c r="EZD11" s="120"/>
      <c r="EZE11" s="120"/>
      <c r="EZF11" s="120"/>
      <c r="EZG11" s="120"/>
      <c r="EZH11" s="120"/>
      <c r="EZI11" s="120"/>
      <c r="EZJ11" s="120"/>
      <c r="EZK11" s="120"/>
      <c r="EZL11" s="120"/>
      <c r="EZM11" s="120"/>
      <c r="EZN11" s="120"/>
      <c r="EZO11" s="120"/>
      <c r="EZP11" s="120"/>
      <c r="EZQ11" s="120"/>
      <c r="EZR11" s="120"/>
      <c r="EZS11" s="120"/>
      <c r="EZT11" s="120"/>
      <c r="EZU11" s="120"/>
      <c r="EZV11" s="120"/>
      <c r="EZW11" s="120"/>
      <c r="EZX11" s="120"/>
      <c r="EZY11" s="120"/>
      <c r="EZZ11" s="120"/>
      <c r="FAA11" s="120"/>
      <c r="FAB11" s="120"/>
      <c r="FAC11" s="120"/>
      <c r="FAD11" s="120"/>
      <c r="FAE11" s="120"/>
      <c r="FAF11" s="120"/>
      <c r="FAG11" s="120"/>
      <c r="FAH11" s="120"/>
      <c r="FAI11" s="120"/>
      <c r="FAJ11" s="120"/>
      <c r="FAK11" s="120"/>
      <c r="FAL11" s="120"/>
      <c r="FAM11" s="120"/>
      <c r="FAN11" s="120"/>
      <c r="FAO11" s="120"/>
      <c r="FAP11" s="120"/>
      <c r="FAQ11" s="120"/>
      <c r="FAR11" s="120"/>
      <c r="FAS11" s="120"/>
      <c r="FAT11" s="120"/>
      <c r="FAU11" s="120"/>
      <c r="FAV11" s="120"/>
      <c r="FAW11" s="120"/>
      <c r="FAX11" s="120"/>
      <c r="FAY11" s="120"/>
      <c r="FAZ11" s="120"/>
      <c r="FBA11" s="120"/>
      <c r="FBB11" s="120"/>
      <c r="FBC11" s="120"/>
      <c r="FBD11" s="120"/>
      <c r="FBE11" s="120"/>
      <c r="FBF11" s="120"/>
      <c r="FBG11" s="120"/>
      <c r="FBH11" s="120"/>
      <c r="FBI11" s="120"/>
      <c r="FBJ11" s="120"/>
      <c r="FBK11" s="120"/>
      <c r="FBL11" s="120"/>
      <c r="FBM11" s="120"/>
      <c r="FBN11" s="120"/>
      <c r="FBO11" s="120"/>
      <c r="FBP11" s="120"/>
      <c r="FBQ11" s="120"/>
      <c r="FBR11" s="120"/>
      <c r="FBS11" s="120"/>
      <c r="FBT11" s="120"/>
      <c r="FBU11" s="120"/>
      <c r="FBV11" s="120"/>
      <c r="FBW11" s="120"/>
      <c r="FBX11" s="120"/>
      <c r="FBY11" s="120"/>
      <c r="FBZ11" s="120"/>
      <c r="FCA11" s="120"/>
      <c r="FCB11" s="120"/>
      <c r="FCC11" s="120"/>
      <c r="FCD11" s="120"/>
      <c r="FCE11" s="120"/>
      <c r="FCF11" s="120"/>
      <c r="FCG11" s="120"/>
      <c r="FCH11" s="120"/>
      <c r="FCI11" s="120"/>
      <c r="FCJ11" s="120"/>
      <c r="FCK11" s="120"/>
      <c r="FCL11" s="120"/>
      <c r="FCM11" s="120"/>
      <c r="FCN11" s="120"/>
      <c r="FCO11" s="120"/>
      <c r="FCP11" s="120"/>
      <c r="FCQ11" s="120"/>
      <c r="FCR11" s="120"/>
      <c r="FCS11" s="120"/>
      <c r="FCT11" s="120"/>
      <c r="FCU11" s="120"/>
      <c r="FCV11" s="120"/>
      <c r="FCW11" s="120"/>
      <c r="FCX11" s="120"/>
      <c r="FCY11" s="120"/>
      <c r="FCZ11" s="120"/>
      <c r="FDA11" s="120"/>
      <c r="FDB11" s="120"/>
      <c r="FDC11" s="120"/>
      <c r="FDD11" s="120"/>
      <c r="FDE11" s="120"/>
      <c r="FDF11" s="120"/>
      <c r="FDG11" s="120"/>
      <c r="FDH11" s="120"/>
      <c r="FDI11" s="120"/>
      <c r="FDJ11" s="120"/>
      <c r="FDK11" s="120"/>
      <c r="FDL11" s="120"/>
      <c r="FDM11" s="120"/>
      <c r="FDN11" s="120"/>
      <c r="FDO11" s="120"/>
      <c r="FDP11" s="120"/>
      <c r="FDQ11" s="120"/>
      <c r="FDR11" s="120"/>
      <c r="FDS11" s="120"/>
      <c r="FDT11" s="120"/>
      <c r="FDU11" s="120"/>
      <c r="FDV11" s="120"/>
      <c r="FDW11" s="120"/>
      <c r="FDX11" s="120"/>
      <c r="FDY11" s="120"/>
      <c r="FDZ11" s="120"/>
      <c r="FEA11" s="120"/>
      <c r="FEB11" s="120"/>
      <c r="FEC11" s="120"/>
      <c r="FED11" s="120"/>
      <c r="FEE11" s="120"/>
      <c r="FEF11" s="120"/>
      <c r="FEG11" s="120"/>
      <c r="FEH11" s="120"/>
      <c r="FEI11" s="120"/>
      <c r="FEJ11" s="120"/>
      <c r="FEK11" s="120"/>
      <c r="FEL11" s="120"/>
      <c r="FEM11" s="120"/>
      <c r="FEN11" s="120"/>
      <c r="FEO11" s="120"/>
      <c r="FEP11" s="120"/>
      <c r="FEQ11" s="120"/>
      <c r="FER11" s="120"/>
      <c r="FES11" s="120"/>
      <c r="FET11" s="120"/>
      <c r="FEU11" s="120"/>
      <c r="FEV11" s="120"/>
      <c r="FEW11" s="120"/>
      <c r="FEX11" s="120"/>
      <c r="FEY11" s="120"/>
      <c r="FEZ11" s="120"/>
      <c r="FFA11" s="120"/>
      <c r="FFB11" s="120"/>
      <c r="FFC11" s="120"/>
      <c r="FFD11" s="120"/>
      <c r="FFE11" s="120"/>
      <c r="FFF11" s="120"/>
      <c r="FFG11" s="120"/>
      <c r="FFH11" s="120"/>
      <c r="FFI11" s="120"/>
      <c r="FFJ11" s="120"/>
      <c r="FFK11" s="120"/>
      <c r="FFL11" s="120"/>
      <c r="FFM11" s="120"/>
      <c r="FFN11" s="120"/>
      <c r="FFO11" s="120"/>
      <c r="FFP11" s="120"/>
      <c r="FFQ11" s="120"/>
      <c r="FFR11" s="120"/>
      <c r="FFS11" s="120"/>
      <c r="FFT11" s="120"/>
      <c r="FFU11" s="120"/>
      <c r="FFV11" s="120"/>
      <c r="FFW11" s="120"/>
      <c r="FFX11" s="120"/>
      <c r="FFY11" s="120"/>
      <c r="FFZ11" s="120"/>
      <c r="FGA11" s="120"/>
      <c r="FGB11" s="120"/>
      <c r="FGC11" s="120"/>
      <c r="FGD11" s="120"/>
      <c r="FGE11" s="120"/>
      <c r="FGF11" s="120"/>
      <c r="FGG11" s="120"/>
      <c r="FGH11" s="120"/>
      <c r="FGI11" s="120"/>
      <c r="FGJ11" s="120"/>
      <c r="FGK11" s="120"/>
      <c r="FGL11" s="120"/>
      <c r="FGM11" s="120"/>
      <c r="FGN11" s="120"/>
      <c r="FGO11" s="120"/>
      <c r="FGP11" s="120"/>
      <c r="FGQ11" s="120"/>
      <c r="FGR11" s="120"/>
      <c r="FGS11" s="120"/>
      <c r="FGT11" s="120"/>
      <c r="FGU11" s="120"/>
      <c r="FGV11" s="120"/>
      <c r="FGW11" s="120"/>
      <c r="FGX11" s="120"/>
      <c r="FGY11" s="120"/>
      <c r="FGZ11" s="120"/>
      <c r="FHA11" s="120"/>
      <c r="FHB11" s="120"/>
      <c r="FHC11" s="120"/>
      <c r="FHD11" s="120"/>
      <c r="FHE11" s="120"/>
      <c r="FHF11" s="120"/>
      <c r="FHG11" s="120"/>
      <c r="FHH11" s="120"/>
      <c r="FHI11" s="120"/>
      <c r="FHJ11" s="120"/>
      <c r="FHK11" s="120"/>
      <c r="FHL11" s="120"/>
      <c r="FHM11" s="120"/>
      <c r="FHN11" s="120"/>
      <c r="FHO11" s="120"/>
      <c r="FHP11" s="120"/>
      <c r="FHQ11" s="120"/>
      <c r="FHR11" s="120"/>
      <c r="FHS11" s="120"/>
      <c r="FHT11" s="120"/>
      <c r="FHU11" s="120"/>
      <c r="FHV11" s="120"/>
      <c r="FHW11" s="120"/>
      <c r="FHX11" s="120"/>
      <c r="FHY11" s="120"/>
      <c r="FHZ11" s="120"/>
      <c r="FIA11" s="120"/>
      <c r="FIB11" s="120"/>
      <c r="FIC11" s="120"/>
      <c r="FID11" s="120"/>
      <c r="FIE11" s="120"/>
      <c r="FIF11" s="120"/>
      <c r="FIG11" s="120"/>
      <c r="FIH11" s="120"/>
      <c r="FII11" s="120"/>
      <c r="FIJ11" s="120"/>
      <c r="FIK11" s="120"/>
      <c r="FIL11" s="120"/>
      <c r="FIM11" s="120"/>
      <c r="FIN11" s="120"/>
      <c r="FIO11" s="120"/>
      <c r="FIP11" s="120"/>
      <c r="FIQ11" s="120"/>
      <c r="FIR11" s="120"/>
      <c r="FIS11" s="120"/>
      <c r="FIT11" s="120"/>
      <c r="FIU11" s="120"/>
      <c r="FIV11" s="120"/>
      <c r="FIW11" s="120"/>
      <c r="FIX11" s="120"/>
      <c r="FIY11" s="120"/>
      <c r="FIZ11" s="120"/>
      <c r="FJA11" s="120"/>
      <c r="FJB11" s="120"/>
      <c r="FJC11" s="120"/>
      <c r="FJD11" s="120"/>
      <c r="FJE11" s="120"/>
      <c r="FJF11" s="120"/>
      <c r="FJG11" s="120"/>
      <c r="FJH11" s="120"/>
      <c r="FJI11" s="120"/>
      <c r="FJJ11" s="120"/>
      <c r="FJK11" s="120"/>
      <c r="FJL11" s="120"/>
      <c r="FJM11" s="120"/>
      <c r="FJN11" s="120"/>
      <c r="FJO11" s="120"/>
      <c r="FJP11" s="120"/>
      <c r="FJQ11" s="120"/>
      <c r="FJR11" s="120"/>
      <c r="FJS11" s="120"/>
      <c r="FJT11" s="120"/>
      <c r="FJU11" s="120"/>
      <c r="FJV11" s="120"/>
      <c r="FJW11" s="120"/>
      <c r="FJX11" s="120"/>
      <c r="FJY11" s="120"/>
      <c r="FJZ11" s="120"/>
      <c r="FKA11" s="120"/>
      <c r="FKB11" s="120"/>
      <c r="FKC11" s="120"/>
      <c r="FKD11" s="120"/>
      <c r="FKE11" s="120"/>
      <c r="FKF11" s="120"/>
      <c r="FKG11" s="120"/>
      <c r="FKH11" s="120"/>
      <c r="FKI11" s="120"/>
      <c r="FKJ11" s="120"/>
      <c r="FKK11" s="120"/>
      <c r="FKL11" s="120"/>
      <c r="FKM11" s="120"/>
      <c r="FKN11" s="120"/>
      <c r="FKO11" s="120"/>
      <c r="FKP11" s="120"/>
      <c r="FKQ11" s="120"/>
      <c r="FKR11" s="120"/>
      <c r="FKS11" s="120"/>
      <c r="FKT11" s="120"/>
      <c r="FKU11" s="120"/>
      <c r="FKV11" s="120"/>
      <c r="FKW11" s="120"/>
      <c r="FKX11" s="120"/>
      <c r="FKY11" s="120"/>
      <c r="FKZ11" s="120"/>
      <c r="FLA11" s="120"/>
      <c r="FLB11" s="120"/>
      <c r="FLC11" s="120"/>
      <c r="FLD11" s="120"/>
      <c r="FLE11" s="120"/>
      <c r="FLF11" s="120"/>
      <c r="FLG11" s="120"/>
      <c r="FLH11" s="120"/>
      <c r="FLI11" s="120"/>
      <c r="FLJ11" s="120"/>
      <c r="FLK11" s="120"/>
      <c r="FLL11" s="120"/>
      <c r="FLM11" s="120"/>
      <c r="FLN11" s="120"/>
      <c r="FLO11" s="120"/>
      <c r="FLP11" s="120"/>
      <c r="FLQ11" s="120"/>
      <c r="FLR11" s="120"/>
      <c r="FLS11" s="120"/>
      <c r="FLT11" s="120"/>
      <c r="FLU11" s="120"/>
      <c r="FLV11" s="120"/>
      <c r="FLW11" s="120"/>
      <c r="FLX11" s="120"/>
      <c r="FLY11" s="120"/>
      <c r="FLZ11" s="120"/>
      <c r="FMA11" s="120"/>
      <c r="FMB11" s="120"/>
      <c r="FMC11" s="120"/>
      <c r="FMD11" s="120"/>
      <c r="FME11" s="120"/>
      <c r="FMF11" s="120"/>
      <c r="FMG11" s="120"/>
      <c r="FMH11" s="120"/>
      <c r="FMI11" s="120"/>
      <c r="FMJ11" s="120"/>
      <c r="FMK11" s="120"/>
      <c r="FML11" s="120"/>
      <c r="FMM11" s="120"/>
      <c r="FMN11" s="120"/>
      <c r="FMO11" s="120"/>
      <c r="FMP11" s="120"/>
      <c r="FMQ11" s="120"/>
      <c r="FMR11" s="120"/>
      <c r="FMS11" s="120"/>
      <c r="FMT11" s="120"/>
      <c r="FMU11" s="120"/>
      <c r="FMV11" s="120"/>
      <c r="FMW11" s="120"/>
      <c r="FMX11" s="120"/>
      <c r="FMY11" s="120"/>
      <c r="FMZ11" s="120"/>
      <c r="FNA11" s="120"/>
      <c r="FNB11" s="120"/>
      <c r="FNC11" s="120"/>
      <c r="FND11" s="120"/>
      <c r="FNE11" s="120"/>
      <c r="FNF11" s="120"/>
      <c r="FNG11" s="120"/>
      <c r="FNH11" s="120"/>
      <c r="FNI11" s="120"/>
      <c r="FNJ11" s="120"/>
      <c r="FNK11" s="120"/>
      <c r="FNL11" s="120"/>
      <c r="FNM11" s="120"/>
      <c r="FNN11" s="120"/>
      <c r="FNO11" s="120"/>
      <c r="FNP11" s="120"/>
      <c r="FNQ11" s="120"/>
      <c r="FNR11" s="120"/>
      <c r="FNS11" s="120"/>
      <c r="FNT11" s="120"/>
      <c r="FNU11" s="120"/>
      <c r="FNV11" s="120"/>
      <c r="FNW11" s="120"/>
      <c r="FNX11" s="120"/>
      <c r="FNY11" s="120"/>
      <c r="FNZ11" s="120"/>
      <c r="FOA11" s="120"/>
      <c r="FOB11" s="120"/>
      <c r="FOC11" s="120"/>
      <c r="FOD11" s="120"/>
      <c r="FOE11" s="120"/>
      <c r="FOF11" s="120"/>
      <c r="FOG11" s="120"/>
      <c r="FOH11" s="120"/>
      <c r="FOI11" s="120"/>
      <c r="FOJ11" s="120"/>
      <c r="FOK11" s="120"/>
      <c r="FOL11" s="120"/>
      <c r="FOM11" s="120"/>
      <c r="FON11" s="120"/>
      <c r="FOO11" s="120"/>
      <c r="FOP11" s="120"/>
      <c r="FOQ11" s="120"/>
      <c r="FOR11" s="120"/>
      <c r="FOS11" s="120"/>
      <c r="FOT11" s="120"/>
      <c r="FOU11" s="120"/>
      <c r="FOV11" s="120"/>
      <c r="FOW11" s="120"/>
      <c r="FOX11" s="120"/>
      <c r="FOY11" s="120"/>
      <c r="FOZ11" s="120"/>
      <c r="FPA11" s="120"/>
      <c r="FPB11" s="120"/>
      <c r="FPC11" s="120"/>
      <c r="FPD11" s="120"/>
      <c r="FPE11" s="120"/>
      <c r="FPF11" s="120"/>
      <c r="FPG11" s="120"/>
      <c r="FPH11" s="120"/>
      <c r="FPI11" s="120"/>
      <c r="FPJ11" s="120"/>
      <c r="FPK11" s="120"/>
      <c r="FPL11" s="120"/>
      <c r="FPM11" s="120"/>
      <c r="FPN11" s="120"/>
      <c r="FPO11" s="120"/>
      <c r="FPP11" s="120"/>
      <c r="FPQ11" s="120"/>
      <c r="FPR11" s="120"/>
      <c r="FPS11" s="120"/>
      <c r="FPT11" s="120"/>
      <c r="FPU11" s="120"/>
      <c r="FPV11" s="120"/>
      <c r="FPW11" s="120"/>
      <c r="FPX11" s="120"/>
      <c r="FPY11" s="120"/>
      <c r="FPZ11" s="120"/>
      <c r="FQA11" s="120"/>
      <c r="FQB11" s="120"/>
      <c r="FQC11" s="120"/>
      <c r="FQD11" s="120"/>
      <c r="FQE11" s="120"/>
      <c r="FQF11" s="120"/>
      <c r="FQG11" s="120"/>
      <c r="FQH11" s="120"/>
      <c r="FQI11" s="120"/>
      <c r="FQJ11" s="120"/>
      <c r="FQK11" s="120"/>
      <c r="FQL11" s="120"/>
      <c r="FQM11" s="120"/>
      <c r="FQN11" s="120"/>
      <c r="FQO11" s="120"/>
      <c r="FQP11" s="120"/>
      <c r="FQQ11" s="120"/>
      <c r="FQR11" s="120"/>
      <c r="FQS11" s="120"/>
      <c r="FQT11" s="120"/>
      <c r="FQU11" s="120"/>
      <c r="FQV11" s="120"/>
      <c r="FQW11" s="120"/>
      <c r="FQX11" s="120"/>
      <c r="FQY11" s="120"/>
      <c r="FQZ11" s="120"/>
      <c r="FRA11" s="120"/>
      <c r="FRB11" s="120"/>
      <c r="FRC11" s="120"/>
      <c r="FRD11" s="120"/>
      <c r="FRE11" s="120"/>
      <c r="FRF11" s="120"/>
      <c r="FRG11" s="120"/>
      <c r="FRH11" s="120"/>
      <c r="FRI11" s="120"/>
      <c r="FRJ11" s="120"/>
      <c r="FRK11" s="120"/>
      <c r="FRL11" s="120"/>
      <c r="FRM11" s="120"/>
      <c r="FRN11" s="120"/>
      <c r="FRO11" s="120"/>
      <c r="FRP11" s="120"/>
      <c r="FRQ11" s="120"/>
      <c r="FRR11" s="120"/>
      <c r="FRS11" s="120"/>
      <c r="FRT11" s="120"/>
      <c r="FRU11" s="120"/>
      <c r="FRV11" s="120"/>
      <c r="FRW11" s="120"/>
      <c r="FRX11" s="120"/>
      <c r="FRY11" s="120"/>
      <c r="FRZ11" s="120"/>
      <c r="FSA11" s="120"/>
      <c r="FSB11" s="120"/>
      <c r="FSC11" s="120"/>
      <c r="FSD11" s="120"/>
      <c r="FSE11" s="120"/>
      <c r="FSF11" s="120"/>
      <c r="FSG11" s="120"/>
      <c r="FSH11" s="120"/>
      <c r="FSI11" s="120"/>
      <c r="FSJ11" s="120"/>
      <c r="FSK11" s="120"/>
      <c r="FSL11" s="120"/>
      <c r="FSM11" s="120"/>
      <c r="FSN11" s="120"/>
      <c r="FSO11" s="120"/>
      <c r="FSP11" s="120"/>
      <c r="FSQ11" s="120"/>
      <c r="FSR11" s="120"/>
      <c r="FSS11" s="120"/>
      <c r="FST11" s="120"/>
      <c r="FSU11" s="120"/>
      <c r="FSV11" s="120"/>
      <c r="FSW11" s="120"/>
      <c r="FSX11" s="120"/>
      <c r="FSY11" s="120"/>
      <c r="FSZ11" s="120"/>
      <c r="FTA11" s="120"/>
      <c r="FTB11" s="120"/>
      <c r="FTC11" s="120"/>
      <c r="FTD11" s="120"/>
      <c r="FTE11" s="120"/>
      <c r="FTF11" s="120"/>
      <c r="FTG11" s="120"/>
      <c r="FTH11" s="120"/>
      <c r="FTI11" s="120"/>
      <c r="FTJ11" s="120"/>
      <c r="FTK11" s="120"/>
      <c r="FTL11" s="120"/>
      <c r="FTM11" s="120"/>
      <c r="FTN11" s="120"/>
      <c r="FTO11" s="120"/>
      <c r="FTP11" s="120"/>
      <c r="FTQ11" s="120"/>
      <c r="FTR11" s="120"/>
      <c r="FTS11" s="120"/>
      <c r="FTT11" s="120"/>
      <c r="FTU11" s="120"/>
      <c r="FTV11" s="120"/>
      <c r="FTW11" s="120"/>
      <c r="FTX11" s="120"/>
      <c r="FTY11" s="120"/>
      <c r="FTZ11" s="120"/>
      <c r="FUA11" s="120"/>
      <c r="FUB11" s="120"/>
      <c r="FUC11" s="120"/>
      <c r="FUD11" s="120"/>
      <c r="FUE11" s="120"/>
      <c r="FUF11" s="120"/>
      <c r="FUG11" s="120"/>
      <c r="FUH11" s="120"/>
      <c r="FUI11" s="120"/>
      <c r="FUJ11" s="120"/>
      <c r="FUK11" s="120"/>
      <c r="FUL11" s="120"/>
      <c r="FUM11" s="120"/>
      <c r="FUN11" s="120"/>
      <c r="FUO11" s="120"/>
      <c r="FUP11" s="120"/>
      <c r="FUQ11" s="120"/>
      <c r="FUR11" s="120"/>
      <c r="FUS11" s="120"/>
      <c r="FUT11" s="120"/>
      <c r="FUU11" s="120"/>
      <c r="FUV11" s="120"/>
      <c r="FUW11" s="120"/>
      <c r="FUX11" s="120"/>
      <c r="FUY11" s="120"/>
      <c r="FUZ11" s="120"/>
      <c r="FVA11" s="120"/>
      <c r="FVB11" s="120"/>
      <c r="FVC11" s="120"/>
      <c r="FVD11" s="120"/>
      <c r="FVE11" s="120"/>
      <c r="FVF11" s="120"/>
      <c r="FVG11" s="120"/>
      <c r="FVH11" s="120"/>
      <c r="FVI11" s="120"/>
      <c r="FVJ11" s="120"/>
      <c r="FVK11" s="120"/>
      <c r="FVL11" s="120"/>
      <c r="FVM11" s="120"/>
      <c r="FVN11" s="120"/>
      <c r="FVO11" s="120"/>
      <c r="FVP11" s="120"/>
      <c r="FVQ11" s="120"/>
      <c r="FVR11" s="120"/>
      <c r="FVS11" s="120"/>
      <c r="FVT11" s="120"/>
      <c r="FVU11" s="120"/>
      <c r="FVV11" s="120"/>
      <c r="FVW11" s="120"/>
      <c r="FVX11" s="120"/>
      <c r="FVY11" s="120"/>
      <c r="FVZ11" s="120"/>
      <c r="FWA11" s="120"/>
      <c r="FWB11" s="120"/>
      <c r="FWC11" s="120"/>
      <c r="FWD11" s="120"/>
      <c r="FWE11" s="120"/>
      <c r="FWF11" s="120"/>
      <c r="FWG11" s="120"/>
      <c r="FWH11" s="120"/>
      <c r="FWI11" s="120"/>
      <c r="FWJ11" s="120"/>
      <c r="FWK11" s="120"/>
      <c r="FWL11" s="120"/>
      <c r="FWM11" s="120"/>
      <c r="FWN11" s="120"/>
      <c r="FWO11" s="120"/>
      <c r="FWP11" s="120"/>
      <c r="FWQ11" s="120"/>
      <c r="FWR11" s="120"/>
      <c r="FWS11" s="120"/>
      <c r="FWT11" s="120"/>
      <c r="FWU11" s="120"/>
      <c r="FWV11" s="120"/>
      <c r="FWW11" s="120"/>
      <c r="FWX11" s="120"/>
      <c r="FWY11" s="120"/>
      <c r="FWZ11" s="120"/>
      <c r="FXA11" s="120"/>
      <c r="FXB11" s="120"/>
      <c r="FXC11" s="120"/>
      <c r="FXD11" s="120"/>
      <c r="FXE11" s="120"/>
      <c r="FXF11" s="120"/>
      <c r="FXG11" s="120"/>
      <c r="FXH11" s="120"/>
      <c r="FXI11" s="120"/>
      <c r="FXJ11" s="120"/>
      <c r="FXK11" s="120"/>
      <c r="FXL11" s="120"/>
      <c r="FXM11" s="120"/>
      <c r="FXN11" s="120"/>
      <c r="FXO11" s="120"/>
      <c r="FXP11" s="120"/>
      <c r="FXQ11" s="120"/>
      <c r="FXR11" s="120"/>
      <c r="FXS11" s="120"/>
      <c r="FXT11" s="120"/>
      <c r="FXU11" s="120"/>
      <c r="FXV11" s="120"/>
      <c r="FXW11" s="120"/>
      <c r="FXX11" s="120"/>
      <c r="FXY11" s="120"/>
      <c r="FXZ11" s="120"/>
      <c r="FYA11" s="120"/>
      <c r="FYB11" s="120"/>
      <c r="FYC11" s="120"/>
      <c r="FYD11" s="120"/>
      <c r="FYE11" s="120"/>
      <c r="FYF11" s="120"/>
      <c r="FYG11" s="120"/>
      <c r="FYH11" s="120"/>
      <c r="FYI11" s="120"/>
      <c r="FYJ11" s="120"/>
      <c r="FYK11" s="120"/>
      <c r="FYL11" s="120"/>
      <c r="FYM11" s="120"/>
      <c r="FYN11" s="120"/>
      <c r="FYO11" s="120"/>
      <c r="FYP11" s="120"/>
      <c r="FYQ11" s="120"/>
      <c r="FYR11" s="120"/>
      <c r="FYS11" s="120"/>
      <c r="FYT11" s="120"/>
      <c r="FYU11" s="120"/>
      <c r="FYV11" s="120"/>
      <c r="FYW11" s="120"/>
      <c r="FYX11" s="120"/>
      <c r="FYY11" s="120"/>
      <c r="FYZ11" s="120"/>
      <c r="FZA11" s="120"/>
      <c r="FZB11" s="120"/>
      <c r="FZC11" s="120"/>
      <c r="FZD11" s="120"/>
      <c r="FZE11" s="120"/>
      <c r="FZF11" s="120"/>
      <c r="FZG11" s="120"/>
      <c r="FZH11" s="120"/>
      <c r="FZI11" s="120"/>
      <c r="FZJ11" s="120"/>
      <c r="FZK11" s="120"/>
      <c r="FZL11" s="120"/>
      <c r="FZM11" s="120"/>
      <c r="FZN11" s="120"/>
      <c r="FZO11" s="120"/>
      <c r="FZP11" s="120"/>
      <c r="FZQ11" s="120"/>
      <c r="FZR11" s="120"/>
      <c r="FZS11" s="120"/>
      <c r="FZT11" s="120"/>
      <c r="FZU11" s="120"/>
      <c r="FZV11" s="120"/>
      <c r="FZW11" s="120"/>
      <c r="FZX11" s="120"/>
      <c r="FZY11" s="120"/>
      <c r="FZZ11" s="120"/>
      <c r="GAA11" s="120"/>
      <c r="GAB11" s="120"/>
      <c r="GAC11" s="120"/>
      <c r="GAD11" s="120"/>
      <c r="GAE11" s="120"/>
      <c r="GAF11" s="120"/>
      <c r="GAG11" s="120"/>
      <c r="GAH11" s="120"/>
      <c r="GAI11" s="120"/>
      <c r="GAJ11" s="120"/>
      <c r="GAK11" s="120"/>
      <c r="GAL11" s="120"/>
      <c r="GAM11" s="120"/>
      <c r="GAN11" s="120"/>
      <c r="GAO11" s="120"/>
      <c r="GAP11" s="120"/>
      <c r="GAQ11" s="120"/>
      <c r="GAR11" s="120"/>
      <c r="GAS11" s="120"/>
      <c r="GAT11" s="120"/>
      <c r="GAU11" s="120"/>
      <c r="GAV11" s="120"/>
      <c r="GAW11" s="120"/>
      <c r="GAX11" s="120"/>
      <c r="GAY11" s="120"/>
      <c r="GAZ11" s="120"/>
      <c r="GBA11" s="120"/>
      <c r="GBB11" s="120"/>
      <c r="GBC11" s="120"/>
      <c r="GBD11" s="120"/>
      <c r="GBE11" s="120"/>
      <c r="GBF11" s="120"/>
      <c r="GBG11" s="120"/>
      <c r="GBH11" s="120"/>
      <c r="GBI11" s="120"/>
      <c r="GBJ11" s="120"/>
      <c r="GBK11" s="120"/>
      <c r="GBL11" s="120"/>
      <c r="GBM11" s="120"/>
      <c r="GBN11" s="120"/>
      <c r="GBO11" s="120"/>
      <c r="GBP11" s="120"/>
      <c r="GBQ11" s="120"/>
      <c r="GBR11" s="120"/>
      <c r="GBS11" s="120"/>
      <c r="GBT11" s="120"/>
      <c r="GBU11" s="120"/>
      <c r="GBV11" s="120"/>
      <c r="GBW11" s="120"/>
      <c r="GBX11" s="120"/>
      <c r="GBY11" s="120"/>
      <c r="GBZ11" s="120"/>
      <c r="GCA11" s="120"/>
      <c r="GCB11" s="120"/>
      <c r="GCC11" s="120"/>
      <c r="GCD11" s="120"/>
      <c r="GCE11" s="120"/>
      <c r="GCF11" s="120"/>
      <c r="GCG11" s="120"/>
      <c r="GCH11" s="120"/>
      <c r="GCI11" s="120"/>
      <c r="GCJ11" s="120"/>
      <c r="GCK11" s="120"/>
      <c r="GCL11" s="120"/>
      <c r="GCM11" s="120"/>
      <c r="GCN11" s="120"/>
      <c r="GCO11" s="120"/>
      <c r="GCP11" s="120"/>
      <c r="GCQ11" s="120"/>
      <c r="GCR11" s="120"/>
      <c r="GCS11" s="120"/>
      <c r="GCT11" s="120"/>
      <c r="GCU11" s="120"/>
      <c r="GCV11" s="120"/>
      <c r="GCW11" s="120"/>
      <c r="GCX11" s="120"/>
      <c r="GCY11" s="120"/>
      <c r="GCZ11" s="120"/>
      <c r="GDA11" s="120"/>
      <c r="GDB11" s="120"/>
      <c r="GDC11" s="120"/>
      <c r="GDD11" s="120"/>
      <c r="GDE11" s="120"/>
      <c r="GDF11" s="120"/>
      <c r="GDG11" s="120"/>
      <c r="GDH11" s="120"/>
      <c r="GDI11" s="120"/>
      <c r="GDJ11" s="120"/>
      <c r="GDK11" s="120"/>
      <c r="GDL11" s="120"/>
      <c r="GDM11" s="120"/>
      <c r="GDN11" s="120"/>
      <c r="GDO11" s="120"/>
      <c r="GDP11" s="120"/>
      <c r="GDQ11" s="120"/>
      <c r="GDR11" s="120"/>
      <c r="GDS11" s="120"/>
      <c r="GDT11" s="120"/>
      <c r="GDU11" s="120"/>
      <c r="GDV11" s="120"/>
      <c r="GDW11" s="120"/>
      <c r="GDX11" s="120"/>
      <c r="GDY11" s="120"/>
      <c r="GDZ11" s="120"/>
      <c r="GEA11" s="120"/>
      <c r="GEB11" s="120"/>
      <c r="GEC11" s="120"/>
      <c r="GED11" s="120"/>
      <c r="GEE11" s="120"/>
      <c r="GEF11" s="120"/>
      <c r="GEG11" s="120"/>
      <c r="GEH11" s="120"/>
      <c r="GEI11" s="120"/>
      <c r="GEJ11" s="120"/>
      <c r="GEK11" s="120"/>
      <c r="GEL11" s="120"/>
      <c r="GEM11" s="120"/>
      <c r="GEN11" s="120"/>
      <c r="GEO11" s="120"/>
      <c r="GEP11" s="120"/>
      <c r="GEQ11" s="120"/>
      <c r="GER11" s="120"/>
      <c r="GES11" s="120"/>
      <c r="GET11" s="120"/>
      <c r="GEU11" s="120"/>
      <c r="GEV11" s="120"/>
      <c r="GEW11" s="120"/>
      <c r="GEX11" s="120"/>
      <c r="GEY11" s="120"/>
      <c r="GEZ11" s="120"/>
      <c r="GFA11" s="120"/>
      <c r="GFB11" s="120"/>
      <c r="GFC11" s="120"/>
      <c r="GFD11" s="120"/>
      <c r="GFE11" s="120"/>
      <c r="GFF11" s="120"/>
      <c r="GFG11" s="120"/>
      <c r="GFH11" s="120"/>
      <c r="GFI11" s="120"/>
      <c r="GFJ11" s="120"/>
      <c r="GFK11" s="120"/>
      <c r="GFL11" s="120"/>
      <c r="GFM11" s="120"/>
      <c r="GFN11" s="120"/>
      <c r="GFO11" s="120"/>
      <c r="GFP11" s="120"/>
      <c r="GFQ11" s="120"/>
      <c r="GFR11" s="120"/>
      <c r="GFS11" s="120"/>
      <c r="GFT11" s="120"/>
      <c r="GFU11" s="120"/>
      <c r="GFV11" s="120"/>
      <c r="GFW11" s="120"/>
      <c r="GFX11" s="120"/>
      <c r="GFY11" s="120"/>
      <c r="GFZ11" s="120"/>
      <c r="GGA11" s="120"/>
      <c r="GGB11" s="120"/>
      <c r="GGC11" s="120"/>
      <c r="GGD11" s="120"/>
      <c r="GGE11" s="120"/>
      <c r="GGF11" s="120"/>
      <c r="GGG11" s="120"/>
      <c r="GGH11" s="120"/>
      <c r="GGI11" s="120"/>
      <c r="GGJ11" s="120"/>
      <c r="GGK11" s="120"/>
      <c r="GGL11" s="120"/>
      <c r="GGM11" s="120"/>
      <c r="GGN11" s="120"/>
      <c r="GGO11" s="120"/>
      <c r="GGP11" s="120"/>
      <c r="GGQ11" s="120"/>
      <c r="GGR11" s="120"/>
      <c r="GGS11" s="120"/>
      <c r="GGT11" s="120"/>
      <c r="GGU11" s="120"/>
      <c r="GGV11" s="120"/>
      <c r="GGW11" s="120"/>
      <c r="GGX11" s="120"/>
      <c r="GGY11" s="120"/>
      <c r="GGZ11" s="120"/>
      <c r="GHA11" s="120"/>
      <c r="GHB11" s="120"/>
      <c r="GHC11" s="120"/>
      <c r="GHD11" s="120"/>
      <c r="GHE11" s="120"/>
      <c r="GHF11" s="120"/>
      <c r="GHG11" s="120"/>
      <c r="GHH11" s="120"/>
      <c r="GHI11" s="120"/>
      <c r="GHJ11" s="120"/>
      <c r="GHK11" s="120"/>
      <c r="GHL11" s="120"/>
      <c r="GHM11" s="120"/>
      <c r="GHN11" s="120"/>
      <c r="GHO11" s="120"/>
      <c r="GHP11" s="120"/>
      <c r="GHQ11" s="120"/>
      <c r="GHR11" s="120"/>
      <c r="GHS11" s="120"/>
      <c r="GHT11" s="120"/>
      <c r="GHU11" s="120"/>
      <c r="GHV11" s="120"/>
      <c r="GHW11" s="120"/>
      <c r="GHX11" s="120"/>
      <c r="GHY11" s="120"/>
      <c r="GHZ11" s="120"/>
      <c r="GIA11" s="120"/>
      <c r="GIB11" s="120"/>
      <c r="GIC11" s="120"/>
      <c r="GID11" s="120"/>
      <c r="GIE11" s="120"/>
      <c r="GIF11" s="120"/>
      <c r="GIG11" s="120"/>
      <c r="GIH11" s="120"/>
      <c r="GII11" s="120"/>
      <c r="GIJ11" s="120"/>
      <c r="GIK11" s="120"/>
      <c r="GIL11" s="120"/>
      <c r="GIM11" s="120"/>
      <c r="GIN11" s="120"/>
      <c r="GIO11" s="120"/>
      <c r="GIP11" s="120"/>
      <c r="GIQ11" s="120"/>
      <c r="GIR11" s="120"/>
      <c r="GIS11" s="120"/>
      <c r="GIT11" s="120"/>
      <c r="GIU11" s="120"/>
      <c r="GIV11" s="120"/>
      <c r="GIW11" s="120"/>
      <c r="GIX11" s="120"/>
      <c r="GIY11" s="120"/>
      <c r="GIZ11" s="120"/>
      <c r="GJA11" s="120"/>
      <c r="GJB11" s="120"/>
      <c r="GJC11" s="120"/>
      <c r="GJD11" s="120"/>
      <c r="GJE11" s="120"/>
      <c r="GJF11" s="120"/>
      <c r="GJG11" s="120"/>
      <c r="GJH11" s="120"/>
      <c r="GJI11" s="120"/>
      <c r="GJJ11" s="120"/>
      <c r="GJK11" s="120"/>
      <c r="GJL11" s="120"/>
      <c r="GJM11" s="120"/>
      <c r="GJN11" s="120"/>
      <c r="GJO11" s="120"/>
      <c r="GJP11" s="120"/>
      <c r="GJQ11" s="120"/>
      <c r="GJR11" s="120"/>
      <c r="GJS11" s="120"/>
      <c r="GJT11" s="120"/>
      <c r="GJU11" s="120"/>
      <c r="GJV11" s="120"/>
      <c r="GJW11" s="120"/>
      <c r="GJX11" s="120"/>
      <c r="GJY11" s="120"/>
      <c r="GJZ11" s="120"/>
      <c r="GKA11" s="120"/>
      <c r="GKB11" s="120"/>
      <c r="GKC11" s="120"/>
      <c r="GKD11" s="120"/>
      <c r="GKE11" s="120"/>
      <c r="GKF11" s="120"/>
      <c r="GKG11" s="120"/>
      <c r="GKH11" s="120"/>
      <c r="GKI11" s="120"/>
      <c r="GKJ11" s="120"/>
      <c r="GKK11" s="120"/>
      <c r="GKL11" s="120"/>
      <c r="GKM11" s="120"/>
      <c r="GKN11" s="120"/>
      <c r="GKO11" s="120"/>
      <c r="GKP11" s="120"/>
      <c r="GKQ11" s="120"/>
      <c r="GKR11" s="120"/>
      <c r="GKS11" s="120"/>
      <c r="GKT11" s="120"/>
      <c r="GKU11" s="120"/>
      <c r="GKV11" s="120"/>
      <c r="GKW11" s="120"/>
      <c r="GKX11" s="120"/>
      <c r="GKY11" s="120"/>
      <c r="GKZ11" s="120"/>
      <c r="GLA11" s="120"/>
      <c r="GLB11" s="120"/>
      <c r="GLC11" s="120"/>
      <c r="GLD11" s="120"/>
      <c r="GLE11" s="120"/>
      <c r="GLF11" s="120"/>
      <c r="GLG11" s="120"/>
      <c r="GLH11" s="120"/>
      <c r="GLI11" s="120"/>
      <c r="GLJ11" s="120"/>
      <c r="GLK11" s="120"/>
      <c r="GLL11" s="120"/>
      <c r="GLM11" s="120"/>
      <c r="GLN11" s="120"/>
      <c r="GLO11" s="120"/>
      <c r="GLP11" s="120"/>
      <c r="GLQ11" s="120"/>
      <c r="GLR11" s="120"/>
      <c r="GLS11" s="120"/>
      <c r="GLT11" s="120"/>
      <c r="GLU11" s="120"/>
      <c r="GLV11" s="120"/>
      <c r="GLW11" s="120"/>
      <c r="GLX11" s="120"/>
      <c r="GLY11" s="120"/>
      <c r="GLZ11" s="120"/>
      <c r="GMA11" s="120"/>
      <c r="GMB11" s="120"/>
      <c r="GMC11" s="120"/>
      <c r="GMD11" s="120"/>
      <c r="GME11" s="120"/>
      <c r="GMF11" s="120"/>
      <c r="GMG11" s="120"/>
      <c r="GMH11" s="120"/>
      <c r="GMI11" s="120"/>
      <c r="GMJ11" s="120"/>
      <c r="GMK11" s="120"/>
      <c r="GML11" s="120"/>
      <c r="GMM11" s="120"/>
      <c r="GMN11" s="120"/>
      <c r="GMO11" s="120"/>
      <c r="GMP11" s="120"/>
      <c r="GMQ11" s="120"/>
      <c r="GMR11" s="120"/>
      <c r="GMS11" s="120"/>
      <c r="GMT11" s="120"/>
      <c r="GMU11" s="120"/>
      <c r="GMV11" s="120"/>
      <c r="GMW11" s="120"/>
      <c r="GMX11" s="120"/>
      <c r="GMY11" s="120"/>
      <c r="GMZ11" s="120"/>
      <c r="GNA11" s="120"/>
      <c r="GNB11" s="120"/>
      <c r="GNC11" s="120"/>
      <c r="GND11" s="120"/>
      <c r="GNE11" s="120"/>
      <c r="GNF11" s="120"/>
      <c r="GNG11" s="120"/>
      <c r="GNH11" s="120"/>
      <c r="GNI11" s="120"/>
      <c r="GNJ11" s="120"/>
      <c r="GNK11" s="120"/>
      <c r="GNL11" s="120"/>
      <c r="GNM11" s="120"/>
      <c r="GNN11" s="120"/>
      <c r="GNO11" s="120"/>
      <c r="GNP11" s="120"/>
      <c r="GNQ11" s="120"/>
      <c r="GNR11" s="120"/>
      <c r="GNS11" s="120"/>
      <c r="GNT11" s="120"/>
      <c r="GNU11" s="120"/>
      <c r="GNV11" s="120"/>
      <c r="GNW11" s="120"/>
      <c r="GNX11" s="120"/>
      <c r="GNY11" s="120"/>
      <c r="GNZ11" s="120"/>
      <c r="GOA11" s="120"/>
      <c r="GOB11" s="120"/>
      <c r="GOC11" s="120"/>
      <c r="GOD11" s="120"/>
      <c r="GOE11" s="120"/>
      <c r="GOF11" s="120"/>
      <c r="GOG11" s="120"/>
      <c r="GOH11" s="120"/>
      <c r="GOI11" s="120"/>
      <c r="GOJ11" s="120"/>
      <c r="GOK11" s="120"/>
      <c r="GOL11" s="120"/>
      <c r="GOM11" s="120"/>
      <c r="GON11" s="120"/>
      <c r="GOO11" s="120"/>
      <c r="GOP11" s="120"/>
      <c r="GOQ11" s="120"/>
      <c r="GOR11" s="120"/>
      <c r="GOS11" s="120"/>
      <c r="GOT11" s="120"/>
      <c r="GOU11" s="120"/>
      <c r="GOV11" s="120"/>
      <c r="GOW11" s="120"/>
      <c r="GOX11" s="120"/>
      <c r="GOY11" s="120"/>
      <c r="GOZ11" s="120"/>
      <c r="GPA11" s="120"/>
      <c r="GPB11" s="120"/>
      <c r="GPC11" s="120"/>
      <c r="GPD11" s="120"/>
      <c r="GPE11" s="120"/>
      <c r="GPF11" s="120"/>
      <c r="GPG11" s="120"/>
      <c r="GPH11" s="120"/>
      <c r="GPI11" s="120"/>
      <c r="GPJ11" s="120"/>
      <c r="GPK11" s="120"/>
      <c r="GPL11" s="120"/>
      <c r="GPM11" s="120"/>
      <c r="GPN11" s="120"/>
      <c r="GPO11" s="120"/>
      <c r="GPP11" s="120"/>
      <c r="GPQ11" s="120"/>
      <c r="GPR11" s="120"/>
      <c r="GPS11" s="120"/>
      <c r="GPT11" s="120"/>
      <c r="GPU11" s="120"/>
      <c r="GPV11" s="120"/>
      <c r="GPW11" s="120"/>
      <c r="GPX11" s="120"/>
      <c r="GPY11" s="120"/>
      <c r="GPZ11" s="120"/>
      <c r="GQA11" s="120"/>
      <c r="GQB11" s="120"/>
      <c r="GQC11" s="120"/>
      <c r="GQD11" s="120"/>
      <c r="GQE11" s="120"/>
      <c r="GQF11" s="120"/>
      <c r="GQG11" s="120"/>
      <c r="GQH11" s="120"/>
      <c r="GQI11" s="120"/>
      <c r="GQJ11" s="120"/>
      <c r="GQK11" s="120"/>
      <c r="GQL11" s="120"/>
      <c r="GQM11" s="120"/>
      <c r="GQN11" s="120"/>
      <c r="GQO11" s="120"/>
      <c r="GQP11" s="120"/>
      <c r="GQQ11" s="120"/>
      <c r="GQR11" s="120"/>
      <c r="GQS11" s="120"/>
      <c r="GQT11" s="120"/>
      <c r="GQU11" s="120"/>
      <c r="GQV11" s="120"/>
      <c r="GQW11" s="120"/>
      <c r="GQX11" s="120"/>
      <c r="GQY11" s="120"/>
      <c r="GQZ11" s="120"/>
      <c r="GRA11" s="120"/>
      <c r="GRB11" s="120"/>
      <c r="GRC11" s="120"/>
      <c r="GRD11" s="120"/>
      <c r="GRE11" s="120"/>
      <c r="GRF11" s="120"/>
      <c r="GRG11" s="120"/>
      <c r="GRH11" s="120"/>
      <c r="GRI11" s="120"/>
      <c r="GRJ11" s="120"/>
      <c r="GRK11" s="120"/>
      <c r="GRL11" s="120"/>
      <c r="GRM11" s="120"/>
      <c r="GRN11" s="120"/>
      <c r="GRO11" s="120"/>
      <c r="GRP11" s="120"/>
      <c r="GRQ11" s="120"/>
      <c r="GRR11" s="120"/>
      <c r="GRS11" s="120"/>
      <c r="GRT11" s="120"/>
      <c r="GRU11" s="120"/>
      <c r="GRV11" s="120"/>
      <c r="GRW11" s="120"/>
      <c r="GRX11" s="120"/>
      <c r="GRY11" s="120"/>
      <c r="GRZ11" s="120"/>
      <c r="GSA11" s="120"/>
      <c r="GSB11" s="120"/>
      <c r="GSC11" s="120"/>
      <c r="GSD11" s="120"/>
      <c r="GSE11" s="120"/>
      <c r="GSF11" s="120"/>
      <c r="GSG11" s="120"/>
      <c r="GSH11" s="120"/>
      <c r="GSI11" s="120"/>
      <c r="GSJ11" s="120"/>
      <c r="GSK11" s="120"/>
      <c r="GSL11" s="120"/>
      <c r="GSM11" s="120"/>
      <c r="GSN11" s="120"/>
      <c r="GSO11" s="120"/>
      <c r="GSP11" s="120"/>
      <c r="GSQ11" s="120"/>
      <c r="GSR11" s="120"/>
      <c r="GSS11" s="120"/>
      <c r="GST11" s="120"/>
      <c r="GSU11" s="120"/>
      <c r="GSV11" s="120"/>
      <c r="GSW11" s="120"/>
      <c r="GSX11" s="120"/>
      <c r="GSY11" s="120"/>
      <c r="GSZ11" s="120"/>
      <c r="GTA11" s="120"/>
      <c r="GTB11" s="120"/>
      <c r="GTC11" s="120"/>
      <c r="GTD11" s="120"/>
      <c r="GTE11" s="120"/>
      <c r="GTF11" s="120"/>
      <c r="GTG11" s="120"/>
      <c r="GTH11" s="120"/>
      <c r="GTI11" s="120"/>
      <c r="GTJ11" s="120"/>
      <c r="GTK11" s="120"/>
      <c r="GTL11" s="120"/>
      <c r="GTM11" s="120"/>
      <c r="GTN11" s="120"/>
      <c r="GTO11" s="120"/>
      <c r="GTP11" s="120"/>
      <c r="GTQ11" s="120"/>
      <c r="GTR11" s="120"/>
      <c r="GTS11" s="120"/>
      <c r="GTT11" s="120"/>
      <c r="GTU11" s="120"/>
      <c r="GTV11" s="120"/>
      <c r="GTW11" s="120"/>
      <c r="GTX11" s="120"/>
      <c r="GTY11" s="120"/>
      <c r="GTZ11" s="120"/>
      <c r="GUA11" s="120"/>
      <c r="GUB11" s="120"/>
      <c r="GUC11" s="120"/>
      <c r="GUD11" s="120"/>
      <c r="GUE11" s="120"/>
      <c r="GUF11" s="120"/>
      <c r="GUG11" s="120"/>
      <c r="GUH11" s="120"/>
      <c r="GUI11" s="120"/>
      <c r="GUJ11" s="120"/>
      <c r="GUK11" s="120"/>
      <c r="GUL11" s="120"/>
      <c r="GUM11" s="120"/>
      <c r="GUN11" s="120"/>
      <c r="GUO11" s="120"/>
      <c r="GUP11" s="120"/>
      <c r="GUQ11" s="120"/>
      <c r="GUR11" s="120"/>
      <c r="GUS11" s="120"/>
      <c r="GUT11" s="120"/>
      <c r="GUU11" s="120"/>
      <c r="GUV11" s="120"/>
      <c r="GUW11" s="120"/>
      <c r="GUX11" s="120"/>
      <c r="GUY11" s="120"/>
      <c r="GUZ11" s="120"/>
      <c r="GVA11" s="120"/>
      <c r="GVB11" s="120"/>
      <c r="GVC11" s="120"/>
      <c r="GVD11" s="120"/>
      <c r="GVE11" s="120"/>
      <c r="GVF11" s="120"/>
      <c r="GVG11" s="120"/>
      <c r="GVH11" s="120"/>
      <c r="GVI11" s="120"/>
      <c r="GVJ11" s="120"/>
      <c r="GVK11" s="120"/>
      <c r="GVL11" s="120"/>
      <c r="GVM11" s="120"/>
      <c r="GVN11" s="120"/>
      <c r="GVO11" s="120"/>
      <c r="GVP11" s="120"/>
      <c r="GVQ11" s="120"/>
      <c r="GVR11" s="120"/>
      <c r="GVS11" s="120"/>
      <c r="GVT11" s="120"/>
      <c r="GVU11" s="120"/>
      <c r="GVV11" s="120"/>
      <c r="GVW11" s="120"/>
      <c r="GVX11" s="120"/>
      <c r="GVY11" s="120"/>
      <c r="GVZ11" s="120"/>
      <c r="GWA11" s="120"/>
      <c r="GWB11" s="120"/>
      <c r="GWC11" s="120"/>
      <c r="GWD11" s="120"/>
      <c r="GWE11" s="120"/>
      <c r="GWF11" s="120"/>
      <c r="GWG11" s="120"/>
      <c r="GWH11" s="120"/>
      <c r="GWI11" s="120"/>
      <c r="GWJ11" s="120"/>
      <c r="GWK11" s="120"/>
      <c r="GWL11" s="120"/>
      <c r="GWM11" s="120"/>
      <c r="GWN11" s="120"/>
      <c r="GWO11" s="120"/>
      <c r="GWP11" s="120"/>
      <c r="GWQ11" s="120"/>
      <c r="GWR11" s="120"/>
      <c r="GWS11" s="120"/>
      <c r="GWT11" s="120"/>
      <c r="GWU11" s="120"/>
      <c r="GWV11" s="120"/>
      <c r="GWW11" s="120"/>
      <c r="GWX11" s="120"/>
      <c r="GWY11" s="120"/>
      <c r="GWZ11" s="120"/>
      <c r="GXA11" s="120"/>
      <c r="GXB11" s="120"/>
      <c r="GXC11" s="120"/>
      <c r="GXD11" s="120"/>
      <c r="GXE11" s="120"/>
      <c r="GXF11" s="120"/>
      <c r="GXG11" s="120"/>
      <c r="GXH11" s="120"/>
      <c r="GXI11" s="120"/>
      <c r="GXJ11" s="120"/>
      <c r="GXK11" s="120"/>
      <c r="GXL11" s="120"/>
      <c r="GXM11" s="120"/>
      <c r="GXN11" s="120"/>
      <c r="GXO11" s="120"/>
      <c r="GXP11" s="120"/>
      <c r="GXQ11" s="120"/>
      <c r="GXR11" s="120"/>
      <c r="GXS11" s="120"/>
      <c r="GXT11" s="120"/>
      <c r="GXU11" s="120"/>
      <c r="GXV11" s="120"/>
      <c r="GXW11" s="120"/>
      <c r="GXX11" s="120"/>
      <c r="GXY11" s="120"/>
      <c r="GXZ11" s="120"/>
      <c r="GYA11" s="120"/>
      <c r="GYB11" s="120"/>
      <c r="GYC11" s="120"/>
      <c r="GYD11" s="120"/>
      <c r="GYE11" s="120"/>
      <c r="GYF11" s="120"/>
      <c r="GYG11" s="120"/>
      <c r="GYH11" s="120"/>
      <c r="GYI11" s="120"/>
      <c r="GYJ11" s="120"/>
      <c r="GYK11" s="120"/>
      <c r="GYL11" s="120"/>
      <c r="GYM11" s="120"/>
      <c r="GYN11" s="120"/>
      <c r="GYO11" s="120"/>
      <c r="GYP11" s="120"/>
      <c r="GYQ11" s="120"/>
      <c r="GYR11" s="120"/>
      <c r="GYS11" s="120"/>
      <c r="GYT11" s="120"/>
      <c r="GYU11" s="120"/>
      <c r="GYV11" s="120"/>
      <c r="GYW11" s="120"/>
      <c r="GYX11" s="120"/>
      <c r="GYY11" s="120"/>
      <c r="GYZ11" s="120"/>
      <c r="GZA11" s="120"/>
      <c r="GZB11" s="120"/>
      <c r="GZC11" s="120"/>
      <c r="GZD11" s="120"/>
      <c r="GZE11" s="120"/>
      <c r="GZF11" s="120"/>
      <c r="GZG11" s="120"/>
      <c r="GZH11" s="120"/>
      <c r="GZI11" s="120"/>
      <c r="GZJ11" s="120"/>
      <c r="GZK11" s="120"/>
      <c r="GZL11" s="120"/>
      <c r="GZM11" s="120"/>
      <c r="GZN11" s="120"/>
      <c r="GZO11" s="120"/>
      <c r="GZP11" s="120"/>
      <c r="GZQ11" s="120"/>
      <c r="GZR11" s="120"/>
      <c r="GZS11" s="120"/>
      <c r="GZT11" s="120"/>
      <c r="GZU11" s="120"/>
      <c r="GZV11" s="120"/>
      <c r="GZW11" s="120"/>
      <c r="GZX11" s="120"/>
      <c r="GZY11" s="120"/>
      <c r="GZZ11" s="120"/>
      <c r="HAA11" s="120"/>
      <c r="HAB11" s="120"/>
      <c r="HAC11" s="120"/>
      <c r="HAD11" s="120"/>
      <c r="HAE11" s="120"/>
      <c r="HAF11" s="120"/>
      <c r="HAG11" s="120"/>
      <c r="HAH11" s="120"/>
      <c r="HAI11" s="120"/>
      <c r="HAJ11" s="120"/>
      <c r="HAK11" s="120"/>
      <c r="HAL11" s="120"/>
      <c r="HAM11" s="120"/>
      <c r="HAN11" s="120"/>
      <c r="HAO11" s="120"/>
      <c r="HAP11" s="120"/>
      <c r="HAQ11" s="120"/>
      <c r="HAR11" s="120"/>
      <c r="HAS11" s="120"/>
      <c r="HAT11" s="120"/>
      <c r="HAU11" s="120"/>
      <c r="HAV11" s="120"/>
      <c r="HAW11" s="120"/>
      <c r="HAX11" s="120"/>
      <c r="HAY11" s="120"/>
      <c r="HAZ11" s="120"/>
      <c r="HBA11" s="120"/>
      <c r="HBB11" s="120"/>
      <c r="HBC11" s="120"/>
      <c r="HBD11" s="120"/>
      <c r="HBE11" s="120"/>
      <c r="HBF11" s="120"/>
      <c r="HBG11" s="120"/>
      <c r="HBH11" s="120"/>
      <c r="HBI11" s="120"/>
      <c r="HBJ11" s="120"/>
      <c r="HBK11" s="120"/>
      <c r="HBL11" s="120"/>
      <c r="HBM11" s="120"/>
      <c r="HBN11" s="120"/>
      <c r="HBO11" s="120"/>
      <c r="HBP11" s="120"/>
      <c r="HBQ11" s="120"/>
      <c r="HBR11" s="120"/>
      <c r="HBS11" s="120"/>
      <c r="HBT11" s="120"/>
      <c r="HBU11" s="120"/>
      <c r="HBV11" s="120"/>
      <c r="HBW11" s="120"/>
      <c r="HBX11" s="120"/>
      <c r="HBY11" s="120"/>
      <c r="HBZ11" s="120"/>
      <c r="HCA11" s="120"/>
      <c r="HCB11" s="120"/>
      <c r="HCC11" s="120"/>
      <c r="HCD11" s="120"/>
      <c r="HCE11" s="120"/>
      <c r="HCF11" s="120"/>
      <c r="HCG11" s="120"/>
      <c r="HCH11" s="120"/>
      <c r="HCI11" s="120"/>
      <c r="HCJ11" s="120"/>
      <c r="HCK11" s="120"/>
      <c r="HCL11" s="120"/>
      <c r="HCM11" s="120"/>
      <c r="HCN11" s="120"/>
      <c r="HCO11" s="120"/>
      <c r="HCP11" s="120"/>
      <c r="HCQ11" s="120"/>
      <c r="HCR11" s="120"/>
      <c r="HCS11" s="120"/>
      <c r="HCT11" s="120"/>
      <c r="HCU11" s="120"/>
      <c r="HCV11" s="120"/>
      <c r="HCW11" s="120"/>
      <c r="HCX11" s="120"/>
      <c r="HCY11" s="120"/>
      <c r="HCZ11" s="120"/>
      <c r="HDA11" s="120"/>
      <c r="HDB11" s="120"/>
      <c r="HDC11" s="120"/>
      <c r="HDD11" s="120"/>
      <c r="HDE11" s="120"/>
      <c r="HDF11" s="120"/>
      <c r="HDG11" s="120"/>
      <c r="HDH11" s="120"/>
      <c r="HDI11" s="120"/>
      <c r="HDJ11" s="120"/>
      <c r="HDK11" s="120"/>
      <c r="HDL11" s="120"/>
      <c r="HDM11" s="120"/>
      <c r="HDN11" s="120"/>
      <c r="HDO11" s="120"/>
      <c r="HDP11" s="120"/>
      <c r="HDQ11" s="120"/>
      <c r="HDR11" s="120"/>
      <c r="HDS11" s="120"/>
      <c r="HDT11" s="120"/>
      <c r="HDU11" s="120"/>
      <c r="HDV11" s="120"/>
      <c r="HDW11" s="120"/>
      <c r="HDX11" s="120"/>
      <c r="HDY11" s="120"/>
      <c r="HDZ11" s="120"/>
      <c r="HEA11" s="120"/>
      <c r="HEB11" s="120"/>
      <c r="HEC11" s="120"/>
      <c r="HED11" s="120"/>
      <c r="HEE11" s="120"/>
      <c r="HEF11" s="120"/>
      <c r="HEG11" s="120"/>
      <c r="HEH11" s="120"/>
      <c r="HEI11" s="120"/>
      <c r="HEJ11" s="120"/>
      <c r="HEK11" s="120"/>
      <c r="HEL11" s="120"/>
      <c r="HEM11" s="120"/>
      <c r="HEN11" s="120"/>
      <c r="HEO11" s="120"/>
      <c r="HEP11" s="120"/>
      <c r="HEQ11" s="120"/>
      <c r="HER11" s="120"/>
      <c r="HES11" s="120"/>
      <c r="HET11" s="120"/>
      <c r="HEU11" s="120"/>
      <c r="HEV11" s="120"/>
      <c r="HEW11" s="120"/>
      <c r="HEX11" s="120"/>
      <c r="HEY11" s="120"/>
      <c r="HEZ11" s="120"/>
      <c r="HFA11" s="120"/>
      <c r="HFB11" s="120"/>
      <c r="HFC11" s="120"/>
      <c r="HFD11" s="120"/>
      <c r="HFE11" s="120"/>
      <c r="HFF11" s="120"/>
      <c r="HFG11" s="120"/>
      <c r="HFH11" s="120"/>
      <c r="HFI11" s="120"/>
      <c r="HFJ11" s="120"/>
      <c r="HFK11" s="120"/>
      <c r="HFL11" s="120"/>
      <c r="HFM11" s="120"/>
      <c r="HFN11" s="120"/>
      <c r="HFO11" s="120"/>
      <c r="HFP11" s="120"/>
      <c r="HFQ11" s="120"/>
      <c r="HFR11" s="120"/>
      <c r="HFS11" s="120"/>
      <c r="HFT11" s="120"/>
      <c r="HFU11" s="120"/>
      <c r="HFV11" s="120"/>
      <c r="HFW11" s="120"/>
      <c r="HFX11" s="120"/>
      <c r="HFY11" s="120"/>
      <c r="HFZ11" s="120"/>
      <c r="HGA11" s="120"/>
      <c r="HGB11" s="120"/>
      <c r="HGC11" s="120"/>
      <c r="HGD11" s="120"/>
      <c r="HGE11" s="120"/>
      <c r="HGF11" s="120"/>
      <c r="HGG11" s="120"/>
      <c r="HGH11" s="120"/>
      <c r="HGI11" s="120"/>
      <c r="HGJ11" s="120"/>
      <c r="HGK11" s="120"/>
      <c r="HGL11" s="120"/>
      <c r="HGM11" s="120"/>
      <c r="HGN11" s="120"/>
      <c r="HGO11" s="120"/>
      <c r="HGP11" s="120"/>
      <c r="HGQ11" s="120"/>
      <c r="HGR11" s="120"/>
      <c r="HGS11" s="120"/>
      <c r="HGT11" s="120"/>
      <c r="HGU11" s="120"/>
      <c r="HGV11" s="120"/>
      <c r="HGW11" s="120"/>
      <c r="HGX11" s="120"/>
      <c r="HGY11" s="120"/>
      <c r="HGZ11" s="120"/>
      <c r="HHA11" s="120"/>
      <c r="HHB11" s="120"/>
      <c r="HHC11" s="120"/>
      <c r="HHD11" s="120"/>
      <c r="HHE11" s="120"/>
      <c r="HHF11" s="120"/>
      <c r="HHG11" s="120"/>
      <c r="HHH11" s="120"/>
      <c r="HHI11" s="120"/>
      <c r="HHJ11" s="120"/>
      <c r="HHK11" s="120"/>
      <c r="HHL11" s="120"/>
      <c r="HHM11" s="120"/>
      <c r="HHN11" s="120"/>
      <c r="HHO11" s="120"/>
      <c r="HHP11" s="120"/>
      <c r="HHQ11" s="120"/>
      <c r="HHR11" s="120"/>
      <c r="HHS11" s="120"/>
      <c r="HHT11" s="120"/>
      <c r="HHU11" s="120"/>
      <c r="HHV11" s="120"/>
      <c r="HHW11" s="120"/>
      <c r="HHX11" s="120"/>
      <c r="HHY11" s="120"/>
      <c r="HHZ11" s="120"/>
      <c r="HIA11" s="120"/>
      <c r="HIB11" s="120"/>
      <c r="HIC11" s="120"/>
      <c r="HID11" s="120"/>
      <c r="HIE11" s="120"/>
      <c r="HIF11" s="120"/>
      <c r="HIG11" s="120"/>
      <c r="HIH11" s="120"/>
      <c r="HII11" s="120"/>
      <c r="HIJ11" s="120"/>
      <c r="HIK11" s="120"/>
      <c r="HIL11" s="120"/>
      <c r="HIM11" s="120"/>
      <c r="HIN11" s="120"/>
      <c r="HIO11" s="120"/>
      <c r="HIP11" s="120"/>
      <c r="HIQ11" s="120"/>
      <c r="HIR11" s="120"/>
      <c r="HIS11" s="120"/>
      <c r="HIT11" s="120"/>
      <c r="HIU11" s="120"/>
      <c r="HIV11" s="120"/>
      <c r="HIW11" s="120"/>
      <c r="HIX11" s="120"/>
      <c r="HIY11" s="120"/>
      <c r="HIZ11" s="120"/>
      <c r="HJA11" s="120"/>
      <c r="HJB11" s="120"/>
      <c r="HJC11" s="120"/>
      <c r="HJD11" s="120"/>
      <c r="HJE11" s="120"/>
      <c r="HJF11" s="120"/>
      <c r="HJG11" s="120"/>
      <c r="HJH11" s="120"/>
      <c r="HJI11" s="120"/>
      <c r="HJJ11" s="120"/>
      <c r="HJK11" s="120"/>
      <c r="HJL11" s="120"/>
      <c r="HJM11" s="120"/>
      <c r="HJN11" s="120"/>
      <c r="HJO11" s="120"/>
      <c r="HJP11" s="120"/>
      <c r="HJQ11" s="120"/>
      <c r="HJR11" s="120"/>
      <c r="HJS11" s="120"/>
      <c r="HJT11" s="120"/>
      <c r="HJU11" s="120"/>
      <c r="HJV11" s="120"/>
      <c r="HJW11" s="120"/>
      <c r="HJX11" s="120"/>
      <c r="HJY11" s="120"/>
      <c r="HJZ11" s="120"/>
      <c r="HKA11" s="120"/>
      <c r="HKB11" s="120"/>
      <c r="HKC11" s="120"/>
      <c r="HKD11" s="120"/>
      <c r="HKE11" s="120"/>
      <c r="HKF11" s="120"/>
      <c r="HKG11" s="120"/>
      <c r="HKH11" s="120"/>
      <c r="HKI11" s="120"/>
      <c r="HKJ11" s="120"/>
      <c r="HKK11" s="120"/>
      <c r="HKL11" s="120"/>
      <c r="HKM11" s="120"/>
      <c r="HKN11" s="120"/>
      <c r="HKO11" s="120"/>
      <c r="HKP11" s="120"/>
      <c r="HKQ11" s="120"/>
      <c r="HKR11" s="120"/>
      <c r="HKS11" s="120"/>
      <c r="HKT11" s="120"/>
      <c r="HKU11" s="120"/>
      <c r="HKV11" s="120"/>
      <c r="HKW11" s="120"/>
      <c r="HKX11" s="120"/>
      <c r="HKY11" s="120"/>
      <c r="HKZ11" s="120"/>
      <c r="HLA11" s="120"/>
      <c r="HLB11" s="120"/>
      <c r="HLC11" s="120"/>
      <c r="HLD11" s="120"/>
      <c r="HLE11" s="120"/>
      <c r="HLF11" s="120"/>
      <c r="HLG11" s="120"/>
      <c r="HLH11" s="120"/>
      <c r="HLI11" s="120"/>
      <c r="HLJ11" s="120"/>
      <c r="HLK11" s="120"/>
      <c r="HLL11" s="120"/>
      <c r="HLM11" s="120"/>
      <c r="HLN11" s="120"/>
      <c r="HLO11" s="120"/>
      <c r="HLP11" s="120"/>
      <c r="HLQ11" s="120"/>
      <c r="HLR11" s="120"/>
      <c r="HLS11" s="120"/>
      <c r="HLT11" s="120"/>
      <c r="HLU11" s="120"/>
      <c r="HLV11" s="120"/>
      <c r="HLW11" s="120"/>
      <c r="HLX11" s="120"/>
      <c r="HLY11" s="120"/>
      <c r="HLZ11" s="120"/>
      <c r="HMA11" s="120"/>
      <c r="HMB11" s="120"/>
      <c r="HMC11" s="120"/>
      <c r="HMD11" s="120"/>
      <c r="HME11" s="120"/>
      <c r="HMF11" s="120"/>
      <c r="HMG11" s="120"/>
      <c r="HMH11" s="120"/>
      <c r="HMI11" s="120"/>
      <c r="HMJ11" s="120"/>
      <c r="HMK11" s="120"/>
      <c r="HML11" s="120"/>
      <c r="HMM11" s="120"/>
      <c r="HMN11" s="120"/>
      <c r="HMO11" s="120"/>
      <c r="HMP11" s="120"/>
      <c r="HMQ11" s="120"/>
      <c r="HMR11" s="120"/>
      <c r="HMS11" s="120"/>
      <c r="HMT11" s="120"/>
      <c r="HMU11" s="120"/>
      <c r="HMV11" s="120"/>
      <c r="HMW11" s="120"/>
      <c r="HMX11" s="120"/>
      <c r="HMY11" s="120"/>
      <c r="HMZ11" s="120"/>
      <c r="HNA11" s="120"/>
      <c r="HNB11" s="120"/>
      <c r="HNC11" s="120"/>
      <c r="HND11" s="120"/>
      <c r="HNE11" s="120"/>
      <c r="HNF11" s="120"/>
      <c r="HNG11" s="120"/>
      <c r="HNH11" s="120"/>
      <c r="HNI11" s="120"/>
      <c r="HNJ11" s="120"/>
      <c r="HNK11" s="120"/>
      <c r="HNL11" s="120"/>
      <c r="HNM11" s="120"/>
      <c r="HNN11" s="120"/>
      <c r="HNO11" s="120"/>
      <c r="HNP11" s="120"/>
      <c r="HNQ11" s="120"/>
      <c r="HNR11" s="120"/>
      <c r="HNS11" s="120"/>
      <c r="HNT11" s="120"/>
      <c r="HNU11" s="120"/>
      <c r="HNV11" s="120"/>
      <c r="HNW11" s="120"/>
      <c r="HNX11" s="120"/>
      <c r="HNY11" s="120"/>
      <c r="HNZ11" s="120"/>
      <c r="HOA11" s="120"/>
      <c r="HOB11" s="120"/>
      <c r="HOC11" s="120"/>
      <c r="HOD11" s="120"/>
      <c r="HOE11" s="120"/>
      <c r="HOF11" s="120"/>
      <c r="HOG11" s="120"/>
      <c r="HOH11" s="120"/>
      <c r="HOI11" s="120"/>
      <c r="HOJ11" s="120"/>
      <c r="HOK11" s="120"/>
      <c r="HOL11" s="120"/>
      <c r="HOM11" s="120"/>
      <c r="HON11" s="120"/>
      <c r="HOO11" s="120"/>
      <c r="HOP11" s="120"/>
      <c r="HOQ11" s="120"/>
      <c r="HOR11" s="120"/>
      <c r="HOS11" s="120"/>
      <c r="HOT11" s="120"/>
      <c r="HOU11" s="120"/>
      <c r="HOV11" s="120"/>
      <c r="HOW11" s="120"/>
      <c r="HOX11" s="120"/>
      <c r="HOY11" s="120"/>
      <c r="HOZ11" s="120"/>
      <c r="HPA11" s="120"/>
      <c r="HPB11" s="120"/>
      <c r="HPC11" s="120"/>
      <c r="HPD11" s="120"/>
      <c r="HPE11" s="120"/>
      <c r="HPF11" s="120"/>
      <c r="HPG11" s="120"/>
      <c r="HPH11" s="120"/>
      <c r="HPI11" s="120"/>
      <c r="HPJ11" s="120"/>
      <c r="HPK11" s="120"/>
      <c r="HPL11" s="120"/>
      <c r="HPM11" s="120"/>
      <c r="HPN11" s="120"/>
      <c r="HPO11" s="120"/>
      <c r="HPP11" s="120"/>
      <c r="HPQ11" s="120"/>
      <c r="HPR11" s="120"/>
      <c r="HPS11" s="120"/>
      <c r="HPT11" s="120"/>
      <c r="HPU11" s="120"/>
      <c r="HPV11" s="120"/>
      <c r="HPW11" s="120"/>
      <c r="HPX11" s="120"/>
      <c r="HPY11" s="120"/>
      <c r="HPZ11" s="120"/>
      <c r="HQA11" s="120"/>
      <c r="HQB11" s="120"/>
      <c r="HQC11" s="120"/>
      <c r="HQD11" s="120"/>
      <c r="HQE11" s="120"/>
      <c r="HQF11" s="120"/>
      <c r="HQG11" s="120"/>
      <c r="HQH11" s="120"/>
      <c r="HQI11" s="120"/>
      <c r="HQJ11" s="120"/>
      <c r="HQK11" s="120"/>
      <c r="HQL11" s="120"/>
      <c r="HQM11" s="120"/>
      <c r="HQN11" s="120"/>
      <c r="HQO11" s="120"/>
      <c r="HQP11" s="120"/>
      <c r="HQQ11" s="120"/>
      <c r="HQR11" s="120"/>
      <c r="HQS11" s="120"/>
      <c r="HQT11" s="120"/>
      <c r="HQU11" s="120"/>
      <c r="HQV11" s="120"/>
      <c r="HQW11" s="120"/>
      <c r="HQX11" s="120"/>
      <c r="HQY11" s="120"/>
      <c r="HQZ11" s="120"/>
      <c r="HRA11" s="120"/>
      <c r="HRB11" s="120"/>
      <c r="HRC11" s="120"/>
      <c r="HRD11" s="120"/>
      <c r="HRE11" s="120"/>
      <c r="HRF11" s="120"/>
      <c r="HRG11" s="120"/>
      <c r="HRH11" s="120"/>
      <c r="HRI11" s="120"/>
      <c r="HRJ11" s="120"/>
      <c r="HRK11" s="120"/>
      <c r="HRL11" s="120"/>
      <c r="HRM11" s="120"/>
      <c r="HRN11" s="120"/>
      <c r="HRO11" s="120"/>
      <c r="HRP11" s="120"/>
      <c r="HRQ11" s="120"/>
      <c r="HRR11" s="120"/>
      <c r="HRS11" s="120"/>
      <c r="HRT11" s="120"/>
      <c r="HRU11" s="120"/>
      <c r="HRV11" s="120"/>
      <c r="HRW11" s="120"/>
      <c r="HRX11" s="120"/>
      <c r="HRY11" s="120"/>
      <c r="HRZ11" s="120"/>
      <c r="HSA11" s="120"/>
      <c r="HSB11" s="120"/>
      <c r="HSC11" s="120"/>
      <c r="HSD11" s="120"/>
      <c r="HSE11" s="120"/>
      <c r="HSF11" s="120"/>
      <c r="HSG11" s="120"/>
      <c r="HSH11" s="120"/>
      <c r="HSI11" s="120"/>
      <c r="HSJ11" s="120"/>
      <c r="HSK11" s="120"/>
      <c r="HSL11" s="120"/>
      <c r="HSM11" s="120"/>
      <c r="HSN11" s="120"/>
      <c r="HSO11" s="120"/>
      <c r="HSP11" s="120"/>
      <c r="HSQ11" s="120"/>
      <c r="HSR11" s="120"/>
      <c r="HSS11" s="120"/>
      <c r="HST11" s="120"/>
      <c r="HSU11" s="120"/>
      <c r="HSV11" s="120"/>
      <c r="HSW11" s="120"/>
      <c r="HSX11" s="120"/>
      <c r="HSY11" s="120"/>
      <c r="HSZ11" s="120"/>
      <c r="HTA11" s="120"/>
      <c r="HTB11" s="120"/>
      <c r="HTC11" s="120"/>
      <c r="HTD11" s="120"/>
      <c r="HTE11" s="120"/>
      <c r="HTF11" s="120"/>
      <c r="HTG11" s="120"/>
      <c r="HTH11" s="120"/>
      <c r="HTI11" s="120"/>
      <c r="HTJ11" s="120"/>
      <c r="HTK11" s="120"/>
      <c r="HTL11" s="120"/>
      <c r="HTM11" s="120"/>
      <c r="HTN11" s="120"/>
      <c r="HTO11" s="120"/>
      <c r="HTP11" s="120"/>
      <c r="HTQ11" s="120"/>
      <c r="HTR11" s="120"/>
      <c r="HTS11" s="120"/>
      <c r="HTT11" s="120"/>
      <c r="HTU11" s="120"/>
      <c r="HTV11" s="120"/>
      <c r="HTW11" s="120"/>
      <c r="HTX11" s="120"/>
      <c r="HTY11" s="120"/>
      <c r="HTZ11" s="120"/>
      <c r="HUA11" s="120"/>
      <c r="HUB11" s="120"/>
      <c r="HUC11" s="120"/>
      <c r="HUD11" s="120"/>
      <c r="HUE11" s="120"/>
      <c r="HUF11" s="120"/>
      <c r="HUG11" s="120"/>
      <c r="HUH11" s="120"/>
      <c r="HUI11" s="120"/>
      <c r="HUJ11" s="120"/>
      <c r="HUK11" s="120"/>
      <c r="HUL11" s="120"/>
      <c r="HUM11" s="120"/>
      <c r="HUN11" s="120"/>
      <c r="HUO11" s="120"/>
      <c r="HUP11" s="120"/>
      <c r="HUQ11" s="120"/>
      <c r="HUR11" s="120"/>
      <c r="HUS11" s="120"/>
      <c r="HUT11" s="120"/>
      <c r="HUU11" s="120"/>
      <c r="HUV11" s="120"/>
      <c r="HUW11" s="120"/>
      <c r="HUX11" s="120"/>
      <c r="HUY11" s="120"/>
      <c r="HUZ11" s="120"/>
      <c r="HVA11" s="120"/>
      <c r="HVB11" s="120"/>
      <c r="HVC11" s="120"/>
      <c r="HVD11" s="120"/>
      <c r="HVE11" s="120"/>
      <c r="HVF11" s="120"/>
      <c r="HVG11" s="120"/>
      <c r="HVH11" s="120"/>
      <c r="HVI11" s="120"/>
      <c r="HVJ11" s="120"/>
      <c r="HVK11" s="120"/>
      <c r="HVL11" s="120"/>
      <c r="HVM11" s="120"/>
      <c r="HVN11" s="120"/>
      <c r="HVO11" s="120"/>
      <c r="HVP11" s="120"/>
      <c r="HVQ11" s="120"/>
      <c r="HVR11" s="120"/>
      <c r="HVS11" s="120"/>
      <c r="HVT11" s="120"/>
      <c r="HVU11" s="120"/>
      <c r="HVV11" s="120"/>
      <c r="HVW11" s="120"/>
      <c r="HVX11" s="120"/>
      <c r="HVY11" s="120"/>
      <c r="HVZ11" s="120"/>
      <c r="HWA11" s="120"/>
      <c r="HWB11" s="120"/>
      <c r="HWC11" s="120"/>
      <c r="HWD11" s="120"/>
      <c r="HWE11" s="120"/>
      <c r="HWF11" s="120"/>
      <c r="HWG11" s="120"/>
      <c r="HWH11" s="120"/>
      <c r="HWI11" s="120"/>
      <c r="HWJ11" s="120"/>
      <c r="HWK11" s="120"/>
      <c r="HWL11" s="120"/>
      <c r="HWM11" s="120"/>
      <c r="HWN11" s="120"/>
      <c r="HWO11" s="120"/>
      <c r="HWP11" s="120"/>
      <c r="HWQ11" s="120"/>
      <c r="HWR11" s="120"/>
      <c r="HWS11" s="120"/>
      <c r="HWT11" s="120"/>
      <c r="HWU11" s="120"/>
      <c r="HWV11" s="120"/>
      <c r="HWW11" s="120"/>
      <c r="HWX11" s="120"/>
      <c r="HWY11" s="120"/>
      <c r="HWZ11" s="120"/>
      <c r="HXA11" s="120"/>
      <c r="HXB11" s="120"/>
      <c r="HXC11" s="120"/>
      <c r="HXD11" s="120"/>
      <c r="HXE11" s="120"/>
      <c r="HXF11" s="120"/>
      <c r="HXG11" s="120"/>
      <c r="HXH11" s="120"/>
      <c r="HXI11" s="120"/>
      <c r="HXJ11" s="120"/>
      <c r="HXK11" s="120"/>
      <c r="HXL11" s="120"/>
      <c r="HXM11" s="120"/>
      <c r="HXN11" s="120"/>
      <c r="HXO11" s="120"/>
      <c r="HXP11" s="120"/>
      <c r="HXQ11" s="120"/>
      <c r="HXR11" s="120"/>
      <c r="HXS11" s="120"/>
      <c r="HXT11" s="120"/>
      <c r="HXU11" s="120"/>
      <c r="HXV11" s="120"/>
      <c r="HXW11" s="120"/>
      <c r="HXX11" s="120"/>
      <c r="HXY11" s="120"/>
      <c r="HXZ11" s="120"/>
      <c r="HYA11" s="120"/>
      <c r="HYB11" s="120"/>
      <c r="HYC11" s="120"/>
      <c r="HYD11" s="120"/>
      <c r="HYE11" s="120"/>
      <c r="HYF11" s="120"/>
      <c r="HYG11" s="120"/>
      <c r="HYH11" s="120"/>
      <c r="HYI11" s="120"/>
      <c r="HYJ11" s="120"/>
      <c r="HYK11" s="120"/>
      <c r="HYL11" s="120"/>
      <c r="HYM11" s="120"/>
      <c r="HYN11" s="120"/>
      <c r="HYO11" s="120"/>
      <c r="HYP11" s="120"/>
      <c r="HYQ11" s="120"/>
      <c r="HYR11" s="120"/>
      <c r="HYS11" s="120"/>
      <c r="HYT11" s="120"/>
      <c r="HYU11" s="120"/>
      <c r="HYV11" s="120"/>
      <c r="HYW11" s="120"/>
      <c r="HYX11" s="120"/>
      <c r="HYY11" s="120"/>
      <c r="HYZ11" s="120"/>
      <c r="HZA11" s="120"/>
      <c r="HZB11" s="120"/>
      <c r="HZC11" s="120"/>
      <c r="HZD11" s="120"/>
      <c r="HZE11" s="120"/>
      <c r="HZF11" s="120"/>
      <c r="HZG11" s="120"/>
      <c r="HZH11" s="120"/>
      <c r="HZI11" s="120"/>
      <c r="HZJ11" s="120"/>
      <c r="HZK11" s="120"/>
      <c r="HZL11" s="120"/>
      <c r="HZM11" s="120"/>
      <c r="HZN11" s="120"/>
      <c r="HZO11" s="120"/>
      <c r="HZP11" s="120"/>
      <c r="HZQ11" s="120"/>
      <c r="HZR11" s="120"/>
      <c r="HZS11" s="120"/>
      <c r="HZT11" s="120"/>
      <c r="HZU11" s="120"/>
      <c r="HZV11" s="120"/>
      <c r="HZW11" s="120"/>
      <c r="HZX11" s="120"/>
      <c r="HZY11" s="120"/>
      <c r="HZZ11" s="120"/>
      <c r="IAA11" s="120"/>
      <c r="IAB11" s="120"/>
      <c r="IAC11" s="120"/>
      <c r="IAD11" s="120"/>
      <c r="IAE11" s="120"/>
      <c r="IAF11" s="120"/>
      <c r="IAG11" s="120"/>
      <c r="IAH11" s="120"/>
      <c r="IAI11" s="120"/>
      <c r="IAJ11" s="120"/>
      <c r="IAK11" s="120"/>
      <c r="IAL11" s="120"/>
      <c r="IAM11" s="120"/>
      <c r="IAN11" s="120"/>
      <c r="IAO11" s="120"/>
      <c r="IAP11" s="120"/>
      <c r="IAQ11" s="120"/>
      <c r="IAR11" s="120"/>
      <c r="IAS11" s="120"/>
      <c r="IAT11" s="120"/>
      <c r="IAU11" s="120"/>
      <c r="IAV11" s="120"/>
      <c r="IAW11" s="120"/>
      <c r="IAX11" s="120"/>
      <c r="IAY11" s="120"/>
      <c r="IAZ11" s="120"/>
      <c r="IBA11" s="120"/>
      <c r="IBB11" s="120"/>
      <c r="IBC11" s="120"/>
      <c r="IBD11" s="120"/>
      <c r="IBE11" s="120"/>
      <c r="IBF11" s="120"/>
      <c r="IBG11" s="120"/>
      <c r="IBH11" s="120"/>
      <c r="IBI11" s="120"/>
      <c r="IBJ11" s="120"/>
      <c r="IBK11" s="120"/>
      <c r="IBL11" s="120"/>
      <c r="IBM11" s="120"/>
      <c r="IBN11" s="120"/>
      <c r="IBO11" s="120"/>
      <c r="IBP11" s="120"/>
      <c r="IBQ11" s="120"/>
      <c r="IBR11" s="120"/>
      <c r="IBS11" s="120"/>
      <c r="IBT11" s="120"/>
      <c r="IBU11" s="120"/>
      <c r="IBV11" s="120"/>
      <c r="IBW11" s="120"/>
      <c r="IBX11" s="120"/>
      <c r="IBY11" s="120"/>
      <c r="IBZ11" s="120"/>
      <c r="ICA11" s="120"/>
      <c r="ICB11" s="120"/>
      <c r="ICC11" s="120"/>
      <c r="ICD11" s="120"/>
      <c r="ICE11" s="120"/>
      <c r="ICF11" s="120"/>
      <c r="ICG11" s="120"/>
      <c r="ICH11" s="120"/>
      <c r="ICI11" s="120"/>
      <c r="ICJ11" s="120"/>
      <c r="ICK11" s="120"/>
      <c r="ICL11" s="120"/>
      <c r="ICM11" s="120"/>
      <c r="ICN11" s="120"/>
      <c r="ICO11" s="120"/>
      <c r="ICP11" s="120"/>
      <c r="ICQ11" s="120"/>
      <c r="ICR11" s="120"/>
      <c r="ICS11" s="120"/>
      <c r="ICT11" s="120"/>
      <c r="ICU11" s="120"/>
      <c r="ICV11" s="120"/>
      <c r="ICW11" s="120"/>
      <c r="ICX11" s="120"/>
      <c r="ICY11" s="120"/>
      <c r="ICZ11" s="120"/>
      <c r="IDA11" s="120"/>
      <c r="IDB11" s="120"/>
      <c r="IDC11" s="120"/>
      <c r="IDD11" s="120"/>
      <c r="IDE11" s="120"/>
      <c r="IDF11" s="120"/>
      <c r="IDG11" s="120"/>
      <c r="IDH11" s="120"/>
      <c r="IDI11" s="120"/>
      <c r="IDJ11" s="120"/>
      <c r="IDK11" s="120"/>
      <c r="IDL11" s="120"/>
      <c r="IDM11" s="120"/>
      <c r="IDN11" s="120"/>
      <c r="IDO11" s="120"/>
      <c r="IDP11" s="120"/>
      <c r="IDQ11" s="120"/>
      <c r="IDR11" s="120"/>
      <c r="IDS11" s="120"/>
      <c r="IDT11" s="120"/>
      <c r="IDU11" s="120"/>
      <c r="IDV11" s="120"/>
      <c r="IDW11" s="120"/>
      <c r="IDX11" s="120"/>
      <c r="IDY11" s="120"/>
      <c r="IDZ11" s="120"/>
      <c r="IEA11" s="120"/>
      <c r="IEB11" s="120"/>
      <c r="IEC11" s="120"/>
      <c r="IED11" s="120"/>
      <c r="IEE11" s="120"/>
      <c r="IEF11" s="120"/>
      <c r="IEG11" s="120"/>
      <c r="IEH11" s="120"/>
      <c r="IEI11" s="120"/>
      <c r="IEJ11" s="120"/>
      <c r="IEK11" s="120"/>
      <c r="IEL11" s="120"/>
      <c r="IEM11" s="120"/>
      <c r="IEN11" s="120"/>
      <c r="IEO11" s="120"/>
      <c r="IEP11" s="120"/>
      <c r="IEQ11" s="120"/>
      <c r="IER11" s="120"/>
      <c r="IES11" s="120"/>
      <c r="IET11" s="120"/>
      <c r="IEU11" s="120"/>
      <c r="IEV11" s="120"/>
      <c r="IEW11" s="120"/>
      <c r="IEX11" s="120"/>
      <c r="IEY11" s="120"/>
      <c r="IEZ11" s="120"/>
      <c r="IFA11" s="120"/>
      <c r="IFB11" s="120"/>
      <c r="IFC11" s="120"/>
      <c r="IFD11" s="120"/>
      <c r="IFE11" s="120"/>
      <c r="IFF11" s="120"/>
      <c r="IFG11" s="120"/>
      <c r="IFH11" s="120"/>
      <c r="IFI11" s="120"/>
      <c r="IFJ11" s="120"/>
      <c r="IFK11" s="120"/>
      <c r="IFL11" s="120"/>
      <c r="IFM11" s="120"/>
      <c r="IFN11" s="120"/>
      <c r="IFO11" s="120"/>
      <c r="IFP11" s="120"/>
      <c r="IFQ11" s="120"/>
      <c r="IFR11" s="120"/>
      <c r="IFS11" s="120"/>
      <c r="IFT11" s="120"/>
      <c r="IFU11" s="120"/>
      <c r="IFV11" s="120"/>
      <c r="IFW11" s="120"/>
      <c r="IFX11" s="120"/>
      <c r="IFY11" s="120"/>
      <c r="IFZ11" s="120"/>
      <c r="IGA11" s="120"/>
      <c r="IGB11" s="120"/>
      <c r="IGC11" s="120"/>
      <c r="IGD11" s="120"/>
      <c r="IGE11" s="120"/>
      <c r="IGF11" s="120"/>
      <c r="IGG11" s="120"/>
      <c r="IGH11" s="120"/>
      <c r="IGI11" s="120"/>
      <c r="IGJ11" s="120"/>
      <c r="IGK11" s="120"/>
      <c r="IGL11" s="120"/>
      <c r="IGM11" s="120"/>
      <c r="IGN11" s="120"/>
      <c r="IGO11" s="120"/>
      <c r="IGP11" s="120"/>
      <c r="IGQ11" s="120"/>
      <c r="IGR11" s="120"/>
      <c r="IGS11" s="120"/>
      <c r="IGT11" s="120"/>
      <c r="IGU11" s="120"/>
      <c r="IGV11" s="120"/>
      <c r="IGW11" s="120"/>
      <c r="IGX11" s="120"/>
      <c r="IGY11" s="120"/>
      <c r="IGZ11" s="120"/>
      <c r="IHA11" s="120"/>
      <c r="IHB11" s="120"/>
      <c r="IHC11" s="120"/>
      <c r="IHD11" s="120"/>
      <c r="IHE11" s="120"/>
      <c r="IHF11" s="120"/>
      <c r="IHG11" s="120"/>
      <c r="IHH11" s="120"/>
      <c r="IHI11" s="120"/>
      <c r="IHJ11" s="120"/>
      <c r="IHK11" s="120"/>
      <c r="IHL11" s="120"/>
      <c r="IHM11" s="120"/>
      <c r="IHN11" s="120"/>
      <c r="IHO11" s="120"/>
      <c r="IHP11" s="120"/>
      <c r="IHQ11" s="120"/>
      <c r="IHR11" s="120"/>
      <c r="IHS11" s="120"/>
      <c r="IHT11" s="120"/>
      <c r="IHU11" s="120"/>
      <c r="IHV11" s="120"/>
      <c r="IHW11" s="120"/>
      <c r="IHX11" s="120"/>
      <c r="IHY11" s="120"/>
      <c r="IHZ11" s="120"/>
      <c r="IIA11" s="120"/>
      <c r="IIB11" s="120"/>
      <c r="IIC11" s="120"/>
      <c r="IID11" s="120"/>
      <c r="IIE11" s="120"/>
      <c r="IIF11" s="120"/>
      <c r="IIG11" s="120"/>
      <c r="IIH11" s="120"/>
      <c r="III11" s="120"/>
      <c r="IIJ11" s="120"/>
      <c r="IIK11" s="120"/>
      <c r="IIL11" s="120"/>
      <c r="IIM11" s="120"/>
      <c r="IIN11" s="120"/>
      <c r="IIO11" s="120"/>
      <c r="IIP11" s="120"/>
      <c r="IIQ11" s="120"/>
      <c r="IIR11" s="120"/>
      <c r="IIS11" s="120"/>
      <c r="IIT11" s="120"/>
      <c r="IIU11" s="120"/>
      <c r="IIV11" s="120"/>
      <c r="IIW11" s="120"/>
      <c r="IIX11" s="120"/>
      <c r="IIY11" s="120"/>
      <c r="IIZ11" s="120"/>
      <c r="IJA11" s="120"/>
      <c r="IJB11" s="120"/>
      <c r="IJC11" s="120"/>
      <c r="IJD11" s="120"/>
      <c r="IJE11" s="120"/>
      <c r="IJF11" s="120"/>
      <c r="IJG11" s="120"/>
      <c r="IJH11" s="120"/>
      <c r="IJI11" s="120"/>
      <c r="IJJ11" s="120"/>
      <c r="IJK11" s="120"/>
      <c r="IJL11" s="120"/>
      <c r="IJM11" s="120"/>
      <c r="IJN11" s="120"/>
      <c r="IJO11" s="120"/>
      <c r="IJP11" s="120"/>
      <c r="IJQ11" s="120"/>
      <c r="IJR11" s="120"/>
      <c r="IJS11" s="120"/>
      <c r="IJT11" s="120"/>
      <c r="IJU11" s="120"/>
      <c r="IJV11" s="120"/>
      <c r="IJW11" s="120"/>
      <c r="IJX11" s="120"/>
      <c r="IJY11" s="120"/>
      <c r="IJZ11" s="120"/>
      <c r="IKA11" s="120"/>
      <c r="IKB11" s="120"/>
      <c r="IKC11" s="120"/>
      <c r="IKD11" s="120"/>
      <c r="IKE11" s="120"/>
      <c r="IKF11" s="120"/>
      <c r="IKG11" s="120"/>
      <c r="IKH11" s="120"/>
      <c r="IKI11" s="120"/>
      <c r="IKJ11" s="120"/>
      <c r="IKK11" s="120"/>
      <c r="IKL11" s="120"/>
      <c r="IKM11" s="120"/>
      <c r="IKN11" s="120"/>
      <c r="IKO11" s="120"/>
      <c r="IKP11" s="120"/>
      <c r="IKQ11" s="120"/>
      <c r="IKR11" s="120"/>
      <c r="IKS11" s="120"/>
      <c r="IKT11" s="120"/>
      <c r="IKU11" s="120"/>
      <c r="IKV11" s="120"/>
      <c r="IKW11" s="120"/>
      <c r="IKX11" s="120"/>
      <c r="IKY11" s="120"/>
      <c r="IKZ11" s="120"/>
      <c r="ILA11" s="120"/>
      <c r="ILB11" s="120"/>
      <c r="ILC11" s="120"/>
      <c r="ILD11" s="120"/>
      <c r="ILE11" s="120"/>
      <c r="ILF11" s="120"/>
      <c r="ILG11" s="120"/>
      <c r="ILH11" s="120"/>
      <c r="ILI11" s="120"/>
      <c r="ILJ11" s="120"/>
      <c r="ILK11" s="120"/>
      <c r="ILL11" s="120"/>
      <c r="ILM11" s="120"/>
      <c r="ILN11" s="120"/>
      <c r="ILO11" s="120"/>
      <c r="ILP11" s="120"/>
      <c r="ILQ11" s="120"/>
      <c r="ILR11" s="120"/>
      <c r="ILS11" s="120"/>
      <c r="ILT11" s="120"/>
      <c r="ILU11" s="120"/>
      <c r="ILV11" s="120"/>
      <c r="ILW11" s="120"/>
      <c r="ILX11" s="120"/>
      <c r="ILY11" s="120"/>
      <c r="ILZ11" s="120"/>
      <c r="IMA11" s="120"/>
      <c r="IMB11" s="120"/>
      <c r="IMC11" s="120"/>
      <c r="IMD11" s="120"/>
      <c r="IME11" s="120"/>
      <c r="IMF11" s="120"/>
      <c r="IMG11" s="120"/>
      <c r="IMH11" s="120"/>
      <c r="IMI11" s="120"/>
      <c r="IMJ11" s="120"/>
      <c r="IMK11" s="120"/>
      <c r="IML11" s="120"/>
      <c r="IMM11" s="120"/>
      <c r="IMN11" s="120"/>
      <c r="IMO11" s="120"/>
      <c r="IMP11" s="120"/>
      <c r="IMQ11" s="120"/>
      <c r="IMR11" s="120"/>
      <c r="IMS11" s="120"/>
      <c r="IMT11" s="120"/>
      <c r="IMU11" s="120"/>
      <c r="IMV11" s="120"/>
      <c r="IMW11" s="120"/>
      <c r="IMX11" s="120"/>
      <c r="IMY11" s="120"/>
      <c r="IMZ11" s="120"/>
      <c r="INA11" s="120"/>
      <c r="INB11" s="120"/>
      <c r="INC11" s="120"/>
      <c r="IND11" s="120"/>
      <c r="INE11" s="120"/>
      <c r="INF11" s="120"/>
      <c r="ING11" s="120"/>
      <c r="INH11" s="120"/>
      <c r="INI11" s="120"/>
      <c r="INJ11" s="120"/>
      <c r="INK11" s="120"/>
      <c r="INL11" s="120"/>
      <c r="INM11" s="120"/>
      <c r="INN11" s="120"/>
      <c r="INO11" s="120"/>
      <c r="INP11" s="120"/>
      <c r="INQ11" s="120"/>
      <c r="INR11" s="120"/>
      <c r="INS11" s="120"/>
      <c r="INT11" s="120"/>
      <c r="INU11" s="120"/>
      <c r="INV11" s="120"/>
      <c r="INW11" s="120"/>
      <c r="INX11" s="120"/>
      <c r="INY11" s="120"/>
      <c r="INZ11" s="120"/>
      <c r="IOA11" s="120"/>
      <c r="IOB11" s="120"/>
      <c r="IOC11" s="120"/>
      <c r="IOD11" s="120"/>
      <c r="IOE11" s="120"/>
      <c r="IOF11" s="120"/>
      <c r="IOG11" s="120"/>
      <c r="IOH11" s="120"/>
      <c r="IOI11" s="120"/>
      <c r="IOJ11" s="120"/>
      <c r="IOK11" s="120"/>
      <c r="IOL11" s="120"/>
      <c r="IOM11" s="120"/>
      <c r="ION11" s="120"/>
      <c r="IOO11" s="120"/>
      <c r="IOP11" s="120"/>
      <c r="IOQ11" s="120"/>
      <c r="IOR11" s="120"/>
      <c r="IOS11" s="120"/>
      <c r="IOT11" s="120"/>
      <c r="IOU11" s="120"/>
      <c r="IOV11" s="120"/>
      <c r="IOW11" s="120"/>
      <c r="IOX11" s="120"/>
      <c r="IOY11" s="120"/>
      <c r="IOZ11" s="120"/>
      <c r="IPA11" s="120"/>
      <c r="IPB11" s="120"/>
      <c r="IPC11" s="120"/>
      <c r="IPD11" s="120"/>
      <c r="IPE11" s="120"/>
      <c r="IPF11" s="120"/>
      <c r="IPG11" s="120"/>
      <c r="IPH11" s="120"/>
      <c r="IPI11" s="120"/>
      <c r="IPJ11" s="120"/>
      <c r="IPK11" s="120"/>
      <c r="IPL11" s="120"/>
      <c r="IPM11" s="120"/>
      <c r="IPN11" s="120"/>
      <c r="IPO11" s="120"/>
      <c r="IPP11" s="120"/>
      <c r="IPQ11" s="120"/>
      <c r="IPR11" s="120"/>
      <c r="IPS11" s="120"/>
      <c r="IPT11" s="120"/>
      <c r="IPU11" s="120"/>
      <c r="IPV11" s="120"/>
      <c r="IPW11" s="120"/>
      <c r="IPX11" s="120"/>
      <c r="IPY11" s="120"/>
      <c r="IPZ11" s="120"/>
      <c r="IQA11" s="120"/>
      <c r="IQB11" s="120"/>
      <c r="IQC11" s="120"/>
      <c r="IQD11" s="120"/>
      <c r="IQE11" s="120"/>
      <c r="IQF11" s="120"/>
      <c r="IQG11" s="120"/>
      <c r="IQH11" s="120"/>
      <c r="IQI11" s="120"/>
      <c r="IQJ11" s="120"/>
      <c r="IQK11" s="120"/>
      <c r="IQL11" s="120"/>
      <c r="IQM11" s="120"/>
      <c r="IQN11" s="120"/>
      <c r="IQO11" s="120"/>
      <c r="IQP11" s="120"/>
      <c r="IQQ11" s="120"/>
      <c r="IQR11" s="120"/>
      <c r="IQS11" s="120"/>
      <c r="IQT11" s="120"/>
      <c r="IQU11" s="120"/>
      <c r="IQV11" s="120"/>
      <c r="IQW11" s="120"/>
      <c r="IQX11" s="120"/>
      <c r="IQY11" s="120"/>
      <c r="IQZ11" s="120"/>
      <c r="IRA11" s="120"/>
      <c r="IRB11" s="120"/>
      <c r="IRC11" s="120"/>
      <c r="IRD11" s="120"/>
      <c r="IRE11" s="120"/>
      <c r="IRF11" s="120"/>
      <c r="IRG11" s="120"/>
      <c r="IRH11" s="120"/>
      <c r="IRI11" s="120"/>
      <c r="IRJ11" s="120"/>
      <c r="IRK11" s="120"/>
      <c r="IRL11" s="120"/>
      <c r="IRM11" s="120"/>
      <c r="IRN11" s="120"/>
      <c r="IRO11" s="120"/>
      <c r="IRP11" s="120"/>
      <c r="IRQ11" s="120"/>
      <c r="IRR11" s="120"/>
      <c r="IRS11" s="120"/>
      <c r="IRT11" s="120"/>
      <c r="IRU11" s="120"/>
      <c r="IRV11" s="120"/>
      <c r="IRW11" s="120"/>
      <c r="IRX11" s="120"/>
      <c r="IRY11" s="120"/>
      <c r="IRZ11" s="120"/>
      <c r="ISA11" s="120"/>
      <c r="ISB11" s="120"/>
      <c r="ISC11" s="120"/>
      <c r="ISD11" s="120"/>
      <c r="ISE11" s="120"/>
      <c r="ISF11" s="120"/>
      <c r="ISG11" s="120"/>
      <c r="ISH11" s="120"/>
      <c r="ISI11" s="120"/>
      <c r="ISJ11" s="120"/>
      <c r="ISK11" s="120"/>
      <c r="ISL11" s="120"/>
      <c r="ISM11" s="120"/>
      <c r="ISN11" s="120"/>
      <c r="ISO11" s="120"/>
      <c r="ISP11" s="120"/>
      <c r="ISQ11" s="120"/>
      <c r="ISR11" s="120"/>
      <c r="ISS11" s="120"/>
      <c r="IST11" s="120"/>
      <c r="ISU11" s="120"/>
      <c r="ISV11" s="120"/>
      <c r="ISW11" s="120"/>
      <c r="ISX11" s="120"/>
      <c r="ISY11" s="120"/>
      <c r="ISZ11" s="120"/>
      <c r="ITA11" s="120"/>
      <c r="ITB11" s="120"/>
      <c r="ITC11" s="120"/>
      <c r="ITD11" s="120"/>
      <c r="ITE11" s="120"/>
      <c r="ITF11" s="120"/>
      <c r="ITG11" s="120"/>
      <c r="ITH11" s="120"/>
      <c r="ITI11" s="120"/>
      <c r="ITJ11" s="120"/>
      <c r="ITK11" s="120"/>
      <c r="ITL11" s="120"/>
      <c r="ITM11" s="120"/>
      <c r="ITN11" s="120"/>
      <c r="ITO11" s="120"/>
      <c r="ITP11" s="120"/>
      <c r="ITQ11" s="120"/>
      <c r="ITR11" s="120"/>
      <c r="ITS11" s="120"/>
      <c r="ITT11" s="120"/>
      <c r="ITU11" s="120"/>
      <c r="ITV11" s="120"/>
      <c r="ITW11" s="120"/>
      <c r="ITX11" s="120"/>
      <c r="ITY11" s="120"/>
      <c r="ITZ11" s="120"/>
      <c r="IUA11" s="120"/>
      <c r="IUB11" s="120"/>
      <c r="IUC11" s="120"/>
      <c r="IUD11" s="120"/>
      <c r="IUE11" s="120"/>
      <c r="IUF11" s="120"/>
      <c r="IUG11" s="120"/>
      <c r="IUH11" s="120"/>
      <c r="IUI11" s="120"/>
      <c r="IUJ11" s="120"/>
      <c r="IUK11" s="120"/>
      <c r="IUL11" s="120"/>
      <c r="IUM11" s="120"/>
      <c r="IUN11" s="120"/>
      <c r="IUO11" s="120"/>
      <c r="IUP11" s="120"/>
      <c r="IUQ11" s="120"/>
      <c r="IUR11" s="120"/>
      <c r="IUS11" s="120"/>
      <c r="IUT11" s="120"/>
      <c r="IUU11" s="120"/>
      <c r="IUV11" s="120"/>
      <c r="IUW11" s="120"/>
      <c r="IUX11" s="120"/>
      <c r="IUY11" s="120"/>
      <c r="IUZ11" s="120"/>
      <c r="IVA11" s="120"/>
      <c r="IVB11" s="120"/>
      <c r="IVC11" s="120"/>
      <c r="IVD11" s="120"/>
      <c r="IVE11" s="120"/>
      <c r="IVF11" s="120"/>
      <c r="IVG11" s="120"/>
      <c r="IVH11" s="120"/>
      <c r="IVI11" s="120"/>
      <c r="IVJ11" s="120"/>
      <c r="IVK11" s="120"/>
      <c r="IVL11" s="120"/>
      <c r="IVM11" s="120"/>
      <c r="IVN11" s="120"/>
      <c r="IVO11" s="120"/>
      <c r="IVP11" s="120"/>
      <c r="IVQ11" s="120"/>
      <c r="IVR11" s="120"/>
      <c r="IVS11" s="120"/>
      <c r="IVT11" s="120"/>
      <c r="IVU11" s="120"/>
      <c r="IVV11" s="120"/>
      <c r="IVW11" s="120"/>
      <c r="IVX11" s="120"/>
      <c r="IVY11" s="120"/>
      <c r="IVZ11" s="120"/>
      <c r="IWA11" s="120"/>
      <c r="IWB11" s="120"/>
      <c r="IWC11" s="120"/>
      <c r="IWD11" s="120"/>
      <c r="IWE11" s="120"/>
      <c r="IWF11" s="120"/>
      <c r="IWG11" s="120"/>
      <c r="IWH11" s="120"/>
      <c r="IWI11" s="120"/>
      <c r="IWJ11" s="120"/>
      <c r="IWK11" s="120"/>
      <c r="IWL11" s="120"/>
      <c r="IWM11" s="120"/>
      <c r="IWN11" s="120"/>
      <c r="IWO11" s="120"/>
      <c r="IWP11" s="120"/>
      <c r="IWQ11" s="120"/>
      <c r="IWR11" s="120"/>
      <c r="IWS11" s="120"/>
      <c r="IWT11" s="120"/>
      <c r="IWU11" s="120"/>
      <c r="IWV11" s="120"/>
      <c r="IWW11" s="120"/>
      <c r="IWX11" s="120"/>
      <c r="IWY11" s="120"/>
      <c r="IWZ11" s="120"/>
      <c r="IXA11" s="120"/>
      <c r="IXB11" s="120"/>
      <c r="IXC11" s="120"/>
      <c r="IXD11" s="120"/>
      <c r="IXE11" s="120"/>
      <c r="IXF11" s="120"/>
      <c r="IXG11" s="120"/>
      <c r="IXH11" s="120"/>
      <c r="IXI11" s="120"/>
      <c r="IXJ11" s="120"/>
      <c r="IXK11" s="120"/>
      <c r="IXL11" s="120"/>
      <c r="IXM11" s="120"/>
      <c r="IXN11" s="120"/>
      <c r="IXO11" s="120"/>
      <c r="IXP11" s="120"/>
      <c r="IXQ11" s="120"/>
      <c r="IXR11" s="120"/>
      <c r="IXS11" s="120"/>
      <c r="IXT11" s="120"/>
      <c r="IXU11" s="120"/>
      <c r="IXV11" s="120"/>
      <c r="IXW11" s="120"/>
      <c r="IXX11" s="120"/>
      <c r="IXY11" s="120"/>
      <c r="IXZ11" s="120"/>
      <c r="IYA11" s="120"/>
      <c r="IYB11" s="120"/>
      <c r="IYC11" s="120"/>
      <c r="IYD11" s="120"/>
      <c r="IYE11" s="120"/>
      <c r="IYF11" s="120"/>
      <c r="IYG11" s="120"/>
      <c r="IYH11" s="120"/>
      <c r="IYI11" s="120"/>
      <c r="IYJ11" s="120"/>
      <c r="IYK11" s="120"/>
      <c r="IYL11" s="120"/>
      <c r="IYM11" s="120"/>
      <c r="IYN11" s="120"/>
      <c r="IYO11" s="120"/>
      <c r="IYP11" s="120"/>
      <c r="IYQ11" s="120"/>
      <c r="IYR11" s="120"/>
      <c r="IYS11" s="120"/>
      <c r="IYT11" s="120"/>
      <c r="IYU11" s="120"/>
      <c r="IYV11" s="120"/>
      <c r="IYW11" s="120"/>
      <c r="IYX11" s="120"/>
      <c r="IYY11" s="120"/>
      <c r="IYZ11" s="120"/>
      <c r="IZA11" s="120"/>
      <c r="IZB11" s="120"/>
      <c r="IZC11" s="120"/>
      <c r="IZD11" s="120"/>
      <c r="IZE11" s="120"/>
      <c r="IZF11" s="120"/>
      <c r="IZG11" s="120"/>
      <c r="IZH11" s="120"/>
      <c r="IZI11" s="120"/>
      <c r="IZJ11" s="120"/>
      <c r="IZK11" s="120"/>
      <c r="IZL11" s="120"/>
      <c r="IZM11" s="120"/>
      <c r="IZN11" s="120"/>
      <c r="IZO11" s="120"/>
      <c r="IZP11" s="120"/>
      <c r="IZQ11" s="120"/>
      <c r="IZR11" s="120"/>
      <c r="IZS11" s="120"/>
      <c r="IZT11" s="120"/>
      <c r="IZU11" s="120"/>
      <c r="IZV11" s="120"/>
      <c r="IZW11" s="120"/>
      <c r="IZX11" s="120"/>
      <c r="IZY11" s="120"/>
      <c r="IZZ11" s="120"/>
      <c r="JAA11" s="120"/>
      <c r="JAB11" s="120"/>
      <c r="JAC11" s="120"/>
      <c r="JAD11" s="120"/>
      <c r="JAE11" s="120"/>
      <c r="JAF11" s="120"/>
      <c r="JAG11" s="120"/>
      <c r="JAH11" s="120"/>
      <c r="JAI11" s="120"/>
      <c r="JAJ11" s="120"/>
      <c r="JAK11" s="120"/>
      <c r="JAL11" s="120"/>
      <c r="JAM11" s="120"/>
      <c r="JAN11" s="120"/>
      <c r="JAO11" s="120"/>
      <c r="JAP11" s="120"/>
      <c r="JAQ11" s="120"/>
      <c r="JAR11" s="120"/>
      <c r="JAS11" s="120"/>
      <c r="JAT11" s="120"/>
      <c r="JAU11" s="120"/>
      <c r="JAV11" s="120"/>
      <c r="JAW11" s="120"/>
      <c r="JAX11" s="120"/>
      <c r="JAY11" s="120"/>
      <c r="JAZ11" s="120"/>
      <c r="JBA11" s="120"/>
      <c r="JBB11" s="120"/>
      <c r="JBC11" s="120"/>
      <c r="JBD11" s="120"/>
      <c r="JBE11" s="120"/>
      <c r="JBF11" s="120"/>
      <c r="JBG11" s="120"/>
      <c r="JBH11" s="120"/>
      <c r="JBI11" s="120"/>
      <c r="JBJ11" s="120"/>
      <c r="JBK11" s="120"/>
      <c r="JBL11" s="120"/>
      <c r="JBM11" s="120"/>
      <c r="JBN11" s="120"/>
      <c r="JBO11" s="120"/>
      <c r="JBP11" s="120"/>
      <c r="JBQ11" s="120"/>
      <c r="JBR11" s="120"/>
      <c r="JBS11" s="120"/>
      <c r="JBT11" s="120"/>
      <c r="JBU11" s="120"/>
      <c r="JBV11" s="120"/>
      <c r="JBW11" s="120"/>
      <c r="JBX11" s="120"/>
      <c r="JBY11" s="120"/>
      <c r="JBZ11" s="120"/>
      <c r="JCA11" s="120"/>
      <c r="JCB11" s="120"/>
      <c r="JCC11" s="120"/>
      <c r="JCD11" s="120"/>
      <c r="JCE11" s="120"/>
      <c r="JCF11" s="120"/>
      <c r="JCG11" s="120"/>
      <c r="JCH11" s="120"/>
      <c r="JCI11" s="120"/>
      <c r="JCJ11" s="120"/>
      <c r="JCK11" s="120"/>
      <c r="JCL11" s="120"/>
      <c r="JCM11" s="120"/>
      <c r="JCN11" s="120"/>
      <c r="JCO11" s="120"/>
      <c r="JCP11" s="120"/>
      <c r="JCQ11" s="120"/>
      <c r="JCR11" s="120"/>
      <c r="JCS11" s="120"/>
      <c r="JCT11" s="120"/>
      <c r="JCU11" s="120"/>
      <c r="JCV11" s="120"/>
      <c r="JCW11" s="120"/>
      <c r="JCX11" s="120"/>
      <c r="JCY11" s="120"/>
      <c r="JCZ11" s="120"/>
      <c r="JDA11" s="120"/>
      <c r="JDB11" s="120"/>
      <c r="JDC11" s="120"/>
      <c r="JDD11" s="120"/>
      <c r="JDE11" s="120"/>
      <c r="JDF11" s="120"/>
      <c r="JDG11" s="120"/>
      <c r="JDH11" s="120"/>
      <c r="JDI11" s="120"/>
      <c r="JDJ11" s="120"/>
      <c r="JDK11" s="120"/>
      <c r="JDL11" s="120"/>
      <c r="JDM11" s="120"/>
      <c r="JDN11" s="120"/>
      <c r="JDO11" s="120"/>
      <c r="JDP11" s="120"/>
      <c r="JDQ11" s="120"/>
      <c r="JDR11" s="120"/>
      <c r="JDS11" s="120"/>
      <c r="JDT11" s="120"/>
      <c r="JDU11" s="120"/>
      <c r="JDV11" s="120"/>
      <c r="JDW11" s="120"/>
      <c r="JDX11" s="120"/>
      <c r="JDY11" s="120"/>
      <c r="JDZ11" s="120"/>
      <c r="JEA11" s="120"/>
      <c r="JEB11" s="120"/>
      <c r="JEC11" s="120"/>
      <c r="JED11" s="120"/>
      <c r="JEE11" s="120"/>
      <c r="JEF11" s="120"/>
      <c r="JEG11" s="120"/>
      <c r="JEH11" s="120"/>
      <c r="JEI11" s="120"/>
      <c r="JEJ11" s="120"/>
      <c r="JEK11" s="120"/>
      <c r="JEL11" s="120"/>
      <c r="JEM11" s="120"/>
      <c r="JEN11" s="120"/>
      <c r="JEO11" s="120"/>
      <c r="JEP11" s="120"/>
      <c r="JEQ11" s="120"/>
      <c r="JER11" s="120"/>
      <c r="JES11" s="120"/>
      <c r="JET11" s="120"/>
      <c r="JEU11" s="120"/>
      <c r="JEV11" s="120"/>
      <c r="JEW11" s="120"/>
      <c r="JEX11" s="120"/>
      <c r="JEY11" s="120"/>
      <c r="JEZ11" s="120"/>
      <c r="JFA11" s="120"/>
      <c r="JFB11" s="120"/>
      <c r="JFC11" s="120"/>
      <c r="JFD11" s="120"/>
      <c r="JFE11" s="120"/>
      <c r="JFF11" s="120"/>
      <c r="JFG11" s="120"/>
      <c r="JFH11" s="120"/>
      <c r="JFI11" s="120"/>
      <c r="JFJ11" s="120"/>
      <c r="JFK11" s="120"/>
      <c r="JFL11" s="120"/>
      <c r="JFM11" s="120"/>
      <c r="JFN11" s="120"/>
      <c r="JFO11" s="120"/>
      <c r="JFP11" s="120"/>
      <c r="JFQ11" s="120"/>
      <c r="JFR11" s="120"/>
      <c r="JFS11" s="120"/>
      <c r="JFT11" s="120"/>
      <c r="JFU11" s="120"/>
      <c r="JFV11" s="120"/>
      <c r="JFW11" s="120"/>
      <c r="JFX11" s="120"/>
      <c r="JFY11" s="120"/>
      <c r="JFZ11" s="120"/>
      <c r="JGA11" s="120"/>
      <c r="JGB11" s="120"/>
      <c r="JGC11" s="120"/>
      <c r="JGD11" s="120"/>
      <c r="JGE11" s="120"/>
      <c r="JGF11" s="120"/>
      <c r="JGG11" s="120"/>
      <c r="JGH11" s="120"/>
      <c r="JGI11" s="120"/>
      <c r="JGJ11" s="120"/>
      <c r="JGK11" s="120"/>
      <c r="JGL11" s="120"/>
      <c r="JGM11" s="120"/>
      <c r="JGN11" s="120"/>
      <c r="JGO11" s="120"/>
      <c r="JGP11" s="120"/>
      <c r="JGQ11" s="120"/>
      <c r="JGR11" s="120"/>
      <c r="JGS11" s="120"/>
      <c r="JGT11" s="120"/>
      <c r="JGU11" s="120"/>
      <c r="JGV11" s="120"/>
      <c r="JGW11" s="120"/>
      <c r="JGX11" s="120"/>
      <c r="JGY11" s="120"/>
      <c r="JGZ11" s="120"/>
      <c r="JHA11" s="120"/>
      <c r="JHB11" s="120"/>
      <c r="JHC11" s="120"/>
      <c r="JHD11" s="120"/>
      <c r="JHE11" s="120"/>
      <c r="JHF11" s="120"/>
      <c r="JHG11" s="120"/>
      <c r="JHH11" s="120"/>
      <c r="JHI11" s="120"/>
      <c r="JHJ11" s="120"/>
      <c r="JHK11" s="120"/>
      <c r="JHL11" s="120"/>
      <c r="JHM11" s="120"/>
      <c r="JHN11" s="120"/>
      <c r="JHO11" s="120"/>
      <c r="JHP11" s="120"/>
      <c r="JHQ11" s="120"/>
      <c r="JHR11" s="120"/>
      <c r="JHS11" s="120"/>
      <c r="JHT11" s="120"/>
      <c r="JHU11" s="120"/>
      <c r="JHV11" s="120"/>
      <c r="JHW11" s="120"/>
      <c r="JHX11" s="120"/>
      <c r="JHY11" s="120"/>
      <c r="JHZ11" s="120"/>
      <c r="JIA11" s="120"/>
      <c r="JIB11" s="120"/>
      <c r="JIC11" s="120"/>
      <c r="JID11" s="120"/>
      <c r="JIE11" s="120"/>
      <c r="JIF11" s="120"/>
      <c r="JIG11" s="120"/>
      <c r="JIH11" s="120"/>
      <c r="JII11" s="120"/>
      <c r="JIJ11" s="120"/>
      <c r="JIK11" s="120"/>
      <c r="JIL11" s="120"/>
      <c r="JIM11" s="120"/>
      <c r="JIN11" s="120"/>
      <c r="JIO11" s="120"/>
      <c r="JIP11" s="120"/>
      <c r="JIQ11" s="120"/>
      <c r="JIR11" s="120"/>
      <c r="JIS11" s="120"/>
      <c r="JIT11" s="120"/>
      <c r="JIU11" s="120"/>
      <c r="JIV11" s="120"/>
      <c r="JIW11" s="120"/>
      <c r="JIX11" s="120"/>
      <c r="JIY11" s="120"/>
      <c r="JIZ11" s="120"/>
      <c r="JJA11" s="120"/>
      <c r="JJB11" s="120"/>
      <c r="JJC11" s="120"/>
      <c r="JJD11" s="120"/>
      <c r="JJE11" s="120"/>
      <c r="JJF11" s="120"/>
      <c r="JJG11" s="120"/>
      <c r="JJH11" s="120"/>
      <c r="JJI11" s="120"/>
      <c r="JJJ11" s="120"/>
      <c r="JJK11" s="120"/>
      <c r="JJL11" s="120"/>
      <c r="JJM11" s="120"/>
      <c r="JJN11" s="120"/>
      <c r="JJO11" s="120"/>
      <c r="JJP11" s="120"/>
      <c r="JJQ11" s="120"/>
      <c r="JJR11" s="120"/>
      <c r="JJS11" s="120"/>
      <c r="JJT11" s="120"/>
      <c r="JJU11" s="120"/>
      <c r="JJV11" s="120"/>
      <c r="JJW11" s="120"/>
      <c r="JJX11" s="120"/>
      <c r="JJY11" s="120"/>
      <c r="JJZ11" s="120"/>
      <c r="JKA11" s="120"/>
      <c r="JKB11" s="120"/>
      <c r="JKC11" s="120"/>
      <c r="JKD11" s="120"/>
      <c r="JKE11" s="120"/>
      <c r="JKF11" s="120"/>
      <c r="JKG11" s="120"/>
      <c r="JKH11" s="120"/>
      <c r="JKI11" s="120"/>
      <c r="JKJ11" s="120"/>
      <c r="JKK11" s="120"/>
      <c r="JKL11" s="120"/>
      <c r="JKM11" s="120"/>
      <c r="JKN11" s="120"/>
      <c r="JKO11" s="120"/>
      <c r="JKP11" s="120"/>
      <c r="JKQ11" s="120"/>
      <c r="JKR11" s="120"/>
      <c r="JKS11" s="120"/>
      <c r="JKT11" s="120"/>
      <c r="JKU11" s="120"/>
      <c r="JKV11" s="120"/>
      <c r="JKW11" s="120"/>
      <c r="JKX11" s="120"/>
      <c r="JKY11" s="120"/>
      <c r="JKZ11" s="120"/>
      <c r="JLA11" s="120"/>
      <c r="JLB11" s="120"/>
      <c r="JLC11" s="120"/>
      <c r="JLD11" s="120"/>
      <c r="JLE11" s="120"/>
      <c r="JLF11" s="120"/>
      <c r="JLG11" s="120"/>
      <c r="JLH11" s="120"/>
      <c r="JLI11" s="120"/>
      <c r="JLJ11" s="120"/>
      <c r="JLK11" s="120"/>
      <c r="JLL11" s="120"/>
      <c r="JLM11" s="120"/>
      <c r="JLN11" s="120"/>
      <c r="JLO11" s="120"/>
      <c r="JLP11" s="120"/>
      <c r="JLQ11" s="120"/>
      <c r="JLR11" s="120"/>
      <c r="JLS11" s="120"/>
      <c r="JLT11" s="120"/>
      <c r="JLU11" s="120"/>
      <c r="JLV11" s="120"/>
      <c r="JLW11" s="120"/>
      <c r="JLX11" s="120"/>
      <c r="JLY11" s="120"/>
      <c r="JLZ11" s="120"/>
      <c r="JMA11" s="120"/>
      <c r="JMB11" s="120"/>
      <c r="JMC11" s="120"/>
      <c r="JMD11" s="120"/>
      <c r="JME11" s="120"/>
      <c r="JMF11" s="120"/>
      <c r="JMG11" s="120"/>
      <c r="JMH11" s="120"/>
      <c r="JMI11" s="120"/>
      <c r="JMJ11" s="120"/>
      <c r="JMK11" s="120"/>
      <c r="JML11" s="120"/>
      <c r="JMM11" s="120"/>
      <c r="JMN11" s="120"/>
      <c r="JMO11" s="120"/>
      <c r="JMP11" s="120"/>
      <c r="JMQ11" s="120"/>
      <c r="JMR11" s="120"/>
      <c r="JMS11" s="120"/>
      <c r="JMT11" s="120"/>
      <c r="JMU11" s="120"/>
      <c r="JMV11" s="120"/>
      <c r="JMW11" s="120"/>
      <c r="JMX11" s="120"/>
      <c r="JMY11" s="120"/>
      <c r="JMZ11" s="120"/>
      <c r="JNA11" s="120"/>
      <c r="JNB11" s="120"/>
      <c r="JNC11" s="120"/>
      <c r="JND11" s="120"/>
      <c r="JNE11" s="120"/>
      <c r="JNF11" s="120"/>
      <c r="JNG11" s="120"/>
      <c r="JNH11" s="120"/>
      <c r="JNI11" s="120"/>
      <c r="JNJ11" s="120"/>
      <c r="JNK11" s="120"/>
      <c r="JNL11" s="120"/>
      <c r="JNM11" s="120"/>
      <c r="JNN11" s="120"/>
      <c r="JNO11" s="120"/>
      <c r="JNP11" s="120"/>
      <c r="JNQ11" s="120"/>
      <c r="JNR11" s="120"/>
      <c r="JNS11" s="120"/>
      <c r="JNT11" s="120"/>
      <c r="JNU11" s="120"/>
      <c r="JNV11" s="120"/>
      <c r="JNW11" s="120"/>
      <c r="JNX11" s="120"/>
      <c r="JNY11" s="120"/>
      <c r="JNZ11" s="120"/>
      <c r="JOA11" s="120"/>
      <c r="JOB11" s="120"/>
      <c r="JOC11" s="120"/>
      <c r="JOD11" s="120"/>
      <c r="JOE11" s="120"/>
      <c r="JOF11" s="120"/>
      <c r="JOG11" s="120"/>
      <c r="JOH11" s="120"/>
      <c r="JOI11" s="120"/>
      <c r="JOJ11" s="120"/>
      <c r="JOK11" s="120"/>
      <c r="JOL11" s="120"/>
      <c r="JOM11" s="120"/>
      <c r="JON11" s="120"/>
      <c r="JOO11" s="120"/>
      <c r="JOP11" s="120"/>
      <c r="JOQ11" s="120"/>
      <c r="JOR11" s="120"/>
      <c r="JOS11" s="120"/>
      <c r="JOT11" s="120"/>
      <c r="JOU11" s="120"/>
      <c r="JOV11" s="120"/>
      <c r="JOW11" s="120"/>
      <c r="JOX11" s="120"/>
      <c r="JOY11" s="120"/>
      <c r="JOZ11" s="120"/>
      <c r="JPA11" s="120"/>
      <c r="JPB11" s="120"/>
      <c r="JPC11" s="120"/>
      <c r="JPD11" s="120"/>
      <c r="JPE11" s="120"/>
      <c r="JPF11" s="120"/>
      <c r="JPG11" s="120"/>
      <c r="JPH11" s="120"/>
      <c r="JPI11" s="120"/>
      <c r="JPJ11" s="120"/>
      <c r="JPK11" s="120"/>
      <c r="JPL11" s="120"/>
      <c r="JPM11" s="120"/>
      <c r="JPN11" s="120"/>
      <c r="JPO11" s="120"/>
      <c r="JPP11" s="120"/>
      <c r="JPQ11" s="120"/>
      <c r="JPR11" s="120"/>
      <c r="JPS11" s="120"/>
      <c r="JPT11" s="120"/>
      <c r="JPU11" s="120"/>
      <c r="JPV11" s="120"/>
      <c r="JPW11" s="120"/>
      <c r="JPX11" s="120"/>
      <c r="JPY11" s="120"/>
      <c r="JPZ11" s="120"/>
      <c r="JQA11" s="120"/>
      <c r="JQB11" s="120"/>
      <c r="JQC11" s="120"/>
      <c r="JQD11" s="120"/>
      <c r="JQE11" s="120"/>
      <c r="JQF11" s="120"/>
      <c r="JQG11" s="120"/>
      <c r="JQH11" s="120"/>
      <c r="JQI11" s="120"/>
      <c r="JQJ11" s="120"/>
      <c r="JQK11" s="120"/>
      <c r="JQL11" s="120"/>
      <c r="JQM11" s="120"/>
      <c r="JQN11" s="120"/>
      <c r="JQO11" s="120"/>
      <c r="JQP11" s="120"/>
      <c r="JQQ11" s="120"/>
      <c r="JQR11" s="120"/>
      <c r="JQS11" s="120"/>
      <c r="JQT11" s="120"/>
      <c r="JQU11" s="120"/>
      <c r="JQV11" s="120"/>
      <c r="JQW11" s="120"/>
      <c r="JQX11" s="120"/>
      <c r="JQY11" s="120"/>
      <c r="JQZ11" s="120"/>
      <c r="JRA11" s="120"/>
      <c r="JRB11" s="120"/>
      <c r="JRC11" s="120"/>
      <c r="JRD11" s="120"/>
      <c r="JRE11" s="120"/>
      <c r="JRF11" s="120"/>
      <c r="JRG11" s="120"/>
      <c r="JRH11" s="120"/>
      <c r="JRI11" s="120"/>
      <c r="JRJ11" s="120"/>
      <c r="JRK11" s="120"/>
      <c r="JRL11" s="120"/>
      <c r="JRM11" s="120"/>
      <c r="JRN11" s="120"/>
      <c r="JRO11" s="120"/>
      <c r="JRP11" s="120"/>
      <c r="JRQ11" s="120"/>
      <c r="JRR11" s="120"/>
      <c r="JRS11" s="120"/>
      <c r="JRT11" s="120"/>
      <c r="JRU11" s="120"/>
      <c r="JRV11" s="120"/>
      <c r="JRW11" s="120"/>
      <c r="JRX11" s="120"/>
      <c r="JRY11" s="120"/>
      <c r="JRZ11" s="120"/>
      <c r="JSA11" s="120"/>
      <c r="JSB11" s="120"/>
      <c r="JSC11" s="120"/>
      <c r="JSD11" s="120"/>
      <c r="JSE11" s="120"/>
      <c r="JSF11" s="120"/>
      <c r="JSG11" s="120"/>
      <c r="JSH11" s="120"/>
      <c r="JSI11" s="120"/>
      <c r="JSJ11" s="120"/>
      <c r="JSK11" s="120"/>
      <c r="JSL11" s="120"/>
      <c r="JSM11" s="120"/>
      <c r="JSN11" s="120"/>
      <c r="JSO11" s="120"/>
      <c r="JSP11" s="120"/>
      <c r="JSQ11" s="120"/>
      <c r="JSR11" s="120"/>
      <c r="JSS11" s="120"/>
      <c r="JST11" s="120"/>
      <c r="JSU11" s="120"/>
      <c r="JSV11" s="120"/>
      <c r="JSW11" s="120"/>
      <c r="JSX11" s="120"/>
      <c r="JSY11" s="120"/>
      <c r="JSZ11" s="120"/>
      <c r="JTA11" s="120"/>
      <c r="JTB11" s="120"/>
      <c r="JTC11" s="120"/>
      <c r="JTD11" s="120"/>
      <c r="JTE11" s="120"/>
      <c r="JTF11" s="120"/>
      <c r="JTG11" s="120"/>
      <c r="JTH11" s="120"/>
      <c r="JTI11" s="120"/>
      <c r="JTJ11" s="120"/>
      <c r="JTK11" s="120"/>
      <c r="JTL11" s="120"/>
      <c r="JTM11" s="120"/>
      <c r="JTN11" s="120"/>
      <c r="JTO11" s="120"/>
      <c r="JTP11" s="120"/>
      <c r="JTQ11" s="120"/>
      <c r="JTR11" s="120"/>
      <c r="JTS11" s="120"/>
      <c r="JTT11" s="120"/>
      <c r="JTU11" s="120"/>
      <c r="JTV11" s="120"/>
      <c r="JTW11" s="120"/>
      <c r="JTX11" s="120"/>
      <c r="JTY11" s="120"/>
      <c r="JTZ11" s="120"/>
      <c r="JUA11" s="120"/>
      <c r="JUB11" s="120"/>
      <c r="JUC11" s="120"/>
      <c r="JUD11" s="120"/>
      <c r="JUE11" s="120"/>
      <c r="JUF11" s="120"/>
      <c r="JUG11" s="120"/>
      <c r="JUH11" s="120"/>
      <c r="JUI11" s="120"/>
      <c r="JUJ11" s="120"/>
      <c r="JUK11" s="120"/>
      <c r="JUL11" s="120"/>
      <c r="JUM11" s="120"/>
      <c r="JUN11" s="120"/>
      <c r="JUO11" s="120"/>
      <c r="JUP11" s="120"/>
      <c r="JUQ11" s="120"/>
      <c r="JUR11" s="120"/>
      <c r="JUS11" s="120"/>
      <c r="JUT11" s="120"/>
      <c r="JUU11" s="120"/>
      <c r="JUV11" s="120"/>
      <c r="JUW11" s="120"/>
      <c r="JUX11" s="120"/>
      <c r="JUY11" s="120"/>
      <c r="JUZ11" s="120"/>
      <c r="JVA11" s="120"/>
      <c r="JVB11" s="120"/>
      <c r="JVC11" s="120"/>
      <c r="JVD11" s="120"/>
      <c r="JVE11" s="120"/>
      <c r="JVF11" s="120"/>
      <c r="JVG11" s="120"/>
      <c r="JVH11" s="120"/>
      <c r="JVI11" s="120"/>
      <c r="JVJ11" s="120"/>
      <c r="JVK11" s="120"/>
      <c r="JVL11" s="120"/>
      <c r="JVM11" s="120"/>
      <c r="JVN11" s="120"/>
      <c r="JVO11" s="120"/>
      <c r="JVP11" s="120"/>
      <c r="JVQ11" s="120"/>
      <c r="JVR11" s="120"/>
      <c r="JVS11" s="120"/>
      <c r="JVT11" s="120"/>
      <c r="JVU11" s="120"/>
      <c r="JVV11" s="120"/>
      <c r="JVW11" s="120"/>
      <c r="JVX11" s="120"/>
      <c r="JVY11" s="120"/>
      <c r="JVZ11" s="120"/>
      <c r="JWA11" s="120"/>
      <c r="JWB11" s="120"/>
      <c r="JWC11" s="120"/>
      <c r="JWD11" s="120"/>
      <c r="JWE11" s="120"/>
      <c r="JWF11" s="120"/>
      <c r="JWG11" s="120"/>
      <c r="JWH11" s="120"/>
      <c r="JWI11" s="120"/>
      <c r="JWJ11" s="120"/>
      <c r="JWK11" s="120"/>
      <c r="JWL11" s="120"/>
      <c r="JWM11" s="120"/>
      <c r="JWN11" s="120"/>
      <c r="JWO11" s="120"/>
      <c r="JWP11" s="120"/>
      <c r="JWQ11" s="120"/>
      <c r="JWR11" s="120"/>
      <c r="JWS11" s="120"/>
      <c r="JWT11" s="120"/>
      <c r="JWU11" s="120"/>
      <c r="JWV11" s="120"/>
      <c r="JWW11" s="120"/>
      <c r="JWX11" s="120"/>
      <c r="JWY11" s="120"/>
      <c r="JWZ11" s="120"/>
      <c r="JXA11" s="120"/>
      <c r="JXB11" s="120"/>
      <c r="JXC11" s="120"/>
      <c r="JXD11" s="120"/>
      <c r="JXE11" s="120"/>
      <c r="JXF11" s="120"/>
      <c r="JXG11" s="120"/>
      <c r="JXH11" s="120"/>
      <c r="JXI11" s="120"/>
      <c r="JXJ11" s="120"/>
      <c r="JXK11" s="120"/>
      <c r="JXL11" s="120"/>
      <c r="JXM11" s="120"/>
      <c r="JXN11" s="120"/>
      <c r="JXO11" s="120"/>
      <c r="JXP11" s="120"/>
      <c r="JXQ11" s="120"/>
      <c r="JXR11" s="120"/>
      <c r="JXS11" s="120"/>
      <c r="JXT11" s="120"/>
      <c r="JXU11" s="120"/>
      <c r="JXV11" s="120"/>
      <c r="JXW11" s="120"/>
      <c r="JXX11" s="120"/>
      <c r="JXY11" s="120"/>
      <c r="JXZ11" s="120"/>
      <c r="JYA11" s="120"/>
      <c r="JYB11" s="120"/>
      <c r="JYC11" s="120"/>
      <c r="JYD11" s="120"/>
      <c r="JYE11" s="120"/>
      <c r="JYF11" s="120"/>
      <c r="JYG11" s="120"/>
      <c r="JYH11" s="120"/>
      <c r="JYI11" s="120"/>
      <c r="JYJ11" s="120"/>
      <c r="JYK11" s="120"/>
      <c r="JYL11" s="120"/>
      <c r="JYM11" s="120"/>
      <c r="JYN11" s="120"/>
      <c r="JYO11" s="120"/>
      <c r="JYP11" s="120"/>
      <c r="JYQ11" s="120"/>
      <c r="JYR11" s="120"/>
      <c r="JYS11" s="120"/>
      <c r="JYT11" s="120"/>
      <c r="JYU11" s="120"/>
      <c r="JYV11" s="120"/>
      <c r="JYW11" s="120"/>
      <c r="JYX11" s="120"/>
      <c r="JYY11" s="120"/>
      <c r="JYZ11" s="120"/>
      <c r="JZA11" s="120"/>
      <c r="JZB11" s="120"/>
      <c r="JZC11" s="120"/>
      <c r="JZD11" s="120"/>
      <c r="JZE11" s="120"/>
      <c r="JZF11" s="120"/>
      <c r="JZG11" s="120"/>
      <c r="JZH11" s="120"/>
      <c r="JZI11" s="120"/>
      <c r="JZJ11" s="120"/>
      <c r="JZK11" s="120"/>
      <c r="JZL11" s="120"/>
      <c r="JZM11" s="120"/>
      <c r="JZN11" s="120"/>
      <c r="JZO11" s="120"/>
      <c r="JZP11" s="120"/>
      <c r="JZQ11" s="120"/>
      <c r="JZR11" s="120"/>
      <c r="JZS11" s="120"/>
      <c r="JZT11" s="120"/>
      <c r="JZU11" s="120"/>
      <c r="JZV11" s="120"/>
      <c r="JZW11" s="120"/>
      <c r="JZX11" s="120"/>
      <c r="JZY11" s="120"/>
      <c r="JZZ11" s="120"/>
      <c r="KAA11" s="120"/>
      <c r="KAB11" s="120"/>
      <c r="KAC11" s="120"/>
      <c r="KAD11" s="120"/>
      <c r="KAE11" s="120"/>
      <c r="KAF11" s="120"/>
      <c r="KAG11" s="120"/>
      <c r="KAH11" s="120"/>
      <c r="KAI11" s="120"/>
      <c r="KAJ11" s="120"/>
      <c r="KAK11" s="120"/>
      <c r="KAL11" s="120"/>
      <c r="KAM11" s="120"/>
      <c r="KAN11" s="120"/>
      <c r="KAO11" s="120"/>
      <c r="KAP11" s="120"/>
      <c r="KAQ11" s="120"/>
      <c r="KAR11" s="120"/>
      <c r="KAS11" s="120"/>
      <c r="KAT11" s="120"/>
      <c r="KAU11" s="120"/>
      <c r="KAV11" s="120"/>
      <c r="KAW11" s="120"/>
      <c r="KAX11" s="120"/>
      <c r="KAY11" s="120"/>
      <c r="KAZ11" s="120"/>
      <c r="KBA11" s="120"/>
      <c r="KBB11" s="120"/>
      <c r="KBC11" s="120"/>
      <c r="KBD11" s="120"/>
      <c r="KBE11" s="120"/>
      <c r="KBF11" s="120"/>
      <c r="KBG11" s="120"/>
      <c r="KBH11" s="120"/>
      <c r="KBI11" s="120"/>
      <c r="KBJ11" s="120"/>
      <c r="KBK11" s="120"/>
      <c r="KBL11" s="120"/>
      <c r="KBM11" s="120"/>
      <c r="KBN11" s="120"/>
      <c r="KBO11" s="120"/>
      <c r="KBP11" s="120"/>
      <c r="KBQ11" s="120"/>
      <c r="KBR11" s="120"/>
      <c r="KBS11" s="120"/>
      <c r="KBT11" s="120"/>
      <c r="KBU11" s="120"/>
      <c r="KBV11" s="120"/>
      <c r="KBW11" s="120"/>
      <c r="KBX11" s="120"/>
      <c r="KBY11" s="120"/>
      <c r="KBZ11" s="120"/>
      <c r="KCA11" s="120"/>
      <c r="KCB11" s="120"/>
      <c r="KCC11" s="120"/>
      <c r="KCD11" s="120"/>
      <c r="KCE11" s="120"/>
      <c r="KCF11" s="120"/>
      <c r="KCG11" s="120"/>
      <c r="KCH11" s="120"/>
      <c r="KCI11" s="120"/>
      <c r="KCJ11" s="120"/>
      <c r="KCK11" s="120"/>
      <c r="KCL11" s="120"/>
      <c r="KCM11" s="120"/>
      <c r="KCN11" s="120"/>
      <c r="KCO11" s="120"/>
      <c r="KCP11" s="120"/>
      <c r="KCQ11" s="120"/>
      <c r="KCR11" s="120"/>
      <c r="KCS11" s="120"/>
      <c r="KCT11" s="120"/>
      <c r="KCU11" s="120"/>
      <c r="KCV11" s="120"/>
      <c r="KCW11" s="120"/>
      <c r="KCX11" s="120"/>
      <c r="KCY11" s="120"/>
      <c r="KCZ11" s="120"/>
      <c r="KDA11" s="120"/>
      <c r="KDB11" s="120"/>
      <c r="KDC11" s="120"/>
      <c r="KDD11" s="120"/>
      <c r="KDE11" s="120"/>
      <c r="KDF11" s="120"/>
      <c r="KDG11" s="120"/>
      <c r="KDH11" s="120"/>
      <c r="KDI11" s="120"/>
      <c r="KDJ11" s="120"/>
      <c r="KDK11" s="120"/>
      <c r="KDL11" s="120"/>
      <c r="KDM11" s="120"/>
      <c r="KDN11" s="120"/>
      <c r="KDO11" s="120"/>
      <c r="KDP11" s="120"/>
      <c r="KDQ11" s="120"/>
      <c r="KDR11" s="120"/>
      <c r="KDS11" s="120"/>
      <c r="KDT11" s="120"/>
      <c r="KDU11" s="120"/>
      <c r="KDV11" s="120"/>
      <c r="KDW11" s="120"/>
      <c r="KDX11" s="120"/>
      <c r="KDY11" s="120"/>
      <c r="KDZ11" s="120"/>
      <c r="KEA11" s="120"/>
      <c r="KEB11" s="120"/>
      <c r="KEC11" s="120"/>
      <c r="KED11" s="120"/>
      <c r="KEE11" s="120"/>
      <c r="KEF11" s="120"/>
      <c r="KEG11" s="120"/>
      <c r="KEH11" s="120"/>
      <c r="KEI11" s="120"/>
      <c r="KEJ11" s="120"/>
      <c r="KEK11" s="120"/>
      <c r="KEL11" s="120"/>
      <c r="KEM11" s="120"/>
      <c r="KEN11" s="120"/>
      <c r="KEO11" s="120"/>
      <c r="KEP11" s="120"/>
      <c r="KEQ11" s="120"/>
      <c r="KER11" s="120"/>
      <c r="KES11" s="120"/>
      <c r="KET11" s="120"/>
      <c r="KEU11" s="120"/>
      <c r="KEV11" s="120"/>
      <c r="KEW11" s="120"/>
      <c r="KEX11" s="120"/>
      <c r="KEY11" s="120"/>
      <c r="KEZ11" s="120"/>
      <c r="KFA11" s="120"/>
      <c r="KFB11" s="120"/>
      <c r="KFC11" s="120"/>
      <c r="KFD11" s="120"/>
      <c r="KFE11" s="120"/>
      <c r="KFF11" s="120"/>
      <c r="KFG11" s="120"/>
      <c r="KFH11" s="120"/>
      <c r="KFI11" s="120"/>
      <c r="KFJ11" s="120"/>
      <c r="KFK11" s="120"/>
      <c r="KFL11" s="120"/>
      <c r="KFM11" s="120"/>
      <c r="KFN11" s="120"/>
      <c r="KFO11" s="120"/>
      <c r="KFP11" s="120"/>
      <c r="KFQ11" s="120"/>
      <c r="KFR11" s="120"/>
      <c r="KFS11" s="120"/>
      <c r="KFT11" s="120"/>
      <c r="KFU11" s="120"/>
      <c r="KFV11" s="120"/>
      <c r="KFW11" s="120"/>
      <c r="KFX11" s="120"/>
      <c r="KFY11" s="120"/>
      <c r="KFZ11" s="120"/>
      <c r="KGA11" s="120"/>
      <c r="KGB11" s="120"/>
      <c r="KGC11" s="120"/>
      <c r="KGD11" s="120"/>
      <c r="KGE11" s="120"/>
      <c r="KGF11" s="120"/>
      <c r="KGG11" s="120"/>
      <c r="KGH11" s="120"/>
      <c r="KGI11" s="120"/>
      <c r="KGJ11" s="120"/>
      <c r="KGK11" s="120"/>
      <c r="KGL11" s="120"/>
      <c r="KGM11" s="120"/>
      <c r="KGN11" s="120"/>
      <c r="KGO11" s="120"/>
      <c r="KGP11" s="120"/>
      <c r="KGQ11" s="120"/>
      <c r="KGR11" s="120"/>
      <c r="KGS11" s="120"/>
      <c r="KGT11" s="120"/>
      <c r="KGU11" s="120"/>
      <c r="KGV11" s="120"/>
      <c r="KGW11" s="120"/>
      <c r="KGX11" s="120"/>
      <c r="KGY11" s="120"/>
      <c r="KGZ11" s="120"/>
      <c r="KHA11" s="120"/>
      <c r="KHB11" s="120"/>
      <c r="KHC11" s="120"/>
      <c r="KHD11" s="120"/>
      <c r="KHE11" s="120"/>
      <c r="KHF11" s="120"/>
      <c r="KHG11" s="120"/>
      <c r="KHH11" s="120"/>
      <c r="KHI11" s="120"/>
      <c r="KHJ11" s="120"/>
      <c r="KHK11" s="120"/>
      <c r="KHL11" s="120"/>
      <c r="KHM11" s="120"/>
      <c r="KHN11" s="120"/>
      <c r="KHO11" s="120"/>
      <c r="KHP11" s="120"/>
      <c r="KHQ11" s="120"/>
      <c r="KHR11" s="120"/>
      <c r="KHS11" s="120"/>
      <c r="KHT11" s="120"/>
      <c r="KHU11" s="120"/>
      <c r="KHV11" s="120"/>
      <c r="KHW11" s="120"/>
      <c r="KHX11" s="120"/>
      <c r="KHY11" s="120"/>
      <c r="KHZ11" s="120"/>
      <c r="KIA11" s="120"/>
      <c r="KIB11" s="120"/>
      <c r="KIC11" s="120"/>
      <c r="KID11" s="120"/>
      <c r="KIE11" s="120"/>
      <c r="KIF11" s="120"/>
      <c r="KIG11" s="120"/>
      <c r="KIH11" s="120"/>
      <c r="KII11" s="120"/>
      <c r="KIJ11" s="120"/>
      <c r="KIK11" s="120"/>
      <c r="KIL11" s="120"/>
      <c r="KIM11" s="120"/>
      <c r="KIN11" s="120"/>
      <c r="KIO11" s="120"/>
      <c r="KIP11" s="120"/>
      <c r="KIQ11" s="120"/>
      <c r="KIR11" s="120"/>
      <c r="KIS11" s="120"/>
      <c r="KIT11" s="120"/>
      <c r="KIU11" s="120"/>
      <c r="KIV11" s="120"/>
      <c r="KIW11" s="120"/>
      <c r="KIX11" s="120"/>
      <c r="KIY11" s="120"/>
      <c r="KIZ11" s="120"/>
      <c r="KJA11" s="120"/>
      <c r="KJB11" s="120"/>
      <c r="KJC11" s="120"/>
      <c r="KJD11" s="120"/>
      <c r="KJE11" s="120"/>
      <c r="KJF11" s="120"/>
      <c r="KJG11" s="120"/>
      <c r="KJH11" s="120"/>
      <c r="KJI11" s="120"/>
      <c r="KJJ11" s="120"/>
      <c r="KJK11" s="120"/>
      <c r="KJL11" s="120"/>
      <c r="KJM11" s="120"/>
      <c r="KJN11" s="120"/>
      <c r="KJO11" s="120"/>
      <c r="KJP11" s="120"/>
      <c r="KJQ11" s="120"/>
      <c r="KJR11" s="120"/>
      <c r="KJS11" s="120"/>
      <c r="KJT11" s="120"/>
      <c r="KJU11" s="120"/>
      <c r="KJV11" s="120"/>
      <c r="KJW11" s="120"/>
      <c r="KJX11" s="120"/>
      <c r="KJY11" s="120"/>
      <c r="KJZ11" s="120"/>
      <c r="KKA11" s="120"/>
      <c r="KKB11" s="120"/>
      <c r="KKC11" s="120"/>
      <c r="KKD11" s="120"/>
      <c r="KKE11" s="120"/>
      <c r="KKF11" s="120"/>
      <c r="KKG11" s="120"/>
      <c r="KKH11" s="120"/>
      <c r="KKI11" s="120"/>
      <c r="KKJ11" s="120"/>
      <c r="KKK11" s="120"/>
      <c r="KKL11" s="120"/>
      <c r="KKM11" s="120"/>
      <c r="KKN11" s="120"/>
      <c r="KKO11" s="120"/>
      <c r="KKP11" s="120"/>
      <c r="KKQ11" s="120"/>
      <c r="KKR11" s="120"/>
      <c r="KKS11" s="120"/>
      <c r="KKT11" s="120"/>
      <c r="KKU11" s="120"/>
      <c r="KKV11" s="120"/>
      <c r="KKW11" s="120"/>
      <c r="KKX11" s="120"/>
      <c r="KKY11" s="120"/>
      <c r="KKZ11" s="120"/>
      <c r="KLA11" s="120"/>
      <c r="KLB11" s="120"/>
      <c r="KLC11" s="120"/>
      <c r="KLD11" s="120"/>
      <c r="KLE11" s="120"/>
      <c r="KLF11" s="120"/>
      <c r="KLG11" s="120"/>
      <c r="KLH11" s="120"/>
      <c r="KLI11" s="120"/>
      <c r="KLJ11" s="120"/>
      <c r="KLK11" s="120"/>
      <c r="KLL11" s="120"/>
      <c r="KLM11" s="120"/>
      <c r="KLN11" s="120"/>
      <c r="KLO11" s="120"/>
      <c r="KLP11" s="120"/>
      <c r="KLQ11" s="120"/>
      <c r="KLR11" s="120"/>
      <c r="KLS11" s="120"/>
      <c r="KLT11" s="120"/>
      <c r="KLU11" s="120"/>
      <c r="KLV11" s="120"/>
      <c r="KLW11" s="120"/>
      <c r="KLX11" s="120"/>
      <c r="KLY11" s="120"/>
      <c r="KLZ11" s="120"/>
      <c r="KMA11" s="120"/>
      <c r="KMB11" s="120"/>
      <c r="KMC11" s="120"/>
      <c r="KMD11" s="120"/>
      <c r="KME11" s="120"/>
      <c r="KMF11" s="120"/>
      <c r="KMG11" s="120"/>
      <c r="KMH11" s="120"/>
      <c r="KMI11" s="120"/>
      <c r="KMJ11" s="120"/>
      <c r="KMK11" s="120"/>
      <c r="KML11" s="120"/>
      <c r="KMM11" s="120"/>
      <c r="KMN11" s="120"/>
      <c r="KMO11" s="120"/>
      <c r="KMP11" s="120"/>
      <c r="KMQ11" s="120"/>
      <c r="KMR11" s="120"/>
      <c r="KMS11" s="120"/>
      <c r="KMT11" s="120"/>
      <c r="KMU11" s="120"/>
      <c r="KMV11" s="120"/>
      <c r="KMW11" s="120"/>
      <c r="KMX11" s="120"/>
      <c r="KMY11" s="120"/>
      <c r="KMZ11" s="120"/>
      <c r="KNA11" s="120"/>
      <c r="KNB11" s="120"/>
      <c r="KNC11" s="120"/>
      <c r="KND11" s="120"/>
      <c r="KNE11" s="120"/>
      <c r="KNF11" s="120"/>
      <c r="KNG11" s="120"/>
      <c r="KNH11" s="120"/>
      <c r="KNI11" s="120"/>
      <c r="KNJ11" s="120"/>
      <c r="KNK11" s="120"/>
      <c r="KNL11" s="120"/>
      <c r="KNM11" s="120"/>
      <c r="KNN11" s="120"/>
      <c r="KNO11" s="120"/>
      <c r="KNP11" s="120"/>
      <c r="KNQ11" s="120"/>
      <c r="KNR11" s="120"/>
      <c r="KNS11" s="120"/>
      <c r="KNT11" s="120"/>
      <c r="KNU11" s="120"/>
      <c r="KNV11" s="120"/>
      <c r="KNW11" s="120"/>
      <c r="KNX11" s="120"/>
      <c r="KNY11" s="120"/>
      <c r="KNZ11" s="120"/>
      <c r="KOA11" s="120"/>
      <c r="KOB11" s="120"/>
      <c r="KOC11" s="120"/>
      <c r="KOD11" s="120"/>
      <c r="KOE11" s="120"/>
      <c r="KOF11" s="120"/>
      <c r="KOG11" s="120"/>
      <c r="KOH11" s="120"/>
      <c r="KOI11" s="120"/>
      <c r="KOJ11" s="120"/>
      <c r="KOK11" s="120"/>
      <c r="KOL11" s="120"/>
      <c r="KOM11" s="120"/>
      <c r="KON11" s="120"/>
      <c r="KOO11" s="120"/>
      <c r="KOP11" s="120"/>
      <c r="KOQ11" s="120"/>
      <c r="KOR11" s="120"/>
      <c r="KOS11" s="120"/>
      <c r="KOT11" s="120"/>
      <c r="KOU11" s="120"/>
      <c r="KOV11" s="120"/>
      <c r="KOW11" s="120"/>
      <c r="KOX11" s="120"/>
      <c r="KOY11" s="120"/>
      <c r="KOZ11" s="120"/>
      <c r="KPA11" s="120"/>
      <c r="KPB11" s="120"/>
      <c r="KPC11" s="120"/>
      <c r="KPD11" s="120"/>
      <c r="KPE11" s="120"/>
      <c r="KPF11" s="120"/>
      <c r="KPG11" s="120"/>
      <c r="KPH11" s="120"/>
      <c r="KPI11" s="120"/>
      <c r="KPJ11" s="120"/>
      <c r="KPK11" s="120"/>
      <c r="KPL11" s="120"/>
      <c r="KPM11" s="120"/>
      <c r="KPN11" s="120"/>
      <c r="KPO11" s="120"/>
      <c r="KPP11" s="120"/>
      <c r="KPQ11" s="120"/>
      <c r="KPR11" s="120"/>
      <c r="KPS11" s="120"/>
      <c r="KPT11" s="120"/>
      <c r="KPU11" s="120"/>
      <c r="KPV11" s="120"/>
      <c r="KPW11" s="120"/>
      <c r="KPX11" s="120"/>
      <c r="KPY11" s="120"/>
      <c r="KPZ11" s="120"/>
      <c r="KQA11" s="120"/>
      <c r="KQB11" s="120"/>
      <c r="KQC11" s="120"/>
      <c r="KQD11" s="120"/>
      <c r="KQE11" s="120"/>
      <c r="KQF11" s="120"/>
      <c r="KQG11" s="120"/>
      <c r="KQH11" s="120"/>
      <c r="KQI11" s="120"/>
      <c r="KQJ11" s="120"/>
      <c r="KQK11" s="120"/>
      <c r="KQL11" s="120"/>
      <c r="KQM11" s="120"/>
      <c r="KQN11" s="120"/>
      <c r="KQO11" s="120"/>
      <c r="KQP11" s="120"/>
      <c r="KQQ11" s="120"/>
      <c r="KQR11" s="120"/>
      <c r="KQS11" s="120"/>
      <c r="KQT11" s="120"/>
      <c r="KQU11" s="120"/>
      <c r="KQV11" s="120"/>
      <c r="KQW11" s="120"/>
      <c r="KQX11" s="120"/>
      <c r="KQY11" s="120"/>
      <c r="KQZ11" s="120"/>
      <c r="KRA11" s="120"/>
      <c r="KRB11" s="120"/>
      <c r="KRC11" s="120"/>
      <c r="KRD11" s="120"/>
      <c r="KRE11" s="120"/>
      <c r="KRF11" s="120"/>
      <c r="KRG11" s="120"/>
      <c r="KRH11" s="120"/>
      <c r="KRI11" s="120"/>
      <c r="KRJ11" s="120"/>
      <c r="KRK11" s="120"/>
      <c r="KRL11" s="120"/>
      <c r="KRM11" s="120"/>
      <c r="KRN11" s="120"/>
      <c r="KRO11" s="120"/>
      <c r="KRP11" s="120"/>
      <c r="KRQ11" s="120"/>
      <c r="KRR11" s="120"/>
      <c r="KRS11" s="120"/>
      <c r="KRT11" s="120"/>
      <c r="KRU11" s="120"/>
      <c r="KRV11" s="120"/>
      <c r="KRW11" s="120"/>
      <c r="KRX11" s="120"/>
      <c r="KRY11" s="120"/>
      <c r="KRZ11" s="120"/>
      <c r="KSA11" s="120"/>
      <c r="KSB11" s="120"/>
      <c r="KSC11" s="120"/>
      <c r="KSD11" s="120"/>
      <c r="KSE11" s="120"/>
      <c r="KSF11" s="120"/>
      <c r="KSG11" s="120"/>
      <c r="KSH11" s="120"/>
      <c r="KSI11" s="120"/>
      <c r="KSJ11" s="120"/>
      <c r="KSK11" s="120"/>
      <c r="KSL11" s="120"/>
      <c r="KSM11" s="120"/>
      <c r="KSN11" s="120"/>
      <c r="KSO11" s="120"/>
      <c r="KSP11" s="120"/>
      <c r="KSQ11" s="120"/>
      <c r="KSR11" s="120"/>
      <c r="KSS11" s="120"/>
      <c r="KST11" s="120"/>
      <c r="KSU11" s="120"/>
      <c r="KSV11" s="120"/>
      <c r="KSW11" s="120"/>
      <c r="KSX11" s="120"/>
      <c r="KSY11" s="120"/>
      <c r="KSZ11" s="120"/>
      <c r="KTA11" s="120"/>
      <c r="KTB11" s="120"/>
      <c r="KTC11" s="120"/>
      <c r="KTD11" s="120"/>
      <c r="KTE11" s="120"/>
      <c r="KTF11" s="120"/>
      <c r="KTG11" s="120"/>
      <c r="KTH11" s="120"/>
      <c r="KTI11" s="120"/>
      <c r="KTJ11" s="120"/>
      <c r="KTK11" s="120"/>
      <c r="KTL11" s="120"/>
      <c r="KTM11" s="120"/>
      <c r="KTN11" s="120"/>
      <c r="KTO11" s="120"/>
      <c r="KTP11" s="120"/>
      <c r="KTQ11" s="120"/>
      <c r="KTR11" s="120"/>
      <c r="KTS11" s="120"/>
      <c r="KTT11" s="120"/>
      <c r="KTU11" s="120"/>
      <c r="KTV11" s="120"/>
      <c r="KTW11" s="120"/>
      <c r="KTX11" s="120"/>
      <c r="KTY11" s="120"/>
      <c r="KTZ11" s="120"/>
      <c r="KUA11" s="120"/>
      <c r="KUB11" s="120"/>
      <c r="KUC11" s="120"/>
      <c r="KUD11" s="120"/>
      <c r="KUE11" s="120"/>
      <c r="KUF11" s="120"/>
      <c r="KUG11" s="120"/>
      <c r="KUH11" s="120"/>
      <c r="KUI11" s="120"/>
      <c r="KUJ11" s="120"/>
      <c r="KUK11" s="120"/>
      <c r="KUL11" s="120"/>
      <c r="KUM11" s="120"/>
      <c r="KUN11" s="120"/>
      <c r="KUO11" s="120"/>
      <c r="KUP11" s="120"/>
      <c r="KUQ11" s="120"/>
      <c r="KUR11" s="120"/>
      <c r="KUS11" s="120"/>
      <c r="KUT11" s="120"/>
      <c r="KUU11" s="120"/>
      <c r="KUV11" s="120"/>
      <c r="KUW11" s="120"/>
      <c r="KUX11" s="120"/>
      <c r="KUY11" s="120"/>
      <c r="KUZ11" s="120"/>
      <c r="KVA11" s="120"/>
      <c r="KVB11" s="120"/>
      <c r="KVC11" s="120"/>
      <c r="KVD11" s="120"/>
      <c r="KVE11" s="120"/>
      <c r="KVF11" s="120"/>
      <c r="KVG11" s="120"/>
      <c r="KVH11" s="120"/>
      <c r="KVI11" s="120"/>
      <c r="KVJ11" s="120"/>
      <c r="KVK11" s="120"/>
      <c r="KVL11" s="120"/>
      <c r="KVM11" s="120"/>
      <c r="KVN11" s="120"/>
      <c r="KVO11" s="120"/>
      <c r="KVP11" s="120"/>
      <c r="KVQ11" s="120"/>
      <c r="KVR11" s="120"/>
      <c r="KVS11" s="120"/>
      <c r="KVT11" s="120"/>
      <c r="KVU11" s="120"/>
      <c r="KVV11" s="120"/>
      <c r="KVW11" s="120"/>
      <c r="KVX11" s="120"/>
      <c r="KVY11" s="120"/>
      <c r="KVZ11" s="120"/>
      <c r="KWA11" s="120"/>
      <c r="KWB11" s="120"/>
      <c r="KWC11" s="120"/>
      <c r="KWD11" s="120"/>
      <c r="KWE11" s="120"/>
      <c r="KWF11" s="120"/>
      <c r="KWG11" s="120"/>
      <c r="KWH11" s="120"/>
      <c r="KWI11" s="120"/>
      <c r="KWJ11" s="120"/>
      <c r="KWK11" s="120"/>
      <c r="KWL11" s="120"/>
      <c r="KWM11" s="120"/>
      <c r="KWN11" s="120"/>
      <c r="KWO11" s="120"/>
      <c r="KWP11" s="120"/>
      <c r="KWQ11" s="120"/>
      <c r="KWR11" s="120"/>
      <c r="KWS11" s="120"/>
      <c r="KWT11" s="120"/>
      <c r="KWU11" s="120"/>
      <c r="KWV11" s="120"/>
      <c r="KWW11" s="120"/>
      <c r="KWX11" s="120"/>
      <c r="KWY11" s="120"/>
      <c r="KWZ11" s="120"/>
      <c r="KXA11" s="120"/>
      <c r="KXB11" s="120"/>
      <c r="KXC11" s="120"/>
      <c r="KXD11" s="120"/>
      <c r="KXE11" s="120"/>
      <c r="KXF11" s="120"/>
      <c r="KXG11" s="120"/>
      <c r="KXH11" s="120"/>
      <c r="KXI11" s="120"/>
      <c r="KXJ11" s="120"/>
      <c r="KXK11" s="120"/>
      <c r="KXL11" s="120"/>
      <c r="KXM11" s="120"/>
      <c r="KXN11" s="120"/>
      <c r="KXO11" s="120"/>
      <c r="KXP11" s="120"/>
      <c r="KXQ11" s="120"/>
      <c r="KXR11" s="120"/>
      <c r="KXS11" s="120"/>
      <c r="KXT11" s="120"/>
      <c r="KXU11" s="120"/>
      <c r="KXV11" s="120"/>
      <c r="KXW11" s="120"/>
      <c r="KXX11" s="120"/>
      <c r="KXY11" s="120"/>
      <c r="KXZ11" s="120"/>
      <c r="KYA11" s="120"/>
      <c r="KYB11" s="120"/>
      <c r="KYC11" s="120"/>
      <c r="KYD11" s="120"/>
      <c r="KYE11" s="120"/>
      <c r="KYF11" s="120"/>
      <c r="KYG11" s="120"/>
      <c r="KYH11" s="120"/>
      <c r="KYI11" s="120"/>
      <c r="KYJ11" s="120"/>
      <c r="KYK11" s="120"/>
      <c r="KYL11" s="120"/>
      <c r="KYM11" s="120"/>
      <c r="KYN11" s="120"/>
      <c r="KYO11" s="120"/>
      <c r="KYP11" s="120"/>
      <c r="KYQ11" s="120"/>
      <c r="KYR11" s="120"/>
      <c r="KYS11" s="120"/>
      <c r="KYT11" s="120"/>
      <c r="KYU11" s="120"/>
      <c r="KYV11" s="120"/>
      <c r="KYW11" s="120"/>
      <c r="KYX11" s="120"/>
      <c r="KYY11" s="120"/>
      <c r="KYZ11" s="120"/>
      <c r="KZA11" s="120"/>
      <c r="KZB11" s="120"/>
      <c r="KZC11" s="120"/>
      <c r="KZD11" s="120"/>
      <c r="KZE11" s="120"/>
      <c r="KZF11" s="120"/>
      <c r="KZG11" s="120"/>
      <c r="KZH11" s="120"/>
      <c r="KZI11" s="120"/>
      <c r="KZJ11" s="120"/>
      <c r="KZK11" s="120"/>
      <c r="KZL11" s="120"/>
      <c r="KZM11" s="120"/>
      <c r="KZN11" s="120"/>
      <c r="KZO11" s="120"/>
      <c r="KZP11" s="120"/>
      <c r="KZQ11" s="120"/>
      <c r="KZR11" s="120"/>
      <c r="KZS11" s="120"/>
      <c r="KZT11" s="120"/>
      <c r="KZU11" s="120"/>
      <c r="KZV11" s="120"/>
      <c r="KZW11" s="120"/>
      <c r="KZX11" s="120"/>
      <c r="KZY11" s="120"/>
      <c r="KZZ11" s="120"/>
      <c r="LAA11" s="120"/>
      <c r="LAB11" s="120"/>
      <c r="LAC11" s="120"/>
      <c r="LAD11" s="120"/>
      <c r="LAE11" s="120"/>
      <c r="LAF11" s="120"/>
      <c r="LAG11" s="120"/>
      <c r="LAH11" s="120"/>
      <c r="LAI11" s="120"/>
      <c r="LAJ11" s="120"/>
      <c r="LAK11" s="120"/>
      <c r="LAL11" s="120"/>
      <c r="LAM11" s="120"/>
      <c r="LAN11" s="120"/>
      <c r="LAO11" s="120"/>
      <c r="LAP11" s="120"/>
      <c r="LAQ11" s="120"/>
      <c r="LAR11" s="120"/>
      <c r="LAS11" s="120"/>
      <c r="LAT11" s="120"/>
      <c r="LAU11" s="120"/>
      <c r="LAV11" s="120"/>
      <c r="LAW11" s="120"/>
      <c r="LAX11" s="120"/>
      <c r="LAY11" s="120"/>
      <c r="LAZ11" s="120"/>
      <c r="LBA11" s="120"/>
      <c r="LBB11" s="120"/>
      <c r="LBC11" s="120"/>
      <c r="LBD11" s="120"/>
      <c r="LBE11" s="120"/>
      <c r="LBF11" s="120"/>
      <c r="LBG11" s="120"/>
      <c r="LBH11" s="120"/>
      <c r="LBI11" s="120"/>
      <c r="LBJ11" s="120"/>
      <c r="LBK11" s="120"/>
      <c r="LBL11" s="120"/>
      <c r="LBM11" s="120"/>
      <c r="LBN11" s="120"/>
      <c r="LBO11" s="120"/>
      <c r="LBP11" s="120"/>
      <c r="LBQ11" s="120"/>
      <c r="LBR11" s="120"/>
      <c r="LBS11" s="120"/>
      <c r="LBT11" s="120"/>
      <c r="LBU11" s="120"/>
      <c r="LBV11" s="120"/>
      <c r="LBW11" s="120"/>
      <c r="LBX11" s="120"/>
      <c r="LBY11" s="120"/>
      <c r="LBZ11" s="120"/>
      <c r="LCA11" s="120"/>
      <c r="LCB11" s="120"/>
      <c r="LCC11" s="120"/>
      <c r="LCD11" s="120"/>
      <c r="LCE11" s="120"/>
      <c r="LCF11" s="120"/>
      <c r="LCG11" s="120"/>
      <c r="LCH11" s="120"/>
      <c r="LCI11" s="120"/>
      <c r="LCJ11" s="120"/>
      <c r="LCK11" s="120"/>
      <c r="LCL11" s="120"/>
      <c r="LCM11" s="120"/>
      <c r="LCN11" s="120"/>
      <c r="LCO11" s="120"/>
      <c r="LCP11" s="120"/>
      <c r="LCQ11" s="120"/>
      <c r="LCR11" s="120"/>
      <c r="LCS11" s="120"/>
      <c r="LCT11" s="120"/>
      <c r="LCU11" s="120"/>
      <c r="LCV11" s="120"/>
      <c r="LCW11" s="120"/>
      <c r="LCX11" s="120"/>
      <c r="LCY11" s="120"/>
      <c r="LCZ11" s="120"/>
      <c r="LDA11" s="120"/>
      <c r="LDB11" s="120"/>
      <c r="LDC11" s="120"/>
      <c r="LDD11" s="120"/>
      <c r="LDE11" s="120"/>
      <c r="LDF11" s="120"/>
      <c r="LDG11" s="120"/>
      <c r="LDH11" s="120"/>
      <c r="LDI11" s="120"/>
      <c r="LDJ11" s="120"/>
      <c r="LDK11" s="120"/>
      <c r="LDL11" s="120"/>
      <c r="LDM11" s="120"/>
      <c r="LDN11" s="120"/>
      <c r="LDO11" s="120"/>
      <c r="LDP11" s="120"/>
      <c r="LDQ11" s="120"/>
      <c r="LDR11" s="120"/>
      <c r="LDS11" s="120"/>
      <c r="LDT11" s="120"/>
      <c r="LDU11" s="120"/>
      <c r="LDV11" s="120"/>
      <c r="LDW11" s="120"/>
      <c r="LDX11" s="120"/>
      <c r="LDY11" s="120"/>
      <c r="LDZ11" s="120"/>
      <c r="LEA11" s="120"/>
      <c r="LEB11" s="120"/>
      <c r="LEC11" s="120"/>
      <c r="LED11" s="120"/>
      <c r="LEE11" s="120"/>
      <c r="LEF11" s="120"/>
      <c r="LEG11" s="120"/>
      <c r="LEH11" s="120"/>
      <c r="LEI11" s="120"/>
      <c r="LEJ11" s="120"/>
      <c r="LEK11" s="120"/>
      <c r="LEL11" s="120"/>
      <c r="LEM11" s="120"/>
      <c r="LEN11" s="120"/>
      <c r="LEO11" s="120"/>
      <c r="LEP11" s="120"/>
      <c r="LEQ11" s="120"/>
      <c r="LER11" s="120"/>
      <c r="LES11" s="120"/>
      <c r="LET11" s="120"/>
      <c r="LEU11" s="120"/>
      <c r="LEV11" s="120"/>
      <c r="LEW11" s="120"/>
      <c r="LEX11" s="120"/>
      <c r="LEY11" s="120"/>
      <c r="LEZ11" s="120"/>
      <c r="LFA11" s="120"/>
      <c r="LFB11" s="120"/>
      <c r="LFC11" s="120"/>
      <c r="LFD11" s="120"/>
      <c r="LFE11" s="120"/>
      <c r="LFF11" s="120"/>
      <c r="LFG11" s="120"/>
      <c r="LFH11" s="120"/>
      <c r="LFI11" s="120"/>
      <c r="LFJ11" s="120"/>
      <c r="LFK11" s="120"/>
      <c r="LFL11" s="120"/>
      <c r="LFM11" s="120"/>
      <c r="LFN11" s="120"/>
      <c r="LFO11" s="120"/>
      <c r="LFP11" s="120"/>
      <c r="LFQ11" s="120"/>
      <c r="LFR11" s="120"/>
      <c r="LFS11" s="120"/>
      <c r="LFT11" s="120"/>
      <c r="LFU11" s="120"/>
      <c r="LFV11" s="120"/>
      <c r="LFW11" s="120"/>
      <c r="LFX11" s="120"/>
      <c r="LFY11" s="120"/>
      <c r="LFZ11" s="120"/>
      <c r="LGA11" s="120"/>
      <c r="LGB11" s="120"/>
      <c r="LGC11" s="120"/>
      <c r="LGD11" s="120"/>
      <c r="LGE11" s="120"/>
      <c r="LGF11" s="120"/>
      <c r="LGG11" s="120"/>
      <c r="LGH11" s="120"/>
      <c r="LGI11" s="120"/>
      <c r="LGJ11" s="120"/>
      <c r="LGK11" s="120"/>
      <c r="LGL11" s="120"/>
      <c r="LGM11" s="120"/>
      <c r="LGN11" s="120"/>
      <c r="LGO11" s="120"/>
      <c r="LGP11" s="120"/>
      <c r="LGQ11" s="120"/>
      <c r="LGR11" s="120"/>
      <c r="LGS11" s="120"/>
      <c r="LGT11" s="120"/>
      <c r="LGU11" s="120"/>
      <c r="LGV11" s="120"/>
      <c r="LGW11" s="120"/>
      <c r="LGX11" s="120"/>
      <c r="LGY11" s="120"/>
      <c r="LGZ11" s="120"/>
      <c r="LHA11" s="120"/>
      <c r="LHB11" s="120"/>
      <c r="LHC11" s="120"/>
      <c r="LHD11" s="120"/>
      <c r="LHE11" s="120"/>
      <c r="LHF11" s="120"/>
      <c r="LHG11" s="120"/>
      <c r="LHH11" s="120"/>
      <c r="LHI11" s="120"/>
      <c r="LHJ11" s="120"/>
      <c r="LHK11" s="120"/>
      <c r="LHL11" s="120"/>
      <c r="LHM11" s="120"/>
      <c r="LHN11" s="120"/>
      <c r="LHO11" s="120"/>
      <c r="LHP11" s="120"/>
      <c r="LHQ11" s="120"/>
      <c r="LHR11" s="120"/>
      <c r="LHS11" s="120"/>
      <c r="LHT11" s="120"/>
      <c r="LHU11" s="120"/>
      <c r="LHV11" s="120"/>
      <c r="LHW11" s="120"/>
      <c r="LHX11" s="120"/>
      <c r="LHY11" s="120"/>
      <c r="LHZ11" s="120"/>
      <c r="LIA11" s="120"/>
      <c r="LIB11" s="120"/>
      <c r="LIC11" s="120"/>
      <c r="LID11" s="120"/>
      <c r="LIE11" s="120"/>
      <c r="LIF11" s="120"/>
      <c r="LIG11" s="120"/>
      <c r="LIH11" s="120"/>
      <c r="LII11" s="120"/>
      <c r="LIJ11" s="120"/>
      <c r="LIK11" s="120"/>
      <c r="LIL11" s="120"/>
      <c r="LIM11" s="120"/>
      <c r="LIN11" s="120"/>
      <c r="LIO11" s="120"/>
      <c r="LIP11" s="120"/>
      <c r="LIQ11" s="120"/>
      <c r="LIR11" s="120"/>
      <c r="LIS11" s="120"/>
      <c r="LIT11" s="120"/>
      <c r="LIU11" s="120"/>
      <c r="LIV11" s="120"/>
      <c r="LIW11" s="120"/>
      <c r="LIX11" s="120"/>
      <c r="LIY11" s="120"/>
      <c r="LIZ11" s="120"/>
      <c r="LJA11" s="120"/>
      <c r="LJB11" s="120"/>
      <c r="LJC11" s="120"/>
      <c r="LJD11" s="120"/>
      <c r="LJE11" s="120"/>
      <c r="LJF11" s="120"/>
      <c r="LJG11" s="120"/>
      <c r="LJH11" s="120"/>
      <c r="LJI11" s="120"/>
      <c r="LJJ11" s="120"/>
      <c r="LJK11" s="120"/>
      <c r="LJL11" s="120"/>
      <c r="LJM11" s="120"/>
      <c r="LJN11" s="120"/>
      <c r="LJO11" s="120"/>
      <c r="LJP11" s="120"/>
      <c r="LJQ11" s="120"/>
      <c r="LJR11" s="120"/>
      <c r="LJS11" s="120"/>
      <c r="LJT11" s="120"/>
      <c r="LJU11" s="120"/>
      <c r="LJV11" s="120"/>
      <c r="LJW11" s="120"/>
      <c r="LJX11" s="120"/>
      <c r="LJY11" s="120"/>
      <c r="LJZ11" s="120"/>
      <c r="LKA11" s="120"/>
      <c r="LKB11" s="120"/>
      <c r="LKC11" s="120"/>
      <c r="LKD11" s="120"/>
      <c r="LKE11" s="120"/>
      <c r="LKF11" s="120"/>
      <c r="LKG11" s="120"/>
      <c r="LKH11" s="120"/>
      <c r="LKI11" s="120"/>
      <c r="LKJ11" s="120"/>
      <c r="LKK11" s="120"/>
      <c r="LKL11" s="120"/>
      <c r="LKM11" s="120"/>
      <c r="LKN11" s="120"/>
      <c r="LKO11" s="120"/>
      <c r="LKP11" s="120"/>
      <c r="LKQ11" s="120"/>
      <c r="LKR11" s="120"/>
      <c r="LKS11" s="120"/>
      <c r="LKT11" s="120"/>
      <c r="LKU11" s="120"/>
      <c r="LKV11" s="120"/>
      <c r="LKW11" s="120"/>
      <c r="LKX11" s="120"/>
      <c r="LKY11" s="120"/>
      <c r="LKZ11" s="120"/>
      <c r="LLA11" s="120"/>
      <c r="LLB11" s="120"/>
      <c r="LLC11" s="120"/>
      <c r="LLD11" s="120"/>
      <c r="LLE11" s="120"/>
      <c r="LLF11" s="120"/>
      <c r="LLG11" s="120"/>
      <c r="LLH11" s="120"/>
      <c r="LLI11" s="120"/>
      <c r="LLJ11" s="120"/>
      <c r="LLK11" s="120"/>
      <c r="LLL11" s="120"/>
      <c r="LLM11" s="120"/>
      <c r="LLN11" s="120"/>
      <c r="LLO11" s="120"/>
      <c r="LLP11" s="120"/>
      <c r="LLQ11" s="120"/>
      <c r="LLR11" s="120"/>
      <c r="LLS11" s="120"/>
      <c r="LLT11" s="120"/>
      <c r="LLU11" s="120"/>
      <c r="LLV11" s="120"/>
      <c r="LLW11" s="120"/>
      <c r="LLX11" s="120"/>
      <c r="LLY11" s="120"/>
      <c r="LLZ11" s="120"/>
      <c r="LMA11" s="120"/>
      <c r="LMB11" s="120"/>
      <c r="LMC11" s="120"/>
      <c r="LMD11" s="120"/>
      <c r="LME11" s="120"/>
      <c r="LMF11" s="120"/>
      <c r="LMG11" s="120"/>
      <c r="LMH11" s="120"/>
      <c r="LMI11" s="120"/>
      <c r="LMJ11" s="120"/>
      <c r="LMK11" s="120"/>
      <c r="LML11" s="120"/>
      <c r="LMM11" s="120"/>
      <c r="LMN11" s="120"/>
      <c r="LMO11" s="120"/>
      <c r="LMP11" s="120"/>
      <c r="LMQ11" s="120"/>
      <c r="LMR11" s="120"/>
      <c r="LMS11" s="120"/>
      <c r="LMT11" s="120"/>
      <c r="LMU11" s="120"/>
      <c r="LMV11" s="120"/>
      <c r="LMW11" s="120"/>
      <c r="LMX11" s="120"/>
      <c r="LMY11" s="120"/>
      <c r="LMZ11" s="120"/>
      <c r="LNA11" s="120"/>
      <c r="LNB11" s="120"/>
      <c r="LNC11" s="120"/>
      <c r="LND11" s="120"/>
      <c r="LNE11" s="120"/>
      <c r="LNF11" s="120"/>
      <c r="LNG11" s="120"/>
      <c r="LNH11" s="120"/>
      <c r="LNI11" s="120"/>
      <c r="LNJ11" s="120"/>
      <c r="LNK11" s="120"/>
      <c r="LNL11" s="120"/>
      <c r="LNM11" s="120"/>
      <c r="LNN11" s="120"/>
      <c r="LNO11" s="120"/>
      <c r="LNP11" s="120"/>
      <c r="LNQ11" s="120"/>
      <c r="LNR11" s="120"/>
      <c r="LNS11" s="120"/>
      <c r="LNT11" s="120"/>
      <c r="LNU11" s="120"/>
      <c r="LNV11" s="120"/>
      <c r="LNW11" s="120"/>
      <c r="LNX11" s="120"/>
      <c r="LNY11" s="120"/>
      <c r="LNZ11" s="120"/>
      <c r="LOA11" s="120"/>
      <c r="LOB11" s="120"/>
      <c r="LOC11" s="120"/>
      <c r="LOD11" s="120"/>
      <c r="LOE11" s="120"/>
      <c r="LOF11" s="120"/>
      <c r="LOG11" s="120"/>
      <c r="LOH11" s="120"/>
      <c r="LOI11" s="120"/>
      <c r="LOJ11" s="120"/>
      <c r="LOK11" s="120"/>
      <c r="LOL11" s="120"/>
      <c r="LOM11" s="120"/>
      <c r="LON11" s="120"/>
      <c r="LOO11" s="120"/>
      <c r="LOP11" s="120"/>
      <c r="LOQ11" s="120"/>
      <c r="LOR11" s="120"/>
      <c r="LOS11" s="120"/>
      <c r="LOT11" s="120"/>
      <c r="LOU11" s="120"/>
      <c r="LOV11" s="120"/>
      <c r="LOW11" s="120"/>
      <c r="LOX11" s="120"/>
      <c r="LOY11" s="120"/>
      <c r="LOZ11" s="120"/>
      <c r="LPA11" s="120"/>
      <c r="LPB11" s="120"/>
      <c r="LPC11" s="120"/>
      <c r="LPD11" s="120"/>
      <c r="LPE11" s="120"/>
      <c r="LPF11" s="120"/>
      <c r="LPG11" s="120"/>
      <c r="LPH11" s="120"/>
      <c r="LPI11" s="120"/>
      <c r="LPJ11" s="120"/>
      <c r="LPK11" s="120"/>
      <c r="LPL11" s="120"/>
      <c r="LPM11" s="120"/>
      <c r="LPN11" s="120"/>
      <c r="LPO11" s="120"/>
      <c r="LPP11" s="120"/>
      <c r="LPQ11" s="120"/>
      <c r="LPR11" s="120"/>
      <c r="LPS11" s="120"/>
      <c r="LPT11" s="120"/>
      <c r="LPU11" s="120"/>
      <c r="LPV11" s="120"/>
      <c r="LPW11" s="120"/>
      <c r="LPX11" s="120"/>
      <c r="LPY11" s="120"/>
      <c r="LPZ11" s="120"/>
      <c r="LQA11" s="120"/>
      <c r="LQB11" s="120"/>
      <c r="LQC11" s="120"/>
      <c r="LQD11" s="120"/>
      <c r="LQE11" s="120"/>
      <c r="LQF11" s="120"/>
      <c r="LQG11" s="120"/>
      <c r="LQH11" s="120"/>
      <c r="LQI11" s="120"/>
      <c r="LQJ11" s="120"/>
      <c r="LQK11" s="120"/>
      <c r="LQL11" s="120"/>
      <c r="LQM11" s="120"/>
      <c r="LQN11" s="120"/>
      <c r="LQO11" s="120"/>
      <c r="LQP11" s="120"/>
      <c r="LQQ11" s="120"/>
      <c r="LQR11" s="120"/>
      <c r="LQS11" s="120"/>
      <c r="LQT11" s="120"/>
      <c r="LQU11" s="120"/>
      <c r="LQV11" s="120"/>
      <c r="LQW11" s="120"/>
      <c r="LQX11" s="120"/>
      <c r="LQY11" s="120"/>
      <c r="LQZ11" s="120"/>
      <c r="LRA11" s="120"/>
      <c r="LRB11" s="120"/>
      <c r="LRC11" s="120"/>
      <c r="LRD11" s="120"/>
      <c r="LRE11" s="120"/>
      <c r="LRF11" s="120"/>
      <c r="LRG11" s="120"/>
      <c r="LRH11" s="120"/>
      <c r="LRI11" s="120"/>
      <c r="LRJ11" s="120"/>
      <c r="LRK11" s="120"/>
      <c r="LRL11" s="120"/>
      <c r="LRM11" s="120"/>
      <c r="LRN11" s="120"/>
      <c r="LRO11" s="120"/>
      <c r="LRP11" s="120"/>
      <c r="LRQ11" s="120"/>
      <c r="LRR11" s="120"/>
      <c r="LRS11" s="120"/>
      <c r="LRT11" s="120"/>
      <c r="LRU11" s="120"/>
      <c r="LRV11" s="120"/>
      <c r="LRW11" s="120"/>
      <c r="LRX11" s="120"/>
      <c r="LRY11" s="120"/>
      <c r="LRZ11" s="120"/>
      <c r="LSA11" s="120"/>
      <c r="LSB11" s="120"/>
      <c r="LSC11" s="120"/>
      <c r="LSD11" s="120"/>
      <c r="LSE11" s="120"/>
      <c r="LSF11" s="120"/>
      <c r="LSG11" s="120"/>
      <c r="LSH11" s="120"/>
      <c r="LSI11" s="120"/>
      <c r="LSJ11" s="120"/>
      <c r="LSK11" s="120"/>
      <c r="LSL11" s="120"/>
      <c r="LSM11" s="120"/>
      <c r="LSN11" s="120"/>
      <c r="LSO11" s="120"/>
      <c r="LSP11" s="120"/>
      <c r="LSQ11" s="120"/>
      <c r="LSR11" s="120"/>
      <c r="LSS11" s="120"/>
      <c r="LST11" s="120"/>
      <c r="LSU11" s="120"/>
      <c r="LSV11" s="120"/>
      <c r="LSW11" s="120"/>
      <c r="LSX11" s="120"/>
      <c r="LSY11" s="120"/>
      <c r="LSZ11" s="120"/>
      <c r="LTA11" s="120"/>
      <c r="LTB11" s="120"/>
      <c r="LTC11" s="120"/>
      <c r="LTD11" s="120"/>
      <c r="LTE11" s="120"/>
      <c r="LTF11" s="120"/>
      <c r="LTG11" s="120"/>
      <c r="LTH11" s="120"/>
      <c r="LTI11" s="120"/>
      <c r="LTJ11" s="120"/>
      <c r="LTK11" s="120"/>
      <c r="LTL11" s="120"/>
      <c r="LTM11" s="120"/>
      <c r="LTN11" s="120"/>
      <c r="LTO11" s="120"/>
      <c r="LTP11" s="120"/>
      <c r="LTQ11" s="120"/>
      <c r="LTR11" s="120"/>
      <c r="LTS11" s="120"/>
      <c r="LTT11" s="120"/>
      <c r="LTU11" s="120"/>
      <c r="LTV11" s="120"/>
      <c r="LTW11" s="120"/>
      <c r="LTX11" s="120"/>
      <c r="LTY11" s="120"/>
      <c r="LTZ11" s="120"/>
      <c r="LUA11" s="120"/>
      <c r="LUB11" s="120"/>
      <c r="LUC11" s="120"/>
      <c r="LUD11" s="120"/>
      <c r="LUE11" s="120"/>
      <c r="LUF11" s="120"/>
      <c r="LUG11" s="120"/>
      <c r="LUH11" s="120"/>
      <c r="LUI11" s="120"/>
      <c r="LUJ11" s="120"/>
      <c r="LUK11" s="120"/>
      <c r="LUL11" s="120"/>
      <c r="LUM11" s="120"/>
      <c r="LUN11" s="120"/>
      <c r="LUO11" s="120"/>
      <c r="LUP11" s="120"/>
      <c r="LUQ11" s="120"/>
      <c r="LUR11" s="120"/>
      <c r="LUS11" s="120"/>
      <c r="LUT11" s="120"/>
      <c r="LUU11" s="120"/>
      <c r="LUV11" s="120"/>
      <c r="LUW11" s="120"/>
      <c r="LUX11" s="120"/>
      <c r="LUY11" s="120"/>
      <c r="LUZ11" s="120"/>
      <c r="LVA11" s="120"/>
      <c r="LVB11" s="120"/>
      <c r="LVC11" s="120"/>
      <c r="LVD11" s="120"/>
      <c r="LVE11" s="120"/>
      <c r="LVF11" s="120"/>
      <c r="LVG11" s="120"/>
      <c r="LVH11" s="120"/>
      <c r="LVI11" s="120"/>
      <c r="LVJ11" s="120"/>
      <c r="LVK11" s="120"/>
      <c r="LVL11" s="120"/>
      <c r="LVM11" s="120"/>
      <c r="LVN11" s="120"/>
      <c r="LVO11" s="120"/>
      <c r="LVP11" s="120"/>
      <c r="LVQ11" s="120"/>
      <c r="LVR11" s="120"/>
      <c r="LVS11" s="120"/>
      <c r="LVT11" s="120"/>
      <c r="LVU11" s="120"/>
      <c r="LVV11" s="120"/>
      <c r="LVW11" s="120"/>
      <c r="LVX11" s="120"/>
      <c r="LVY11" s="120"/>
      <c r="LVZ11" s="120"/>
      <c r="LWA11" s="120"/>
      <c r="LWB11" s="120"/>
      <c r="LWC11" s="120"/>
      <c r="LWD11" s="120"/>
      <c r="LWE11" s="120"/>
      <c r="LWF11" s="120"/>
      <c r="LWG11" s="120"/>
      <c r="LWH11" s="120"/>
      <c r="LWI11" s="120"/>
      <c r="LWJ11" s="120"/>
      <c r="LWK11" s="120"/>
      <c r="LWL11" s="120"/>
      <c r="LWM11" s="120"/>
      <c r="LWN11" s="120"/>
      <c r="LWO11" s="120"/>
      <c r="LWP11" s="120"/>
      <c r="LWQ11" s="120"/>
      <c r="LWR11" s="120"/>
      <c r="LWS11" s="120"/>
      <c r="LWT11" s="120"/>
      <c r="LWU11" s="120"/>
      <c r="LWV11" s="120"/>
      <c r="LWW11" s="120"/>
      <c r="LWX11" s="120"/>
      <c r="LWY11" s="120"/>
      <c r="LWZ11" s="120"/>
      <c r="LXA11" s="120"/>
      <c r="LXB11" s="120"/>
      <c r="LXC11" s="120"/>
      <c r="LXD11" s="120"/>
      <c r="LXE11" s="120"/>
      <c r="LXF11" s="120"/>
      <c r="LXG11" s="120"/>
      <c r="LXH11" s="120"/>
      <c r="LXI11" s="120"/>
      <c r="LXJ11" s="120"/>
      <c r="LXK11" s="120"/>
      <c r="LXL11" s="120"/>
      <c r="LXM11" s="120"/>
      <c r="LXN11" s="120"/>
      <c r="LXO11" s="120"/>
      <c r="LXP11" s="120"/>
      <c r="LXQ11" s="120"/>
      <c r="LXR11" s="120"/>
      <c r="LXS11" s="120"/>
      <c r="LXT11" s="120"/>
      <c r="LXU11" s="120"/>
      <c r="LXV11" s="120"/>
      <c r="LXW11" s="120"/>
      <c r="LXX11" s="120"/>
      <c r="LXY11" s="120"/>
      <c r="LXZ11" s="120"/>
      <c r="LYA11" s="120"/>
      <c r="LYB11" s="120"/>
      <c r="LYC11" s="120"/>
      <c r="LYD11" s="120"/>
      <c r="LYE11" s="120"/>
      <c r="LYF11" s="120"/>
      <c r="LYG11" s="120"/>
      <c r="LYH11" s="120"/>
      <c r="LYI11" s="120"/>
      <c r="LYJ11" s="120"/>
      <c r="LYK11" s="120"/>
      <c r="LYL11" s="120"/>
      <c r="LYM11" s="120"/>
      <c r="LYN11" s="120"/>
      <c r="LYO11" s="120"/>
      <c r="LYP11" s="120"/>
      <c r="LYQ11" s="120"/>
      <c r="LYR11" s="120"/>
      <c r="LYS11" s="120"/>
      <c r="LYT11" s="120"/>
      <c r="LYU11" s="120"/>
      <c r="LYV11" s="120"/>
      <c r="LYW11" s="120"/>
      <c r="LYX11" s="120"/>
      <c r="LYY11" s="120"/>
      <c r="LYZ11" s="120"/>
      <c r="LZA11" s="120"/>
      <c r="LZB11" s="120"/>
      <c r="LZC11" s="120"/>
      <c r="LZD11" s="120"/>
      <c r="LZE11" s="120"/>
      <c r="LZF11" s="120"/>
      <c r="LZG11" s="120"/>
      <c r="LZH11" s="120"/>
      <c r="LZI11" s="120"/>
      <c r="LZJ11" s="120"/>
      <c r="LZK11" s="120"/>
      <c r="LZL11" s="120"/>
      <c r="LZM11" s="120"/>
      <c r="LZN11" s="120"/>
      <c r="LZO11" s="120"/>
      <c r="LZP11" s="120"/>
      <c r="LZQ11" s="120"/>
      <c r="LZR11" s="120"/>
      <c r="LZS11" s="120"/>
      <c r="LZT11" s="120"/>
      <c r="LZU11" s="120"/>
      <c r="LZV11" s="120"/>
      <c r="LZW11" s="120"/>
      <c r="LZX11" s="120"/>
      <c r="LZY11" s="120"/>
      <c r="LZZ11" s="120"/>
      <c r="MAA11" s="120"/>
      <c r="MAB11" s="120"/>
      <c r="MAC11" s="120"/>
      <c r="MAD11" s="120"/>
      <c r="MAE11" s="120"/>
      <c r="MAF11" s="120"/>
      <c r="MAG11" s="120"/>
      <c r="MAH11" s="120"/>
      <c r="MAI11" s="120"/>
      <c r="MAJ11" s="120"/>
      <c r="MAK11" s="120"/>
      <c r="MAL11" s="120"/>
      <c r="MAM11" s="120"/>
      <c r="MAN11" s="120"/>
      <c r="MAO11" s="120"/>
      <c r="MAP11" s="120"/>
      <c r="MAQ11" s="120"/>
      <c r="MAR11" s="120"/>
      <c r="MAS11" s="120"/>
      <c r="MAT11" s="120"/>
      <c r="MAU11" s="120"/>
      <c r="MAV11" s="120"/>
      <c r="MAW11" s="120"/>
      <c r="MAX11" s="120"/>
      <c r="MAY11" s="120"/>
      <c r="MAZ11" s="120"/>
      <c r="MBA11" s="120"/>
      <c r="MBB11" s="120"/>
      <c r="MBC11" s="120"/>
      <c r="MBD11" s="120"/>
      <c r="MBE11" s="120"/>
      <c r="MBF11" s="120"/>
      <c r="MBG11" s="120"/>
      <c r="MBH11" s="120"/>
      <c r="MBI11" s="120"/>
      <c r="MBJ11" s="120"/>
      <c r="MBK11" s="120"/>
      <c r="MBL11" s="120"/>
      <c r="MBM11" s="120"/>
      <c r="MBN11" s="120"/>
      <c r="MBO11" s="120"/>
      <c r="MBP11" s="120"/>
      <c r="MBQ11" s="120"/>
      <c r="MBR11" s="120"/>
      <c r="MBS11" s="120"/>
      <c r="MBT11" s="120"/>
      <c r="MBU11" s="120"/>
      <c r="MBV11" s="120"/>
      <c r="MBW11" s="120"/>
      <c r="MBX11" s="120"/>
      <c r="MBY11" s="120"/>
      <c r="MBZ11" s="120"/>
      <c r="MCA11" s="120"/>
      <c r="MCB11" s="120"/>
      <c r="MCC11" s="120"/>
      <c r="MCD11" s="120"/>
      <c r="MCE11" s="120"/>
      <c r="MCF11" s="120"/>
      <c r="MCG11" s="120"/>
      <c r="MCH11" s="120"/>
      <c r="MCI11" s="120"/>
      <c r="MCJ11" s="120"/>
      <c r="MCK11" s="120"/>
      <c r="MCL11" s="120"/>
      <c r="MCM11" s="120"/>
      <c r="MCN11" s="120"/>
      <c r="MCO11" s="120"/>
      <c r="MCP11" s="120"/>
      <c r="MCQ11" s="120"/>
      <c r="MCR11" s="120"/>
      <c r="MCS11" s="120"/>
      <c r="MCT11" s="120"/>
      <c r="MCU11" s="120"/>
      <c r="MCV11" s="120"/>
      <c r="MCW11" s="120"/>
      <c r="MCX11" s="120"/>
      <c r="MCY11" s="120"/>
      <c r="MCZ11" s="120"/>
      <c r="MDA11" s="120"/>
      <c r="MDB11" s="120"/>
      <c r="MDC11" s="120"/>
      <c r="MDD11" s="120"/>
      <c r="MDE11" s="120"/>
      <c r="MDF11" s="120"/>
      <c r="MDG11" s="120"/>
      <c r="MDH11" s="120"/>
      <c r="MDI11" s="120"/>
      <c r="MDJ11" s="120"/>
      <c r="MDK11" s="120"/>
      <c r="MDL11" s="120"/>
      <c r="MDM11" s="120"/>
      <c r="MDN11" s="120"/>
      <c r="MDO11" s="120"/>
      <c r="MDP11" s="120"/>
      <c r="MDQ11" s="120"/>
      <c r="MDR11" s="120"/>
      <c r="MDS11" s="120"/>
      <c r="MDT11" s="120"/>
      <c r="MDU11" s="120"/>
      <c r="MDV11" s="120"/>
      <c r="MDW11" s="120"/>
      <c r="MDX11" s="120"/>
      <c r="MDY11" s="120"/>
      <c r="MDZ11" s="120"/>
      <c r="MEA11" s="120"/>
      <c r="MEB11" s="120"/>
      <c r="MEC11" s="120"/>
      <c r="MED11" s="120"/>
      <c r="MEE11" s="120"/>
      <c r="MEF11" s="120"/>
      <c r="MEG11" s="120"/>
      <c r="MEH11" s="120"/>
      <c r="MEI11" s="120"/>
      <c r="MEJ11" s="120"/>
      <c r="MEK11" s="120"/>
      <c r="MEL11" s="120"/>
      <c r="MEM11" s="120"/>
      <c r="MEN11" s="120"/>
      <c r="MEO11" s="120"/>
      <c r="MEP11" s="120"/>
      <c r="MEQ11" s="120"/>
      <c r="MER11" s="120"/>
      <c r="MES11" s="120"/>
      <c r="MET11" s="120"/>
      <c r="MEU11" s="120"/>
      <c r="MEV11" s="120"/>
      <c r="MEW11" s="120"/>
      <c r="MEX11" s="120"/>
      <c r="MEY11" s="120"/>
      <c r="MEZ11" s="120"/>
      <c r="MFA11" s="120"/>
      <c r="MFB11" s="120"/>
      <c r="MFC11" s="120"/>
      <c r="MFD11" s="120"/>
      <c r="MFE11" s="120"/>
      <c r="MFF11" s="120"/>
      <c r="MFG11" s="120"/>
      <c r="MFH11" s="120"/>
      <c r="MFI11" s="120"/>
      <c r="MFJ11" s="120"/>
      <c r="MFK11" s="120"/>
      <c r="MFL11" s="120"/>
      <c r="MFM11" s="120"/>
      <c r="MFN11" s="120"/>
      <c r="MFO11" s="120"/>
      <c r="MFP11" s="120"/>
      <c r="MFQ11" s="120"/>
      <c r="MFR11" s="120"/>
      <c r="MFS11" s="120"/>
      <c r="MFT11" s="120"/>
      <c r="MFU11" s="120"/>
      <c r="MFV11" s="120"/>
      <c r="MFW11" s="120"/>
      <c r="MFX11" s="120"/>
      <c r="MFY11" s="120"/>
      <c r="MFZ11" s="120"/>
      <c r="MGA11" s="120"/>
      <c r="MGB11" s="120"/>
      <c r="MGC11" s="120"/>
      <c r="MGD11" s="120"/>
      <c r="MGE11" s="120"/>
      <c r="MGF11" s="120"/>
      <c r="MGG11" s="120"/>
      <c r="MGH11" s="120"/>
      <c r="MGI11" s="120"/>
      <c r="MGJ11" s="120"/>
      <c r="MGK11" s="120"/>
      <c r="MGL11" s="120"/>
      <c r="MGM11" s="120"/>
      <c r="MGN11" s="120"/>
      <c r="MGO11" s="120"/>
      <c r="MGP11" s="120"/>
      <c r="MGQ11" s="120"/>
      <c r="MGR11" s="120"/>
      <c r="MGS11" s="120"/>
      <c r="MGT11" s="120"/>
      <c r="MGU11" s="120"/>
      <c r="MGV11" s="120"/>
      <c r="MGW11" s="120"/>
      <c r="MGX11" s="120"/>
      <c r="MGY11" s="120"/>
      <c r="MGZ11" s="120"/>
      <c r="MHA11" s="120"/>
      <c r="MHB11" s="120"/>
      <c r="MHC11" s="120"/>
      <c r="MHD11" s="120"/>
      <c r="MHE11" s="120"/>
      <c r="MHF11" s="120"/>
      <c r="MHG11" s="120"/>
      <c r="MHH11" s="120"/>
      <c r="MHI11" s="120"/>
      <c r="MHJ11" s="120"/>
      <c r="MHK11" s="120"/>
      <c r="MHL11" s="120"/>
      <c r="MHM11" s="120"/>
      <c r="MHN11" s="120"/>
      <c r="MHO11" s="120"/>
      <c r="MHP11" s="120"/>
      <c r="MHQ11" s="120"/>
      <c r="MHR11" s="120"/>
      <c r="MHS11" s="120"/>
      <c r="MHT11" s="120"/>
      <c r="MHU11" s="120"/>
      <c r="MHV11" s="120"/>
      <c r="MHW11" s="120"/>
      <c r="MHX11" s="120"/>
      <c r="MHY11" s="120"/>
      <c r="MHZ11" s="120"/>
      <c r="MIA11" s="120"/>
      <c r="MIB11" s="120"/>
      <c r="MIC11" s="120"/>
      <c r="MID11" s="120"/>
      <c r="MIE11" s="120"/>
      <c r="MIF11" s="120"/>
      <c r="MIG11" s="120"/>
      <c r="MIH11" s="120"/>
      <c r="MII11" s="120"/>
      <c r="MIJ11" s="120"/>
      <c r="MIK11" s="120"/>
      <c r="MIL11" s="120"/>
      <c r="MIM11" s="120"/>
      <c r="MIN11" s="120"/>
      <c r="MIO11" s="120"/>
      <c r="MIP11" s="120"/>
      <c r="MIQ11" s="120"/>
      <c r="MIR11" s="120"/>
      <c r="MIS11" s="120"/>
      <c r="MIT11" s="120"/>
      <c r="MIU11" s="120"/>
      <c r="MIV11" s="120"/>
      <c r="MIW11" s="120"/>
      <c r="MIX11" s="120"/>
      <c r="MIY11" s="120"/>
      <c r="MIZ11" s="120"/>
      <c r="MJA11" s="120"/>
      <c r="MJB11" s="120"/>
      <c r="MJC11" s="120"/>
      <c r="MJD11" s="120"/>
      <c r="MJE11" s="120"/>
      <c r="MJF11" s="120"/>
      <c r="MJG11" s="120"/>
      <c r="MJH11" s="120"/>
      <c r="MJI11" s="120"/>
      <c r="MJJ11" s="120"/>
      <c r="MJK11" s="120"/>
      <c r="MJL11" s="120"/>
      <c r="MJM11" s="120"/>
      <c r="MJN11" s="120"/>
      <c r="MJO11" s="120"/>
      <c r="MJP11" s="120"/>
      <c r="MJQ11" s="120"/>
      <c r="MJR11" s="120"/>
      <c r="MJS11" s="120"/>
      <c r="MJT11" s="120"/>
      <c r="MJU11" s="120"/>
      <c r="MJV11" s="120"/>
      <c r="MJW11" s="120"/>
      <c r="MJX11" s="120"/>
      <c r="MJY11" s="120"/>
      <c r="MJZ11" s="120"/>
      <c r="MKA11" s="120"/>
      <c r="MKB11" s="120"/>
      <c r="MKC11" s="120"/>
      <c r="MKD11" s="120"/>
      <c r="MKE11" s="120"/>
      <c r="MKF11" s="120"/>
      <c r="MKG11" s="120"/>
      <c r="MKH11" s="120"/>
      <c r="MKI11" s="120"/>
      <c r="MKJ11" s="120"/>
      <c r="MKK11" s="120"/>
      <c r="MKL11" s="120"/>
      <c r="MKM11" s="120"/>
      <c r="MKN11" s="120"/>
      <c r="MKO11" s="120"/>
      <c r="MKP11" s="120"/>
      <c r="MKQ11" s="120"/>
      <c r="MKR11" s="120"/>
      <c r="MKS11" s="120"/>
      <c r="MKT11" s="120"/>
      <c r="MKU11" s="120"/>
      <c r="MKV11" s="120"/>
      <c r="MKW11" s="120"/>
      <c r="MKX11" s="120"/>
      <c r="MKY11" s="120"/>
      <c r="MKZ11" s="120"/>
      <c r="MLA11" s="120"/>
      <c r="MLB11" s="120"/>
      <c r="MLC11" s="120"/>
      <c r="MLD11" s="120"/>
      <c r="MLE11" s="120"/>
      <c r="MLF11" s="120"/>
      <c r="MLG11" s="120"/>
      <c r="MLH11" s="120"/>
      <c r="MLI11" s="120"/>
      <c r="MLJ11" s="120"/>
      <c r="MLK11" s="120"/>
      <c r="MLL11" s="120"/>
      <c r="MLM11" s="120"/>
      <c r="MLN11" s="120"/>
      <c r="MLO11" s="120"/>
      <c r="MLP11" s="120"/>
      <c r="MLQ11" s="120"/>
      <c r="MLR11" s="120"/>
      <c r="MLS11" s="120"/>
      <c r="MLT11" s="120"/>
      <c r="MLU11" s="120"/>
      <c r="MLV11" s="120"/>
      <c r="MLW11" s="120"/>
      <c r="MLX11" s="120"/>
      <c r="MLY11" s="120"/>
      <c r="MLZ11" s="120"/>
      <c r="MMA11" s="120"/>
      <c r="MMB11" s="120"/>
      <c r="MMC11" s="120"/>
      <c r="MMD11" s="120"/>
      <c r="MME11" s="120"/>
      <c r="MMF11" s="120"/>
      <c r="MMG11" s="120"/>
      <c r="MMH11" s="120"/>
      <c r="MMI11" s="120"/>
      <c r="MMJ11" s="120"/>
      <c r="MMK11" s="120"/>
      <c r="MML11" s="120"/>
      <c r="MMM11" s="120"/>
      <c r="MMN11" s="120"/>
      <c r="MMO11" s="120"/>
      <c r="MMP11" s="120"/>
      <c r="MMQ11" s="120"/>
      <c r="MMR11" s="120"/>
      <c r="MMS11" s="120"/>
      <c r="MMT11" s="120"/>
      <c r="MMU11" s="120"/>
      <c r="MMV11" s="120"/>
      <c r="MMW11" s="120"/>
      <c r="MMX11" s="120"/>
      <c r="MMY11" s="120"/>
      <c r="MMZ11" s="120"/>
      <c r="MNA11" s="120"/>
      <c r="MNB11" s="120"/>
      <c r="MNC11" s="120"/>
      <c r="MND11" s="120"/>
      <c r="MNE11" s="120"/>
      <c r="MNF11" s="120"/>
      <c r="MNG11" s="120"/>
      <c r="MNH11" s="120"/>
      <c r="MNI11" s="120"/>
      <c r="MNJ11" s="120"/>
      <c r="MNK11" s="120"/>
      <c r="MNL11" s="120"/>
      <c r="MNM11" s="120"/>
      <c r="MNN11" s="120"/>
      <c r="MNO11" s="120"/>
      <c r="MNP11" s="120"/>
      <c r="MNQ11" s="120"/>
      <c r="MNR11" s="120"/>
      <c r="MNS11" s="120"/>
      <c r="MNT11" s="120"/>
      <c r="MNU11" s="120"/>
      <c r="MNV11" s="120"/>
      <c r="MNW11" s="120"/>
      <c r="MNX11" s="120"/>
      <c r="MNY11" s="120"/>
      <c r="MNZ11" s="120"/>
      <c r="MOA11" s="120"/>
      <c r="MOB11" s="120"/>
      <c r="MOC11" s="120"/>
      <c r="MOD11" s="120"/>
      <c r="MOE11" s="120"/>
      <c r="MOF11" s="120"/>
      <c r="MOG11" s="120"/>
      <c r="MOH11" s="120"/>
      <c r="MOI11" s="120"/>
      <c r="MOJ11" s="120"/>
      <c r="MOK11" s="120"/>
      <c r="MOL11" s="120"/>
      <c r="MOM11" s="120"/>
      <c r="MON11" s="120"/>
      <c r="MOO11" s="120"/>
      <c r="MOP11" s="120"/>
      <c r="MOQ11" s="120"/>
      <c r="MOR11" s="120"/>
      <c r="MOS11" s="120"/>
      <c r="MOT11" s="120"/>
      <c r="MOU11" s="120"/>
      <c r="MOV11" s="120"/>
      <c r="MOW11" s="120"/>
      <c r="MOX11" s="120"/>
      <c r="MOY11" s="120"/>
      <c r="MOZ11" s="120"/>
      <c r="MPA11" s="120"/>
      <c r="MPB11" s="120"/>
      <c r="MPC11" s="120"/>
      <c r="MPD11" s="120"/>
      <c r="MPE11" s="120"/>
      <c r="MPF11" s="120"/>
      <c r="MPG11" s="120"/>
      <c r="MPH11" s="120"/>
      <c r="MPI11" s="120"/>
      <c r="MPJ11" s="120"/>
      <c r="MPK11" s="120"/>
      <c r="MPL11" s="120"/>
      <c r="MPM11" s="120"/>
      <c r="MPN11" s="120"/>
      <c r="MPO11" s="120"/>
      <c r="MPP11" s="120"/>
      <c r="MPQ11" s="120"/>
      <c r="MPR11" s="120"/>
      <c r="MPS11" s="120"/>
      <c r="MPT11" s="120"/>
      <c r="MPU11" s="120"/>
      <c r="MPV11" s="120"/>
      <c r="MPW11" s="120"/>
      <c r="MPX11" s="120"/>
      <c r="MPY11" s="120"/>
      <c r="MPZ11" s="120"/>
      <c r="MQA11" s="120"/>
      <c r="MQB11" s="120"/>
      <c r="MQC11" s="120"/>
      <c r="MQD11" s="120"/>
      <c r="MQE11" s="120"/>
      <c r="MQF11" s="120"/>
      <c r="MQG11" s="120"/>
      <c r="MQH11" s="120"/>
      <c r="MQI11" s="120"/>
      <c r="MQJ11" s="120"/>
      <c r="MQK11" s="120"/>
      <c r="MQL11" s="120"/>
      <c r="MQM11" s="120"/>
      <c r="MQN11" s="120"/>
      <c r="MQO11" s="120"/>
      <c r="MQP11" s="120"/>
      <c r="MQQ11" s="120"/>
      <c r="MQR11" s="120"/>
      <c r="MQS11" s="120"/>
      <c r="MQT11" s="120"/>
      <c r="MQU11" s="120"/>
      <c r="MQV11" s="120"/>
      <c r="MQW11" s="120"/>
      <c r="MQX11" s="120"/>
      <c r="MQY11" s="120"/>
      <c r="MQZ11" s="120"/>
      <c r="MRA11" s="120"/>
      <c r="MRB11" s="120"/>
      <c r="MRC11" s="120"/>
      <c r="MRD11" s="120"/>
      <c r="MRE11" s="120"/>
      <c r="MRF11" s="120"/>
      <c r="MRG11" s="120"/>
      <c r="MRH11" s="120"/>
      <c r="MRI11" s="120"/>
      <c r="MRJ11" s="120"/>
      <c r="MRK11" s="120"/>
      <c r="MRL11" s="120"/>
      <c r="MRM11" s="120"/>
      <c r="MRN11" s="120"/>
      <c r="MRO11" s="120"/>
      <c r="MRP11" s="120"/>
      <c r="MRQ11" s="120"/>
      <c r="MRR11" s="120"/>
      <c r="MRS11" s="120"/>
      <c r="MRT11" s="120"/>
      <c r="MRU11" s="120"/>
      <c r="MRV11" s="120"/>
      <c r="MRW11" s="120"/>
      <c r="MRX11" s="120"/>
      <c r="MRY11" s="120"/>
      <c r="MRZ11" s="120"/>
      <c r="MSA11" s="120"/>
      <c r="MSB11" s="120"/>
      <c r="MSC11" s="120"/>
      <c r="MSD11" s="120"/>
      <c r="MSE11" s="120"/>
      <c r="MSF11" s="120"/>
      <c r="MSG11" s="120"/>
      <c r="MSH11" s="120"/>
      <c r="MSI11" s="120"/>
      <c r="MSJ11" s="120"/>
      <c r="MSK11" s="120"/>
      <c r="MSL11" s="120"/>
      <c r="MSM11" s="120"/>
      <c r="MSN11" s="120"/>
      <c r="MSO11" s="120"/>
      <c r="MSP11" s="120"/>
      <c r="MSQ11" s="120"/>
      <c r="MSR11" s="120"/>
      <c r="MSS11" s="120"/>
      <c r="MST11" s="120"/>
      <c r="MSU11" s="120"/>
      <c r="MSV11" s="120"/>
      <c r="MSW11" s="120"/>
      <c r="MSX11" s="120"/>
      <c r="MSY11" s="120"/>
      <c r="MSZ11" s="120"/>
      <c r="MTA11" s="120"/>
      <c r="MTB11" s="120"/>
      <c r="MTC11" s="120"/>
      <c r="MTD11" s="120"/>
      <c r="MTE11" s="120"/>
      <c r="MTF11" s="120"/>
      <c r="MTG11" s="120"/>
      <c r="MTH11" s="120"/>
      <c r="MTI11" s="120"/>
      <c r="MTJ11" s="120"/>
      <c r="MTK11" s="120"/>
      <c r="MTL11" s="120"/>
      <c r="MTM11" s="120"/>
      <c r="MTN11" s="120"/>
      <c r="MTO11" s="120"/>
      <c r="MTP11" s="120"/>
      <c r="MTQ11" s="120"/>
      <c r="MTR11" s="120"/>
      <c r="MTS11" s="120"/>
      <c r="MTT11" s="120"/>
      <c r="MTU11" s="120"/>
      <c r="MTV11" s="120"/>
      <c r="MTW11" s="120"/>
      <c r="MTX11" s="120"/>
      <c r="MTY11" s="120"/>
      <c r="MTZ11" s="120"/>
      <c r="MUA11" s="120"/>
      <c r="MUB11" s="120"/>
      <c r="MUC11" s="120"/>
      <c r="MUD11" s="120"/>
      <c r="MUE11" s="120"/>
      <c r="MUF11" s="120"/>
      <c r="MUG11" s="120"/>
      <c r="MUH11" s="120"/>
      <c r="MUI11" s="120"/>
      <c r="MUJ11" s="120"/>
      <c r="MUK11" s="120"/>
      <c r="MUL11" s="120"/>
      <c r="MUM11" s="120"/>
      <c r="MUN11" s="120"/>
      <c r="MUO11" s="120"/>
      <c r="MUP11" s="120"/>
      <c r="MUQ11" s="120"/>
      <c r="MUR11" s="120"/>
      <c r="MUS11" s="120"/>
      <c r="MUT11" s="120"/>
      <c r="MUU11" s="120"/>
      <c r="MUV11" s="120"/>
      <c r="MUW11" s="120"/>
      <c r="MUX11" s="120"/>
      <c r="MUY11" s="120"/>
      <c r="MUZ11" s="120"/>
      <c r="MVA11" s="120"/>
      <c r="MVB11" s="120"/>
      <c r="MVC11" s="120"/>
      <c r="MVD11" s="120"/>
      <c r="MVE11" s="120"/>
      <c r="MVF11" s="120"/>
      <c r="MVG11" s="120"/>
      <c r="MVH11" s="120"/>
      <c r="MVI11" s="120"/>
      <c r="MVJ11" s="120"/>
      <c r="MVK11" s="120"/>
      <c r="MVL11" s="120"/>
      <c r="MVM11" s="120"/>
      <c r="MVN11" s="120"/>
      <c r="MVO11" s="120"/>
      <c r="MVP11" s="120"/>
      <c r="MVQ11" s="120"/>
      <c r="MVR11" s="120"/>
      <c r="MVS11" s="120"/>
      <c r="MVT11" s="120"/>
      <c r="MVU11" s="120"/>
      <c r="MVV11" s="120"/>
      <c r="MVW11" s="120"/>
      <c r="MVX11" s="120"/>
      <c r="MVY11" s="120"/>
      <c r="MVZ11" s="120"/>
      <c r="MWA11" s="120"/>
      <c r="MWB11" s="120"/>
      <c r="MWC11" s="120"/>
      <c r="MWD11" s="120"/>
      <c r="MWE11" s="120"/>
      <c r="MWF11" s="120"/>
      <c r="MWG11" s="120"/>
      <c r="MWH11" s="120"/>
      <c r="MWI11" s="120"/>
      <c r="MWJ11" s="120"/>
      <c r="MWK11" s="120"/>
      <c r="MWL11" s="120"/>
      <c r="MWM11" s="120"/>
      <c r="MWN11" s="120"/>
      <c r="MWO11" s="120"/>
      <c r="MWP11" s="120"/>
      <c r="MWQ11" s="120"/>
      <c r="MWR11" s="120"/>
      <c r="MWS11" s="120"/>
      <c r="MWT11" s="120"/>
      <c r="MWU11" s="120"/>
      <c r="MWV11" s="120"/>
      <c r="MWW11" s="120"/>
      <c r="MWX11" s="120"/>
      <c r="MWY11" s="120"/>
      <c r="MWZ11" s="120"/>
      <c r="MXA11" s="120"/>
      <c r="MXB11" s="120"/>
      <c r="MXC11" s="120"/>
      <c r="MXD11" s="120"/>
      <c r="MXE11" s="120"/>
      <c r="MXF11" s="120"/>
      <c r="MXG11" s="120"/>
      <c r="MXH11" s="120"/>
      <c r="MXI11" s="120"/>
      <c r="MXJ11" s="120"/>
      <c r="MXK11" s="120"/>
      <c r="MXL11" s="120"/>
      <c r="MXM11" s="120"/>
      <c r="MXN11" s="120"/>
      <c r="MXO11" s="120"/>
      <c r="MXP11" s="120"/>
      <c r="MXQ11" s="120"/>
      <c r="MXR11" s="120"/>
      <c r="MXS11" s="120"/>
      <c r="MXT11" s="120"/>
      <c r="MXU11" s="120"/>
      <c r="MXV11" s="120"/>
      <c r="MXW11" s="120"/>
      <c r="MXX11" s="120"/>
      <c r="MXY11" s="120"/>
      <c r="MXZ11" s="120"/>
      <c r="MYA11" s="120"/>
      <c r="MYB11" s="120"/>
      <c r="MYC11" s="120"/>
      <c r="MYD11" s="120"/>
      <c r="MYE11" s="120"/>
      <c r="MYF11" s="120"/>
      <c r="MYG11" s="120"/>
      <c r="MYH11" s="120"/>
      <c r="MYI11" s="120"/>
      <c r="MYJ11" s="120"/>
      <c r="MYK11" s="120"/>
      <c r="MYL11" s="120"/>
      <c r="MYM11" s="120"/>
      <c r="MYN11" s="120"/>
      <c r="MYO11" s="120"/>
      <c r="MYP11" s="120"/>
      <c r="MYQ11" s="120"/>
      <c r="MYR11" s="120"/>
      <c r="MYS11" s="120"/>
      <c r="MYT11" s="120"/>
      <c r="MYU11" s="120"/>
      <c r="MYV11" s="120"/>
      <c r="MYW11" s="120"/>
      <c r="MYX11" s="120"/>
      <c r="MYY11" s="120"/>
      <c r="MYZ11" s="120"/>
      <c r="MZA11" s="120"/>
      <c r="MZB11" s="120"/>
      <c r="MZC11" s="120"/>
      <c r="MZD11" s="120"/>
      <c r="MZE11" s="120"/>
      <c r="MZF11" s="120"/>
      <c r="MZG11" s="120"/>
      <c r="MZH11" s="120"/>
      <c r="MZI11" s="120"/>
      <c r="MZJ11" s="120"/>
      <c r="MZK11" s="120"/>
      <c r="MZL11" s="120"/>
      <c r="MZM11" s="120"/>
      <c r="MZN11" s="120"/>
      <c r="MZO11" s="120"/>
      <c r="MZP11" s="120"/>
      <c r="MZQ11" s="120"/>
      <c r="MZR11" s="120"/>
      <c r="MZS11" s="120"/>
      <c r="MZT11" s="120"/>
      <c r="MZU11" s="120"/>
      <c r="MZV11" s="120"/>
      <c r="MZW11" s="120"/>
      <c r="MZX11" s="120"/>
      <c r="MZY11" s="120"/>
      <c r="MZZ11" s="120"/>
      <c r="NAA11" s="120"/>
      <c r="NAB11" s="120"/>
      <c r="NAC11" s="120"/>
      <c r="NAD11" s="120"/>
      <c r="NAE11" s="120"/>
      <c r="NAF11" s="120"/>
      <c r="NAG11" s="120"/>
      <c r="NAH11" s="120"/>
      <c r="NAI11" s="120"/>
      <c r="NAJ11" s="120"/>
      <c r="NAK11" s="120"/>
      <c r="NAL11" s="120"/>
      <c r="NAM11" s="120"/>
      <c r="NAN11" s="120"/>
      <c r="NAO11" s="120"/>
      <c r="NAP11" s="120"/>
      <c r="NAQ11" s="120"/>
      <c r="NAR11" s="120"/>
      <c r="NAS11" s="120"/>
      <c r="NAT11" s="120"/>
      <c r="NAU11" s="120"/>
      <c r="NAV11" s="120"/>
      <c r="NAW11" s="120"/>
      <c r="NAX11" s="120"/>
      <c r="NAY11" s="120"/>
      <c r="NAZ11" s="120"/>
      <c r="NBA11" s="120"/>
      <c r="NBB11" s="120"/>
      <c r="NBC11" s="120"/>
      <c r="NBD11" s="120"/>
      <c r="NBE11" s="120"/>
      <c r="NBF11" s="120"/>
      <c r="NBG11" s="120"/>
      <c r="NBH11" s="120"/>
      <c r="NBI11" s="120"/>
      <c r="NBJ11" s="120"/>
      <c r="NBK11" s="120"/>
      <c r="NBL11" s="120"/>
      <c r="NBM11" s="120"/>
      <c r="NBN11" s="120"/>
      <c r="NBO11" s="120"/>
      <c r="NBP11" s="120"/>
      <c r="NBQ11" s="120"/>
      <c r="NBR11" s="120"/>
      <c r="NBS11" s="120"/>
      <c r="NBT11" s="120"/>
      <c r="NBU11" s="120"/>
      <c r="NBV11" s="120"/>
      <c r="NBW11" s="120"/>
      <c r="NBX11" s="120"/>
      <c r="NBY11" s="120"/>
      <c r="NBZ11" s="120"/>
      <c r="NCA11" s="120"/>
      <c r="NCB11" s="120"/>
      <c r="NCC11" s="120"/>
      <c r="NCD11" s="120"/>
      <c r="NCE11" s="120"/>
      <c r="NCF11" s="120"/>
      <c r="NCG11" s="120"/>
      <c r="NCH11" s="120"/>
      <c r="NCI11" s="120"/>
      <c r="NCJ11" s="120"/>
      <c r="NCK11" s="120"/>
      <c r="NCL11" s="120"/>
      <c r="NCM11" s="120"/>
      <c r="NCN11" s="120"/>
      <c r="NCO11" s="120"/>
      <c r="NCP11" s="120"/>
      <c r="NCQ11" s="120"/>
      <c r="NCR11" s="120"/>
      <c r="NCS11" s="120"/>
      <c r="NCT11" s="120"/>
      <c r="NCU11" s="120"/>
      <c r="NCV11" s="120"/>
      <c r="NCW11" s="120"/>
      <c r="NCX11" s="120"/>
      <c r="NCY11" s="120"/>
      <c r="NCZ11" s="120"/>
      <c r="NDA11" s="120"/>
      <c r="NDB11" s="120"/>
      <c r="NDC11" s="120"/>
      <c r="NDD11" s="120"/>
      <c r="NDE11" s="120"/>
      <c r="NDF11" s="120"/>
      <c r="NDG11" s="120"/>
      <c r="NDH11" s="120"/>
      <c r="NDI11" s="120"/>
      <c r="NDJ11" s="120"/>
      <c r="NDK11" s="120"/>
      <c r="NDL11" s="120"/>
      <c r="NDM11" s="120"/>
      <c r="NDN11" s="120"/>
      <c r="NDO11" s="120"/>
      <c r="NDP11" s="120"/>
      <c r="NDQ11" s="120"/>
      <c r="NDR11" s="120"/>
      <c r="NDS11" s="120"/>
      <c r="NDT11" s="120"/>
      <c r="NDU11" s="120"/>
      <c r="NDV11" s="120"/>
      <c r="NDW11" s="120"/>
      <c r="NDX11" s="120"/>
      <c r="NDY11" s="120"/>
      <c r="NDZ11" s="120"/>
      <c r="NEA11" s="120"/>
      <c r="NEB11" s="120"/>
      <c r="NEC11" s="120"/>
      <c r="NED11" s="120"/>
      <c r="NEE11" s="120"/>
      <c r="NEF11" s="120"/>
      <c r="NEG11" s="120"/>
      <c r="NEH11" s="120"/>
      <c r="NEI11" s="120"/>
      <c r="NEJ11" s="120"/>
      <c r="NEK11" s="120"/>
      <c r="NEL11" s="120"/>
      <c r="NEM11" s="120"/>
      <c r="NEN11" s="120"/>
      <c r="NEO11" s="120"/>
      <c r="NEP11" s="120"/>
      <c r="NEQ11" s="120"/>
      <c r="NER11" s="120"/>
      <c r="NES11" s="120"/>
      <c r="NET11" s="120"/>
      <c r="NEU11" s="120"/>
      <c r="NEV11" s="120"/>
      <c r="NEW11" s="120"/>
      <c r="NEX11" s="120"/>
      <c r="NEY11" s="120"/>
      <c r="NEZ11" s="120"/>
      <c r="NFA11" s="120"/>
      <c r="NFB11" s="120"/>
      <c r="NFC11" s="120"/>
      <c r="NFD11" s="120"/>
      <c r="NFE11" s="120"/>
      <c r="NFF11" s="120"/>
      <c r="NFG11" s="120"/>
      <c r="NFH11" s="120"/>
      <c r="NFI11" s="120"/>
      <c r="NFJ11" s="120"/>
      <c r="NFK11" s="120"/>
      <c r="NFL11" s="120"/>
      <c r="NFM11" s="120"/>
      <c r="NFN11" s="120"/>
      <c r="NFO11" s="120"/>
      <c r="NFP11" s="120"/>
      <c r="NFQ11" s="120"/>
      <c r="NFR11" s="120"/>
      <c r="NFS11" s="120"/>
      <c r="NFT11" s="120"/>
      <c r="NFU11" s="120"/>
      <c r="NFV11" s="120"/>
      <c r="NFW11" s="120"/>
      <c r="NFX11" s="120"/>
      <c r="NFY11" s="120"/>
      <c r="NFZ11" s="120"/>
      <c r="NGA11" s="120"/>
      <c r="NGB11" s="120"/>
      <c r="NGC11" s="120"/>
      <c r="NGD11" s="120"/>
      <c r="NGE11" s="120"/>
      <c r="NGF11" s="120"/>
      <c r="NGG11" s="120"/>
      <c r="NGH11" s="120"/>
      <c r="NGI11" s="120"/>
      <c r="NGJ11" s="120"/>
      <c r="NGK11" s="120"/>
      <c r="NGL11" s="120"/>
      <c r="NGM11" s="120"/>
      <c r="NGN11" s="120"/>
      <c r="NGO11" s="120"/>
      <c r="NGP11" s="120"/>
      <c r="NGQ11" s="120"/>
      <c r="NGR11" s="120"/>
      <c r="NGS11" s="120"/>
      <c r="NGT11" s="120"/>
      <c r="NGU11" s="120"/>
      <c r="NGV11" s="120"/>
      <c r="NGW11" s="120"/>
      <c r="NGX11" s="120"/>
      <c r="NGY11" s="120"/>
      <c r="NGZ11" s="120"/>
      <c r="NHA11" s="120"/>
      <c r="NHB11" s="120"/>
      <c r="NHC11" s="120"/>
      <c r="NHD11" s="120"/>
      <c r="NHE11" s="120"/>
      <c r="NHF11" s="120"/>
      <c r="NHG11" s="120"/>
      <c r="NHH11" s="120"/>
      <c r="NHI11" s="120"/>
      <c r="NHJ11" s="120"/>
      <c r="NHK11" s="120"/>
      <c r="NHL11" s="120"/>
      <c r="NHM11" s="120"/>
      <c r="NHN11" s="120"/>
      <c r="NHO11" s="120"/>
      <c r="NHP11" s="120"/>
      <c r="NHQ11" s="120"/>
      <c r="NHR11" s="120"/>
      <c r="NHS11" s="120"/>
      <c r="NHT11" s="120"/>
      <c r="NHU11" s="120"/>
      <c r="NHV11" s="120"/>
      <c r="NHW11" s="120"/>
      <c r="NHX11" s="120"/>
      <c r="NHY11" s="120"/>
      <c r="NHZ11" s="120"/>
      <c r="NIA11" s="120"/>
      <c r="NIB11" s="120"/>
      <c r="NIC11" s="120"/>
      <c r="NID11" s="120"/>
      <c r="NIE11" s="120"/>
      <c r="NIF11" s="120"/>
      <c r="NIG11" s="120"/>
      <c r="NIH11" s="120"/>
      <c r="NII11" s="120"/>
      <c r="NIJ11" s="120"/>
      <c r="NIK11" s="120"/>
      <c r="NIL11" s="120"/>
      <c r="NIM11" s="120"/>
      <c r="NIN11" s="120"/>
      <c r="NIO11" s="120"/>
      <c r="NIP11" s="120"/>
      <c r="NIQ11" s="120"/>
      <c r="NIR11" s="120"/>
      <c r="NIS11" s="120"/>
      <c r="NIT11" s="120"/>
      <c r="NIU11" s="120"/>
      <c r="NIV11" s="120"/>
      <c r="NIW11" s="120"/>
      <c r="NIX11" s="120"/>
      <c r="NIY11" s="120"/>
      <c r="NIZ11" s="120"/>
      <c r="NJA11" s="120"/>
      <c r="NJB11" s="120"/>
      <c r="NJC11" s="120"/>
      <c r="NJD11" s="120"/>
      <c r="NJE11" s="120"/>
      <c r="NJF11" s="120"/>
      <c r="NJG11" s="120"/>
      <c r="NJH11" s="120"/>
      <c r="NJI11" s="120"/>
      <c r="NJJ11" s="120"/>
      <c r="NJK11" s="120"/>
      <c r="NJL11" s="120"/>
      <c r="NJM11" s="120"/>
      <c r="NJN11" s="120"/>
      <c r="NJO11" s="120"/>
      <c r="NJP11" s="120"/>
      <c r="NJQ11" s="120"/>
      <c r="NJR11" s="120"/>
      <c r="NJS11" s="120"/>
      <c r="NJT11" s="120"/>
      <c r="NJU11" s="120"/>
      <c r="NJV11" s="120"/>
      <c r="NJW11" s="120"/>
      <c r="NJX11" s="120"/>
      <c r="NJY11" s="120"/>
      <c r="NJZ11" s="120"/>
      <c r="NKA11" s="120"/>
      <c r="NKB11" s="120"/>
      <c r="NKC11" s="120"/>
      <c r="NKD11" s="120"/>
      <c r="NKE11" s="120"/>
      <c r="NKF11" s="120"/>
      <c r="NKG11" s="120"/>
      <c r="NKH11" s="120"/>
      <c r="NKI11" s="120"/>
      <c r="NKJ11" s="120"/>
      <c r="NKK11" s="120"/>
      <c r="NKL11" s="120"/>
      <c r="NKM11" s="120"/>
      <c r="NKN11" s="120"/>
      <c r="NKO11" s="120"/>
      <c r="NKP11" s="120"/>
      <c r="NKQ11" s="120"/>
      <c r="NKR11" s="120"/>
      <c r="NKS11" s="120"/>
      <c r="NKT11" s="120"/>
      <c r="NKU11" s="120"/>
      <c r="NKV11" s="120"/>
      <c r="NKW11" s="120"/>
      <c r="NKX11" s="120"/>
      <c r="NKY11" s="120"/>
      <c r="NKZ11" s="120"/>
      <c r="NLA11" s="120"/>
      <c r="NLB11" s="120"/>
      <c r="NLC11" s="120"/>
      <c r="NLD11" s="120"/>
      <c r="NLE11" s="120"/>
      <c r="NLF11" s="120"/>
      <c r="NLG11" s="120"/>
      <c r="NLH11" s="120"/>
      <c r="NLI11" s="120"/>
      <c r="NLJ11" s="120"/>
      <c r="NLK11" s="120"/>
      <c r="NLL11" s="120"/>
      <c r="NLM11" s="120"/>
      <c r="NLN11" s="120"/>
      <c r="NLO11" s="120"/>
      <c r="NLP11" s="120"/>
      <c r="NLQ11" s="120"/>
      <c r="NLR11" s="120"/>
      <c r="NLS11" s="120"/>
      <c r="NLT11" s="120"/>
      <c r="NLU11" s="120"/>
      <c r="NLV11" s="120"/>
      <c r="NLW11" s="120"/>
      <c r="NLX11" s="120"/>
      <c r="NLY11" s="120"/>
      <c r="NLZ11" s="120"/>
      <c r="NMA11" s="120"/>
      <c r="NMB11" s="120"/>
      <c r="NMC11" s="120"/>
      <c r="NMD11" s="120"/>
      <c r="NME11" s="120"/>
      <c r="NMF11" s="120"/>
      <c r="NMG11" s="120"/>
      <c r="NMH11" s="120"/>
      <c r="NMI11" s="120"/>
      <c r="NMJ11" s="120"/>
      <c r="NMK11" s="120"/>
      <c r="NML11" s="120"/>
      <c r="NMM11" s="120"/>
      <c r="NMN11" s="120"/>
      <c r="NMO11" s="120"/>
      <c r="NMP11" s="120"/>
      <c r="NMQ11" s="120"/>
      <c r="NMR11" s="120"/>
      <c r="NMS11" s="120"/>
      <c r="NMT11" s="120"/>
      <c r="NMU11" s="120"/>
      <c r="NMV11" s="120"/>
      <c r="NMW11" s="120"/>
      <c r="NMX11" s="120"/>
      <c r="NMY11" s="120"/>
      <c r="NMZ11" s="120"/>
      <c r="NNA11" s="120"/>
      <c r="NNB11" s="120"/>
      <c r="NNC11" s="120"/>
      <c r="NND11" s="120"/>
      <c r="NNE11" s="120"/>
      <c r="NNF11" s="120"/>
      <c r="NNG11" s="120"/>
      <c r="NNH11" s="120"/>
      <c r="NNI11" s="120"/>
      <c r="NNJ11" s="120"/>
      <c r="NNK11" s="120"/>
      <c r="NNL11" s="120"/>
      <c r="NNM11" s="120"/>
      <c r="NNN11" s="120"/>
      <c r="NNO11" s="120"/>
      <c r="NNP11" s="120"/>
      <c r="NNQ11" s="120"/>
      <c r="NNR11" s="120"/>
      <c r="NNS11" s="120"/>
      <c r="NNT11" s="120"/>
      <c r="NNU11" s="120"/>
      <c r="NNV11" s="120"/>
      <c r="NNW11" s="120"/>
      <c r="NNX11" s="120"/>
      <c r="NNY11" s="120"/>
      <c r="NNZ11" s="120"/>
      <c r="NOA11" s="120"/>
      <c r="NOB11" s="120"/>
      <c r="NOC11" s="120"/>
      <c r="NOD11" s="120"/>
      <c r="NOE11" s="120"/>
      <c r="NOF11" s="120"/>
      <c r="NOG11" s="120"/>
      <c r="NOH11" s="120"/>
      <c r="NOI11" s="120"/>
      <c r="NOJ11" s="120"/>
      <c r="NOK11" s="120"/>
      <c r="NOL11" s="120"/>
      <c r="NOM11" s="120"/>
      <c r="NON11" s="120"/>
      <c r="NOO11" s="120"/>
      <c r="NOP11" s="120"/>
      <c r="NOQ11" s="120"/>
      <c r="NOR11" s="120"/>
      <c r="NOS11" s="120"/>
      <c r="NOT11" s="120"/>
      <c r="NOU11" s="120"/>
      <c r="NOV11" s="120"/>
      <c r="NOW11" s="120"/>
      <c r="NOX11" s="120"/>
      <c r="NOY11" s="120"/>
      <c r="NOZ11" s="120"/>
      <c r="NPA11" s="120"/>
      <c r="NPB11" s="120"/>
      <c r="NPC11" s="120"/>
      <c r="NPD11" s="120"/>
      <c r="NPE11" s="120"/>
      <c r="NPF11" s="120"/>
      <c r="NPG11" s="120"/>
      <c r="NPH11" s="120"/>
      <c r="NPI11" s="120"/>
      <c r="NPJ11" s="120"/>
      <c r="NPK11" s="120"/>
      <c r="NPL11" s="120"/>
      <c r="NPM11" s="120"/>
      <c r="NPN11" s="120"/>
      <c r="NPO11" s="120"/>
      <c r="NPP11" s="120"/>
      <c r="NPQ11" s="120"/>
      <c r="NPR11" s="120"/>
      <c r="NPS11" s="120"/>
      <c r="NPT11" s="120"/>
      <c r="NPU11" s="120"/>
      <c r="NPV11" s="120"/>
      <c r="NPW11" s="120"/>
      <c r="NPX11" s="120"/>
      <c r="NPY11" s="120"/>
      <c r="NPZ11" s="120"/>
      <c r="NQA11" s="120"/>
      <c r="NQB11" s="120"/>
      <c r="NQC11" s="120"/>
      <c r="NQD11" s="120"/>
      <c r="NQE11" s="120"/>
      <c r="NQF11" s="120"/>
      <c r="NQG11" s="120"/>
      <c r="NQH11" s="120"/>
      <c r="NQI11" s="120"/>
      <c r="NQJ11" s="120"/>
      <c r="NQK11" s="120"/>
      <c r="NQL11" s="120"/>
      <c r="NQM11" s="120"/>
      <c r="NQN11" s="120"/>
      <c r="NQO11" s="120"/>
      <c r="NQP11" s="120"/>
      <c r="NQQ11" s="120"/>
      <c r="NQR11" s="120"/>
      <c r="NQS11" s="120"/>
      <c r="NQT11" s="120"/>
      <c r="NQU11" s="120"/>
      <c r="NQV11" s="120"/>
      <c r="NQW11" s="120"/>
      <c r="NQX11" s="120"/>
      <c r="NQY11" s="120"/>
      <c r="NQZ11" s="120"/>
      <c r="NRA11" s="120"/>
      <c r="NRB11" s="120"/>
      <c r="NRC11" s="120"/>
      <c r="NRD11" s="120"/>
      <c r="NRE11" s="120"/>
      <c r="NRF11" s="120"/>
      <c r="NRG11" s="120"/>
      <c r="NRH11" s="120"/>
      <c r="NRI11" s="120"/>
      <c r="NRJ11" s="120"/>
      <c r="NRK11" s="120"/>
      <c r="NRL11" s="120"/>
      <c r="NRM11" s="120"/>
      <c r="NRN11" s="120"/>
      <c r="NRO11" s="120"/>
      <c r="NRP11" s="120"/>
      <c r="NRQ11" s="120"/>
      <c r="NRR11" s="120"/>
      <c r="NRS11" s="120"/>
      <c r="NRT11" s="120"/>
      <c r="NRU11" s="120"/>
      <c r="NRV11" s="120"/>
      <c r="NRW11" s="120"/>
      <c r="NRX11" s="120"/>
      <c r="NRY11" s="120"/>
      <c r="NRZ11" s="120"/>
      <c r="NSA11" s="120"/>
      <c r="NSB11" s="120"/>
      <c r="NSC11" s="120"/>
      <c r="NSD11" s="120"/>
      <c r="NSE11" s="120"/>
      <c r="NSF11" s="120"/>
      <c r="NSG11" s="120"/>
      <c r="NSH11" s="120"/>
      <c r="NSI11" s="120"/>
      <c r="NSJ11" s="120"/>
      <c r="NSK11" s="120"/>
      <c r="NSL11" s="120"/>
      <c r="NSM11" s="120"/>
      <c r="NSN11" s="120"/>
      <c r="NSO11" s="120"/>
      <c r="NSP11" s="120"/>
      <c r="NSQ11" s="120"/>
      <c r="NSR11" s="120"/>
      <c r="NSS11" s="120"/>
      <c r="NST11" s="120"/>
      <c r="NSU11" s="120"/>
      <c r="NSV11" s="120"/>
      <c r="NSW11" s="120"/>
      <c r="NSX11" s="120"/>
      <c r="NSY11" s="120"/>
      <c r="NSZ11" s="120"/>
      <c r="NTA11" s="120"/>
      <c r="NTB11" s="120"/>
      <c r="NTC11" s="120"/>
      <c r="NTD11" s="120"/>
      <c r="NTE11" s="120"/>
      <c r="NTF11" s="120"/>
      <c r="NTG11" s="120"/>
      <c r="NTH11" s="120"/>
      <c r="NTI11" s="120"/>
      <c r="NTJ11" s="120"/>
      <c r="NTK11" s="120"/>
      <c r="NTL11" s="120"/>
      <c r="NTM11" s="120"/>
      <c r="NTN11" s="120"/>
      <c r="NTO11" s="120"/>
      <c r="NTP11" s="120"/>
      <c r="NTQ11" s="120"/>
      <c r="NTR11" s="120"/>
      <c r="NTS11" s="120"/>
      <c r="NTT11" s="120"/>
      <c r="NTU11" s="120"/>
      <c r="NTV11" s="120"/>
      <c r="NTW11" s="120"/>
      <c r="NTX11" s="120"/>
      <c r="NTY11" s="120"/>
      <c r="NTZ11" s="120"/>
      <c r="NUA11" s="120"/>
      <c r="NUB11" s="120"/>
      <c r="NUC11" s="120"/>
      <c r="NUD11" s="120"/>
      <c r="NUE11" s="120"/>
      <c r="NUF11" s="120"/>
      <c r="NUG11" s="120"/>
      <c r="NUH11" s="120"/>
      <c r="NUI11" s="120"/>
      <c r="NUJ11" s="120"/>
      <c r="NUK11" s="120"/>
      <c r="NUL11" s="120"/>
      <c r="NUM11" s="120"/>
      <c r="NUN11" s="120"/>
      <c r="NUO11" s="120"/>
      <c r="NUP11" s="120"/>
      <c r="NUQ11" s="120"/>
      <c r="NUR11" s="120"/>
      <c r="NUS11" s="120"/>
      <c r="NUT11" s="120"/>
      <c r="NUU11" s="120"/>
      <c r="NUV11" s="120"/>
      <c r="NUW11" s="120"/>
      <c r="NUX11" s="120"/>
      <c r="NUY11" s="120"/>
      <c r="NUZ11" s="120"/>
      <c r="NVA11" s="120"/>
      <c r="NVB11" s="120"/>
      <c r="NVC11" s="120"/>
      <c r="NVD11" s="120"/>
      <c r="NVE11" s="120"/>
      <c r="NVF11" s="120"/>
      <c r="NVG11" s="120"/>
      <c r="NVH11" s="120"/>
      <c r="NVI11" s="120"/>
      <c r="NVJ11" s="120"/>
      <c r="NVK11" s="120"/>
      <c r="NVL11" s="120"/>
      <c r="NVM11" s="120"/>
      <c r="NVN11" s="120"/>
      <c r="NVO11" s="120"/>
      <c r="NVP11" s="120"/>
      <c r="NVQ11" s="120"/>
      <c r="NVR11" s="120"/>
      <c r="NVS11" s="120"/>
      <c r="NVT11" s="120"/>
      <c r="NVU11" s="120"/>
      <c r="NVV11" s="120"/>
      <c r="NVW11" s="120"/>
      <c r="NVX11" s="120"/>
      <c r="NVY11" s="120"/>
      <c r="NVZ11" s="120"/>
      <c r="NWA11" s="120"/>
      <c r="NWB11" s="120"/>
      <c r="NWC11" s="120"/>
      <c r="NWD11" s="120"/>
      <c r="NWE11" s="120"/>
      <c r="NWF11" s="120"/>
      <c r="NWG11" s="120"/>
      <c r="NWH11" s="120"/>
      <c r="NWI11" s="120"/>
      <c r="NWJ11" s="120"/>
      <c r="NWK11" s="120"/>
      <c r="NWL11" s="120"/>
      <c r="NWM11" s="120"/>
      <c r="NWN11" s="120"/>
      <c r="NWO11" s="120"/>
      <c r="NWP11" s="120"/>
      <c r="NWQ11" s="120"/>
      <c r="NWR11" s="120"/>
      <c r="NWS11" s="120"/>
      <c r="NWT11" s="120"/>
      <c r="NWU11" s="120"/>
      <c r="NWV11" s="120"/>
      <c r="NWW11" s="120"/>
      <c r="NWX11" s="120"/>
      <c r="NWY11" s="120"/>
      <c r="NWZ11" s="120"/>
      <c r="NXA11" s="120"/>
      <c r="NXB11" s="120"/>
      <c r="NXC11" s="120"/>
      <c r="NXD11" s="120"/>
      <c r="NXE11" s="120"/>
      <c r="NXF11" s="120"/>
      <c r="NXG11" s="120"/>
      <c r="NXH11" s="120"/>
      <c r="NXI11" s="120"/>
      <c r="NXJ11" s="120"/>
      <c r="NXK11" s="120"/>
      <c r="NXL11" s="120"/>
      <c r="NXM11" s="120"/>
      <c r="NXN11" s="120"/>
      <c r="NXO11" s="120"/>
      <c r="NXP11" s="120"/>
      <c r="NXQ11" s="120"/>
      <c r="NXR11" s="120"/>
      <c r="NXS11" s="120"/>
      <c r="NXT11" s="120"/>
      <c r="NXU11" s="120"/>
      <c r="NXV11" s="120"/>
      <c r="NXW11" s="120"/>
      <c r="NXX11" s="120"/>
      <c r="NXY11" s="120"/>
      <c r="NXZ11" s="120"/>
      <c r="NYA11" s="120"/>
      <c r="NYB11" s="120"/>
      <c r="NYC11" s="120"/>
      <c r="NYD11" s="120"/>
      <c r="NYE11" s="120"/>
      <c r="NYF11" s="120"/>
      <c r="NYG11" s="120"/>
      <c r="NYH11" s="120"/>
      <c r="NYI11" s="120"/>
      <c r="NYJ11" s="120"/>
      <c r="NYK11" s="120"/>
      <c r="NYL11" s="120"/>
      <c r="NYM11" s="120"/>
      <c r="NYN11" s="120"/>
      <c r="NYO11" s="120"/>
      <c r="NYP11" s="120"/>
      <c r="NYQ11" s="120"/>
      <c r="NYR11" s="120"/>
      <c r="NYS11" s="120"/>
      <c r="NYT11" s="120"/>
      <c r="NYU11" s="120"/>
      <c r="NYV11" s="120"/>
      <c r="NYW11" s="120"/>
      <c r="NYX11" s="120"/>
      <c r="NYY11" s="120"/>
      <c r="NYZ11" s="120"/>
      <c r="NZA11" s="120"/>
      <c r="NZB11" s="120"/>
      <c r="NZC11" s="120"/>
      <c r="NZD11" s="120"/>
      <c r="NZE11" s="120"/>
      <c r="NZF11" s="120"/>
      <c r="NZG11" s="120"/>
      <c r="NZH11" s="120"/>
      <c r="NZI11" s="120"/>
      <c r="NZJ11" s="120"/>
      <c r="NZK11" s="120"/>
      <c r="NZL11" s="120"/>
      <c r="NZM11" s="120"/>
      <c r="NZN11" s="120"/>
      <c r="NZO11" s="120"/>
      <c r="NZP11" s="120"/>
      <c r="NZQ11" s="120"/>
      <c r="NZR11" s="120"/>
      <c r="NZS11" s="120"/>
      <c r="NZT11" s="120"/>
      <c r="NZU11" s="120"/>
      <c r="NZV11" s="120"/>
      <c r="NZW11" s="120"/>
      <c r="NZX11" s="120"/>
      <c r="NZY11" s="120"/>
      <c r="NZZ11" s="120"/>
      <c r="OAA11" s="120"/>
      <c r="OAB11" s="120"/>
      <c r="OAC11" s="120"/>
      <c r="OAD11" s="120"/>
      <c r="OAE11" s="120"/>
      <c r="OAF11" s="120"/>
      <c r="OAG11" s="120"/>
      <c r="OAH11" s="120"/>
      <c r="OAI11" s="120"/>
      <c r="OAJ11" s="120"/>
      <c r="OAK11" s="120"/>
      <c r="OAL11" s="120"/>
      <c r="OAM11" s="120"/>
      <c r="OAN11" s="120"/>
      <c r="OAO11" s="120"/>
      <c r="OAP11" s="120"/>
      <c r="OAQ11" s="120"/>
      <c r="OAR11" s="120"/>
      <c r="OAS11" s="120"/>
      <c r="OAT11" s="120"/>
      <c r="OAU11" s="120"/>
      <c r="OAV11" s="120"/>
      <c r="OAW11" s="120"/>
      <c r="OAX11" s="120"/>
      <c r="OAY11" s="120"/>
      <c r="OAZ11" s="120"/>
      <c r="OBA11" s="120"/>
      <c r="OBB11" s="120"/>
      <c r="OBC11" s="120"/>
      <c r="OBD11" s="120"/>
      <c r="OBE11" s="120"/>
      <c r="OBF11" s="120"/>
      <c r="OBG11" s="120"/>
      <c r="OBH11" s="120"/>
      <c r="OBI11" s="120"/>
      <c r="OBJ11" s="120"/>
      <c r="OBK11" s="120"/>
      <c r="OBL11" s="120"/>
      <c r="OBM11" s="120"/>
      <c r="OBN11" s="120"/>
      <c r="OBO11" s="120"/>
      <c r="OBP11" s="120"/>
      <c r="OBQ11" s="120"/>
      <c r="OBR11" s="120"/>
      <c r="OBS11" s="120"/>
      <c r="OBT11" s="120"/>
      <c r="OBU11" s="120"/>
      <c r="OBV11" s="120"/>
      <c r="OBW11" s="120"/>
      <c r="OBX11" s="120"/>
      <c r="OBY11" s="120"/>
      <c r="OBZ11" s="120"/>
      <c r="OCA11" s="120"/>
      <c r="OCB11" s="120"/>
      <c r="OCC11" s="120"/>
      <c r="OCD11" s="120"/>
      <c r="OCE11" s="120"/>
      <c r="OCF11" s="120"/>
      <c r="OCG11" s="120"/>
      <c r="OCH11" s="120"/>
      <c r="OCI11" s="120"/>
      <c r="OCJ11" s="120"/>
      <c r="OCK11" s="120"/>
      <c r="OCL11" s="120"/>
      <c r="OCM11" s="120"/>
      <c r="OCN11" s="120"/>
      <c r="OCO11" s="120"/>
      <c r="OCP11" s="120"/>
      <c r="OCQ11" s="120"/>
      <c r="OCR11" s="120"/>
      <c r="OCS11" s="120"/>
      <c r="OCT11" s="120"/>
      <c r="OCU11" s="120"/>
      <c r="OCV11" s="120"/>
      <c r="OCW11" s="120"/>
      <c r="OCX11" s="120"/>
      <c r="OCY11" s="120"/>
      <c r="OCZ11" s="120"/>
      <c r="ODA11" s="120"/>
      <c r="ODB11" s="120"/>
      <c r="ODC11" s="120"/>
      <c r="ODD11" s="120"/>
      <c r="ODE11" s="120"/>
      <c r="ODF11" s="120"/>
      <c r="ODG11" s="120"/>
      <c r="ODH11" s="120"/>
      <c r="ODI11" s="120"/>
      <c r="ODJ11" s="120"/>
      <c r="ODK11" s="120"/>
      <c r="ODL11" s="120"/>
      <c r="ODM11" s="120"/>
      <c r="ODN11" s="120"/>
      <c r="ODO11" s="120"/>
      <c r="ODP11" s="120"/>
      <c r="ODQ11" s="120"/>
      <c r="ODR11" s="120"/>
      <c r="ODS11" s="120"/>
      <c r="ODT11" s="120"/>
      <c r="ODU11" s="120"/>
      <c r="ODV11" s="120"/>
      <c r="ODW11" s="120"/>
      <c r="ODX11" s="120"/>
      <c r="ODY11" s="120"/>
      <c r="ODZ11" s="120"/>
      <c r="OEA11" s="120"/>
      <c r="OEB11" s="120"/>
      <c r="OEC11" s="120"/>
      <c r="OED11" s="120"/>
      <c r="OEE11" s="120"/>
      <c r="OEF11" s="120"/>
      <c r="OEG11" s="120"/>
      <c r="OEH11" s="120"/>
      <c r="OEI11" s="120"/>
      <c r="OEJ11" s="120"/>
      <c r="OEK11" s="120"/>
      <c r="OEL11" s="120"/>
      <c r="OEM11" s="120"/>
      <c r="OEN11" s="120"/>
      <c r="OEO11" s="120"/>
      <c r="OEP11" s="120"/>
      <c r="OEQ11" s="120"/>
      <c r="OER11" s="120"/>
      <c r="OES11" s="120"/>
      <c r="OET11" s="120"/>
      <c r="OEU11" s="120"/>
      <c r="OEV11" s="120"/>
      <c r="OEW11" s="120"/>
      <c r="OEX11" s="120"/>
      <c r="OEY11" s="120"/>
      <c r="OEZ11" s="120"/>
      <c r="OFA11" s="120"/>
      <c r="OFB11" s="120"/>
      <c r="OFC11" s="120"/>
      <c r="OFD11" s="120"/>
      <c r="OFE11" s="120"/>
      <c r="OFF11" s="120"/>
      <c r="OFG11" s="120"/>
      <c r="OFH11" s="120"/>
      <c r="OFI11" s="120"/>
      <c r="OFJ11" s="120"/>
      <c r="OFK11" s="120"/>
      <c r="OFL11" s="120"/>
      <c r="OFM11" s="120"/>
      <c r="OFN11" s="120"/>
      <c r="OFO11" s="120"/>
      <c r="OFP11" s="120"/>
      <c r="OFQ11" s="120"/>
      <c r="OFR11" s="120"/>
      <c r="OFS11" s="120"/>
      <c r="OFT11" s="120"/>
      <c r="OFU11" s="120"/>
      <c r="OFV11" s="120"/>
      <c r="OFW11" s="120"/>
      <c r="OFX11" s="120"/>
      <c r="OFY11" s="120"/>
      <c r="OFZ11" s="120"/>
      <c r="OGA11" s="120"/>
      <c r="OGB11" s="120"/>
      <c r="OGC11" s="120"/>
      <c r="OGD11" s="120"/>
      <c r="OGE11" s="120"/>
      <c r="OGF11" s="120"/>
      <c r="OGG11" s="120"/>
      <c r="OGH11" s="120"/>
      <c r="OGI11" s="120"/>
      <c r="OGJ11" s="120"/>
      <c r="OGK11" s="120"/>
      <c r="OGL11" s="120"/>
      <c r="OGM11" s="120"/>
      <c r="OGN11" s="120"/>
      <c r="OGO11" s="120"/>
      <c r="OGP11" s="120"/>
      <c r="OGQ11" s="120"/>
      <c r="OGR11" s="120"/>
      <c r="OGS11" s="120"/>
      <c r="OGT11" s="120"/>
      <c r="OGU11" s="120"/>
      <c r="OGV11" s="120"/>
      <c r="OGW11" s="120"/>
      <c r="OGX11" s="120"/>
      <c r="OGY11" s="120"/>
      <c r="OGZ11" s="120"/>
      <c r="OHA11" s="120"/>
      <c r="OHB11" s="120"/>
      <c r="OHC11" s="120"/>
      <c r="OHD11" s="120"/>
      <c r="OHE11" s="120"/>
      <c r="OHF11" s="120"/>
      <c r="OHG11" s="120"/>
      <c r="OHH11" s="120"/>
      <c r="OHI11" s="120"/>
      <c r="OHJ11" s="120"/>
      <c r="OHK11" s="120"/>
      <c r="OHL11" s="120"/>
      <c r="OHM11" s="120"/>
      <c r="OHN11" s="120"/>
      <c r="OHO11" s="120"/>
      <c r="OHP11" s="120"/>
      <c r="OHQ11" s="120"/>
      <c r="OHR11" s="120"/>
      <c r="OHS11" s="120"/>
      <c r="OHT11" s="120"/>
      <c r="OHU11" s="120"/>
      <c r="OHV11" s="120"/>
      <c r="OHW11" s="120"/>
      <c r="OHX11" s="120"/>
      <c r="OHY11" s="120"/>
      <c r="OHZ11" s="120"/>
      <c r="OIA11" s="120"/>
      <c r="OIB11" s="120"/>
      <c r="OIC11" s="120"/>
      <c r="OID11" s="120"/>
      <c r="OIE11" s="120"/>
      <c r="OIF11" s="120"/>
      <c r="OIG11" s="120"/>
      <c r="OIH11" s="120"/>
      <c r="OII11" s="120"/>
      <c r="OIJ11" s="120"/>
      <c r="OIK11" s="120"/>
      <c r="OIL11" s="120"/>
      <c r="OIM11" s="120"/>
      <c r="OIN11" s="120"/>
      <c r="OIO11" s="120"/>
      <c r="OIP11" s="120"/>
      <c r="OIQ11" s="120"/>
      <c r="OIR11" s="120"/>
      <c r="OIS11" s="120"/>
      <c r="OIT11" s="120"/>
      <c r="OIU11" s="120"/>
      <c r="OIV11" s="120"/>
      <c r="OIW11" s="120"/>
      <c r="OIX11" s="120"/>
      <c r="OIY11" s="120"/>
      <c r="OIZ11" s="120"/>
      <c r="OJA11" s="120"/>
      <c r="OJB11" s="120"/>
      <c r="OJC11" s="120"/>
      <c r="OJD11" s="120"/>
      <c r="OJE11" s="120"/>
      <c r="OJF11" s="120"/>
      <c r="OJG11" s="120"/>
      <c r="OJH11" s="120"/>
      <c r="OJI11" s="120"/>
      <c r="OJJ11" s="120"/>
      <c r="OJK11" s="120"/>
      <c r="OJL11" s="120"/>
      <c r="OJM11" s="120"/>
      <c r="OJN11" s="120"/>
      <c r="OJO11" s="120"/>
      <c r="OJP11" s="120"/>
      <c r="OJQ11" s="120"/>
      <c r="OJR11" s="120"/>
      <c r="OJS11" s="120"/>
      <c r="OJT11" s="120"/>
      <c r="OJU11" s="120"/>
      <c r="OJV11" s="120"/>
      <c r="OJW11" s="120"/>
      <c r="OJX11" s="120"/>
      <c r="OJY11" s="120"/>
      <c r="OJZ11" s="120"/>
      <c r="OKA11" s="120"/>
      <c r="OKB11" s="120"/>
      <c r="OKC11" s="120"/>
      <c r="OKD11" s="120"/>
      <c r="OKE11" s="120"/>
      <c r="OKF11" s="120"/>
      <c r="OKG11" s="120"/>
      <c r="OKH11" s="120"/>
      <c r="OKI11" s="120"/>
      <c r="OKJ11" s="120"/>
      <c r="OKK11" s="120"/>
      <c r="OKL11" s="120"/>
      <c r="OKM11" s="120"/>
      <c r="OKN11" s="120"/>
      <c r="OKO11" s="120"/>
      <c r="OKP11" s="120"/>
      <c r="OKQ11" s="120"/>
      <c r="OKR11" s="120"/>
      <c r="OKS11" s="120"/>
      <c r="OKT11" s="120"/>
      <c r="OKU11" s="120"/>
      <c r="OKV11" s="120"/>
      <c r="OKW11" s="120"/>
      <c r="OKX11" s="120"/>
      <c r="OKY11" s="120"/>
      <c r="OKZ11" s="120"/>
      <c r="OLA11" s="120"/>
      <c r="OLB11" s="120"/>
      <c r="OLC11" s="120"/>
      <c r="OLD11" s="120"/>
      <c r="OLE11" s="120"/>
      <c r="OLF11" s="120"/>
      <c r="OLG11" s="120"/>
      <c r="OLH11" s="120"/>
      <c r="OLI11" s="120"/>
      <c r="OLJ11" s="120"/>
      <c r="OLK11" s="120"/>
      <c r="OLL11" s="120"/>
      <c r="OLM11" s="120"/>
      <c r="OLN11" s="120"/>
      <c r="OLO11" s="120"/>
      <c r="OLP11" s="120"/>
      <c r="OLQ11" s="120"/>
      <c r="OLR11" s="120"/>
      <c r="OLS11" s="120"/>
      <c r="OLT11" s="120"/>
      <c r="OLU11" s="120"/>
      <c r="OLV11" s="120"/>
      <c r="OLW11" s="120"/>
      <c r="OLX11" s="120"/>
      <c r="OLY11" s="120"/>
      <c r="OLZ11" s="120"/>
      <c r="OMA11" s="120"/>
      <c r="OMB11" s="120"/>
      <c r="OMC11" s="120"/>
      <c r="OMD11" s="120"/>
      <c r="OME11" s="120"/>
      <c r="OMF11" s="120"/>
      <c r="OMG11" s="120"/>
      <c r="OMH11" s="120"/>
      <c r="OMI11" s="120"/>
      <c r="OMJ11" s="120"/>
      <c r="OMK11" s="120"/>
      <c r="OML11" s="120"/>
      <c r="OMM11" s="120"/>
      <c r="OMN11" s="120"/>
      <c r="OMO11" s="120"/>
      <c r="OMP11" s="120"/>
      <c r="OMQ11" s="120"/>
      <c r="OMR11" s="120"/>
      <c r="OMS11" s="120"/>
      <c r="OMT11" s="120"/>
      <c r="OMU11" s="120"/>
      <c r="OMV11" s="120"/>
      <c r="OMW11" s="120"/>
      <c r="OMX11" s="120"/>
      <c r="OMY11" s="120"/>
      <c r="OMZ11" s="120"/>
      <c r="ONA11" s="120"/>
      <c r="ONB11" s="120"/>
      <c r="ONC11" s="120"/>
      <c r="OND11" s="120"/>
      <c r="ONE11" s="120"/>
      <c r="ONF11" s="120"/>
      <c r="ONG11" s="120"/>
      <c r="ONH11" s="120"/>
      <c r="ONI11" s="120"/>
      <c r="ONJ11" s="120"/>
      <c r="ONK11" s="120"/>
      <c r="ONL11" s="120"/>
      <c r="ONM11" s="120"/>
      <c r="ONN11" s="120"/>
      <c r="ONO11" s="120"/>
      <c r="ONP11" s="120"/>
      <c r="ONQ11" s="120"/>
      <c r="ONR11" s="120"/>
      <c r="ONS11" s="120"/>
      <c r="ONT11" s="120"/>
      <c r="ONU11" s="120"/>
      <c r="ONV11" s="120"/>
      <c r="ONW11" s="120"/>
      <c r="ONX11" s="120"/>
      <c r="ONY11" s="120"/>
      <c r="ONZ11" s="120"/>
      <c r="OOA11" s="120"/>
      <c r="OOB11" s="120"/>
      <c r="OOC11" s="120"/>
      <c r="OOD11" s="120"/>
      <c r="OOE11" s="120"/>
      <c r="OOF11" s="120"/>
      <c r="OOG11" s="120"/>
      <c r="OOH11" s="120"/>
      <c r="OOI11" s="120"/>
      <c r="OOJ11" s="120"/>
      <c r="OOK11" s="120"/>
      <c r="OOL11" s="120"/>
      <c r="OOM11" s="120"/>
      <c r="OON11" s="120"/>
      <c r="OOO11" s="120"/>
      <c r="OOP11" s="120"/>
      <c r="OOQ11" s="120"/>
      <c r="OOR11" s="120"/>
      <c r="OOS11" s="120"/>
      <c r="OOT11" s="120"/>
      <c r="OOU11" s="120"/>
      <c r="OOV11" s="120"/>
      <c r="OOW11" s="120"/>
      <c r="OOX11" s="120"/>
      <c r="OOY11" s="120"/>
      <c r="OOZ11" s="120"/>
      <c r="OPA11" s="120"/>
      <c r="OPB11" s="120"/>
      <c r="OPC11" s="120"/>
      <c r="OPD11" s="120"/>
      <c r="OPE11" s="120"/>
      <c r="OPF11" s="120"/>
      <c r="OPG11" s="120"/>
      <c r="OPH11" s="120"/>
      <c r="OPI11" s="120"/>
      <c r="OPJ11" s="120"/>
      <c r="OPK11" s="120"/>
      <c r="OPL11" s="120"/>
      <c r="OPM11" s="120"/>
      <c r="OPN11" s="120"/>
      <c r="OPO11" s="120"/>
      <c r="OPP11" s="120"/>
      <c r="OPQ11" s="120"/>
      <c r="OPR11" s="120"/>
      <c r="OPS11" s="120"/>
      <c r="OPT11" s="120"/>
      <c r="OPU11" s="120"/>
      <c r="OPV11" s="120"/>
      <c r="OPW11" s="120"/>
      <c r="OPX11" s="120"/>
      <c r="OPY11" s="120"/>
      <c r="OPZ11" s="120"/>
      <c r="OQA11" s="120"/>
      <c r="OQB11" s="120"/>
      <c r="OQC11" s="120"/>
      <c r="OQD11" s="120"/>
      <c r="OQE11" s="120"/>
      <c r="OQF11" s="120"/>
      <c r="OQG11" s="120"/>
      <c r="OQH11" s="120"/>
      <c r="OQI11" s="120"/>
      <c r="OQJ11" s="120"/>
      <c r="OQK11" s="120"/>
      <c r="OQL11" s="120"/>
      <c r="OQM11" s="120"/>
      <c r="OQN11" s="120"/>
      <c r="OQO11" s="120"/>
      <c r="OQP11" s="120"/>
      <c r="OQQ11" s="120"/>
      <c r="OQR11" s="120"/>
      <c r="OQS11" s="120"/>
      <c r="OQT11" s="120"/>
      <c r="OQU11" s="120"/>
      <c r="OQV11" s="120"/>
      <c r="OQW11" s="120"/>
      <c r="OQX11" s="120"/>
      <c r="OQY11" s="120"/>
      <c r="OQZ11" s="120"/>
      <c r="ORA11" s="120"/>
      <c r="ORB11" s="120"/>
      <c r="ORC11" s="120"/>
      <c r="ORD11" s="120"/>
      <c r="ORE11" s="120"/>
      <c r="ORF11" s="120"/>
      <c r="ORG11" s="120"/>
      <c r="ORH11" s="120"/>
      <c r="ORI11" s="120"/>
      <c r="ORJ11" s="120"/>
      <c r="ORK11" s="120"/>
      <c r="ORL11" s="120"/>
      <c r="ORM11" s="120"/>
      <c r="ORN11" s="120"/>
      <c r="ORO11" s="120"/>
      <c r="ORP11" s="120"/>
      <c r="ORQ11" s="120"/>
      <c r="ORR11" s="120"/>
      <c r="ORS11" s="120"/>
      <c r="ORT11" s="120"/>
      <c r="ORU11" s="120"/>
      <c r="ORV11" s="120"/>
      <c r="ORW11" s="120"/>
      <c r="ORX11" s="120"/>
      <c r="ORY11" s="120"/>
      <c r="ORZ11" s="120"/>
      <c r="OSA11" s="120"/>
      <c r="OSB11" s="120"/>
      <c r="OSC11" s="120"/>
      <c r="OSD11" s="120"/>
      <c r="OSE11" s="120"/>
      <c r="OSF11" s="120"/>
      <c r="OSG11" s="120"/>
      <c r="OSH11" s="120"/>
      <c r="OSI11" s="120"/>
      <c r="OSJ11" s="120"/>
      <c r="OSK11" s="120"/>
      <c r="OSL11" s="120"/>
      <c r="OSM11" s="120"/>
      <c r="OSN11" s="120"/>
      <c r="OSO11" s="120"/>
      <c r="OSP11" s="120"/>
      <c r="OSQ11" s="120"/>
      <c r="OSR11" s="120"/>
      <c r="OSS11" s="120"/>
      <c r="OST11" s="120"/>
      <c r="OSU11" s="120"/>
      <c r="OSV11" s="120"/>
      <c r="OSW11" s="120"/>
      <c r="OSX11" s="120"/>
      <c r="OSY11" s="120"/>
      <c r="OSZ11" s="120"/>
      <c r="OTA11" s="120"/>
      <c r="OTB11" s="120"/>
      <c r="OTC11" s="120"/>
      <c r="OTD11" s="120"/>
      <c r="OTE11" s="120"/>
      <c r="OTF11" s="120"/>
      <c r="OTG11" s="120"/>
      <c r="OTH11" s="120"/>
      <c r="OTI11" s="120"/>
      <c r="OTJ11" s="120"/>
      <c r="OTK11" s="120"/>
      <c r="OTL11" s="120"/>
      <c r="OTM11" s="120"/>
      <c r="OTN11" s="120"/>
      <c r="OTO11" s="120"/>
      <c r="OTP11" s="120"/>
      <c r="OTQ11" s="120"/>
      <c r="OTR11" s="120"/>
      <c r="OTS11" s="120"/>
      <c r="OTT11" s="120"/>
      <c r="OTU11" s="120"/>
      <c r="OTV11" s="120"/>
      <c r="OTW11" s="120"/>
      <c r="OTX11" s="120"/>
      <c r="OTY11" s="120"/>
      <c r="OTZ11" s="120"/>
      <c r="OUA11" s="120"/>
      <c r="OUB11" s="120"/>
      <c r="OUC11" s="120"/>
      <c r="OUD11" s="120"/>
      <c r="OUE11" s="120"/>
      <c r="OUF11" s="120"/>
      <c r="OUG11" s="120"/>
      <c r="OUH11" s="120"/>
      <c r="OUI11" s="120"/>
      <c r="OUJ11" s="120"/>
      <c r="OUK11" s="120"/>
      <c r="OUL11" s="120"/>
      <c r="OUM11" s="120"/>
      <c r="OUN11" s="120"/>
      <c r="OUO11" s="120"/>
      <c r="OUP11" s="120"/>
      <c r="OUQ11" s="120"/>
      <c r="OUR11" s="120"/>
      <c r="OUS11" s="120"/>
      <c r="OUT11" s="120"/>
      <c r="OUU11" s="120"/>
      <c r="OUV11" s="120"/>
      <c r="OUW11" s="120"/>
      <c r="OUX11" s="120"/>
      <c r="OUY11" s="120"/>
      <c r="OUZ11" s="120"/>
      <c r="OVA11" s="120"/>
      <c r="OVB11" s="120"/>
      <c r="OVC11" s="120"/>
      <c r="OVD11" s="120"/>
      <c r="OVE11" s="120"/>
      <c r="OVF11" s="120"/>
      <c r="OVG11" s="120"/>
      <c r="OVH11" s="120"/>
      <c r="OVI11" s="120"/>
      <c r="OVJ11" s="120"/>
      <c r="OVK11" s="120"/>
      <c r="OVL11" s="120"/>
      <c r="OVM11" s="120"/>
      <c r="OVN11" s="120"/>
      <c r="OVO11" s="120"/>
      <c r="OVP11" s="120"/>
      <c r="OVQ11" s="120"/>
      <c r="OVR11" s="120"/>
      <c r="OVS11" s="120"/>
      <c r="OVT11" s="120"/>
      <c r="OVU11" s="120"/>
      <c r="OVV11" s="120"/>
      <c r="OVW11" s="120"/>
      <c r="OVX11" s="120"/>
      <c r="OVY11" s="120"/>
      <c r="OVZ11" s="120"/>
      <c r="OWA11" s="120"/>
      <c r="OWB11" s="120"/>
      <c r="OWC11" s="120"/>
      <c r="OWD11" s="120"/>
      <c r="OWE11" s="120"/>
      <c r="OWF11" s="120"/>
      <c r="OWG11" s="120"/>
      <c r="OWH11" s="120"/>
      <c r="OWI11" s="120"/>
      <c r="OWJ11" s="120"/>
      <c r="OWK11" s="120"/>
      <c r="OWL11" s="120"/>
      <c r="OWM11" s="120"/>
      <c r="OWN11" s="120"/>
      <c r="OWO11" s="120"/>
      <c r="OWP11" s="120"/>
      <c r="OWQ11" s="120"/>
      <c r="OWR11" s="120"/>
      <c r="OWS11" s="120"/>
      <c r="OWT11" s="120"/>
      <c r="OWU11" s="120"/>
      <c r="OWV11" s="120"/>
      <c r="OWW11" s="120"/>
      <c r="OWX11" s="120"/>
      <c r="OWY11" s="120"/>
      <c r="OWZ11" s="120"/>
      <c r="OXA11" s="120"/>
      <c r="OXB11" s="120"/>
      <c r="OXC11" s="120"/>
      <c r="OXD11" s="120"/>
      <c r="OXE11" s="120"/>
      <c r="OXF11" s="120"/>
      <c r="OXG11" s="120"/>
      <c r="OXH11" s="120"/>
      <c r="OXI11" s="120"/>
      <c r="OXJ11" s="120"/>
      <c r="OXK11" s="120"/>
      <c r="OXL11" s="120"/>
      <c r="OXM11" s="120"/>
      <c r="OXN11" s="120"/>
      <c r="OXO11" s="120"/>
      <c r="OXP11" s="120"/>
      <c r="OXQ11" s="120"/>
      <c r="OXR11" s="120"/>
      <c r="OXS11" s="120"/>
      <c r="OXT11" s="120"/>
      <c r="OXU11" s="120"/>
      <c r="OXV11" s="120"/>
      <c r="OXW11" s="120"/>
      <c r="OXX11" s="120"/>
      <c r="OXY11" s="120"/>
      <c r="OXZ11" s="120"/>
      <c r="OYA11" s="120"/>
      <c r="OYB11" s="120"/>
      <c r="OYC11" s="120"/>
      <c r="OYD11" s="120"/>
      <c r="OYE11" s="120"/>
      <c r="OYF11" s="120"/>
      <c r="OYG11" s="120"/>
      <c r="OYH11" s="120"/>
      <c r="OYI11" s="120"/>
      <c r="OYJ11" s="120"/>
      <c r="OYK11" s="120"/>
      <c r="OYL11" s="120"/>
      <c r="OYM11" s="120"/>
      <c r="OYN11" s="120"/>
      <c r="OYO11" s="120"/>
      <c r="OYP11" s="120"/>
      <c r="OYQ11" s="120"/>
      <c r="OYR11" s="120"/>
      <c r="OYS11" s="120"/>
      <c r="OYT11" s="120"/>
      <c r="OYU11" s="120"/>
      <c r="OYV11" s="120"/>
      <c r="OYW11" s="120"/>
      <c r="OYX11" s="120"/>
      <c r="OYY11" s="120"/>
      <c r="OYZ11" s="120"/>
      <c r="OZA11" s="120"/>
      <c r="OZB11" s="120"/>
      <c r="OZC11" s="120"/>
      <c r="OZD11" s="120"/>
      <c r="OZE11" s="120"/>
      <c r="OZF11" s="120"/>
      <c r="OZG11" s="120"/>
      <c r="OZH11" s="120"/>
      <c r="OZI11" s="120"/>
      <c r="OZJ11" s="120"/>
      <c r="OZK11" s="120"/>
      <c r="OZL11" s="120"/>
      <c r="OZM11" s="120"/>
      <c r="OZN11" s="120"/>
      <c r="OZO11" s="120"/>
      <c r="OZP11" s="120"/>
      <c r="OZQ11" s="120"/>
      <c r="OZR11" s="120"/>
      <c r="OZS11" s="120"/>
      <c r="OZT11" s="120"/>
      <c r="OZU11" s="120"/>
      <c r="OZV11" s="120"/>
      <c r="OZW11" s="120"/>
      <c r="OZX11" s="120"/>
      <c r="OZY11" s="120"/>
      <c r="OZZ11" s="120"/>
      <c r="PAA11" s="120"/>
      <c r="PAB11" s="120"/>
      <c r="PAC11" s="120"/>
      <c r="PAD11" s="120"/>
      <c r="PAE11" s="120"/>
      <c r="PAF11" s="120"/>
      <c r="PAG11" s="120"/>
      <c r="PAH11" s="120"/>
      <c r="PAI11" s="120"/>
      <c r="PAJ11" s="120"/>
      <c r="PAK11" s="120"/>
      <c r="PAL11" s="120"/>
      <c r="PAM11" s="120"/>
      <c r="PAN11" s="120"/>
      <c r="PAO11" s="120"/>
      <c r="PAP11" s="120"/>
      <c r="PAQ11" s="120"/>
      <c r="PAR11" s="120"/>
      <c r="PAS11" s="120"/>
      <c r="PAT11" s="120"/>
      <c r="PAU11" s="120"/>
      <c r="PAV11" s="120"/>
      <c r="PAW11" s="120"/>
      <c r="PAX11" s="120"/>
      <c r="PAY11" s="120"/>
      <c r="PAZ11" s="120"/>
      <c r="PBA11" s="120"/>
      <c r="PBB11" s="120"/>
      <c r="PBC11" s="120"/>
      <c r="PBD11" s="120"/>
      <c r="PBE11" s="120"/>
      <c r="PBF11" s="120"/>
      <c r="PBG11" s="120"/>
      <c r="PBH11" s="120"/>
      <c r="PBI11" s="120"/>
      <c r="PBJ11" s="120"/>
      <c r="PBK11" s="120"/>
      <c r="PBL11" s="120"/>
      <c r="PBM11" s="120"/>
      <c r="PBN11" s="120"/>
      <c r="PBO11" s="120"/>
      <c r="PBP11" s="120"/>
      <c r="PBQ11" s="120"/>
      <c r="PBR11" s="120"/>
      <c r="PBS11" s="120"/>
      <c r="PBT11" s="120"/>
      <c r="PBU11" s="120"/>
      <c r="PBV11" s="120"/>
      <c r="PBW11" s="120"/>
      <c r="PBX11" s="120"/>
      <c r="PBY11" s="120"/>
      <c r="PBZ11" s="120"/>
      <c r="PCA11" s="120"/>
      <c r="PCB11" s="120"/>
      <c r="PCC11" s="120"/>
      <c r="PCD11" s="120"/>
      <c r="PCE11" s="120"/>
      <c r="PCF11" s="120"/>
      <c r="PCG11" s="120"/>
      <c r="PCH11" s="120"/>
      <c r="PCI11" s="120"/>
      <c r="PCJ11" s="120"/>
      <c r="PCK11" s="120"/>
      <c r="PCL11" s="120"/>
      <c r="PCM11" s="120"/>
      <c r="PCN11" s="120"/>
      <c r="PCO11" s="120"/>
      <c r="PCP11" s="120"/>
      <c r="PCQ11" s="120"/>
      <c r="PCR11" s="120"/>
      <c r="PCS11" s="120"/>
      <c r="PCT11" s="120"/>
      <c r="PCU11" s="120"/>
      <c r="PCV11" s="120"/>
      <c r="PCW11" s="120"/>
      <c r="PCX11" s="120"/>
      <c r="PCY11" s="120"/>
      <c r="PCZ11" s="120"/>
      <c r="PDA11" s="120"/>
      <c r="PDB11" s="120"/>
      <c r="PDC11" s="120"/>
      <c r="PDD11" s="120"/>
      <c r="PDE11" s="120"/>
      <c r="PDF11" s="120"/>
      <c r="PDG11" s="120"/>
      <c r="PDH11" s="120"/>
      <c r="PDI11" s="120"/>
      <c r="PDJ11" s="120"/>
      <c r="PDK11" s="120"/>
      <c r="PDL11" s="120"/>
      <c r="PDM11" s="120"/>
      <c r="PDN11" s="120"/>
      <c r="PDO11" s="120"/>
      <c r="PDP11" s="120"/>
      <c r="PDQ11" s="120"/>
      <c r="PDR11" s="120"/>
      <c r="PDS11" s="120"/>
      <c r="PDT11" s="120"/>
      <c r="PDU11" s="120"/>
      <c r="PDV11" s="120"/>
      <c r="PDW11" s="120"/>
      <c r="PDX11" s="120"/>
      <c r="PDY11" s="120"/>
      <c r="PDZ11" s="120"/>
      <c r="PEA11" s="120"/>
      <c r="PEB11" s="120"/>
      <c r="PEC11" s="120"/>
      <c r="PED11" s="120"/>
      <c r="PEE11" s="120"/>
      <c r="PEF11" s="120"/>
      <c r="PEG11" s="120"/>
      <c r="PEH11" s="120"/>
      <c r="PEI11" s="120"/>
      <c r="PEJ11" s="120"/>
      <c r="PEK11" s="120"/>
      <c r="PEL11" s="120"/>
      <c r="PEM11" s="120"/>
      <c r="PEN11" s="120"/>
      <c r="PEO11" s="120"/>
      <c r="PEP11" s="120"/>
      <c r="PEQ11" s="120"/>
      <c r="PER11" s="120"/>
      <c r="PES11" s="120"/>
      <c r="PET11" s="120"/>
      <c r="PEU11" s="120"/>
      <c r="PEV11" s="120"/>
      <c r="PEW11" s="120"/>
      <c r="PEX11" s="120"/>
      <c r="PEY11" s="120"/>
      <c r="PEZ11" s="120"/>
      <c r="PFA11" s="120"/>
      <c r="PFB11" s="120"/>
      <c r="PFC11" s="120"/>
      <c r="PFD11" s="120"/>
      <c r="PFE11" s="120"/>
      <c r="PFF11" s="120"/>
      <c r="PFG11" s="120"/>
      <c r="PFH11" s="120"/>
      <c r="PFI11" s="120"/>
      <c r="PFJ11" s="120"/>
      <c r="PFK11" s="120"/>
      <c r="PFL11" s="120"/>
      <c r="PFM11" s="120"/>
      <c r="PFN11" s="120"/>
      <c r="PFO11" s="120"/>
      <c r="PFP11" s="120"/>
      <c r="PFQ11" s="120"/>
      <c r="PFR11" s="120"/>
      <c r="PFS11" s="120"/>
      <c r="PFT11" s="120"/>
      <c r="PFU11" s="120"/>
      <c r="PFV11" s="120"/>
      <c r="PFW11" s="120"/>
      <c r="PFX11" s="120"/>
      <c r="PFY11" s="120"/>
      <c r="PFZ11" s="120"/>
      <c r="PGA11" s="120"/>
      <c r="PGB11" s="120"/>
      <c r="PGC11" s="120"/>
      <c r="PGD11" s="120"/>
      <c r="PGE11" s="120"/>
      <c r="PGF11" s="120"/>
      <c r="PGG11" s="120"/>
      <c r="PGH11" s="120"/>
      <c r="PGI11" s="120"/>
      <c r="PGJ11" s="120"/>
      <c r="PGK11" s="120"/>
      <c r="PGL11" s="120"/>
      <c r="PGM11" s="120"/>
      <c r="PGN11" s="120"/>
      <c r="PGO11" s="120"/>
      <c r="PGP11" s="120"/>
      <c r="PGQ11" s="120"/>
      <c r="PGR11" s="120"/>
      <c r="PGS11" s="120"/>
      <c r="PGT11" s="120"/>
      <c r="PGU11" s="120"/>
      <c r="PGV11" s="120"/>
      <c r="PGW11" s="120"/>
      <c r="PGX11" s="120"/>
      <c r="PGY11" s="120"/>
      <c r="PGZ11" s="120"/>
      <c r="PHA11" s="120"/>
      <c r="PHB11" s="120"/>
      <c r="PHC11" s="120"/>
      <c r="PHD11" s="120"/>
      <c r="PHE11" s="120"/>
      <c r="PHF11" s="120"/>
      <c r="PHG11" s="120"/>
      <c r="PHH11" s="120"/>
      <c r="PHI11" s="120"/>
      <c r="PHJ11" s="120"/>
      <c r="PHK11" s="120"/>
      <c r="PHL11" s="120"/>
      <c r="PHM11" s="120"/>
      <c r="PHN11" s="120"/>
      <c r="PHO11" s="120"/>
      <c r="PHP11" s="120"/>
      <c r="PHQ11" s="120"/>
      <c r="PHR11" s="120"/>
      <c r="PHS11" s="120"/>
      <c r="PHT11" s="120"/>
      <c r="PHU11" s="120"/>
      <c r="PHV11" s="120"/>
      <c r="PHW11" s="120"/>
      <c r="PHX11" s="120"/>
      <c r="PHY11" s="120"/>
      <c r="PHZ11" s="120"/>
      <c r="PIA11" s="120"/>
      <c r="PIB11" s="120"/>
      <c r="PIC11" s="120"/>
      <c r="PID11" s="120"/>
      <c r="PIE11" s="120"/>
      <c r="PIF11" s="120"/>
      <c r="PIG11" s="120"/>
      <c r="PIH11" s="120"/>
      <c r="PII11" s="120"/>
      <c r="PIJ11" s="120"/>
      <c r="PIK11" s="120"/>
      <c r="PIL11" s="120"/>
      <c r="PIM11" s="120"/>
      <c r="PIN11" s="120"/>
      <c r="PIO11" s="120"/>
      <c r="PIP11" s="120"/>
      <c r="PIQ11" s="120"/>
      <c r="PIR11" s="120"/>
      <c r="PIS11" s="120"/>
      <c r="PIT11" s="120"/>
      <c r="PIU11" s="120"/>
      <c r="PIV11" s="120"/>
      <c r="PIW11" s="120"/>
      <c r="PIX11" s="120"/>
      <c r="PIY11" s="120"/>
      <c r="PIZ11" s="120"/>
      <c r="PJA11" s="120"/>
      <c r="PJB11" s="120"/>
      <c r="PJC11" s="120"/>
      <c r="PJD11" s="120"/>
      <c r="PJE11" s="120"/>
      <c r="PJF11" s="120"/>
      <c r="PJG11" s="120"/>
      <c r="PJH11" s="120"/>
      <c r="PJI11" s="120"/>
      <c r="PJJ11" s="120"/>
      <c r="PJK11" s="120"/>
      <c r="PJL11" s="120"/>
      <c r="PJM11" s="120"/>
      <c r="PJN11" s="120"/>
      <c r="PJO11" s="120"/>
      <c r="PJP11" s="120"/>
      <c r="PJQ11" s="120"/>
      <c r="PJR11" s="120"/>
      <c r="PJS11" s="120"/>
      <c r="PJT11" s="120"/>
      <c r="PJU11" s="120"/>
      <c r="PJV11" s="120"/>
      <c r="PJW11" s="120"/>
      <c r="PJX11" s="120"/>
      <c r="PJY11" s="120"/>
      <c r="PJZ11" s="120"/>
      <c r="PKA11" s="120"/>
      <c r="PKB11" s="120"/>
      <c r="PKC11" s="120"/>
      <c r="PKD11" s="120"/>
      <c r="PKE11" s="120"/>
      <c r="PKF11" s="120"/>
      <c r="PKG11" s="120"/>
      <c r="PKH11" s="120"/>
      <c r="PKI11" s="120"/>
      <c r="PKJ11" s="120"/>
      <c r="PKK11" s="120"/>
      <c r="PKL11" s="120"/>
      <c r="PKM11" s="120"/>
      <c r="PKN11" s="120"/>
      <c r="PKO11" s="120"/>
      <c r="PKP11" s="120"/>
      <c r="PKQ11" s="120"/>
      <c r="PKR11" s="120"/>
      <c r="PKS11" s="120"/>
      <c r="PKT11" s="120"/>
      <c r="PKU11" s="120"/>
      <c r="PKV11" s="120"/>
      <c r="PKW11" s="120"/>
      <c r="PKX11" s="120"/>
      <c r="PKY11" s="120"/>
      <c r="PKZ11" s="120"/>
      <c r="PLA11" s="120"/>
      <c r="PLB11" s="120"/>
      <c r="PLC11" s="120"/>
      <c r="PLD11" s="120"/>
      <c r="PLE11" s="120"/>
      <c r="PLF11" s="120"/>
      <c r="PLG11" s="120"/>
      <c r="PLH11" s="120"/>
      <c r="PLI11" s="120"/>
      <c r="PLJ11" s="120"/>
      <c r="PLK11" s="120"/>
      <c r="PLL11" s="120"/>
      <c r="PLM11" s="120"/>
      <c r="PLN11" s="120"/>
      <c r="PLO11" s="120"/>
      <c r="PLP11" s="120"/>
      <c r="PLQ11" s="120"/>
      <c r="PLR11" s="120"/>
      <c r="PLS11" s="120"/>
      <c r="PLT11" s="120"/>
      <c r="PLU11" s="120"/>
      <c r="PLV11" s="120"/>
      <c r="PLW11" s="120"/>
      <c r="PLX11" s="120"/>
      <c r="PLY11" s="120"/>
      <c r="PLZ11" s="120"/>
      <c r="PMA11" s="120"/>
      <c r="PMB11" s="120"/>
      <c r="PMC11" s="120"/>
      <c r="PMD11" s="120"/>
      <c r="PME11" s="120"/>
      <c r="PMF11" s="120"/>
      <c r="PMG11" s="120"/>
      <c r="PMH11" s="120"/>
      <c r="PMI11" s="120"/>
      <c r="PMJ11" s="120"/>
      <c r="PMK11" s="120"/>
      <c r="PML11" s="120"/>
      <c r="PMM11" s="120"/>
      <c r="PMN11" s="120"/>
      <c r="PMO11" s="120"/>
      <c r="PMP11" s="120"/>
      <c r="PMQ11" s="120"/>
      <c r="PMR11" s="120"/>
      <c r="PMS11" s="120"/>
      <c r="PMT11" s="120"/>
      <c r="PMU11" s="120"/>
      <c r="PMV11" s="120"/>
      <c r="PMW11" s="120"/>
      <c r="PMX11" s="120"/>
      <c r="PMY11" s="120"/>
      <c r="PMZ11" s="120"/>
      <c r="PNA11" s="120"/>
      <c r="PNB11" s="120"/>
      <c r="PNC11" s="120"/>
      <c r="PND11" s="120"/>
      <c r="PNE11" s="120"/>
      <c r="PNF11" s="120"/>
      <c r="PNG11" s="120"/>
      <c r="PNH11" s="120"/>
      <c r="PNI11" s="120"/>
      <c r="PNJ11" s="120"/>
      <c r="PNK11" s="120"/>
      <c r="PNL11" s="120"/>
      <c r="PNM11" s="120"/>
      <c r="PNN11" s="120"/>
      <c r="PNO11" s="120"/>
      <c r="PNP11" s="120"/>
      <c r="PNQ11" s="120"/>
      <c r="PNR11" s="120"/>
      <c r="PNS11" s="120"/>
      <c r="PNT11" s="120"/>
      <c r="PNU11" s="120"/>
      <c r="PNV11" s="120"/>
      <c r="PNW11" s="120"/>
      <c r="PNX11" s="120"/>
      <c r="PNY11" s="120"/>
      <c r="PNZ11" s="120"/>
      <c r="POA11" s="120"/>
      <c r="POB11" s="120"/>
      <c r="POC11" s="120"/>
      <c r="POD11" s="120"/>
      <c r="POE11" s="120"/>
      <c r="POF11" s="120"/>
      <c r="POG11" s="120"/>
      <c r="POH11" s="120"/>
      <c r="POI11" s="120"/>
      <c r="POJ11" s="120"/>
      <c r="POK11" s="120"/>
      <c r="POL11" s="120"/>
      <c r="POM11" s="120"/>
      <c r="PON11" s="120"/>
      <c r="POO11" s="120"/>
      <c r="POP11" s="120"/>
      <c r="POQ11" s="120"/>
      <c r="POR11" s="120"/>
      <c r="POS11" s="120"/>
      <c r="POT11" s="120"/>
      <c r="POU11" s="120"/>
      <c r="POV11" s="120"/>
      <c r="POW11" s="120"/>
      <c r="POX11" s="120"/>
      <c r="POY11" s="120"/>
      <c r="POZ11" s="120"/>
      <c r="PPA11" s="120"/>
      <c r="PPB11" s="120"/>
      <c r="PPC11" s="120"/>
      <c r="PPD11" s="120"/>
      <c r="PPE11" s="120"/>
      <c r="PPF11" s="120"/>
      <c r="PPG11" s="120"/>
      <c r="PPH11" s="120"/>
      <c r="PPI11" s="120"/>
      <c r="PPJ11" s="120"/>
      <c r="PPK11" s="120"/>
      <c r="PPL11" s="120"/>
      <c r="PPM11" s="120"/>
      <c r="PPN11" s="120"/>
      <c r="PPO11" s="120"/>
      <c r="PPP11" s="120"/>
      <c r="PPQ11" s="120"/>
      <c r="PPR11" s="120"/>
      <c r="PPS11" s="120"/>
      <c r="PPT11" s="120"/>
      <c r="PPU11" s="120"/>
      <c r="PPV11" s="120"/>
      <c r="PPW11" s="120"/>
      <c r="PPX11" s="120"/>
      <c r="PPY11" s="120"/>
      <c r="PPZ11" s="120"/>
      <c r="PQA11" s="120"/>
      <c r="PQB11" s="120"/>
      <c r="PQC11" s="120"/>
      <c r="PQD11" s="120"/>
      <c r="PQE11" s="120"/>
      <c r="PQF11" s="120"/>
      <c r="PQG11" s="120"/>
      <c r="PQH11" s="120"/>
      <c r="PQI11" s="120"/>
      <c r="PQJ11" s="120"/>
      <c r="PQK11" s="120"/>
      <c r="PQL11" s="120"/>
      <c r="PQM11" s="120"/>
      <c r="PQN11" s="120"/>
      <c r="PQO11" s="120"/>
      <c r="PQP11" s="120"/>
      <c r="PQQ11" s="120"/>
      <c r="PQR11" s="120"/>
      <c r="PQS11" s="120"/>
      <c r="PQT11" s="120"/>
      <c r="PQU11" s="120"/>
      <c r="PQV11" s="120"/>
      <c r="PQW11" s="120"/>
      <c r="PQX11" s="120"/>
      <c r="PQY11" s="120"/>
      <c r="PQZ11" s="120"/>
      <c r="PRA11" s="120"/>
      <c r="PRB11" s="120"/>
      <c r="PRC11" s="120"/>
      <c r="PRD11" s="120"/>
      <c r="PRE11" s="120"/>
      <c r="PRF11" s="120"/>
      <c r="PRG11" s="120"/>
      <c r="PRH11" s="120"/>
      <c r="PRI11" s="120"/>
      <c r="PRJ11" s="120"/>
      <c r="PRK11" s="120"/>
      <c r="PRL11" s="120"/>
      <c r="PRM11" s="120"/>
      <c r="PRN11" s="120"/>
      <c r="PRO11" s="120"/>
      <c r="PRP11" s="120"/>
      <c r="PRQ11" s="120"/>
      <c r="PRR11" s="120"/>
      <c r="PRS11" s="120"/>
      <c r="PRT11" s="120"/>
      <c r="PRU11" s="120"/>
      <c r="PRV11" s="120"/>
      <c r="PRW11" s="120"/>
      <c r="PRX11" s="120"/>
      <c r="PRY11" s="120"/>
      <c r="PRZ11" s="120"/>
      <c r="PSA11" s="120"/>
      <c r="PSB11" s="120"/>
      <c r="PSC11" s="120"/>
      <c r="PSD11" s="120"/>
      <c r="PSE11" s="120"/>
      <c r="PSF11" s="120"/>
      <c r="PSG11" s="120"/>
      <c r="PSH11" s="120"/>
      <c r="PSI11" s="120"/>
      <c r="PSJ11" s="120"/>
      <c r="PSK11" s="120"/>
      <c r="PSL11" s="120"/>
      <c r="PSM11" s="120"/>
      <c r="PSN11" s="120"/>
      <c r="PSO11" s="120"/>
      <c r="PSP11" s="120"/>
      <c r="PSQ11" s="120"/>
      <c r="PSR11" s="120"/>
      <c r="PSS11" s="120"/>
      <c r="PST11" s="120"/>
      <c r="PSU11" s="120"/>
      <c r="PSV11" s="120"/>
      <c r="PSW11" s="120"/>
      <c r="PSX11" s="120"/>
      <c r="PSY11" s="120"/>
      <c r="PSZ11" s="120"/>
      <c r="PTA11" s="120"/>
      <c r="PTB11" s="120"/>
      <c r="PTC11" s="120"/>
      <c r="PTD11" s="120"/>
      <c r="PTE11" s="120"/>
      <c r="PTF11" s="120"/>
      <c r="PTG11" s="120"/>
      <c r="PTH11" s="120"/>
      <c r="PTI11" s="120"/>
      <c r="PTJ11" s="120"/>
      <c r="PTK11" s="120"/>
      <c r="PTL11" s="120"/>
      <c r="PTM11" s="120"/>
      <c r="PTN11" s="120"/>
      <c r="PTO11" s="120"/>
      <c r="PTP11" s="120"/>
      <c r="PTQ11" s="120"/>
      <c r="PTR11" s="120"/>
      <c r="PTS11" s="120"/>
      <c r="PTT11" s="120"/>
      <c r="PTU11" s="120"/>
      <c r="PTV11" s="120"/>
      <c r="PTW11" s="120"/>
      <c r="PTX11" s="120"/>
      <c r="PTY11" s="120"/>
      <c r="PTZ11" s="120"/>
      <c r="PUA11" s="120"/>
      <c r="PUB11" s="120"/>
      <c r="PUC11" s="120"/>
      <c r="PUD11" s="120"/>
      <c r="PUE11" s="120"/>
      <c r="PUF11" s="120"/>
      <c r="PUG11" s="120"/>
      <c r="PUH11" s="120"/>
      <c r="PUI11" s="120"/>
      <c r="PUJ11" s="120"/>
      <c r="PUK11" s="120"/>
      <c r="PUL11" s="120"/>
      <c r="PUM11" s="120"/>
      <c r="PUN11" s="120"/>
      <c r="PUO11" s="120"/>
      <c r="PUP11" s="120"/>
      <c r="PUQ11" s="120"/>
      <c r="PUR11" s="120"/>
      <c r="PUS11" s="120"/>
      <c r="PUT11" s="120"/>
      <c r="PUU11" s="120"/>
      <c r="PUV11" s="120"/>
      <c r="PUW11" s="120"/>
      <c r="PUX11" s="120"/>
      <c r="PUY11" s="120"/>
      <c r="PUZ11" s="120"/>
      <c r="PVA11" s="120"/>
      <c r="PVB11" s="120"/>
      <c r="PVC11" s="120"/>
      <c r="PVD11" s="120"/>
      <c r="PVE11" s="120"/>
      <c r="PVF11" s="120"/>
      <c r="PVG11" s="120"/>
      <c r="PVH11" s="120"/>
      <c r="PVI11" s="120"/>
      <c r="PVJ11" s="120"/>
      <c r="PVK11" s="120"/>
      <c r="PVL11" s="120"/>
      <c r="PVM11" s="120"/>
      <c r="PVN11" s="120"/>
      <c r="PVO11" s="120"/>
      <c r="PVP11" s="120"/>
      <c r="PVQ11" s="120"/>
      <c r="PVR11" s="120"/>
      <c r="PVS11" s="120"/>
      <c r="PVT11" s="120"/>
      <c r="PVU11" s="120"/>
      <c r="PVV11" s="120"/>
      <c r="PVW11" s="120"/>
      <c r="PVX11" s="120"/>
      <c r="PVY11" s="120"/>
      <c r="PVZ11" s="120"/>
      <c r="PWA11" s="120"/>
      <c r="PWB11" s="120"/>
      <c r="PWC11" s="120"/>
      <c r="PWD11" s="120"/>
      <c r="PWE11" s="120"/>
      <c r="PWF11" s="120"/>
      <c r="PWG11" s="120"/>
      <c r="PWH11" s="120"/>
      <c r="PWI11" s="120"/>
      <c r="PWJ11" s="120"/>
      <c r="PWK11" s="120"/>
      <c r="PWL11" s="120"/>
      <c r="PWM11" s="120"/>
      <c r="PWN11" s="120"/>
      <c r="PWO11" s="120"/>
      <c r="PWP11" s="120"/>
      <c r="PWQ11" s="120"/>
      <c r="PWR11" s="120"/>
      <c r="PWS11" s="120"/>
      <c r="PWT11" s="120"/>
      <c r="PWU11" s="120"/>
      <c r="PWV11" s="120"/>
      <c r="PWW11" s="120"/>
      <c r="PWX11" s="120"/>
      <c r="PWY11" s="120"/>
      <c r="PWZ11" s="120"/>
      <c r="PXA11" s="120"/>
      <c r="PXB11" s="120"/>
      <c r="PXC11" s="120"/>
      <c r="PXD11" s="120"/>
      <c r="PXE11" s="120"/>
      <c r="PXF11" s="120"/>
      <c r="PXG11" s="120"/>
      <c r="PXH11" s="120"/>
      <c r="PXI11" s="120"/>
      <c r="PXJ11" s="120"/>
      <c r="PXK11" s="120"/>
      <c r="PXL11" s="120"/>
      <c r="PXM11" s="120"/>
      <c r="PXN11" s="120"/>
      <c r="PXO11" s="120"/>
      <c r="PXP11" s="120"/>
      <c r="PXQ11" s="120"/>
      <c r="PXR11" s="120"/>
      <c r="PXS11" s="120"/>
      <c r="PXT11" s="120"/>
      <c r="PXU11" s="120"/>
      <c r="PXV11" s="120"/>
      <c r="PXW11" s="120"/>
      <c r="PXX11" s="120"/>
      <c r="PXY11" s="120"/>
      <c r="PXZ11" s="120"/>
      <c r="PYA11" s="120"/>
      <c r="PYB11" s="120"/>
      <c r="PYC11" s="120"/>
      <c r="PYD11" s="120"/>
      <c r="PYE11" s="120"/>
      <c r="PYF11" s="120"/>
      <c r="PYG11" s="120"/>
      <c r="PYH11" s="120"/>
      <c r="PYI11" s="120"/>
      <c r="PYJ11" s="120"/>
      <c r="PYK11" s="120"/>
      <c r="PYL11" s="120"/>
      <c r="PYM11" s="120"/>
      <c r="PYN11" s="120"/>
      <c r="PYO11" s="120"/>
      <c r="PYP11" s="120"/>
      <c r="PYQ11" s="120"/>
      <c r="PYR11" s="120"/>
      <c r="PYS11" s="120"/>
      <c r="PYT11" s="120"/>
      <c r="PYU11" s="120"/>
      <c r="PYV11" s="120"/>
      <c r="PYW11" s="120"/>
      <c r="PYX11" s="120"/>
      <c r="PYY11" s="120"/>
      <c r="PYZ11" s="120"/>
      <c r="PZA11" s="120"/>
      <c r="PZB11" s="120"/>
      <c r="PZC11" s="120"/>
      <c r="PZD11" s="120"/>
      <c r="PZE11" s="120"/>
      <c r="PZF11" s="120"/>
      <c r="PZG11" s="120"/>
      <c r="PZH11" s="120"/>
      <c r="PZI11" s="120"/>
      <c r="PZJ11" s="120"/>
      <c r="PZK11" s="120"/>
      <c r="PZL11" s="120"/>
      <c r="PZM11" s="120"/>
      <c r="PZN11" s="120"/>
      <c r="PZO11" s="120"/>
      <c r="PZP11" s="120"/>
      <c r="PZQ11" s="120"/>
      <c r="PZR11" s="120"/>
      <c r="PZS11" s="120"/>
      <c r="PZT11" s="120"/>
      <c r="PZU11" s="120"/>
      <c r="PZV11" s="120"/>
      <c r="PZW11" s="120"/>
      <c r="PZX11" s="120"/>
      <c r="PZY11" s="120"/>
      <c r="PZZ11" s="120"/>
      <c r="QAA11" s="120"/>
      <c r="QAB11" s="120"/>
      <c r="QAC11" s="120"/>
      <c r="QAD11" s="120"/>
      <c r="QAE11" s="120"/>
      <c r="QAF11" s="120"/>
      <c r="QAG11" s="120"/>
      <c r="QAH11" s="120"/>
      <c r="QAI11" s="120"/>
      <c r="QAJ11" s="120"/>
      <c r="QAK11" s="120"/>
      <c r="QAL11" s="120"/>
      <c r="QAM11" s="120"/>
      <c r="QAN11" s="120"/>
      <c r="QAO11" s="120"/>
      <c r="QAP11" s="120"/>
      <c r="QAQ11" s="120"/>
      <c r="QAR11" s="120"/>
      <c r="QAS11" s="120"/>
      <c r="QAT11" s="120"/>
      <c r="QAU11" s="120"/>
      <c r="QAV11" s="120"/>
      <c r="QAW11" s="120"/>
      <c r="QAX11" s="120"/>
      <c r="QAY11" s="120"/>
      <c r="QAZ11" s="120"/>
      <c r="QBA11" s="120"/>
      <c r="QBB11" s="120"/>
      <c r="QBC11" s="120"/>
      <c r="QBD11" s="120"/>
      <c r="QBE11" s="120"/>
      <c r="QBF11" s="120"/>
      <c r="QBG11" s="120"/>
      <c r="QBH11" s="120"/>
      <c r="QBI11" s="120"/>
      <c r="QBJ11" s="120"/>
      <c r="QBK11" s="120"/>
      <c r="QBL11" s="120"/>
      <c r="QBM11" s="120"/>
      <c r="QBN11" s="120"/>
      <c r="QBO11" s="120"/>
      <c r="QBP11" s="120"/>
      <c r="QBQ11" s="120"/>
      <c r="QBR11" s="120"/>
      <c r="QBS11" s="120"/>
      <c r="QBT11" s="120"/>
      <c r="QBU11" s="120"/>
      <c r="QBV11" s="120"/>
      <c r="QBW11" s="120"/>
      <c r="QBX11" s="120"/>
      <c r="QBY11" s="120"/>
      <c r="QBZ11" s="120"/>
      <c r="QCA11" s="120"/>
      <c r="QCB11" s="120"/>
      <c r="QCC11" s="120"/>
      <c r="QCD11" s="120"/>
      <c r="QCE11" s="120"/>
      <c r="QCF11" s="120"/>
      <c r="QCG11" s="120"/>
      <c r="QCH11" s="120"/>
      <c r="QCI11" s="120"/>
      <c r="QCJ11" s="120"/>
      <c r="QCK11" s="120"/>
      <c r="QCL11" s="120"/>
      <c r="QCM11" s="120"/>
      <c r="QCN11" s="120"/>
      <c r="QCO11" s="120"/>
      <c r="QCP11" s="120"/>
      <c r="QCQ11" s="120"/>
      <c r="QCR11" s="120"/>
      <c r="QCS11" s="120"/>
      <c r="QCT11" s="120"/>
      <c r="QCU11" s="120"/>
      <c r="QCV11" s="120"/>
      <c r="QCW11" s="120"/>
      <c r="QCX11" s="120"/>
      <c r="QCY11" s="120"/>
      <c r="QCZ11" s="120"/>
      <c r="QDA11" s="120"/>
      <c r="QDB11" s="120"/>
      <c r="QDC11" s="120"/>
      <c r="QDD11" s="120"/>
      <c r="QDE11" s="120"/>
      <c r="QDF11" s="120"/>
      <c r="QDG11" s="120"/>
      <c r="QDH11" s="120"/>
      <c r="QDI11" s="120"/>
      <c r="QDJ11" s="120"/>
      <c r="QDK11" s="120"/>
      <c r="QDL11" s="120"/>
      <c r="QDM11" s="120"/>
      <c r="QDN11" s="120"/>
      <c r="QDO11" s="120"/>
      <c r="QDP11" s="120"/>
      <c r="QDQ11" s="120"/>
      <c r="QDR11" s="120"/>
      <c r="QDS11" s="120"/>
      <c r="QDT11" s="120"/>
      <c r="QDU11" s="120"/>
      <c r="QDV11" s="120"/>
      <c r="QDW11" s="120"/>
      <c r="QDX11" s="120"/>
      <c r="QDY11" s="120"/>
      <c r="QDZ11" s="120"/>
      <c r="QEA11" s="120"/>
      <c r="QEB11" s="120"/>
      <c r="QEC11" s="120"/>
      <c r="QED11" s="120"/>
      <c r="QEE11" s="120"/>
      <c r="QEF11" s="120"/>
      <c r="QEG11" s="120"/>
      <c r="QEH11" s="120"/>
      <c r="QEI11" s="120"/>
      <c r="QEJ11" s="120"/>
      <c r="QEK11" s="120"/>
      <c r="QEL11" s="120"/>
      <c r="QEM11" s="120"/>
      <c r="QEN11" s="120"/>
      <c r="QEO11" s="120"/>
      <c r="QEP11" s="120"/>
      <c r="QEQ11" s="120"/>
      <c r="QER11" s="120"/>
      <c r="QES11" s="120"/>
      <c r="QET11" s="120"/>
      <c r="QEU11" s="120"/>
      <c r="QEV11" s="120"/>
      <c r="QEW11" s="120"/>
      <c r="QEX11" s="120"/>
      <c r="QEY11" s="120"/>
      <c r="QEZ11" s="120"/>
      <c r="QFA11" s="120"/>
      <c r="QFB11" s="120"/>
      <c r="QFC11" s="120"/>
      <c r="QFD11" s="120"/>
      <c r="QFE11" s="120"/>
      <c r="QFF11" s="120"/>
      <c r="QFG11" s="120"/>
      <c r="QFH11" s="120"/>
      <c r="QFI11" s="120"/>
      <c r="QFJ11" s="120"/>
      <c r="QFK11" s="120"/>
      <c r="QFL11" s="120"/>
      <c r="QFM11" s="120"/>
      <c r="QFN11" s="120"/>
      <c r="QFO11" s="120"/>
      <c r="QFP11" s="120"/>
      <c r="QFQ11" s="120"/>
      <c r="QFR11" s="120"/>
      <c r="QFS11" s="120"/>
      <c r="QFT11" s="120"/>
      <c r="QFU11" s="120"/>
      <c r="QFV11" s="120"/>
      <c r="QFW11" s="120"/>
      <c r="QFX11" s="120"/>
      <c r="QFY11" s="120"/>
      <c r="QFZ11" s="120"/>
      <c r="QGA11" s="120"/>
      <c r="QGB11" s="120"/>
      <c r="QGC11" s="120"/>
      <c r="QGD11" s="120"/>
      <c r="QGE11" s="120"/>
      <c r="QGF11" s="120"/>
      <c r="QGG11" s="120"/>
      <c r="QGH11" s="120"/>
      <c r="QGI11" s="120"/>
      <c r="QGJ11" s="120"/>
      <c r="QGK11" s="120"/>
      <c r="QGL11" s="120"/>
      <c r="QGM11" s="120"/>
      <c r="QGN11" s="120"/>
      <c r="QGO11" s="120"/>
      <c r="QGP11" s="120"/>
      <c r="QGQ11" s="120"/>
      <c r="QGR11" s="120"/>
      <c r="QGS11" s="120"/>
      <c r="QGT11" s="120"/>
      <c r="QGU11" s="120"/>
      <c r="QGV11" s="120"/>
      <c r="QGW11" s="120"/>
      <c r="QGX11" s="120"/>
      <c r="QGY11" s="120"/>
      <c r="QGZ11" s="120"/>
      <c r="QHA11" s="120"/>
      <c r="QHB11" s="120"/>
      <c r="QHC11" s="120"/>
      <c r="QHD11" s="120"/>
      <c r="QHE11" s="120"/>
      <c r="QHF11" s="120"/>
      <c r="QHG11" s="120"/>
      <c r="QHH11" s="120"/>
      <c r="QHI11" s="120"/>
      <c r="QHJ11" s="120"/>
      <c r="QHK11" s="120"/>
      <c r="QHL11" s="120"/>
      <c r="QHM11" s="120"/>
      <c r="QHN11" s="120"/>
      <c r="QHO11" s="120"/>
      <c r="QHP11" s="120"/>
      <c r="QHQ11" s="120"/>
      <c r="QHR11" s="120"/>
      <c r="QHS11" s="120"/>
      <c r="QHT11" s="120"/>
      <c r="QHU11" s="120"/>
      <c r="QHV11" s="120"/>
      <c r="QHW11" s="120"/>
      <c r="QHX11" s="120"/>
      <c r="QHY11" s="120"/>
      <c r="QHZ11" s="120"/>
      <c r="QIA11" s="120"/>
      <c r="QIB11" s="120"/>
      <c r="QIC11" s="120"/>
      <c r="QID11" s="120"/>
      <c r="QIE11" s="120"/>
      <c r="QIF11" s="120"/>
      <c r="QIG11" s="120"/>
      <c r="QIH11" s="120"/>
      <c r="QII11" s="120"/>
      <c r="QIJ11" s="120"/>
      <c r="QIK11" s="120"/>
      <c r="QIL11" s="120"/>
      <c r="QIM11" s="120"/>
      <c r="QIN11" s="120"/>
      <c r="QIO11" s="120"/>
      <c r="QIP11" s="120"/>
      <c r="QIQ11" s="120"/>
      <c r="QIR11" s="120"/>
      <c r="QIS11" s="120"/>
      <c r="QIT11" s="120"/>
      <c r="QIU11" s="120"/>
      <c r="QIV11" s="120"/>
      <c r="QIW11" s="120"/>
      <c r="QIX11" s="120"/>
      <c r="QIY11" s="120"/>
      <c r="QIZ11" s="120"/>
      <c r="QJA11" s="120"/>
      <c r="QJB11" s="120"/>
      <c r="QJC11" s="120"/>
      <c r="QJD11" s="120"/>
      <c r="QJE11" s="120"/>
      <c r="QJF11" s="120"/>
      <c r="QJG11" s="120"/>
      <c r="QJH11" s="120"/>
      <c r="QJI11" s="120"/>
      <c r="QJJ11" s="120"/>
      <c r="QJK11" s="120"/>
      <c r="QJL11" s="120"/>
      <c r="QJM11" s="120"/>
      <c r="QJN11" s="120"/>
      <c r="QJO11" s="120"/>
      <c r="QJP11" s="120"/>
      <c r="QJQ11" s="120"/>
      <c r="QJR11" s="120"/>
      <c r="QJS11" s="120"/>
      <c r="QJT11" s="120"/>
      <c r="QJU11" s="120"/>
      <c r="QJV11" s="120"/>
      <c r="QJW11" s="120"/>
      <c r="QJX11" s="120"/>
      <c r="QJY11" s="120"/>
      <c r="QJZ11" s="120"/>
      <c r="QKA11" s="120"/>
      <c r="QKB11" s="120"/>
      <c r="QKC11" s="120"/>
      <c r="QKD11" s="120"/>
      <c r="QKE11" s="120"/>
      <c r="QKF11" s="120"/>
      <c r="QKG11" s="120"/>
      <c r="QKH11" s="120"/>
      <c r="QKI11" s="120"/>
      <c r="QKJ11" s="120"/>
      <c r="QKK11" s="120"/>
      <c r="QKL11" s="120"/>
      <c r="QKM11" s="120"/>
      <c r="QKN11" s="120"/>
      <c r="QKO11" s="120"/>
      <c r="QKP11" s="120"/>
      <c r="QKQ11" s="120"/>
      <c r="QKR11" s="120"/>
      <c r="QKS11" s="120"/>
      <c r="QKT11" s="120"/>
      <c r="QKU11" s="120"/>
      <c r="QKV11" s="120"/>
      <c r="QKW11" s="120"/>
      <c r="QKX11" s="120"/>
      <c r="QKY11" s="120"/>
      <c r="QKZ11" s="120"/>
      <c r="QLA11" s="120"/>
      <c r="QLB11" s="120"/>
      <c r="QLC11" s="120"/>
      <c r="QLD11" s="120"/>
      <c r="QLE11" s="120"/>
      <c r="QLF11" s="120"/>
      <c r="QLG11" s="120"/>
      <c r="QLH11" s="120"/>
      <c r="QLI11" s="120"/>
      <c r="QLJ11" s="120"/>
      <c r="QLK11" s="120"/>
      <c r="QLL11" s="120"/>
      <c r="QLM11" s="120"/>
      <c r="QLN11" s="120"/>
      <c r="QLO11" s="120"/>
      <c r="QLP11" s="120"/>
      <c r="QLQ11" s="120"/>
      <c r="QLR11" s="120"/>
      <c r="QLS11" s="120"/>
      <c r="QLT11" s="120"/>
      <c r="QLU11" s="120"/>
      <c r="QLV11" s="120"/>
      <c r="QLW11" s="120"/>
      <c r="QLX11" s="120"/>
      <c r="QLY11" s="120"/>
      <c r="QLZ11" s="120"/>
      <c r="QMA11" s="120"/>
      <c r="QMB11" s="120"/>
      <c r="QMC11" s="120"/>
      <c r="QMD11" s="120"/>
      <c r="QME11" s="120"/>
      <c r="QMF11" s="120"/>
      <c r="QMG11" s="120"/>
      <c r="QMH11" s="120"/>
      <c r="QMI11" s="120"/>
      <c r="QMJ11" s="120"/>
      <c r="QMK11" s="120"/>
      <c r="QML11" s="120"/>
      <c r="QMM11" s="120"/>
      <c r="QMN11" s="120"/>
      <c r="QMO11" s="120"/>
      <c r="QMP11" s="120"/>
      <c r="QMQ11" s="120"/>
      <c r="QMR11" s="120"/>
      <c r="QMS11" s="120"/>
      <c r="QMT11" s="120"/>
      <c r="QMU11" s="120"/>
      <c r="QMV11" s="120"/>
      <c r="QMW11" s="120"/>
      <c r="QMX11" s="120"/>
      <c r="QMY11" s="120"/>
      <c r="QMZ11" s="120"/>
      <c r="QNA11" s="120"/>
      <c r="QNB11" s="120"/>
      <c r="QNC11" s="120"/>
      <c r="QND11" s="120"/>
      <c r="QNE11" s="120"/>
      <c r="QNF11" s="120"/>
      <c r="QNG11" s="120"/>
      <c r="QNH11" s="120"/>
      <c r="QNI11" s="120"/>
      <c r="QNJ11" s="120"/>
      <c r="QNK11" s="120"/>
      <c r="QNL11" s="120"/>
      <c r="QNM11" s="120"/>
      <c r="QNN11" s="120"/>
      <c r="QNO11" s="120"/>
      <c r="QNP11" s="120"/>
      <c r="QNQ11" s="120"/>
      <c r="QNR11" s="120"/>
      <c r="QNS11" s="120"/>
      <c r="QNT11" s="120"/>
      <c r="QNU11" s="120"/>
      <c r="QNV11" s="120"/>
      <c r="QNW11" s="120"/>
      <c r="QNX11" s="120"/>
      <c r="QNY11" s="120"/>
      <c r="QNZ11" s="120"/>
      <c r="QOA11" s="120"/>
      <c r="QOB11" s="120"/>
      <c r="QOC11" s="120"/>
      <c r="QOD11" s="120"/>
      <c r="QOE11" s="120"/>
      <c r="QOF11" s="120"/>
      <c r="QOG11" s="120"/>
      <c r="QOH11" s="120"/>
      <c r="QOI11" s="120"/>
      <c r="QOJ11" s="120"/>
      <c r="QOK11" s="120"/>
      <c r="QOL11" s="120"/>
      <c r="QOM11" s="120"/>
      <c r="QON11" s="120"/>
      <c r="QOO11" s="120"/>
      <c r="QOP11" s="120"/>
      <c r="QOQ11" s="120"/>
      <c r="QOR11" s="120"/>
      <c r="QOS11" s="120"/>
      <c r="QOT11" s="120"/>
      <c r="QOU11" s="120"/>
      <c r="QOV11" s="120"/>
      <c r="QOW11" s="120"/>
      <c r="QOX11" s="120"/>
      <c r="QOY11" s="120"/>
      <c r="QOZ11" s="120"/>
      <c r="QPA11" s="120"/>
      <c r="QPB11" s="120"/>
      <c r="QPC11" s="120"/>
      <c r="QPD11" s="120"/>
      <c r="QPE11" s="120"/>
      <c r="QPF11" s="120"/>
      <c r="QPG11" s="120"/>
      <c r="QPH11" s="120"/>
      <c r="QPI11" s="120"/>
      <c r="QPJ11" s="120"/>
      <c r="QPK11" s="120"/>
      <c r="QPL11" s="120"/>
      <c r="QPM11" s="120"/>
      <c r="QPN11" s="120"/>
      <c r="QPO11" s="120"/>
      <c r="QPP11" s="120"/>
      <c r="QPQ11" s="120"/>
      <c r="QPR11" s="120"/>
      <c r="QPS11" s="120"/>
      <c r="QPT11" s="120"/>
      <c r="QPU11" s="120"/>
      <c r="QPV11" s="120"/>
      <c r="QPW11" s="120"/>
      <c r="QPX11" s="120"/>
      <c r="QPY11" s="120"/>
      <c r="QPZ11" s="120"/>
      <c r="QQA11" s="120"/>
      <c r="QQB11" s="120"/>
      <c r="QQC11" s="120"/>
      <c r="QQD11" s="120"/>
      <c r="QQE11" s="120"/>
      <c r="QQF11" s="120"/>
      <c r="QQG11" s="120"/>
      <c r="QQH11" s="120"/>
      <c r="QQI11" s="120"/>
      <c r="QQJ11" s="120"/>
      <c r="QQK11" s="120"/>
      <c r="QQL11" s="120"/>
      <c r="QQM11" s="120"/>
      <c r="QQN11" s="120"/>
      <c r="QQO11" s="120"/>
      <c r="QQP11" s="120"/>
      <c r="QQQ11" s="120"/>
      <c r="QQR11" s="120"/>
      <c r="QQS11" s="120"/>
      <c r="QQT11" s="120"/>
      <c r="QQU11" s="120"/>
      <c r="QQV11" s="120"/>
      <c r="QQW11" s="120"/>
      <c r="QQX11" s="120"/>
      <c r="QQY11" s="120"/>
      <c r="QQZ11" s="120"/>
      <c r="QRA11" s="120"/>
      <c r="QRB11" s="120"/>
      <c r="QRC11" s="120"/>
      <c r="QRD11" s="120"/>
      <c r="QRE11" s="120"/>
      <c r="QRF11" s="120"/>
      <c r="QRG11" s="120"/>
      <c r="QRH11" s="120"/>
      <c r="QRI11" s="120"/>
      <c r="QRJ11" s="120"/>
      <c r="QRK11" s="120"/>
      <c r="QRL11" s="120"/>
      <c r="QRM11" s="120"/>
      <c r="QRN11" s="120"/>
      <c r="QRO11" s="120"/>
      <c r="QRP11" s="120"/>
      <c r="QRQ11" s="120"/>
      <c r="QRR11" s="120"/>
      <c r="QRS11" s="120"/>
      <c r="QRT11" s="120"/>
      <c r="QRU11" s="120"/>
      <c r="QRV11" s="120"/>
      <c r="QRW11" s="120"/>
      <c r="QRX11" s="120"/>
      <c r="QRY11" s="120"/>
      <c r="QRZ11" s="120"/>
      <c r="QSA11" s="120"/>
      <c r="QSB11" s="120"/>
      <c r="QSC11" s="120"/>
      <c r="QSD11" s="120"/>
      <c r="QSE11" s="120"/>
      <c r="QSF11" s="120"/>
      <c r="QSG11" s="120"/>
      <c r="QSH11" s="120"/>
      <c r="QSI11" s="120"/>
      <c r="QSJ11" s="120"/>
      <c r="QSK11" s="120"/>
      <c r="QSL11" s="120"/>
      <c r="QSM11" s="120"/>
      <c r="QSN11" s="120"/>
      <c r="QSO11" s="120"/>
      <c r="QSP11" s="120"/>
      <c r="QSQ11" s="120"/>
      <c r="QSR11" s="120"/>
      <c r="QSS11" s="120"/>
      <c r="QST11" s="120"/>
      <c r="QSU11" s="120"/>
      <c r="QSV11" s="120"/>
      <c r="QSW11" s="120"/>
      <c r="QSX11" s="120"/>
      <c r="QSY11" s="120"/>
      <c r="QSZ11" s="120"/>
      <c r="QTA11" s="120"/>
      <c r="QTB11" s="120"/>
      <c r="QTC11" s="120"/>
      <c r="QTD11" s="120"/>
      <c r="QTE11" s="120"/>
      <c r="QTF11" s="120"/>
      <c r="QTG11" s="120"/>
      <c r="QTH11" s="120"/>
      <c r="QTI11" s="120"/>
      <c r="QTJ11" s="120"/>
      <c r="QTK11" s="120"/>
      <c r="QTL11" s="120"/>
      <c r="QTM11" s="120"/>
      <c r="QTN11" s="120"/>
      <c r="QTO11" s="120"/>
      <c r="QTP11" s="120"/>
      <c r="QTQ11" s="120"/>
      <c r="QTR11" s="120"/>
      <c r="QTS11" s="120"/>
      <c r="QTT11" s="120"/>
      <c r="QTU11" s="120"/>
      <c r="QTV11" s="120"/>
      <c r="QTW11" s="120"/>
      <c r="QTX11" s="120"/>
      <c r="QTY11" s="120"/>
      <c r="QTZ11" s="120"/>
      <c r="QUA11" s="120"/>
      <c r="QUB11" s="120"/>
      <c r="QUC11" s="120"/>
      <c r="QUD11" s="120"/>
      <c r="QUE11" s="120"/>
      <c r="QUF11" s="120"/>
      <c r="QUG11" s="120"/>
      <c r="QUH11" s="120"/>
      <c r="QUI11" s="120"/>
      <c r="QUJ11" s="120"/>
      <c r="QUK11" s="120"/>
      <c r="QUL11" s="120"/>
      <c r="QUM11" s="120"/>
      <c r="QUN11" s="120"/>
      <c r="QUO11" s="120"/>
      <c r="QUP11" s="120"/>
      <c r="QUQ11" s="120"/>
      <c r="QUR11" s="120"/>
      <c r="QUS11" s="120"/>
      <c r="QUT11" s="120"/>
      <c r="QUU11" s="120"/>
      <c r="QUV11" s="120"/>
      <c r="QUW11" s="120"/>
      <c r="QUX11" s="120"/>
      <c r="QUY11" s="120"/>
      <c r="QUZ11" s="120"/>
      <c r="QVA11" s="120"/>
      <c r="QVB11" s="120"/>
      <c r="QVC11" s="120"/>
      <c r="QVD11" s="120"/>
      <c r="QVE11" s="120"/>
      <c r="QVF11" s="120"/>
      <c r="QVG11" s="120"/>
      <c r="QVH11" s="120"/>
      <c r="QVI11" s="120"/>
      <c r="QVJ11" s="120"/>
      <c r="QVK11" s="120"/>
      <c r="QVL11" s="120"/>
      <c r="QVM11" s="120"/>
      <c r="QVN11" s="120"/>
      <c r="QVO11" s="120"/>
      <c r="QVP11" s="120"/>
      <c r="QVQ11" s="120"/>
      <c r="QVR11" s="120"/>
      <c r="QVS11" s="120"/>
      <c r="QVT11" s="120"/>
      <c r="QVU11" s="120"/>
      <c r="QVV11" s="120"/>
      <c r="QVW11" s="120"/>
      <c r="QVX11" s="120"/>
      <c r="QVY11" s="120"/>
      <c r="QVZ11" s="120"/>
      <c r="QWA11" s="120"/>
      <c r="QWB11" s="120"/>
      <c r="QWC11" s="120"/>
      <c r="QWD11" s="120"/>
      <c r="QWE11" s="120"/>
      <c r="QWF11" s="120"/>
      <c r="QWG11" s="120"/>
      <c r="QWH11" s="120"/>
      <c r="QWI11" s="120"/>
      <c r="QWJ11" s="120"/>
      <c r="QWK11" s="120"/>
      <c r="QWL11" s="120"/>
      <c r="QWM11" s="120"/>
      <c r="QWN11" s="120"/>
      <c r="QWO11" s="120"/>
      <c r="QWP11" s="120"/>
      <c r="QWQ11" s="120"/>
      <c r="QWR11" s="120"/>
      <c r="QWS11" s="120"/>
      <c r="QWT11" s="120"/>
      <c r="QWU11" s="120"/>
      <c r="QWV11" s="120"/>
      <c r="QWW11" s="120"/>
      <c r="QWX11" s="120"/>
      <c r="QWY11" s="120"/>
      <c r="QWZ11" s="120"/>
      <c r="QXA11" s="120"/>
      <c r="QXB11" s="120"/>
      <c r="QXC11" s="120"/>
      <c r="QXD11" s="120"/>
      <c r="QXE11" s="120"/>
      <c r="QXF11" s="120"/>
      <c r="QXG11" s="120"/>
      <c r="QXH11" s="120"/>
      <c r="QXI11" s="120"/>
      <c r="QXJ11" s="120"/>
      <c r="QXK11" s="120"/>
      <c r="QXL11" s="120"/>
      <c r="QXM11" s="120"/>
      <c r="QXN11" s="120"/>
      <c r="QXO11" s="120"/>
      <c r="QXP11" s="120"/>
      <c r="QXQ11" s="120"/>
      <c r="QXR11" s="120"/>
      <c r="QXS11" s="120"/>
      <c r="QXT11" s="120"/>
      <c r="QXU11" s="120"/>
      <c r="QXV11" s="120"/>
      <c r="QXW11" s="120"/>
      <c r="QXX11" s="120"/>
      <c r="QXY11" s="120"/>
      <c r="QXZ11" s="120"/>
      <c r="QYA11" s="120"/>
      <c r="QYB11" s="120"/>
      <c r="QYC11" s="120"/>
      <c r="QYD11" s="120"/>
      <c r="QYE11" s="120"/>
      <c r="QYF11" s="120"/>
      <c r="QYG11" s="120"/>
      <c r="QYH11" s="120"/>
      <c r="QYI11" s="120"/>
      <c r="QYJ11" s="120"/>
      <c r="QYK11" s="120"/>
      <c r="QYL11" s="120"/>
      <c r="QYM11" s="120"/>
      <c r="QYN11" s="120"/>
      <c r="QYO11" s="120"/>
      <c r="QYP11" s="120"/>
      <c r="QYQ11" s="120"/>
      <c r="QYR11" s="120"/>
      <c r="QYS11" s="120"/>
      <c r="QYT11" s="120"/>
      <c r="QYU11" s="120"/>
      <c r="QYV11" s="120"/>
      <c r="QYW11" s="120"/>
      <c r="QYX11" s="120"/>
      <c r="QYY11" s="120"/>
      <c r="QYZ11" s="120"/>
      <c r="QZA11" s="120"/>
      <c r="QZB11" s="120"/>
      <c r="QZC11" s="120"/>
      <c r="QZD11" s="120"/>
      <c r="QZE11" s="120"/>
      <c r="QZF11" s="120"/>
      <c r="QZG11" s="120"/>
      <c r="QZH11" s="120"/>
      <c r="QZI11" s="120"/>
      <c r="QZJ11" s="120"/>
      <c r="QZK11" s="120"/>
      <c r="QZL11" s="120"/>
      <c r="QZM11" s="120"/>
      <c r="QZN11" s="120"/>
      <c r="QZO11" s="120"/>
      <c r="QZP11" s="120"/>
      <c r="QZQ11" s="120"/>
      <c r="QZR11" s="120"/>
      <c r="QZS11" s="120"/>
      <c r="QZT11" s="120"/>
      <c r="QZU11" s="120"/>
      <c r="QZV11" s="120"/>
      <c r="QZW11" s="120"/>
      <c r="QZX11" s="120"/>
      <c r="QZY11" s="120"/>
      <c r="QZZ11" s="120"/>
      <c r="RAA11" s="120"/>
      <c r="RAB11" s="120"/>
      <c r="RAC11" s="120"/>
      <c r="RAD11" s="120"/>
      <c r="RAE11" s="120"/>
      <c r="RAF11" s="120"/>
      <c r="RAG11" s="120"/>
      <c r="RAH11" s="120"/>
      <c r="RAI11" s="120"/>
      <c r="RAJ11" s="120"/>
      <c r="RAK11" s="120"/>
      <c r="RAL11" s="120"/>
      <c r="RAM11" s="120"/>
      <c r="RAN11" s="120"/>
      <c r="RAO11" s="120"/>
      <c r="RAP11" s="120"/>
      <c r="RAQ11" s="120"/>
      <c r="RAR11" s="120"/>
      <c r="RAS11" s="120"/>
      <c r="RAT11" s="120"/>
      <c r="RAU11" s="120"/>
      <c r="RAV11" s="120"/>
      <c r="RAW11" s="120"/>
      <c r="RAX11" s="120"/>
      <c r="RAY11" s="120"/>
      <c r="RAZ11" s="120"/>
      <c r="RBA11" s="120"/>
      <c r="RBB11" s="120"/>
      <c r="RBC11" s="120"/>
      <c r="RBD11" s="120"/>
      <c r="RBE11" s="120"/>
      <c r="RBF11" s="120"/>
      <c r="RBG11" s="120"/>
      <c r="RBH11" s="120"/>
      <c r="RBI11" s="120"/>
      <c r="RBJ11" s="120"/>
      <c r="RBK11" s="120"/>
      <c r="RBL11" s="120"/>
      <c r="RBM11" s="120"/>
      <c r="RBN11" s="120"/>
      <c r="RBO11" s="120"/>
      <c r="RBP11" s="120"/>
      <c r="RBQ11" s="120"/>
      <c r="RBR11" s="120"/>
      <c r="RBS11" s="120"/>
      <c r="RBT11" s="120"/>
      <c r="RBU11" s="120"/>
      <c r="RBV11" s="120"/>
      <c r="RBW11" s="120"/>
      <c r="RBX11" s="120"/>
      <c r="RBY11" s="120"/>
      <c r="RBZ11" s="120"/>
      <c r="RCA11" s="120"/>
      <c r="RCB11" s="120"/>
      <c r="RCC11" s="120"/>
      <c r="RCD11" s="120"/>
      <c r="RCE11" s="120"/>
      <c r="RCF11" s="120"/>
      <c r="RCG11" s="120"/>
      <c r="RCH11" s="120"/>
      <c r="RCI11" s="120"/>
      <c r="RCJ11" s="120"/>
      <c r="RCK11" s="120"/>
      <c r="RCL11" s="120"/>
      <c r="RCM11" s="120"/>
      <c r="RCN11" s="120"/>
      <c r="RCO11" s="120"/>
      <c r="RCP11" s="120"/>
      <c r="RCQ11" s="120"/>
      <c r="RCR11" s="120"/>
      <c r="RCS11" s="120"/>
      <c r="RCT11" s="120"/>
      <c r="RCU11" s="120"/>
      <c r="RCV11" s="120"/>
      <c r="RCW11" s="120"/>
      <c r="RCX11" s="120"/>
      <c r="RCY11" s="120"/>
      <c r="RCZ11" s="120"/>
      <c r="RDA11" s="120"/>
      <c r="RDB11" s="120"/>
      <c r="RDC11" s="120"/>
      <c r="RDD11" s="120"/>
      <c r="RDE11" s="120"/>
      <c r="RDF11" s="120"/>
      <c r="RDG11" s="120"/>
      <c r="RDH11" s="120"/>
      <c r="RDI11" s="120"/>
      <c r="RDJ11" s="120"/>
      <c r="RDK11" s="120"/>
      <c r="RDL11" s="120"/>
      <c r="RDM11" s="120"/>
      <c r="RDN11" s="120"/>
      <c r="RDO11" s="120"/>
      <c r="RDP11" s="120"/>
      <c r="RDQ11" s="120"/>
      <c r="RDR11" s="120"/>
      <c r="RDS11" s="120"/>
      <c r="RDT11" s="120"/>
      <c r="RDU11" s="120"/>
      <c r="RDV11" s="120"/>
      <c r="RDW11" s="120"/>
      <c r="RDX11" s="120"/>
      <c r="RDY11" s="120"/>
      <c r="RDZ11" s="120"/>
      <c r="REA11" s="120"/>
      <c r="REB11" s="120"/>
      <c r="REC11" s="120"/>
      <c r="RED11" s="120"/>
      <c r="REE11" s="120"/>
      <c r="REF11" s="120"/>
      <c r="REG11" s="120"/>
      <c r="REH11" s="120"/>
      <c r="REI11" s="120"/>
      <c r="REJ11" s="120"/>
      <c r="REK11" s="120"/>
      <c r="REL11" s="120"/>
      <c r="REM11" s="120"/>
      <c r="REN11" s="120"/>
      <c r="REO11" s="120"/>
      <c r="REP11" s="120"/>
      <c r="REQ11" s="120"/>
      <c r="RER11" s="120"/>
      <c r="RES11" s="120"/>
      <c r="RET11" s="120"/>
      <c r="REU11" s="120"/>
      <c r="REV11" s="120"/>
      <c r="REW11" s="120"/>
      <c r="REX11" s="120"/>
      <c r="REY11" s="120"/>
      <c r="REZ11" s="120"/>
      <c r="RFA11" s="120"/>
      <c r="RFB11" s="120"/>
      <c r="RFC11" s="120"/>
      <c r="RFD11" s="120"/>
      <c r="RFE11" s="120"/>
      <c r="RFF11" s="120"/>
      <c r="RFG11" s="120"/>
      <c r="RFH11" s="120"/>
      <c r="RFI11" s="120"/>
      <c r="RFJ11" s="120"/>
      <c r="RFK11" s="120"/>
      <c r="RFL11" s="120"/>
      <c r="RFM11" s="120"/>
      <c r="RFN11" s="120"/>
      <c r="RFO11" s="120"/>
      <c r="RFP11" s="120"/>
      <c r="RFQ11" s="120"/>
      <c r="RFR11" s="120"/>
      <c r="RFS11" s="120"/>
      <c r="RFT11" s="120"/>
      <c r="RFU11" s="120"/>
      <c r="RFV11" s="120"/>
      <c r="RFW11" s="120"/>
      <c r="RFX11" s="120"/>
      <c r="RFY11" s="120"/>
      <c r="RFZ11" s="120"/>
      <c r="RGA11" s="120"/>
      <c r="RGB11" s="120"/>
      <c r="RGC11" s="120"/>
      <c r="RGD11" s="120"/>
      <c r="RGE11" s="120"/>
      <c r="RGF11" s="120"/>
      <c r="RGG11" s="120"/>
      <c r="RGH11" s="120"/>
      <c r="RGI11" s="120"/>
      <c r="RGJ11" s="120"/>
      <c r="RGK11" s="120"/>
      <c r="RGL11" s="120"/>
      <c r="RGM11" s="120"/>
      <c r="RGN11" s="120"/>
      <c r="RGO11" s="120"/>
      <c r="RGP11" s="120"/>
      <c r="RGQ11" s="120"/>
      <c r="RGR11" s="120"/>
      <c r="RGS11" s="120"/>
      <c r="RGT11" s="120"/>
      <c r="RGU11" s="120"/>
      <c r="RGV11" s="120"/>
      <c r="RGW11" s="120"/>
      <c r="RGX11" s="120"/>
      <c r="RGY11" s="120"/>
      <c r="RGZ11" s="120"/>
      <c r="RHA11" s="120"/>
      <c r="RHB11" s="120"/>
      <c r="RHC11" s="120"/>
      <c r="RHD11" s="120"/>
      <c r="RHE11" s="120"/>
      <c r="RHF11" s="120"/>
      <c r="RHG11" s="120"/>
      <c r="RHH11" s="120"/>
      <c r="RHI11" s="120"/>
      <c r="RHJ11" s="120"/>
      <c r="RHK11" s="120"/>
      <c r="RHL11" s="120"/>
      <c r="RHM11" s="120"/>
      <c r="RHN11" s="120"/>
      <c r="RHO11" s="120"/>
      <c r="RHP11" s="120"/>
      <c r="RHQ11" s="120"/>
      <c r="RHR11" s="120"/>
      <c r="RHS11" s="120"/>
      <c r="RHT11" s="120"/>
      <c r="RHU11" s="120"/>
      <c r="RHV11" s="120"/>
      <c r="RHW11" s="120"/>
      <c r="RHX11" s="120"/>
      <c r="RHY11" s="120"/>
      <c r="RHZ11" s="120"/>
      <c r="RIA11" s="120"/>
      <c r="RIB11" s="120"/>
      <c r="RIC11" s="120"/>
      <c r="RID11" s="120"/>
      <c r="RIE11" s="120"/>
      <c r="RIF11" s="120"/>
      <c r="RIG11" s="120"/>
      <c r="RIH11" s="120"/>
      <c r="RII11" s="120"/>
      <c r="RIJ11" s="120"/>
      <c r="RIK11" s="120"/>
      <c r="RIL11" s="120"/>
      <c r="RIM11" s="120"/>
      <c r="RIN11" s="120"/>
      <c r="RIO11" s="120"/>
      <c r="RIP11" s="120"/>
      <c r="RIQ11" s="120"/>
      <c r="RIR11" s="120"/>
      <c r="RIS11" s="120"/>
      <c r="RIT11" s="120"/>
      <c r="RIU11" s="120"/>
      <c r="RIV11" s="120"/>
      <c r="RIW11" s="120"/>
      <c r="RIX11" s="120"/>
      <c r="RIY11" s="120"/>
      <c r="RIZ11" s="120"/>
      <c r="RJA11" s="120"/>
      <c r="RJB11" s="120"/>
      <c r="RJC11" s="120"/>
      <c r="RJD11" s="120"/>
      <c r="RJE11" s="120"/>
      <c r="RJF11" s="120"/>
      <c r="RJG11" s="120"/>
      <c r="RJH11" s="120"/>
      <c r="RJI11" s="120"/>
      <c r="RJJ11" s="120"/>
      <c r="RJK11" s="120"/>
      <c r="RJL11" s="120"/>
      <c r="RJM11" s="120"/>
      <c r="RJN11" s="120"/>
      <c r="RJO11" s="120"/>
      <c r="RJP11" s="120"/>
      <c r="RJQ11" s="120"/>
      <c r="RJR11" s="120"/>
      <c r="RJS11" s="120"/>
      <c r="RJT11" s="120"/>
      <c r="RJU11" s="120"/>
      <c r="RJV11" s="120"/>
      <c r="RJW11" s="120"/>
      <c r="RJX11" s="120"/>
      <c r="RJY11" s="120"/>
      <c r="RJZ11" s="120"/>
      <c r="RKA11" s="120"/>
      <c r="RKB11" s="120"/>
      <c r="RKC11" s="120"/>
      <c r="RKD11" s="120"/>
      <c r="RKE11" s="120"/>
      <c r="RKF11" s="120"/>
      <c r="RKG11" s="120"/>
      <c r="RKH11" s="120"/>
      <c r="RKI11" s="120"/>
      <c r="RKJ11" s="120"/>
      <c r="RKK11" s="120"/>
      <c r="RKL11" s="120"/>
      <c r="RKM11" s="120"/>
      <c r="RKN11" s="120"/>
      <c r="RKO11" s="120"/>
      <c r="RKP11" s="120"/>
      <c r="RKQ11" s="120"/>
      <c r="RKR11" s="120"/>
      <c r="RKS11" s="120"/>
      <c r="RKT11" s="120"/>
      <c r="RKU11" s="120"/>
      <c r="RKV11" s="120"/>
      <c r="RKW11" s="120"/>
      <c r="RKX11" s="120"/>
      <c r="RKY11" s="120"/>
      <c r="RKZ11" s="120"/>
      <c r="RLA11" s="120"/>
      <c r="RLB11" s="120"/>
      <c r="RLC11" s="120"/>
      <c r="RLD11" s="120"/>
      <c r="RLE11" s="120"/>
      <c r="RLF11" s="120"/>
      <c r="RLG11" s="120"/>
      <c r="RLH11" s="120"/>
      <c r="RLI11" s="120"/>
      <c r="RLJ11" s="120"/>
      <c r="RLK11" s="120"/>
      <c r="RLL11" s="120"/>
      <c r="RLM11" s="120"/>
      <c r="RLN11" s="120"/>
      <c r="RLO11" s="120"/>
      <c r="RLP11" s="120"/>
      <c r="RLQ11" s="120"/>
      <c r="RLR11" s="120"/>
      <c r="RLS11" s="120"/>
      <c r="RLT11" s="120"/>
      <c r="RLU11" s="120"/>
      <c r="RLV11" s="120"/>
      <c r="RLW11" s="120"/>
      <c r="RLX11" s="120"/>
      <c r="RLY11" s="120"/>
      <c r="RLZ11" s="120"/>
      <c r="RMA11" s="120"/>
      <c r="RMB11" s="120"/>
      <c r="RMC11" s="120"/>
      <c r="RMD11" s="120"/>
      <c r="RME11" s="120"/>
      <c r="RMF11" s="120"/>
      <c r="RMG11" s="120"/>
      <c r="RMH11" s="120"/>
      <c r="RMI11" s="120"/>
      <c r="RMJ11" s="120"/>
      <c r="RMK11" s="120"/>
      <c r="RML11" s="120"/>
      <c r="RMM11" s="120"/>
      <c r="RMN11" s="120"/>
      <c r="RMO11" s="120"/>
      <c r="RMP11" s="120"/>
      <c r="RMQ11" s="120"/>
      <c r="RMR11" s="120"/>
      <c r="RMS11" s="120"/>
      <c r="RMT11" s="120"/>
      <c r="RMU11" s="120"/>
      <c r="RMV11" s="120"/>
      <c r="RMW11" s="120"/>
      <c r="RMX11" s="120"/>
      <c r="RMY11" s="120"/>
      <c r="RMZ11" s="120"/>
      <c r="RNA11" s="120"/>
      <c r="RNB11" s="120"/>
      <c r="RNC11" s="120"/>
      <c r="RND11" s="120"/>
      <c r="RNE11" s="120"/>
      <c r="RNF11" s="120"/>
      <c r="RNG11" s="120"/>
      <c r="RNH11" s="120"/>
      <c r="RNI11" s="120"/>
      <c r="RNJ11" s="120"/>
      <c r="RNK11" s="120"/>
      <c r="RNL11" s="120"/>
      <c r="RNM11" s="120"/>
      <c r="RNN11" s="120"/>
      <c r="RNO11" s="120"/>
      <c r="RNP11" s="120"/>
      <c r="RNQ11" s="120"/>
      <c r="RNR11" s="120"/>
      <c r="RNS11" s="120"/>
      <c r="RNT11" s="120"/>
      <c r="RNU11" s="120"/>
      <c r="RNV11" s="120"/>
      <c r="RNW11" s="120"/>
      <c r="RNX11" s="120"/>
      <c r="RNY11" s="120"/>
      <c r="RNZ11" s="120"/>
      <c r="ROA11" s="120"/>
      <c r="ROB11" s="120"/>
      <c r="ROC11" s="120"/>
      <c r="ROD11" s="120"/>
      <c r="ROE11" s="120"/>
      <c r="ROF11" s="120"/>
      <c r="ROG11" s="120"/>
      <c r="ROH11" s="120"/>
      <c r="ROI11" s="120"/>
      <c r="ROJ11" s="120"/>
      <c r="ROK11" s="120"/>
      <c r="ROL11" s="120"/>
      <c r="ROM11" s="120"/>
      <c r="RON11" s="120"/>
      <c r="ROO11" s="120"/>
      <c r="ROP11" s="120"/>
      <c r="ROQ11" s="120"/>
      <c r="ROR11" s="120"/>
      <c r="ROS11" s="120"/>
      <c r="ROT11" s="120"/>
      <c r="ROU11" s="120"/>
      <c r="ROV11" s="120"/>
      <c r="ROW11" s="120"/>
      <c r="ROX11" s="120"/>
      <c r="ROY11" s="120"/>
      <c r="ROZ11" s="120"/>
      <c r="RPA11" s="120"/>
      <c r="RPB11" s="120"/>
      <c r="RPC11" s="120"/>
      <c r="RPD11" s="120"/>
      <c r="RPE11" s="120"/>
      <c r="RPF11" s="120"/>
      <c r="RPG11" s="120"/>
      <c r="RPH11" s="120"/>
      <c r="RPI11" s="120"/>
      <c r="RPJ11" s="120"/>
      <c r="RPK11" s="120"/>
      <c r="RPL11" s="120"/>
      <c r="RPM11" s="120"/>
      <c r="RPN11" s="120"/>
      <c r="RPO11" s="120"/>
      <c r="RPP11" s="120"/>
      <c r="RPQ11" s="120"/>
      <c r="RPR11" s="120"/>
      <c r="RPS11" s="120"/>
      <c r="RPT11" s="120"/>
      <c r="RPU11" s="120"/>
      <c r="RPV11" s="120"/>
      <c r="RPW11" s="120"/>
      <c r="RPX11" s="120"/>
      <c r="RPY11" s="120"/>
      <c r="RPZ11" s="120"/>
      <c r="RQA11" s="120"/>
      <c r="RQB11" s="120"/>
      <c r="RQC11" s="120"/>
      <c r="RQD11" s="120"/>
      <c r="RQE11" s="120"/>
      <c r="RQF11" s="120"/>
      <c r="RQG11" s="120"/>
      <c r="RQH11" s="120"/>
      <c r="RQI11" s="120"/>
      <c r="RQJ11" s="120"/>
      <c r="RQK11" s="120"/>
      <c r="RQL11" s="120"/>
      <c r="RQM11" s="120"/>
      <c r="RQN11" s="120"/>
      <c r="RQO11" s="120"/>
      <c r="RQP11" s="120"/>
      <c r="RQQ11" s="120"/>
      <c r="RQR11" s="120"/>
      <c r="RQS11" s="120"/>
      <c r="RQT11" s="120"/>
      <c r="RQU11" s="120"/>
      <c r="RQV11" s="120"/>
      <c r="RQW11" s="120"/>
      <c r="RQX11" s="120"/>
      <c r="RQY11" s="120"/>
      <c r="RQZ11" s="120"/>
      <c r="RRA11" s="120"/>
      <c r="RRB11" s="120"/>
      <c r="RRC11" s="120"/>
      <c r="RRD11" s="120"/>
      <c r="RRE11" s="120"/>
      <c r="RRF11" s="120"/>
      <c r="RRG11" s="120"/>
      <c r="RRH11" s="120"/>
      <c r="RRI11" s="120"/>
      <c r="RRJ11" s="120"/>
      <c r="RRK11" s="120"/>
      <c r="RRL11" s="120"/>
      <c r="RRM11" s="120"/>
      <c r="RRN11" s="120"/>
      <c r="RRO11" s="120"/>
      <c r="RRP11" s="120"/>
      <c r="RRQ11" s="120"/>
      <c r="RRR11" s="120"/>
      <c r="RRS11" s="120"/>
      <c r="RRT11" s="120"/>
      <c r="RRU11" s="120"/>
      <c r="RRV11" s="120"/>
      <c r="RRW11" s="120"/>
      <c r="RRX11" s="120"/>
      <c r="RRY11" s="120"/>
      <c r="RRZ11" s="120"/>
      <c r="RSA11" s="120"/>
      <c r="RSB11" s="120"/>
      <c r="RSC11" s="120"/>
      <c r="RSD11" s="120"/>
      <c r="RSE11" s="120"/>
      <c r="RSF11" s="120"/>
      <c r="RSG11" s="120"/>
      <c r="RSH11" s="120"/>
      <c r="RSI11" s="120"/>
      <c r="RSJ11" s="120"/>
      <c r="RSK11" s="120"/>
      <c r="RSL11" s="120"/>
      <c r="RSM11" s="120"/>
      <c r="RSN11" s="120"/>
      <c r="RSO11" s="120"/>
      <c r="RSP11" s="120"/>
      <c r="RSQ11" s="120"/>
      <c r="RSR11" s="120"/>
      <c r="RSS11" s="120"/>
      <c r="RST11" s="120"/>
      <c r="RSU11" s="120"/>
      <c r="RSV11" s="120"/>
      <c r="RSW11" s="120"/>
      <c r="RSX11" s="120"/>
      <c r="RSY11" s="120"/>
      <c r="RSZ11" s="120"/>
      <c r="RTA11" s="120"/>
      <c r="RTB11" s="120"/>
      <c r="RTC11" s="120"/>
      <c r="RTD11" s="120"/>
      <c r="RTE11" s="120"/>
      <c r="RTF11" s="120"/>
      <c r="RTG11" s="120"/>
      <c r="RTH11" s="120"/>
      <c r="RTI11" s="120"/>
      <c r="RTJ11" s="120"/>
      <c r="RTK11" s="120"/>
      <c r="RTL11" s="120"/>
      <c r="RTM11" s="120"/>
      <c r="RTN11" s="120"/>
      <c r="RTO11" s="120"/>
      <c r="RTP11" s="120"/>
      <c r="RTQ11" s="120"/>
      <c r="RTR11" s="120"/>
      <c r="RTS11" s="120"/>
      <c r="RTT11" s="120"/>
      <c r="RTU11" s="120"/>
      <c r="RTV11" s="120"/>
      <c r="RTW11" s="120"/>
      <c r="RTX11" s="120"/>
      <c r="RTY11" s="120"/>
      <c r="RTZ11" s="120"/>
      <c r="RUA11" s="120"/>
      <c r="RUB11" s="120"/>
      <c r="RUC11" s="120"/>
      <c r="RUD11" s="120"/>
      <c r="RUE11" s="120"/>
      <c r="RUF11" s="120"/>
      <c r="RUG11" s="120"/>
      <c r="RUH11" s="120"/>
      <c r="RUI11" s="120"/>
      <c r="RUJ11" s="120"/>
      <c r="RUK11" s="120"/>
      <c r="RUL11" s="120"/>
      <c r="RUM11" s="120"/>
      <c r="RUN11" s="120"/>
      <c r="RUO11" s="120"/>
      <c r="RUP11" s="120"/>
      <c r="RUQ11" s="120"/>
      <c r="RUR11" s="120"/>
      <c r="RUS11" s="120"/>
      <c r="RUT11" s="120"/>
      <c r="RUU11" s="120"/>
      <c r="RUV11" s="120"/>
      <c r="RUW11" s="120"/>
      <c r="RUX11" s="120"/>
      <c r="RUY11" s="120"/>
      <c r="RUZ11" s="120"/>
      <c r="RVA11" s="120"/>
      <c r="RVB11" s="120"/>
      <c r="RVC11" s="120"/>
      <c r="RVD11" s="120"/>
      <c r="RVE11" s="120"/>
      <c r="RVF11" s="120"/>
      <c r="RVG11" s="120"/>
      <c r="RVH11" s="120"/>
      <c r="RVI11" s="120"/>
      <c r="RVJ11" s="120"/>
      <c r="RVK11" s="120"/>
      <c r="RVL11" s="120"/>
      <c r="RVM11" s="120"/>
      <c r="RVN11" s="120"/>
      <c r="RVO11" s="120"/>
      <c r="RVP11" s="120"/>
      <c r="RVQ11" s="120"/>
      <c r="RVR11" s="120"/>
      <c r="RVS11" s="120"/>
      <c r="RVT11" s="120"/>
      <c r="RVU11" s="120"/>
      <c r="RVV11" s="120"/>
      <c r="RVW11" s="120"/>
      <c r="RVX11" s="120"/>
      <c r="RVY11" s="120"/>
      <c r="RVZ11" s="120"/>
      <c r="RWA11" s="120"/>
      <c r="RWB11" s="120"/>
      <c r="RWC11" s="120"/>
      <c r="RWD11" s="120"/>
      <c r="RWE11" s="120"/>
      <c r="RWF11" s="120"/>
      <c r="RWG11" s="120"/>
      <c r="RWH11" s="120"/>
      <c r="RWI11" s="120"/>
      <c r="RWJ11" s="120"/>
      <c r="RWK11" s="120"/>
      <c r="RWL11" s="120"/>
      <c r="RWM11" s="120"/>
      <c r="RWN11" s="120"/>
      <c r="RWO11" s="120"/>
      <c r="RWP11" s="120"/>
      <c r="RWQ11" s="120"/>
      <c r="RWR11" s="120"/>
      <c r="RWS11" s="120"/>
      <c r="RWT11" s="120"/>
      <c r="RWU11" s="120"/>
      <c r="RWV11" s="120"/>
      <c r="RWW11" s="120"/>
      <c r="RWX11" s="120"/>
      <c r="RWY11" s="120"/>
      <c r="RWZ11" s="120"/>
      <c r="RXA11" s="120"/>
      <c r="RXB11" s="120"/>
      <c r="RXC11" s="120"/>
      <c r="RXD11" s="120"/>
      <c r="RXE11" s="120"/>
      <c r="RXF11" s="120"/>
      <c r="RXG11" s="120"/>
      <c r="RXH11" s="120"/>
      <c r="RXI11" s="120"/>
      <c r="RXJ11" s="120"/>
      <c r="RXK11" s="120"/>
      <c r="RXL11" s="120"/>
      <c r="RXM11" s="120"/>
      <c r="RXN11" s="120"/>
      <c r="RXO11" s="120"/>
      <c r="RXP11" s="120"/>
      <c r="RXQ11" s="120"/>
      <c r="RXR11" s="120"/>
      <c r="RXS11" s="120"/>
      <c r="RXT11" s="120"/>
      <c r="RXU11" s="120"/>
      <c r="RXV11" s="120"/>
      <c r="RXW11" s="120"/>
      <c r="RXX11" s="120"/>
      <c r="RXY11" s="120"/>
      <c r="RXZ11" s="120"/>
      <c r="RYA11" s="120"/>
      <c r="RYB11" s="120"/>
      <c r="RYC11" s="120"/>
      <c r="RYD11" s="120"/>
      <c r="RYE11" s="120"/>
      <c r="RYF11" s="120"/>
      <c r="RYG11" s="120"/>
      <c r="RYH11" s="120"/>
      <c r="RYI11" s="120"/>
      <c r="RYJ11" s="120"/>
      <c r="RYK11" s="120"/>
      <c r="RYL11" s="120"/>
      <c r="RYM11" s="120"/>
      <c r="RYN11" s="120"/>
      <c r="RYO11" s="120"/>
      <c r="RYP11" s="120"/>
      <c r="RYQ11" s="120"/>
      <c r="RYR11" s="120"/>
      <c r="RYS11" s="120"/>
      <c r="RYT11" s="120"/>
      <c r="RYU11" s="120"/>
      <c r="RYV11" s="120"/>
      <c r="RYW11" s="120"/>
      <c r="RYX11" s="120"/>
      <c r="RYY11" s="120"/>
      <c r="RYZ11" s="120"/>
      <c r="RZA11" s="120"/>
      <c r="RZB11" s="120"/>
      <c r="RZC11" s="120"/>
      <c r="RZD11" s="120"/>
      <c r="RZE11" s="120"/>
      <c r="RZF11" s="120"/>
      <c r="RZG11" s="120"/>
      <c r="RZH11" s="120"/>
      <c r="RZI11" s="120"/>
      <c r="RZJ11" s="120"/>
      <c r="RZK11" s="120"/>
      <c r="RZL11" s="120"/>
      <c r="RZM11" s="120"/>
      <c r="RZN11" s="120"/>
      <c r="RZO11" s="120"/>
      <c r="RZP11" s="120"/>
      <c r="RZQ11" s="120"/>
      <c r="RZR11" s="120"/>
      <c r="RZS11" s="120"/>
      <c r="RZT11" s="120"/>
      <c r="RZU11" s="120"/>
      <c r="RZV11" s="120"/>
      <c r="RZW11" s="120"/>
      <c r="RZX11" s="120"/>
      <c r="RZY11" s="120"/>
      <c r="RZZ11" s="120"/>
      <c r="SAA11" s="120"/>
      <c r="SAB11" s="120"/>
      <c r="SAC11" s="120"/>
      <c r="SAD11" s="120"/>
      <c r="SAE11" s="120"/>
      <c r="SAF11" s="120"/>
      <c r="SAG11" s="120"/>
      <c r="SAH11" s="120"/>
      <c r="SAI11" s="120"/>
      <c r="SAJ11" s="120"/>
      <c r="SAK11" s="120"/>
      <c r="SAL11" s="120"/>
      <c r="SAM11" s="120"/>
      <c r="SAN11" s="120"/>
      <c r="SAO11" s="120"/>
      <c r="SAP11" s="120"/>
      <c r="SAQ11" s="120"/>
      <c r="SAR11" s="120"/>
      <c r="SAS11" s="120"/>
      <c r="SAT11" s="120"/>
      <c r="SAU11" s="120"/>
      <c r="SAV11" s="120"/>
      <c r="SAW11" s="120"/>
      <c r="SAX11" s="120"/>
      <c r="SAY11" s="120"/>
      <c r="SAZ11" s="120"/>
      <c r="SBA11" s="120"/>
      <c r="SBB11" s="120"/>
      <c r="SBC11" s="120"/>
      <c r="SBD11" s="120"/>
      <c r="SBE11" s="120"/>
      <c r="SBF11" s="120"/>
      <c r="SBG11" s="120"/>
      <c r="SBH11" s="120"/>
      <c r="SBI11" s="120"/>
      <c r="SBJ11" s="120"/>
      <c r="SBK11" s="120"/>
      <c r="SBL11" s="120"/>
      <c r="SBM11" s="120"/>
      <c r="SBN11" s="120"/>
      <c r="SBO11" s="120"/>
      <c r="SBP11" s="120"/>
      <c r="SBQ11" s="120"/>
      <c r="SBR11" s="120"/>
      <c r="SBS11" s="120"/>
      <c r="SBT11" s="120"/>
      <c r="SBU11" s="120"/>
      <c r="SBV11" s="120"/>
      <c r="SBW11" s="120"/>
      <c r="SBX11" s="120"/>
      <c r="SBY11" s="120"/>
      <c r="SBZ11" s="120"/>
      <c r="SCA11" s="120"/>
      <c r="SCB11" s="120"/>
      <c r="SCC11" s="120"/>
      <c r="SCD11" s="120"/>
      <c r="SCE11" s="120"/>
      <c r="SCF11" s="120"/>
      <c r="SCG11" s="120"/>
      <c r="SCH11" s="120"/>
      <c r="SCI11" s="120"/>
      <c r="SCJ11" s="120"/>
      <c r="SCK11" s="120"/>
      <c r="SCL11" s="120"/>
      <c r="SCM11" s="120"/>
      <c r="SCN11" s="120"/>
      <c r="SCO11" s="120"/>
      <c r="SCP11" s="120"/>
      <c r="SCQ11" s="120"/>
      <c r="SCR11" s="120"/>
      <c r="SCS11" s="120"/>
      <c r="SCT11" s="120"/>
      <c r="SCU11" s="120"/>
      <c r="SCV11" s="120"/>
      <c r="SCW11" s="120"/>
      <c r="SCX11" s="120"/>
      <c r="SCY11" s="120"/>
      <c r="SCZ11" s="120"/>
      <c r="SDA11" s="120"/>
      <c r="SDB11" s="120"/>
      <c r="SDC11" s="120"/>
      <c r="SDD11" s="120"/>
      <c r="SDE11" s="120"/>
      <c r="SDF11" s="120"/>
      <c r="SDG11" s="120"/>
      <c r="SDH11" s="120"/>
      <c r="SDI11" s="120"/>
      <c r="SDJ11" s="120"/>
      <c r="SDK11" s="120"/>
      <c r="SDL11" s="120"/>
      <c r="SDM11" s="120"/>
      <c r="SDN11" s="120"/>
      <c r="SDO11" s="120"/>
      <c r="SDP11" s="120"/>
      <c r="SDQ11" s="120"/>
      <c r="SDR11" s="120"/>
      <c r="SDS11" s="120"/>
      <c r="SDT11" s="120"/>
      <c r="SDU11" s="120"/>
      <c r="SDV11" s="120"/>
      <c r="SDW11" s="120"/>
      <c r="SDX11" s="120"/>
      <c r="SDY11" s="120"/>
      <c r="SDZ11" s="120"/>
      <c r="SEA11" s="120"/>
      <c r="SEB11" s="120"/>
      <c r="SEC11" s="120"/>
      <c r="SED11" s="120"/>
      <c r="SEE11" s="120"/>
      <c r="SEF11" s="120"/>
      <c r="SEG11" s="120"/>
      <c r="SEH11" s="120"/>
      <c r="SEI11" s="120"/>
      <c r="SEJ11" s="120"/>
      <c r="SEK11" s="120"/>
      <c r="SEL11" s="120"/>
      <c r="SEM11" s="120"/>
      <c r="SEN11" s="120"/>
      <c r="SEO11" s="120"/>
      <c r="SEP11" s="120"/>
      <c r="SEQ11" s="120"/>
      <c r="SER11" s="120"/>
      <c r="SES11" s="120"/>
      <c r="SET11" s="120"/>
      <c r="SEU11" s="120"/>
      <c r="SEV11" s="120"/>
      <c r="SEW11" s="120"/>
      <c r="SEX11" s="120"/>
      <c r="SEY11" s="120"/>
      <c r="SEZ11" s="120"/>
      <c r="SFA11" s="120"/>
      <c r="SFB11" s="120"/>
      <c r="SFC11" s="120"/>
      <c r="SFD11" s="120"/>
      <c r="SFE11" s="120"/>
      <c r="SFF11" s="120"/>
      <c r="SFG11" s="120"/>
      <c r="SFH11" s="120"/>
      <c r="SFI11" s="120"/>
      <c r="SFJ11" s="120"/>
      <c r="SFK11" s="120"/>
      <c r="SFL11" s="120"/>
      <c r="SFM11" s="120"/>
      <c r="SFN11" s="120"/>
      <c r="SFO11" s="120"/>
      <c r="SFP11" s="120"/>
      <c r="SFQ11" s="120"/>
      <c r="SFR11" s="120"/>
      <c r="SFS11" s="120"/>
      <c r="SFT11" s="120"/>
      <c r="SFU11" s="120"/>
      <c r="SFV11" s="120"/>
      <c r="SFW11" s="120"/>
      <c r="SFX11" s="120"/>
      <c r="SFY11" s="120"/>
      <c r="SFZ11" s="120"/>
      <c r="SGA11" s="120"/>
      <c r="SGB11" s="120"/>
      <c r="SGC11" s="120"/>
      <c r="SGD11" s="120"/>
      <c r="SGE11" s="120"/>
      <c r="SGF11" s="120"/>
      <c r="SGG11" s="120"/>
      <c r="SGH11" s="120"/>
      <c r="SGI11" s="120"/>
      <c r="SGJ11" s="120"/>
      <c r="SGK11" s="120"/>
      <c r="SGL11" s="120"/>
      <c r="SGM11" s="120"/>
      <c r="SGN11" s="120"/>
      <c r="SGO11" s="120"/>
      <c r="SGP11" s="120"/>
      <c r="SGQ11" s="120"/>
      <c r="SGR11" s="120"/>
      <c r="SGS11" s="120"/>
      <c r="SGT11" s="120"/>
      <c r="SGU11" s="120"/>
      <c r="SGV11" s="120"/>
      <c r="SGW11" s="120"/>
      <c r="SGX11" s="120"/>
      <c r="SGY11" s="120"/>
      <c r="SGZ11" s="120"/>
      <c r="SHA11" s="120"/>
      <c r="SHB11" s="120"/>
      <c r="SHC11" s="120"/>
      <c r="SHD11" s="120"/>
      <c r="SHE11" s="120"/>
      <c r="SHF11" s="120"/>
      <c r="SHG11" s="120"/>
      <c r="SHH11" s="120"/>
      <c r="SHI11" s="120"/>
      <c r="SHJ11" s="120"/>
      <c r="SHK11" s="120"/>
      <c r="SHL11" s="120"/>
      <c r="SHM11" s="120"/>
      <c r="SHN11" s="120"/>
      <c r="SHO11" s="120"/>
      <c r="SHP11" s="120"/>
      <c r="SHQ11" s="120"/>
      <c r="SHR11" s="120"/>
      <c r="SHS11" s="120"/>
      <c r="SHT11" s="120"/>
      <c r="SHU11" s="120"/>
      <c r="SHV11" s="120"/>
      <c r="SHW11" s="120"/>
      <c r="SHX11" s="120"/>
      <c r="SHY11" s="120"/>
      <c r="SHZ11" s="120"/>
      <c r="SIA11" s="120"/>
      <c r="SIB11" s="120"/>
      <c r="SIC11" s="120"/>
      <c r="SID11" s="120"/>
      <c r="SIE11" s="120"/>
      <c r="SIF11" s="120"/>
      <c r="SIG11" s="120"/>
      <c r="SIH11" s="120"/>
      <c r="SII11" s="120"/>
      <c r="SIJ11" s="120"/>
      <c r="SIK11" s="120"/>
      <c r="SIL11" s="120"/>
      <c r="SIM11" s="120"/>
      <c r="SIN11" s="120"/>
      <c r="SIO11" s="120"/>
      <c r="SIP11" s="120"/>
      <c r="SIQ11" s="120"/>
      <c r="SIR11" s="120"/>
      <c r="SIS11" s="120"/>
      <c r="SIT11" s="120"/>
      <c r="SIU11" s="120"/>
      <c r="SIV11" s="120"/>
      <c r="SIW11" s="120"/>
      <c r="SIX11" s="120"/>
      <c r="SIY11" s="120"/>
      <c r="SIZ11" s="120"/>
      <c r="SJA11" s="120"/>
      <c r="SJB11" s="120"/>
      <c r="SJC11" s="120"/>
      <c r="SJD11" s="120"/>
      <c r="SJE11" s="120"/>
      <c r="SJF11" s="120"/>
      <c r="SJG11" s="120"/>
      <c r="SJH11" s="120"/>
      <c r="SJI11" s="120"/>
      <c r="SJJ11" s="120"/>
      <c r="SJK11" s="120"/>
      <c r="SJL11" s="120"/>
      <c r="SJM11" s="120"/>
      <c r="SJN11" s="120"/>
      <c r="SJO11" s="120"/>
      <c r="SJP11" s="120"/>
      <c r="SJQ11" s="120"/>
      <c r="SJR11" s="120"/>
      <c r="SJS11" s="120"/>
      <c r="SJT11" s="120"/>
      <c r="SJU11" s="120"/>
      <c r="SJV11" s="120"/>
      <c r="SJW11" s="120"/>
      <c r="SJX11" s="120"/>
      <c r="SJY11" s="120"/>
      <c r="SJZ11" s="120"/>
      <c r="SKA11" s="120"/>
      <c r="SKB11" s="120"/>
      <c r="SKC11" s="120"/>
      <c r="SKD11" s="120"/>
      <c r="SKE11" s="120"/>
      <c r="SKF11" s="120"/>
      <c r="SKG11" s="120"/>
      <c r="SKH11" s="120"/>
      <c r="SKI11" s="120"/>
      <c r="SKJ11" s="120"/>
      <c r="SKK11" s="120"/>
      <c r="SKL11" s="120"/>
      <c r="SKM11" s="120"/>
      <c r="SKN11" s="120"/>
      <c r="SKO11" s="120"/>
      <c r="SKP11" s="120"/>
      <c r="SKQ11" s="120"/>
      <c r="SKR11" s="120"/>
      <c r="SKS11" s="120"/>
      <c r="SKT11" s="120"/>
      <c r="SKU11" s="120"/>
      <c r="SKV11" s="120"/>
      <c r="SKW11" s="120"/>
      <c r="SKX11" s="120"/>
      <c r="SKY11" s="120"/>
      <c r="SKZ11" s="120"/>
      <c r="SLA11" s="120"/>
      <c r="SLB11" s="120"/>
      <c r="SLC11" s="120"/>
      <c r="SLD11" s="120"/>
      <c r="SLE11" s="120"/>
      <c r="SLF11" s="120"/>
      <c r="SLG11" s="120"/>
      <c r="SLH11" s="120"/>
      <c r="SLI11" s="120"/>
      <c r="SLJ11" s="120"/>
      <c r="SLK11" s="120"/>
      <c r="SLL11" s="120"/>
      <c r="SLM11" s="120"/>
      <c r="SLN11" s="120"/>
      <c r="SLO11" s="120"/>
      <c r="SLP11" s="120"/>
      <c r="SLQ11" s="120"/>
      <c r="SLR11" s="120"/>
      <c r="SLS11" s="120"/>
      <c r="SLT11" s="120"/>
      <c r="SLU11" s="120"/>
      <c r="SLV11" s="120"/>
      <c r="SLW11" s="120"/>
      <c r="SLX11" s="120"/>
      <c r="SLY11" s="120"/>
      <c r="SLZ11" s="120"/>
      <c r="SMA11" s="120"/>
      <c r="SMB11" s="120"/>
      <c r="SMC11" s="120"/>
      <c r="SMD11" s="120"/>
      <c r="SME11" s="120"/>
      <c r="SMF11" s="120"/>
      <c r="SMG11" s="120"/>
      <c r="SMH11" s="120"/>
      <c r="SMI11" s="120"/>
      <c r="SMJ11" s="120"/>
      <c r="SMK11" s="120"/>
      <c r="SML11" s="120"/>
      <c r="SMM11" s="120"/>
      <c r="SMN11" s="120"/>
      <c r="SMO11" s="120"/>
      <c r="SMP11" s="120"/>
      <c r="SMQ11" s="120"/>
      <c r="SMR11" s="120"/>
      <c r="SMS11" s="120"/>
      <c r="SMT11" s="120"/>
      <c r="SMU11" s="120"/>
      <c r="SMV11" s="120"/>
      <c r="SMW11" s="120"/>
      <c r="SMX11" s="120"/>
      <c r="SMY11" s="120"/>
      <c r="SMZ11" s="120"/>
      <c r="SNA11" s="120"/>
      <c r="SNB11" s="120"/>
      <c r="SNC11" s="120"/>
      <c r="SND11" s="120"/>
      <c r="SNE11" s="120"/>
      <c r="SNF11" s="120"/>
      <c r="SNG11" s="120"/>
      <c r="SNH11" s="120"/>
      <c r="SNI11" s="120"/>
      <c r="SNJ11" s="120"/>
      <c r="SNK11" s="120"/>
      <c r="SNL11" s="120"/>
      <c r="SNM11" s="120"/>
      <c r="SNN11" s="120"/>
      <c r="SNO11" s="120"/>
      <c r="SNP11" s="120"/>
      <c r="SNQ11" s="120"/>
      <c r="SNR11" s="120"/>
      <c r="SNS11" s="120"/>
      <c r="SNT11" s="120"/>
      <c r="SNU11" s="120"/>
      <c r="SNV11" s="120"/>
      <c r="SNW11" s="120"/>
      <c r="SNX11" s="120"/>
      <c r="SNY11" s="120"/>
      <c r="SNZ11" s="120"/>
      <c r="SOA11" s="120"/>
      <c r="SOB11" s="120"/>
      <c r="SOC11" s="120"/>
      <c r="SOD11" s="120"/>
      <c r="SOE11" s="120"/>
      <c r="SOF11" s="120"/>
      <c r="SOG11" s="120"/>
      <c r="SOH11" s="120"/>
      <c r="SOI11" s="120"/>
      <c r="SOJ11" s="120"/>
      <c r="SOK11" s="120"/>
      <c r="SOL11" s="120"/>
      <c r="SOM11" s="120"/>
      <c r="SON11" s="120"/>
      <c r="SOO11" s="120"/>
      <c r="SOP11" s="120"/>
      <c r="SOQ11" s="120"/>
      <c r="SOR11" s="120"/>
      <c r="SOS11" s="120"/>
      <c r="SOT11" s="120"/>
      <c r="SOU11" s="120"/>
      <c r="SOV11" s="120"/>
      <c r="SOW11" s="120"/>
      <c r="SOX11" s="120"/>
      <c r="SOY11" s="120"/>
      <c r="SOZ11" s="120"/>
      <c r="SPA11" s="120"/>
      <c r="SPB11" s="120"/>
      <c r="SPC11" s="120"/>
      <c r="SPD11" s="120"/>
      <c r="SPE11" s="120"/>
      <c r="SPF11" s="120"/>
      <c r="SPG11" s="120"/>
      <c r="SPH11" s="120"/>
      <c r="SPI11" s="120"/>
      <c r="SPJ11" s="120"/>
      <c r="SPK11" s="120"/>
      <c r="SPL11" s="120"/>
      <c r="SPM11" s="120"/>
      <c r="SPN11" s="120"/>
      <c r="SPO11" s="120"/>
      <c r="SPP11" s="120"/>
      <c r="SPQ11" s="120"/>
      <c r="SPR11" s="120"/>
      <c r="SPS11" s="120"/>
      <c r="SPT11" s="120"/>
      <c r="SPU11" s="120"/>
      <c r="SPV11" s="120"/>
      <c r="SPW11" s="120"/>
      <c r="SPX11" s="120"/>
      <c r="SPY11" s="120"/>
      <c r="SPZ11" s="120"/>
      <c r="SQA11" s="120"/>
      <c r="SQB11" s="120"/>
      <c r="SQC11" s="120"/>
      <c r="SQD11" s="120"/>
      <c r="SQE11" s="120"/>
      <c r="SQF11" s="120"/>
      <c r="SQG11" s="120"/>
      <c r="SQH11" s="120"/>
      <c r="SQI11" s="120"/>
      <c r="SQJ11" s="120"/>
      <c r="SQK11" s="120"/>
      <c r="SQL11" s="120"/>
      <c r="SQM11" s="120"/>
      <c r="SQN11" s="120"/>
      <c r="SQO11" s="120"/>
      <c r="SQP11" s="120"/>
      <c r="SQQ11" s="120"/>
      <c r="SQR11" s="120"/>
      <c r="SQS11" s="120"/>
      <c r="SQT11" s="120"/>
      <c r="SQU11" s="120"/>
      <c r="SQV11" s="120"/>
      <c r="SQW11" s="120"/>
      <c r="SQX11" s="120"/>
      <c r="SQY11" s="120"/>
      <c r="SQZ11" s="120"/>
      <c r="SRA11" s="120"/>
      <c r="SRB11" s="120"/>
      <c r="SRC11" s="120"/>
      <c r="SRD11" s="120"/>
      <c r="SRE11" s="120"/>
      <c r="SRF11" s="120"/>
      <c r="SRG11" s="120"/>
      <c r="SRH11" s="120"/>
      <c r="SRI11" s="120"/>
      <c r="SRJ11" s="120"/>
      <c r="SRK11" s="120"/>
      <c r="SRL11" s="120"/>
      <c r="SRM11" s="120"/>
      <c r="SRN11" s="120"/>
      <c r="SRO11" s="120"/>
      <c r="SRP11" s="120"/>
      <c r="SRQ11" s="120"/>
      <c r="SRR11" s="120"/>
      <c r="SRS11" s="120"/>
      <c r="SRT11" s="120"/>
      <c r="SRU11" s="120"/>
      <c r="SRV11" s="120"/>
      <c r="SRW11" s="120"/>
      <c r="SRX11" s="120"/>
      <c r="SRY11" s="120"/>
      <c r="SRZ11" s="120"/>
      <c r="SSA11" s="120"/>
      <c r="SSB11" s="120"/>
      <c r="SSC11" s="120"/>
      <c r="SSD11" s="120"/>
      <c r="SSE11" s="120"/>
      <c r="SSF11" s="120"/>
      <c r="SSG11" s="120"/>
      <c r="SSH11" s="120"/>
      <c r="SSI11" s="120"/>
      <c r="SSJ11" s="120"/>
      <c r="SSK11" s="120"/>
      <c r="SSL11" s="120"/>
      <c r="SSM11" s="120"/>
      <c r="SSN11" s="120"/>
      <c r="SSO11" s="120"/>
      <c r="SSP11" s="120"/>
      <c r="SSQ11" s="120"/>
      <c r="SSR11" s="120"/>
      <c r="SSS11" s="120"/>
      <c r="SST11" s="120"/>
      <c r="SSU11" s="120"/>
      <c r="SSV11" s="120"/>
      <c r="SSW11" s="120"/>
      <c r="SSX11" s="120"/>
      <c r="SSY11" s="120"/>
      <c r="SSZ11" s="120"/>
      <c r="STA11" s="120"/>
      <c r="STB11" s="120"/>
      <c r="STC11" s="120"/>
      <c r="STD11" s="120"/>
      <c r="STE11" s="120"/>
      <c r="STF11" s="120"/>
      <c r="STG11" s="120"/>
      <c r="STH11" s="120"/>
      <c r="STI11" s="120"/>
      <c r="STJ11" s="120"/>
      <c r="STK11" s="120"/>
      <c r="STL11" s="120"/>
      <c r="STM11" s="120"/>
      <c r="STN11" s="120"/>
      <c r="STO11" s="120"/>
      <c r="STP11" s="120"/>
      <c r="STQ11" s="120"/>
      <c r="STR11" s="120"/>
      <c r="STS11" s="120"/>
      <c r="STT11" s="120"/>
      <c r="STU11" s="120"/>
      <c r="STV11" s="120"/>
      <c r="STW11" s="120"/>
      <c r="STX11" s="120"/>
      <c r="STY11" s="120"/>
      <c r="STZ11" s="120"/>
      <c r="SUA11" s="120"/>
      <c r="SUB11" s="120"/>
      <c r="SUC11" s="120"/>
      <c r="SUD11" s="120"/>
      <c r="SUE11" s="120"/>
      <c r="SUF11" s="120"/>
      <c r="SUG11" s="120"/>
      <c r="SUH11" s="120"/>
      <c r="SUI11" s="120"/>
      <c r="SUJ11" s="120"/>
      <c r="SUK11" s="120"/>
      <c r="SUL11" s="120"/>
      <c r="SUM11" s="120"/>
      <c r="SUN11" s="120"/>
      <c r="SUO11" s="120"/>
      <c r="SUP11" s="120"/>
      <c r="SUQ11" s="120"/>
      <c r="SUR11" s="120"/>
      <c r="SUS11" s="120"/>
      <c r="SUT11" s="120"/>
      <c r="SUU11" s="120"/>
      <c r="SUV11" s="120"/>
      <c r="SUW11" s="120"/>
      <c r="SUX11" s="120"/>
      <c r="SUY11" s="120"/>
      <c r="SUZ11" s="120"/>
      <c r="SVA11" s="120"/>
      <c r="SVB11" s="120"/>
      <c r="SVC11" s="120"/>
      <c r="SVD11" s="120"/>
      <c r="SVE11" s="120"/>
      <c r="SVF11" s="120"/>
      <c r="SVG11" s="120"/>
      <c r="SVH11" s="120"/>
      <c r="SVI11" s="120"/>
      <c r="SVJ11" s="120"/>
      <c r="SVK11" s="120"/>
      <c r="SVL11" s="120"/>
      <c r="SVM11" s="120"/>
      <c r="SVN11" s="120"/>
      <c r="SVO11" s="120"/>
      <c r="SVP11" s="120"/>
      <c r="SVQ11" s="120"/>
      <c r="SVR11" s="120"/>
      <c r="SVS11" s="120"/>
      <c r="SVT11" s="120"/>
      <c r="SVU11" s="120"/>
      <c r="SVV11" s="120"/>
      <c r="SVW11" s="120"/>
      <c r="SVX11" s="120"/>
      <c r="SVY11" s="120"/>
      <c r="SVZ11" s="120"/>
      <c r="SWA11" s="120"/>
      <c r="SWB11" s="120"/>
      <c r="SWC11" s="120"/>
      <c r="SWD11" s="120"/>
      <c r="SWE11" s="120"/>
      <c r="SWF11" s="120"/>
      <c r="SWG11" s="120"/>
      <c r="SWH11" s="120"/>
      <c r="SWI11" s="120"/>
      <c r="SWJ11" s="120"/>
      <c r="SWK11" s="120"/>
      <c r="SWL11" s="120"/>
      <c r="SWM11" s="120"/>
      <c r="SWN11" s="120"/>
      <c r="SWO11" s="120"/>
      <c r="SWP11" s="120"/>
      <c r="SWQ11" s="120"/>
      <c r="SWR11" s="120"/>
      <c r="SWS11" s="120"/>
      <c r="SWT11" s="120"/>
      <c r="SWU11" s="120"/>
      <c r="SWV11" s="120"/>
      <c r="SWW11" s="120"/>
      <c r="SWX11" s="120"/>
      <c r="SWY11" s="120"/>
      <c r="SWZ11" s="120"/>
      <c r="SXA11" s="120"/>
      <c r="SXB11" s="120"/>
      <c r="SXC11" s="120"/>
      <c r="SXD11" s="120"/>
      <c r="SXE11" s="120"/>
      <c r="SXF11" s="120"/>
      <c r="SXG11" s="120"/>
      <c r="SXH11" s="120"/>
      <c r="SXI11" s="120"/>
      <c r="SXJ11" s="120"/>
      <c r="SXK11" s="120"/>
      <c r="SXL11" s="120"/>
      <c r="SXM11" s="120"/>
      <c r="SXN11" s="120"/>
      <c r="SXO11" s="120"/>
      <c r="SXP11" s="120"/>
      <c r="SXQ11" s="120"/>
      <c r="SXR11" s="120"/>
      <c r="SXS11" s="120"/>
      <c r="SXT11" s="120"/>
      <c r="SXU11" s="120"/>
      <c r="SXV11" s="120"/>
      <c r="SXW11" s="120"/>
      <c r="SXX11" s="120"/>
      <c r="SXY11" s="120"/>
      <c r="SXZ11" s="120"/>
      <c r="SYA11" s="120"/>
      <c r="SYB11" s="120"/>
      <c r="SYC11" s="120"/>
      <c r="SYD11" s="120"/>
      <c r="SYE11" s="120"/>
      <c r="SYF11" s="120"/>
      <c r="SYG11" s="120"/>
      <c r="SYH11" s="120"/>
      <c r="SYI11" s="120"/>
      <c r="SYJ11" s="120"/>
      <c r="SYK11" s="120"/>
      <c r="SYL11" s="120"/>
      <c r="SYM11" s="120"/>
      <c r="SYN11" s="120"/>
      <c r="SYO11" s="120"/>
      <c r="SYP11" s="120"/>
      <c r="SYQ11" s="120"/>
      <c r="SYR11" s="120"/>
      <c r="SYS11" s="120"/>
      <c r="SYT11" s="120"/>
      <c r="SYU11" s="120"/>
      <c r="SYV11" s="120"/>
      <c r="SYW11" s="120"/>
      <c r="SYX11" s="120"/>
      <c r="SYY11" s="120"/>
      <c r="SYZ11" s="120"/>
      <c r="SZA11" s="120"/>
      <c r="SZB11" s="120"/>
      <c r="SZC11" s="120"/>
      <c r="SZD11" s="120"/>
      <c r="SZE11" s="120"/>
      <c r="SZF11" s="120"/>
      <c r="SZG11" s="120"/>
      <c r="SZH11" s="120"/>
      <c r="SZI11" s="120"/>
      <c r="SZJ11" s="120"/>
      <c r="SZK11" s="120"/>
      <c r="SZL11" s="120"/>
      <c r="SZM11" s="120"/>
      <c r="SZN11" s="120"/>
      <c r="SZO11" s="120"/>
      <c r="SZP11" s="120"/>
      <c r="SZQ11" s="120"/>
      <c r="SZR11" s="120"/>
      <c r="SZS11" s="120"/>
      <c r="SZT11" s="120"/>
      <c r="SZU11" s="120"/>
      <c r="SZV11" s="120"/>
      <c r="SZW11" s="120"/>
      <c r="SZX11" s="120"/>
      <c r="SZY11" s="120"/>
      <c r="SZZ11" s="120"/>
      <c r="TAA11" s="120"/>
      <c r="TAB11" s="120"/>
      <c r="TAC11" s="120"/>
      <c r="TAD11" s="120"/>
      <c r="TAE11" s="120"/>
      <c r="TAF11" s="120"/>
      <c r="TAG11" s="120"/>
      <c r="TAH11" s="120"/>
      <c r="TAI11" s="120"/>
      <c r="TAJ11" s="120"/>
      <c r="TAK11" s="120"/>
      <c r="TAL11" s="120"/>
      <c r="TAM11" s="120"/>
      <c r="TAN11" s="120"/>
      <c r="TAO11" s="120"/>
      <c r="TAP11" s="120"/>
      <c r="TAQ11" s="120"/>
      <c r="TAR11" s="120"/>
      <c r="TAS11" s="120"/>
      <c r="TAT11" s="120"/>
      <c r="TAU11" s="120"/>
      <c r="TAV11" s="120"/>
      <c r="TAW11" s="120"/>
      <c r="TAX11" s="120"/>
      <c r="TAY11" s="120"/>
      <c r="TAZ11" s="120"/>
      <c r="TBA11" s="120"/>
      <c r="TBB11" s="120"/>
      <c r="TBC11" s="120"/>
      <c r="TBD11" s="120"/>
      <c r="TBE11" s="120"/>
      <c r="TBF11" s="120"/>
      <c r="TBG11" s="120"/>
      <c r="TBH11" s="120"/>
      <c r="TBI11" s="120"/>
      <c r="TBJ11" s="120"/>
      <c r="TBK11" s="120"/>
      <c r="TBL11" s="120"/>
      <c r="TBM11" s="120"/>
      <c r="TBN11" s="120"/>
      <c r="TBO11" s="120"/>
      <c r="TBP11" s="120"/>
      <c r="TBQ11" s="120"/>
      <c r="TBR11" s="120"/>
      <c r="TBS11" s="120"/>
      <c r="TBT11" s="120"/>
      <c r="TBU11" s="120"/>
      <c r="TBV11" s="120"/>
      <c r="TBW11" s="120"/>
      <c r="TBX11" s="120"/>
      <c r="TBY11" s="120"/>
      <c r="TBZ11" s="120"/>
      <c r="TCA11" s="120"/>
      <c r="TCB11" s="120"/>
      <c r="TCC11" s="120"/>
      <c r="TCD11" s="120"/>
      <c r="TCE11" s="120"/>
      <c r="TCF11" s="120"/>
      <c r="TCG11" s="120"/>
      <c r="TCH11" s="120"/>
      <c r="TCI11" s="120"/>
      <c r="TCJ11" s="120"/>
      <c r="TCK11" s="120"/>
      <c r="TCL11" s="120"/>
      <c r="TCM11" s="120"/>
      <c r="TCN11" s="120"/>
      <c r="TCO11" s="120"/>
      <c r="TCP11" s="120"/>
      <c r="TCQ11" s="120"/>
      <c r="TCR11" s="120"/>
      <c r="TCS11" s="120"/>
      <c r="TCT11" s="120"/>
      <c r="TCU11" s="120"/>
      <c r="TCV11" s="120"/>
      <c r="TCW11" s="120"/>
      <c r="TCX11" s="120"/>
      <c r="TCY11" s="120"/>
      <c r="TCZ11" s="120"/>
      <c r="TDA11" s="120"/>
      <c r="TDB11" s="120"/>
      <c r="TDC11" s="120"/>
      <c r="TDD11" s="120"/>
      <c r="TDE11" s="120"/>
      <c r="TDF11" s="120"/>
      <c r="TDG11" s="120"/>
      <c r="TDH11" s="120"/>
      <c r="TDI11" s="120"/>
      <c r="TDJ11" s="120"/>
      <c r="TDK11" s="120"/>
      <c r="TDL11" s="120"/>
      <c r="TDM11" s="120"/>
      <c r="TDN11" s="120"/>
      <c r="TDO11" s="120"/>
      <c r="TDP11" s="120"/>
      <c r="TDQ11" s="120"/>
      <c r="TDR11" s="120"/>
      <c r="TDS11" s="120"/>
      <c r="TDT11" s="120"/>
      <c r="TDU11" s="120"/>
      <c r="TDV11" s="120"/>
      <c r="TDW11" s="120"/>
      <c r="TDX11" s="120"/>
      <c r="TDY11" s="120"/>
      <c r="TDZ11" s="120"/>
      <c r="TEA11" s="120"/>
      <c r="TEB11" s="120"/>
      <c r="TEC11" s="120"/>
      <c r="TED11" s="120"/>
      <c r="TEE11" s="120"/>
      <c r="TEF11" s="120"/>
      <c r="TEG11" s="120"/>
      <c r="TEH11" s="120"/>
      <c r="TEI11" s="120"/>
      <c r="TEJ11" s="120"/>
      <c r="TEK11" s="120"/>
      <c r="TEL11" s="120"/>
      <c r="TEM11" s="120"/>
      <c r="TEN11" s="120"/>
      <c r="TEO11" s="120"/>
      <c r="TEP11" s="120"/>
      <c r="TEQ11" s="120"/>
      <c r="TER11" s="120"/>
      <c r="TES11" s="120"/>
      <c r="TET11" s="120"/>
      <c r="TEU11" s="120"/>
      <c r="TEV11" s="120"/>
      <c r="TEW11" s="120"/>
      <c r="TEX11" s="120"/>
      <c r="TEY11" s="120"/>
      <c r="TEZ11" s="120"/>
      <c r="TFA11" s="120"/>
      <c r="TFB11" s="120"/>
      <c r="TFC11" s="120"/>
      <c r="TFD11" s="120"/>
      <c r="TFE11" s="120"/>
      <c r="TFF11" s="120"/>
      <c r="TFG11" s="120"/>
      <c r="TFH11" s="120"/>
      <c r="TFI11" s="120"/>
      <c r="TFJ11" s="120"/>
      <c r="TFK11" s="120"/>
      <c r="TFL11" s="120"/>
      <c r="TFM11" s="120"/>
      <c r="TFN11" s="120"/>
      <c r="TFO11" s="120"/>
      <c r="TFP11" s="120"/>
      <c r="TFQ11" s="120"/>
      <c r="TFR11" s="120"/>
      <c r="TFS11" s="120"/>
      <c r="TFT11" s="120"/>
      <c r="TFU11" s="120"/>
      <c r="TFV11" s="120"/>
      <c r="TFW11" s="120"/>
      <c r="TFX11" s="120"/>
      <c r="TFY11" s="120"/>
      <c r="TFZ11" s="120"/>
      <c r="TGA11" s="120"/>
      <c r="TGB11" s="120"/>
      <c r="TGC11" s="120"/>
      <c r="TGD11" s="120"/>
      <c r="TGE11" s="120"/>
      <c r="TGF11" s="120"/>
      <c r="TGG11" s="120"/>
      <c r="TGH11" s="120"/>
      <c r="TGI11" s="120"/>
      <c r="TGJ11" s="120"/>
      <c r="TGK11" s="120"/>
      <c r="TGL11" s="120"/>
      <c r="TGM11" s="120"/>
      <c r="TGN11" s="120"/>
      <c r="TGO11" s="120"/>
      <c r="TGP11" s="120"/>
      <c r="TGQ11" s="120"/>
      <c r="TGR11" s="120"/>
      <c r="TGS11" s="120"/>
      <c r="TGT11" s="120"/>
      <c r="TGU11" s="120"/>
      <c r="TGV11" s="120"/>
      <c r="TGW11" s="120"/>
      <c r="TGX11" s="120"/>
      <c r="TGY11" s="120"/>
      <c r="TGZ11" s="120"/>
      <c r="THA11" s="120"/>
      <c r="THB11" s="120"/>
      <c r="THC11" s="120"/>
      <c r="THD11" s="120"/>
      <c r="THE11" s="120"/>
      <c r="THF11" s="120"/>
      <c r="THG11" s="120"/>
      <c r="THH11" s="120"/>
      <c r="THI11" s="120"/>
      <c r="THJ11" s="120"/>
      <c r="THK11" s="120"/>
      <c r="THL11" s="120"/>
      <c r="THM11" s="120"/>
      <c r="THN11" s="120"/>
      <c r="THO11" s="120"/>
      <c r="THP11" s="120"/>
      <c r="THQ11" s="120"/>
      <c r="THR11" s="120"/>
      <c r="THS11" s="120"/>
      <c r="THT11" s="120"/>
      <c r="THU11" s="120"/>
      <c r="THV11" s="120"/>
      <c r="THW11" s="120"/>
      <c r="THX11" s="120"/>
      <c r="THY11" s="120"/>
      <c r="THZ11" s="120"/>
      <c r="TIA11" s="120"/>
      <c r="TIB11" s="120"/>
      <c r="TIC11" s="120"/>
      <c r="TID11" s="120"/>
      <c r="TIE11" s="120"/>
      <c r="TIF11" s="120"/>
      <c r="TIG11" s="120"/>
      <c r="TIH11" s="120"/>
      <c r="TII11" s="120"/>
      <c r="TIJ11" s="120"/>
      <c r="TIK11" s="120"/>
      <c r="TIL11" s="120"/>
      <c r="TIM11" s="120"/>
      <c r="TIN11" s="120"/>
      <c r="TIO11" s="120"/>
      <c r="TIP11" s="120"/>
      <c r="TIQ11" s="120"/>
      <c r="TIR11" s="120"/>
      <c r="TIS11" s="120"/>
      <c r="TIT11" s="120"/>
      <c r="TIU11" s="120"/>
      <c r="TIV11" s="120"/>
      <c r="TIW11" s="120"/>
      <c r="TIX11" s="120"/>
      <c r="TIY11" s="120"/>
      <c r="TIZ11" s="120"/>
      <c r="TJA11" s="120"/>
      <c r="TJB11" s="120"/>
      <c r="TJC11" s="120"/>
      <c r="TJD11" s="120"/>
      <c r="TJE11" s="120"/>
      <c r="TJF11" s="120"/>
      <c r="TJG11" s="120"/>
      <c r="TJH11" s="120"/>
      <c r="TJI11" s="120"/>
      <c r="TJJ11" s="120"/>
      <c r="TJK11" s="120"/>
      <c r="TJL11" s="120"/>
      <c r="TJM11" s="120"/>
      <c r="TJN11" s="120"/>
      <c r="TJO11" s="120"/>
      <c r="TJP11" s="120"/>
      <c r="TJQ11" s="120"/>
      <c r="TJR11" s="120"/>
      <c r="TJS11" s="120"/>
      <c r="TJT11" s="120"/>
      <c r="TJU11" s="120"/>
      <c r="TJV11" s="120"/>
      <c r="TJW11" s="120"/>
      <c r="TJX11" s="120"/>
      <c r="TJY11" s="120"/>
      <c r="TJZ11" s="120"/>
      <c r="TKA11" s="120"/>
      <c r="TKB11" s="120"/>
      <c r="TKC11" s="120"/>
      <c r="TKD11" s="120"/>
      <c r="TKE11" s="120"/>
      <c r="TKF11" s="120"/>
      <c r="TKG11" s="120"/>
      <c r="TKH11" s="120"/>
      <c r="TKI11" s="120"/>
      <c r="TKJ11" s="120"/>
      <c r="TKK11" s="120"/>
      <c r="TKL11" s="120"/>
      <c r="TKM11" s="120"/>
      <c r="TKN11" s="120"/>
      <c r="TKO11" s="120"/>
      <c r="TKP11" s="120"/>
      <c r="TKQ11" s="120"/>
      <c r="TKR11" s="120"/>
      <c r="TKS11" s="120"/>
      <c r="TKT11" s="120"/>
      <c r="TKU11" s="120"/>
      <c r="TKV11" s="120"/>
      <c r="TKW11" s="120"/>
      <c r="TKX11" s="120"/>
      <c r="TKY11" s="120"/>
      <c r="TKZ11" s="120"/>
      <c r="TLA11" s="120"/>
      <c r="TLB11" s="120"/>
      <c r="TLC11" s="120"/>
      <c r="TLD11" s="120"/>
      <c r="TLE11" s="120"/>
      <c r="TLF11" s="120"/>
      <c r="TLG11" s="120"/>
      <c r="TLH11" s="120"/>
      <c r="TLI11" s="120"/>
      <c r="TLJ11" s="120"/>
      <c r="TLK11" s="120"/>
      <c r="TLL11" s="120"/>
      <c r="TLM11" s="120"/>
      <c r="TLN11" s="120"/>
      <c r="TLO11" s="120"/>
      <c r="TLP11" s="120"/>
      <c r="TLQ11" s="120"/>
      <c r="TLR11" s="120"/>
      <c r="TLS11" s="120"/>
      <c r="TLT11" s="120"/>
      <c r="TLU11" s="120"/>
      <c r="TLV11" s="120"/>
      <c r="TLW11" s="120"/>
      <c r="TLX11" s="120"/>
      <c r="TLY11" s="120"/>
      <c r="TLZ11" s="120"/>
      <c r="TMA11" s="120"/>
      <c r="TMB11" s="120"/>
      <c r="TMC11" s="120"/>
      <c r="TMD11" s="120"/>
      <c r="TME11" s="120"/>
      <c r="TMF11" s="120"/>
      <c r="TMG11" s="120"/>
      <c r="TMH11" s="120"/>
      <c r="TMI11" s="120"/>
      <c r="TMJ11" s="120"/>
      <c r="TMK11" s="120"/>
      <c r="TML11" s="120"/>
      <c r="TMM11" s="120"/>
      <c r="TMN11" s="120"/>
      <c r="TMO11" s="120"/>
      <c r="TMP11" s="120"/>
      <c r="TMQ11" s="120"/>
      <c r="TMR11" s="120"/>
      <c r="TMS11" s="120"/>
      <c r="TMT11" s="120"/>
      <c r="TMU11" s="120"/>
      <c r="TMV11" s="120"/>
      <c r="TMW11" s="120"/>
      <c r="TMX11" s="120"/>
      <c r="TMY11" s="120"/>
      <c r="TMZ11" s="120"/>
      <c r="TNA11" s="120"/>
      <c r="TNB11" s="120"/>
      <c r="TNC11" s="120"/>
      <c r="TND11" s="120"/>
      <c r="TNE11" s="120"/>
      <c r="TNF11" s="120"/>
      <c r="TNG11" s="120"/>
      <c r="TNH11" s="120"/>
      <c r="TNI11" s="120"/>
      <c r="TNJ11" s="120"/>
      <c r="TNK11" s="120"/>
      <c r="TNL11" s="120"/>
      <c r="TNM11" s="120"/>
      <c r="TNN11" s="120"/>
      <c r="TNO11" s="120"/>
      <c r="TNP11" s="120"/>
      <c r="TNQ11" s="120"/>
      <c r="TNR11" s="120"/>
      <c r="TNS11" s="120"/>
      <c r="TNT11" s="120"/>
      <c r="TNU11" s="120"/>
      <c r="TNV11" s="120"/>
      <c r="TNW11" s="120"/>
      <c r="TNX11" s="120"/>
      <c r="TNY11" s="120"/>
      <c r="TNZ11" s="120"/>
      <c r="TOA11" s="120"/>
      <c r="TOB11" s="120"/>
      <c r="TOC11" s="120"/>
      <c r="TOD11" s="120"/>
      <c r="TOE11" s="120"/>
      <c r="TOF11" s="120"/>
      <c r="TOG11" s="120"/>
      <c r="TOH11" s="120"/>
      <c r="TOI11" s="120"/>
      <c r="TOJ11" s="120"/>
      <c r="TOK11" s="120"/>
      <c r="TOL11" s="120"/>
      <c r="TOM11" s="120"/>
      <c r="TON11" s="120"/>
      <c r="TOO11" s="120"/>
      <c r="TOP11" s="120"/>
      <c r="TOQ11" s="120"/>
      <c r="TOR11" s="120"/>
      <c r="TOS11" s="120"/>
      <c r="TOT11" s="120"/>
      <c r="TOU11" s="120"/>
      <c r="TOV11" s="120"/>
      <c r="TOW11" s="120"/>
      <c r="TOX11" s="120"/>
      <c r="TOY11" s="120"/>
      <c r="TOZ11" s="120"/>
      <c r="TPA11" s="120"/>
      <c r="TPB11" s="120"/>
      <c r="TPC11" s="120"/>
      <c r="TPD11" s="120"/>
      <c r="TPE11" s="120"/>
      <c r="TPF11" s="120"/>
      <c r="TPG11" s="120"/>
      <c r="TPH11" s="120"/>
      <c r="TPI11" s="120"/>
      <c r="TPJ11" s="120"/>
      <c r="TPK11" s="120"/>
      <c r="TPL11" s="120"/>
      <c r="TPM11" s="120"/>
      <c r="TPN11" s="120"/>
      <c r="TPO11" s="120"/>
      <c r="TPP11" s="120"/>
      <c r="TPQ11" s="120"/>
      <c r="TPR11" s="120"/>
      <c r="TPS11" s="120"/>
      <c r="TPT11" s="120"/>
      <c r="TPU11" s="120"/>
      <c r="TPV11" s="120"/>
      <c r="TPW11" s="120"/>
      <c r="TPX11" s="120"/>
      <c r="TPY11" s="120"/>
      <c r="TPZ11" s="120"/>
      <c r="TQA11" s="120"/>
      <c r="TQB11" s="120"/>
      <c r="TQC11" s="120"/>
      <c r="TQD11" s="120"/>
      <c r="TQE11" s="120"/>
      <c r="TQF11" s="120"/>
      <c r="TQG11" s="120"/>
      <c r="TQH11" s="120"/>
      <c r="TQI11" s="120"/>
      <c r="TQJ11" s="120"/>
      <c r="TQK11" s="120"/>
      <c r="TQL11" s="120"/>
      <c r="TQM11" s="120"/>
      <c r="TQN11" s="120"/>
      <c r="TQO11" s="120"/>
      <c r="TQP11" s="120"/>
      <c r="TQQ11" s="120"/>
      <c r="TQR11" s="120"/>
      <c r="TQS11" s="120"/>
      <c r="TQT11" s="120"/>
      <c r="TQU11" s="120"/>
      <c r="TQV11" s="120"/>
      <c r="TQW11" s="120"/>
      <c r="TQX11" s="120"/>
      <c r="TQY11" s="120"/>
      <c r="TQZ11" s="120"/>
      <c r="TRA11" s="120"/>
      <c r="TRB11" s="120"/>
      <c r="TRC11" s="120"/>
      <c r="TRD11" s="120"/>
      <c r="TRE11" s="120"/>
      <c r="TRF11" s="120"/>
      <c r="TRG11" s="120"/>
      <c r="TRH11" s="120"/>
      <c r="TRI11" s="120"/>
      <c r="TRJ11" s="120"/>
      <c r="TRK11" s="120"/>
      <c r="TRL11" s="120"/>
      <c r="TRM11" s="120"/>
      <c r="TRN11" s="120"/>
      <c r="TRO11" s="120"/>
      <c r="TRP11" s="120"/>
      <c r="TRQ11" s="120"/>
      <c r="TRR11" s="120"/>
      <c r="TRS11" s="120"/>
      <c r="TRT11" s="120"/>
      <c r="TRU11" s="120"/>
      <c r="TRV11" s="120"/>
      <c r="TRW11" s="120"/>
      <c r="TRX11" s="120"/>
      <c r="TRY11" s="120"/>
      <c r="TRZ11" s="120"/>
      <c r="TSA11" s="120"/>
      <c r="TSB11" s="120"/>
      <c r="TSC11" s="120"/>
      <c r="TSD11" s="120"/>
      <c r="TSE11" s="120"/>
      <c r="TSF11" s="120"/>
      <c r="TSG11" s="120"/>
      <c r="TSH11" s="120"/>
      <c r="TSI11" s="120"/>
      <c r="TSJ11" s="120"/>
      <c r="TSK11" s="120"/>
      <c r="TSL11" s="120"/>
      <c r="TSM11" s="120"/>
      <c r="TSN11" s="120"/>
      <c r="TSO11" s="120"/>
      <c r="TSP11" s="120"/>
      <c r="TSQ11" s="120"/>
      <c r="TSR11" s="120"/>
      <c r="TSS11" s="120"/>
      <c r="TST11" s="120"/>
      <c r="TSU11" s="120"/>
      <c r="TSV11" s="120"/>
      <c r="TSW11" s="120"/>
      <c r="TSX11" s="120"/>
      <c r="TSY11" s="120"/>
      <c r="TSZ11" s="120"/>
      <c r="TTA11" s="120"/>
      <c r="TTB11" s="120"/>
      <c r="TTC11" s="120"/>
      <c r="TTD11" s="120"/>
      <c r="TTE11" s="120"/>
      <c r="TTF11" s="120"/>
      <c r="TTG11" s="120"/>
      <c r="TTH11" s="120"/>
      <c r="TTI11" s="120"/>
      <c r="TTJ11" s="120"/>
      <c r="TTK11" s="120"/>
      <c r="TTL11" s="120"/>
      <c r="TTM11" s="120"/>
      <c r="TTN11" s="120"/>
      <c r="TTO11" s="120"/>
      <c r="TTP11" s="120"/>
      <c r="TTQ11" s="120"/>
      <c r="TTR11" s="120"/>
      <c r="TTS11" s="120"/>
      <c r="TTT11" s="120"/>
      <c r="TTU11" s="120"/>
      <c r="TTV11" s="120"/>
      <c r="TTW11" s="120"/>
      <c r="TTX11" s="120"/>
      <c r="TTY11" s="120"/>
      <c r="TTZ11" s="120"/>
      <c r="TUA11" s="120"/>
      <c r="TUB11" s="120"/>
      <c r="TUC11" s="120"/>
      <c r="TUD11" s="120"/>
      <c r="TUE11" s="120"/>
      <c r="TUF11" s="120"/>
      <c r="TUG11" s="120"/>
      <c r="TUH11" s="120"/>
      <c r="TUI11" s="120"/>
      <c r="TUJ11" s="120"/>
      <c r="TUK11" s="120"/>
      <c r="TUL11" s="120"/>
      <c r="TUM11" s="120"/>
      <c r="TUN11" s="120"/>
      <c r="TUO11" s="120"/>
      <c r="TUP11" s="120"/>
      <c r="TUQ11" s="120"/>
      <c r="TUR11" s="120"/>
      <c r="TUS11" s="120"/>
      <c r="TUT11" s="120"/>
      <c r="TUU11" s="120"/>
      <c r="TUV11" s="120"/>
      <c r="TUW11" s="120"/>
      <c r="TUX11" s="120"/>
      <c r="TUY11" s="120"/>
      <c r="TUZ11" s="120"/>
      <c r="TVA11" s="120"/>
      <c r="TVB11" s="120"/>
      <c r="TVC11" s="120"/>
      <c r="TVD11" s="120"/>
      <c r="TVE11" s="120"/>
      <c r="TVF11" s="120"/>
      <c r="TVG11" s="120"/>
      <c r="TVH11" s="120"/>
      <c r="TVI11" s="120"/>
      <c r="TVJ11" s="120"/>
      <c r="TVK11" s="120"/>
      <c r="TVL11" s="120"/>
      <c r="TVM11" s="120"/>
      <c r="TVN11" s="120"/>
      <c r="TVO11" s="120"/>
      <c r="TVP11" s="120"/>
      <c r="TVQ11" s="120"/>
      <c r="TVR11" s="120"/>
      <c r="TVS11" s="120"/>
      <c r="TVT11" s="120"/>
      <c r="TVU11" s="120"/>
      <c r="TVV11" s="120"/>
      <c r="TVW11" s="120"/>
      <c r="TVX11" s="120"/>
      <c r="TVY11" s="120"/>
      <c r="TVZ11" s="120"/>
      <c r="TWA11" s="120"/>
      <c r="TWB11" s="120"/>
      <c r="TWC11" s="120"/>
      <c r="TWD11" s="120"/>
      <c r="TWE11" s="120"/>
      <c r="TWF11" s="120"/>
      <c r="TWG11" s="120"/>
      <c r="TWH11" s="120"/>
      <c r="TWI11" s="120"/>
      <c r="TWJ11" s="120"/>
      <c r="TWK11" s="120"/>
      <c r="TWL11" s="120"/>
      <c r="TWM11" s="120"/>
      <c r="TWN11" s="120"/>
      <c r="TWO11" s="120"/>
      <c r="TWP11" s="120"/>
      <c r="TWQ11" s="120"/>
      <c r="TWR11" s="120"/>
      <c r="TWS11" s="120"/>
      <c r="TWT11" s="120"/>
      <c r="TWU11" s="120"/>
      <c r="TWV11" s="120"/>
      <c r="TWW11" s="120"/>
      <c r="TWX11" s="120"/>
      <c r="TWY11" s="120"/>
      <c r="TWZ11" s="120"/>
      <c r="TXA11" s="120"/>
      <c r="TXB11" s="120"/>
      <c r="TXC11" s="120"/>
      <c r="TXD11" s="120"/>
      <c r="TXE11" s="120"/>
      <c r="TXF11" s="120"/>
      <c r="TXG11" s="120"/>
      <c r="TXH11" s="120"/>
      <c r="TXI11" s="120"/>
      <c r="TXJ11" s="120"/>
      <c r="TXK11" s="120"/>
      <c r="TXL11" s="120"/>
      <c r="TXM11" s="120"/>
      <c r="TXN11" s="120"/>
      <c r="TXO11" s="120"/>
      <c r="TXP11" s="120"/>
      <c r="TXQ11" s="120"/>
      <c r="TXR11" s="120"/>
      <c r="TXS11" s="120"/>
      <c r="TXT11" s="120"/>
      <c r="TXU11" s="120"/>
      <c r="TXV11" s="120"/>
      <c r="TXW11" s="120"/>
      <c r="TXX11" s="120"/>
      <c r="TXY11" s="120"/>
      <c r="TXZ11" s="120"/>
      <c r="TYA11" s="120"/>
      <c r="TYB11" s="120"/>
      <c r="TYC11" s="120"/>
      <c r="TYD11" s="120"/>
      <c r="TYE11" s="120"/>
      <c r="TYF11" s="120"/>
      <c r="TYG11" s="120"/>
      <c r="TYH11" s="120"/>
      <c r="TYI11" s="120"/>
      <c r="TYJ11" s="120"/>
      <c r="TYK11" s="120"/>
      <c r="TYL11" s="120"/>
      <c r="TYM11" s="120"/>
      <c r="TYN11" s="120"/>
      <c r="TYO11" s="120"/>
      <c r="TYP11" s="120"/>
      <c r="TYQ11" s="120"/>
      <c r="TYR11" s="120"/>
      <c r="TYS11" s="120"/>
      <c r="TYT11" s="120"/>
      <c r="TYU11" s="120"/>
      <c r="TYV11" s="120"/>
      <c r="TYW11" s="120"/>
      <c r="TYX11" s="120"/>
      <c r="TYY11" s="120"/>
      <c r="TYZ11" s="120"/>
      <c r="TZA11" s="120"/>
      <c r="TZB11" s="120"/>
      <c r="TZC11" s="120"/>
      <c r="TZD11" s="120"/>
      <c r="TZE11" s="120"/>
      <c r="TZF11" s="120"/>
      <c r="TZG11" s="120"/>
      <c r="TZH11" s="120"/>
      <c r="TZI11" s="120"/>
      <c r="TZJ11" s="120"/>
      <c r="TZK11" s="120"/>
      <c r="TZL11" s="120"/>
      <c r="TZM11" s="120"/>
      <c r="TZN11" s="120"/>
      <c r="TZO11" s="120"/>
      <c r="TZP11" s="120"/>
      <c r="TZQ11" s="120"/>
      <c r="TZR11" s="120"/>
      <c r="TZS11" s="120"/>
      <c r="TZT11" s="120"/>
      <c r="TZU11" s="120"/>
      <c r="TZV11" s="120"/>
      <c r="TZW11" s="120"/>
      <c r="TZX11" s="120"/>
      <c r="TZY11" s="120"/>
      <c r="TZZ11" s="120"/>
      <c r="UAA11" s="120"/>
      <c r="UAB11" s="120"/>
      <c r="UAC11" s="120"/>
      <c r="UAD11" s="120"/>
      <c r="UAE11" s="120"/>
      <c r="UAF11" s="120"/>
      <c r="UAG11" s="120"/>
      <c r="UAH11" s="120"/>
      <c r="UAI11" s="120"/>
      <c r="UAJ11" s="120"/>
      <c r="UAK11" s="120"/>
      <c r="UAL11" s="120"/>
      <c r="UAM11" s="120"/>
      <c r="UAN11" s="120"/>
      <c r="UAO11" s="120"/>
      <c r="UAP11" s="120"/>
      <c r="UAQ11" s="120"/>
      <c r="UAR11" s="120"/>
      <c r="UAS11" s="120"/>
      <c r="UAT11" s="120"/>
      <c r="UAU11" s="120"/>
      <c r="UAV11" s="120"/>
      <c r="UAW11" s="120"/>
      <c r="UAX11" s="120"/>
      <c r="UAY11" s="120"/>
      <c r="UAZ11" s="120"/>
      <c r="UBA11" s="120"/>
      <c r="UBB11" s="120"/>
      <c r="UBC11" s="120"/>
      <c r="UBD11" s="120"/>
      <c r="UBE11" s="120"/>
      <c r="UBF11" s="120"/>
      <c r="UBG11" s="120"/>
      <c r="UBH11" s="120"/>
      <c r="UBI11" s="120"/>
      <c r="UBJ11" s="120"/>
      <c r="UBK11" s="120"/>
      <c r="UBL11" s="120"/>
      <c r="UBM11" s="120"/>
      <c r="UBN11" s="120"/>
      <c r="UBO11" s="120"/>
      <c r="UBP11" s="120"/>
      <c r="UBQ11" s="120"/>
      <c r="UBR11" s="120"/>
      <c r="UBS11" s="120"/>
      <c r="UBT11" s="120"/>
      <c r="UBU11" s="120"/>
      <c r="UBV11" s="120"/>
      <c r="UBW11" s="120"/>
      <c r="UBX11" s="120"/>
      <c r="UBY11" s="120"/>
      <c r="UBZ11" s="120"/>
      <c r="UCA11" s="120"/>
      <c r="UCB11" s="120"/>
      <c r="UCC11" s="120"/>
      <c r="UCD11" s="120"/>
      <c r="UCE11" s="120"/>
      <c r="UCF11" s="120"/>
      <c r="UCG11" s="120"/>
      <c r="UCH11" s="120"/>
      <c r="UCI11" s="120"/>
      <c r="UCJ11" s="120"/>
      <c r="UCK11" s="120"/>
      <c r="UCL11" s="120"/>
      <c r="UCM11" s="120"/>
      <c r="UCN11" s="120"/>
      <c r="UCO11" s="120"/>
      <c r="UCP11" s="120"/>
      <c r="UCQ11" s="120"/>
      <c r="UCR11" s="120"/>
      <c r="UCS11" s="120"/>
      <c r="UCT11" s="120"/>
      <c r="UCU11" s="120"/>
      <c r="UCV11" s="120"/>
      <c r="UCW11" s="120"/>
      <c r="UCX11" s="120"/>
      <c r="UCY11" s="120"/>
      <c r="UCZ11" s="120"/>
      <c r="UDA11" s="120"/>
      <c r="UDB11" s="120"/>
      <c r="UDC11" s="120"/>
      <c r="UDD11" s="120"/>
      <c r="UDE11" s="120"/>
      <c r="UDF11" s="120"/>
      <c r="UDG11" s="120"/>
      <c r="UDH11" s="120"/>
      <c r="UDI11" s="120"/>
      <c r="UDJ11" s="120"/>
      <c r="UDK11" s="120"/>
      <c r="UDL11" s="120"/>
      <c r="UDM11" s="120"/>
      <c r="UDN11" s="120"/>
      <c r="UDO11" s="120"/>
      <c r="UDP11" s="120"/>
      <c r="UDQ11" s="120"/>
      <c r="UDR11" s="120"/>
      <c r="UDS11" s="120"/>
      <c r="UDT11" s="120"/>
      <c r="UDU11" s="120"/>
      <c r="UDV11" s="120"/>
      <c r="UDW11" s="120"/>
      <c r="UDX11" s="120"/>
      <c r="UDY11" s="120"/>
      <c r="UDZ11" s="120"/>
      <c r="UEA11" s="120"/>
      <c r="UEB11" s="120"/>
      <c r="UEC11" s="120"/>
      <c r="UED11" s="120"/>
      <c r="UEE11" s="120"/>
      <c r="UEF11" s="120"/>
      <c r="UEG11" s="120"/>
      <c r="UEH11" s="120"/>
      <c r="UEI11" s="120"/>
      <c r="UEJ11" s="120"/>
      <c r="UEK11" s="120"/>
      <c r="UEL11" s="120"/>
      <c r="UEM11" s="120"/>
      <c r="UEN11" s="120"/>
      <c r="UEO11" s="120"/>
      <c r="UEP11" s="120"/>
      <c r="UEQ11" s="120"/>
      <c r="UER11" s="120"/>
      <c r="UES11" s="120"/>
      <c r="UET11" s="120"/>
      <c r="UEU11" s="120"/>
      <c r="UEV11" s="120"/>
      <c r="UEW11" s="120"/>
      <c r="UEX11" s="120"/>
      <c r="UEY11" s="120"/>
      <c r="UEZ11" s="120"/>
      <c r="UFA11" s="120"/>
      <c r="UFB11" s="120"/>
      <c r="UFC11" s="120"/>
      <c r="UFD11" s="120"/>
      <c r="UFE11" s="120"/>
      <c r="UFF11" s="120"/>
      <c r="UFG11" s="120"/>
      <c r="UFH11" s="120"/>
      <c r="UFI11" s="120"/>
      <c r="UFJ11" s="120"/>
      <c r="UFK11" s="120"/>
      <c r="UFL11" s="120"/>
      <c r="UFM11" s="120"/>
      <c r="UFN11" s="120"/>
      <c r="UFO11" s="120"/>
      <c r="UFP11" s="120"/>
      <c r="UFQ11" s="120"/>
      <c r="UFR11" s="120"/>
      <c r="UFS11" s="120"/>
      <c r="UFT11" s="120"/>
      <c r="UFU11" s="120"/>
      <c r="UFV11" s="120"/>
      <c r="UFW11" s="120"/>
      <c r="UFX11" s="120"/>
      <c r="UFY11" s="120"/>
      <c r="UFZ11" s="120"/>
      <c r="UGA11" s="120"/>
      <c r="UGB11" s="120"/>
      <c r="UGC11" s="120"/>
      <c r="UGD11" s="120"/>
      <c r="UGE11" s="120"/>
      <c r="UGF11" s="120"/>
      <c r="UGG11" s="120"/>
      <c r="UGH11" s="120"/>
      <c r="UGI11" s="120"/>
      <c r="UGJ11" s="120"/>
      <c r="UGK11" s="120"/>
      <c r="UGL11" s="120"/>
      <c r="UGM11" s="120"/>
      <c r="UGN11" s="120"/>
      <c r="UGO11" s="120"/>
      <c r="UGP11" s="120"/>
      <c r="UGQ11" s="120"/>
      <c r="UGR11" s="120"/>
      <c r="UGS11" s="120"/>
      <c r="UGT11" s="120"/>
      <c r="UGU11" s="120"/>
      <c r="UGV11" s="120"/>
      <c r="UGW11" s="120"/>
      <c r="UGX11" s="120"/>
      <c r="UGY11" s="120"/>
      <c r="UGZ11" s="120"/>
      <c r="UHA11" s="120"/>
      <c r="UHB11" s="120"/>
      <c r="UHC11" s="120"/>
      <c r="UHD11" s="120"/>
      <c r="UHE11" s="120"/>
      <c r="UHF11" s="120"/>
      <c r="UHG11" s="120"/>
      <c r="UHH11" s="120"/>
      <c r="UHI11" s="120"/>
      <c r="UHJ11" s="120"/>
      <c r="UHK11" s="120"/>
      <c r="UHL11" s="120"/>
      <c r="UHM11" s="120"/>
      <c r="UHN11" s="120"/>
      <c r="UHO11" s="120"/>
      <c r="UHP11" s="120"/>
      <c r="UHQ11" s="120"/>
      <c r="UHR11" s="120"/>
      <c r="UHS11" s="120"/>
      <c r="UHT11" s="120"/>
      <c r="UHU11" s="120"/>
      <c r="UHV11" s="120"/>
      <c r="UHW11" s="120"/>
      <c r="UHX11" s="120"/>
      <c r="UHY11" s="120"/>
      <c r="UHZ11" s="120"/>
      <c r="UIA11" s="120"/>
      <c r="UIB11" s="120"/>
      <c r="UIC11" s="120"/>
      <c r="UID11" s="120"/>
      <c r="UIE11" s="120"/>
      <c r="UIF11" s="120"/>
      <c r="UIG11" s="120"/>
      <c r="UIH11" s="120"/>
      <c r="UII11" s="120"/>
      <c r="UIJ11" s="120"/>
      <c r="UIK11" s="120"/>
      <c r="UIL11" s="120"/>
      <c r="UIM11" s="120"/>
      <c r="UIN11" s="120"/>
      <c r="UIO11" s="120"/>
      <c r="UIP11" s="120"/>
      <c r="UIQ11" s="120"/>
      <c r="UIR11" s="120"/>
      <c r="UIS11" s="120"/>
      <c r="UIT11" s="120"/>
      <c r="UIU11" s="120"/>
      <c r="UIV11" s="120"/>
      <c r="UIW11" s="120"/>
      <c r="UIX11" s="120"/>
      <c r="UIY11" s="120"/>
      <c r="UIZ11" s="120"/>
      <c r="UJA11" s="120"/>
      <c r="UJB11" s="120"/>
      <c r="UJC11" s="120"/>
      <c r="UJD11" s="120"/>
      <c r="UJE11" s="120"/>
      <c r="UJF11" s="120"/>
      <c r="UJG11" s="120"/>
      <c r="UJH11" s="120"/>
      <c r="UJI11" s="120"/>
      <c r="UJJ11" s="120"/>
      <c r="UJK11" s="120"/>
      <c r="UJL11" s="120"/>
      <c r="UJM11" s="120"/>
      <c r="UJN11" s="120"/>
      <c r="UJO11" s="120"/>
      <c r="UJP11" s="120"/>
      <c r="UJQ11" s="120"/>
      <c r="UJR11" s="120"/>
      <c r="UJS11" s="120"/>
      <c r="UJT11" s="120"/>
      <c r="UJU11" s="120"/>
      <c r="UJV11" s="120"/>
      <c r="UJW11" s="120"/>
      <c r="UJX11" s="120"/>
      <c r="UJY11" s="120"/>
      <c r="UJZ11" s="120"/>
      <c r="UKA11" s="120"/>
      <c r="UKB11" s="120"/>
      <c r="UKC11" s="120"/>
      <c r="UKD11" s="120"/>
      <c r="UKE11" s="120"/>
      <c r="UKF11" s="120"/>
      <c r="UKG11" s="120"/>
      <c r="UKH11" s="120"/>
      <c r="UKI11" s="120"/>
      <c r="UKJ11" s="120"/>
      <c r="UKK11" s="120"/>
      <c r="UKL11" s="120"/>
      <c r="UKM11" s="120"/>
      <c r="UKN11" s="120"/>
      <c r="UKO11" s="120"/>
      <c r="UKP11" s="120"/>
      <c r="UKQ11" s="120"/>
      <c r="UKR11" s="120"/>
      <c r="UKS11" s="120"/>
      <c r="UKT11" s="120"/>
      <c r="UKU11" s="120"/>
      <c r="UKV11" s="120"/>
      <c r="UKW11" s="120"/>
      <c r="UKX11" s="120"/>
      <c r="UKY11" s="120"/>
      <c r="UKZ11" s="120"/>
      <c r="ULA11" s="120"/>
      <c r="ULB11" s="120"/>
      <c r="ULC11" s="120"/>
      <c r="ULD11" s="120"/>
      <c r="ULE11" s="120"/>
      <c r="ULF11" s="120"/>
      <c r="ULG11" s="120"/>
      <c r="ULH11" s="120"/>
      <c r="ULI11" s="120"/>
      <c r="ULJ11" s="120"/>
      <c r="ULK11" s="120"/>
      <c r="ULL11" s="120"/>
      <c r="ULM11" s="120"/>
      <c r="ULN11" s="120"/>
      <c r="ULO11" s="120"/>
      <c r="ULP11" s="120"/>
      <c r="ULQ11" s="120"/>
      <c r="ULR11" s="120"/>
      <c r="ULS11" s="120"/>
      <c r="ULT11" s="120"/>
      <c r="ULU11" s="120"/>
      <c r="ULV11" s="120"/>
      <c r="ULW11" s="120"/>
      <c r="ULX11" s="120"/>
      <c r="ULY11" s="120"/>
      <c r="ULZ11" s="120"/>
      <c r="UMA11" s="120"/>
      <c r="UMB11" s="120"/>
      <c r="UMC11" s="120"/>
      <c r="UMD11" s="120"/>
      <c r="UME11" s="120"/>
      <c r="UMF11" s="120"/>
      <c r="UMG11" s="120"/>
      <c r="UMH11" s="120"/>
      <c r="UMI11" s="120"/>
      <c r="UMJ11" s="120"/>
      <c r="UMK11" s="120"/>
      <c r="UML11" s="120"/>
      <c r="UMM11" s="120"/>
      <c r="UMN11" s="120"/>
      <c r="UMO11" s="120"/>
      <c r="UMP11" s="120"/>
      <c r="UMQ11" s="120"/>
      <c r="UMR11" s="120"/>
      <c r="UMS11" s="120"/>
      <c r="UMT11" s="120"/>
      <c r="UMU11" s="120"/>
      <c r="UMV11" s="120"/>
      <c r="UMW11" s="120"/>
      <c r="UMX11" s="120"/>
      <c r="UMY11" s="120"/>
      <c r="UMZ11" s="120"/>
      <c r="UNA11" s="120"/>
      <c r="UNB11" s="120"/>
      <c r="UNC11" s="120"/>
      <c r="UND11" s="120"/>
      <c r="UNE11" s="120"/>
      <c r="UNF11" s="120"/>
      <c r="UNG11" s="120"/>
      <c r="UNH11" s="120"/>
      <c r="UNI11" s="120"/>
      <c r="UNJ11" s="120"/>
      <c r="UNK11" s="120"/>
      <c r="UNL11" s="120"/>
      <c r="UNM11" s="120"/>
      <c r="UNN11" s="120"/>
      <c r="UNO11" s="120"/>
      <c r="UNP11" s="120"/>
      <c r="UNQ11" s="120"/>
      <c r="UNR11" s="120"/>
      <c r="UNS11" s="120"/>
      <c r="UNT11" s="120"/>
      <c r="UNU11" s="120"/>
      <c r="UNV11" s="120"/>
      <c r="UNW11" s="120"/>
      <c r="UNX11" s="120"/>
      <c r="UNY11" s="120"/>
      <c r="UNZ11" s="120"/>
      <c r="UOA11" s="120"/>
      <c r="UOB11" s="120"/>
      <c r="UOC11" s="120"/>
      <c r="UOD11" s="120"/>
      <c r="UOE11" s="120"/>
      <c r="UOF11" s="120"/>
      <c r="UOG11" s="120"/>
      <c r="UOH11" s="120"/>
      <c r="UOI11" s="120"/>
      <c r="UOJ11" s="120"/>
      <c r="UOK11" s="120"/>
      <c r="UOL11" s="120"/>
      <c r="UOM11" s="120"/>
      <c r="UON11" s="120"/>
      <c r="UOO11" s="120"/>
      <c r="UOP11" s="120"/>
      <c r="UOQ11" s="120"/>
      <c r="UOR11" s="120"/>
      <c r="UOS11" s="120"/>
      <c r="UOT11" s="120"/>
      <c r="UOU11" s="120"/>
      <c r="UOV11" s="120"/>
      <c r="UOW11" s="120"/>
      <c r="UOX11" s="120"/>
      <c r="UOY11" s="120"/>
      <c r="UOZ11" s="120"/>
      <c r="UPA11" s="120"/>
      <c r="UPB11" s="120"/>
      <c r="UPC11" s="120"/>
      <c r="UPD11" s="120"/>
      <c r="UPE11" s="120"/>
      <c r="UPF11" s="120"/>
      <c r="UPG11" s="120"/>
      <c r="UPH11" s="120"/>
      <c r="UPI11" s="120"/>
      <c r="UPJ11" s="120"/>
      <c r="UPK11" s="120"/>
      <c r="UPL11" s="120"/>
      <c r="UPM11" s="120"/>
      <c r="UPN11" s="120"/>
      <c r="UPO11" s="120"/>
      <c r="UPP11" s="120"/>
      <c r="UPQ11" s="120"/>
      <c r="UPR11" s="120"/>
      <c r="UPS11" s="120"/>
      <c r="UPT11" s="120"/>
      <c r="UPU11" s="120"/>
      <c r="UPV11" s="120"/>
      <c r="UPW11" s="120"/>
      <c r="UPX11" s="120"/>
      <c r="UPY11" s="120"/>
      <c r="UPZ11" s="120"/>
      <c r="UQA11" s="120"/>
      <c r="UQB11" s="120"/>
      <c r="UQC11" s="120"/>
      <c r="UQD11" s="120"/>
      <c r="UQE11" s="120"/>
      <c r="UQF11" s="120"/>
      <c r="UQG11" s="120"/>
      <c r="UQH11" s="120"/>
      <c r="UQI11" s="120"/>
      <c r="UQJ11" s="120"/>
      <c r="UQK11" s="120"/>
      <c r="UQL11" s="120"/>
      <c r="UQM11" s="120"/>
      <c r="UQN11" s="120"/>
      <c r="UQO11" s="120"/>
      <c r="UQP11" s="120"/>
      <c r="UQQ11" s="120"/>
      <c r="UQR11" s="120"/>
      <c r="UQS11" s="120"/>
      <c r="UQT11" s="120"/>
      <c r="UQU11" s="120"/>
      <c r="UQV11" s="120"/>
      <c r="UQW11" s="120"/>
      <c r="UQX11" s="120"/>
      <c r="UQY11" s="120"/>
      <c r="UQZ11" s="120"/>
      <c r="URA11" s="120"/>
      <c r="URB11" s="120"/>
      <c r="URC11" s="120"/>
      <c r="URD11" s="120"/>
      <c r="URE11" s="120"/>
      <c r="URF11" s="120"/>
      <c r="URG11" s="120"/>
      <c r="URH11" s="120"/>
      <c r="URI11" s="120"/>
      <c r="URJ11" s="120"/>
      <c r="URK11" s="120"/>
      <c r="URL11" s="120"/>
      <c r="URM11" s="120"/>
      <c r="URN11" s="120"/>
      <c r="URO11" s="120"/>
      <c r="URP11" s="120"/>
      <c r="URQ11" s="120"/>
      <c r="URR11" s="120"/>
      <c r="URS11" s="120"/>
      <c r="URT11" s="120"/>
      <c r="URU11" s="120"/>
      <c r="URV11" s="120"/>
      <c r="URW11" s="120"/>
      <c r="URX11" s="120"/>
      <c r="URY11" s="120"/>
      <c r="URZ11" s="120"/>
      <c r="USA11" s="120"/>
      <c r="USB11" s="120"/>
      <c r="USC11" s="120"/>
      <c r="USD11" s="120"/>
      <c r="USE11" s="120"/>
      <c r="USF11" s="120"/>
      <c r="USG11" s="120"/>
      <c r="USH11" s="120"/>
      <c r="USI11" s="120"/>
      <c r="USJ11" s="120"/>
      <c r="USK11" s="120"/>
      <c r="USL11" s="120"/>
      <c r="USM11" s="120"/>
      <c r="USN11" s="120"/>
      <c r="USO11" s="120"/>
      <c r="USP11" s="120"/>
      <c r="USQ11" s="120"/>
      <c r="USR11" s="120"/>
      <c r="USS11" s="120"/>
      <c r="UST11" s="120"/>
      <c r="USU11" s="120"/>
      <c r="USV11" s="120"/>
      <c r="USW11" s="120"/>
      <c r="USX11" s="120"/>
      <c r="USY11" s="120"/>
      <c r="USZ11" s="120"/>
      <c r="UTA11" s="120"/>
      <c r="UTB11" s="120"/>
      <c r="UTC11" s="120"/>
      <c r="UTD11" s="120"/>
      <c r="UTE11" s="120"/>
      <c r="UTF11" s="120"/>
      <c r="UTG11" s="120"/>
      <c r="UTH11" s="120"/>
      <c r="UTI11" s="120"/>
      <c r="UTJ11" s="120"/>
      <c r="UTK11" s="120"/>
      <c r="UTL11" s="120"/>
      <c r="UTM11" s="120"/>
      <c r="UTN11" s="120"/>
      <c r="UTO11" s="120"/>
      <c r="UTP11" s="120"/>
      <c r="UTQ11" s="120"/>
      <c r="UTR11" s="120"/>
      <c r="UTS11" s="120"/>
      <c r="UTT11" s="120"/>
      <c r="UTU11" s="120"/>
      <c r="UTV11" s="120"/>
      <c r="UTW11" s="120"/>
      <c r="UTX11" s="120"/>
      <c r="UTY11" s="120"/>
      <c r="UTZ11" s="120"/>
      <c r="UUA11" s="120"/>
      <c r="UUB11" s="120"/>
      <c r="UUC11" s="120"/>
      <c r="UUD11" s="120"/>
      <c r="UUE11" s="120"/>
      <c r="UUF11" s="120"/>
      <c r="UUG11" s="120"/>
      <c r="UUH11" s="120"/>
      <c r="UUI11" s="120"/>
      <c r="UUJ11" s="120"/>
      <c r="UUK11" s="120"/>
      <c r="UUL11" s="120"/>
      <c r="UUM11" s="120"/>
      <c r="UUN11" s="120"/>
      <c r="UUO11" s="120"/>
      <c r="UUP11" s="120"/>
      <c r="UUQ11" s="120"/>
      <c r="UUR11" s="120"/>
      <c r="UUS11" s="120"/>
      <c r="UUT11" s="120"/>
      <c r="UUU11" s="120"/>
      <c r="UUV11" s="120"/>
      <c r="UUW11" s="120"/>
      <c r="UUX11" s="120"/>
      <c r="UUY11" s="120"/>
      <c r="UUZ11" s="120"/>
      <c r="UVA11" s="120"/>
      <c r="UVB11" s="120"/>
      <c r="UVC11" s="120"/>
      <c r="UVD11" s="120"/>
      <c r="UVE11" s="120"/>
      <c r="UVF11" s="120"/>
      <c r="UVG11" s="120"/>
      <c r="UVH11" s="120"/>
      <c r="UVI11" s="120"/>
      <c r="UVJ11" s="120"/>
      <c r="UVK11" s="120"/>
      <c r="UVL11" s="120"/>
      <c r="UVM11" s="120"/>
      <c r="UVN11" s="120"/>
      <c r="UVO11" s="120"/>
      <c r="UVP11" s="120"/>
      <c r="UVQ11" s="120"/>
      <c r="UVR11" s="120"/>
      <c r="UVS11" s="120"/>
      <c r="UVT11" s="120"/>
      <c r="UVU11" s="120"/>
      <c r="UVV11" s="120"/>
      <c r="UVW11" s="120"/>
      <c r="UVX11" s="120"/>
      <c r="UVY11" s="120"/>
      <c r="UVZ11" s="120"/>
      <c r="UWA11" s="120"/>
      <c r="UWB11" s="120"/>
      <c r="UWC11" s="120"/>
      <c r="UWD11" s="120"/>
      <c r="UWE11" s="120"/>
      <c r="UWF11" s="120"/>
      <c r="UWG11" s="120"/>
      <c r="UWH11" s="120"/>
      <c r="UWI11" s="120"/>
      <c r="UWJ11" s="120"/>
      <c r="UWK11" s="120"/>
      <c r="UWL11" s="120"/>
      <c r="UWM11" s="120"/>
      <c r="UWN11" s="120"/>
      <c r="UWO11" s="120"/>
      <c r="UWP11" s="120"/>
      <c r="UWQ11" s="120"/>
      <c r="UWR11" s="120"/>
      <c r="UWS11" s="120"/>
      <c r="UWT11" s="120"/>
      <c r="UWU11" s="120"/>
      <c r="UWV11" s="120"/>
      <c r="UWW11" s="120"/>
      <c r="UWX11" s="120"/>
      <c r="UWY11" s="120"/>
      <c r="UWZ11" s="120"/>
      <c r="UXA11" s="120"/>
      <c r="UXB11" s="120"/>
      <c r="UXC11" s="120"/>
      <c r="UXD11" s="120"/>
      <c r="UXE11" s="120"/>
      <c r="UXF11" s="120"/>
      <c r="UXG11" s="120"/>
      <c r="UXH11" s="120"/>
      <c r="UXI11" s="120"/>
      <c r="UXJ11" s="120"/>
      <c r="UXK11" s="120"/>
      <c r="UXL11" s="120"/>
      <c r="UXM11" s="120"/>
      <c r="UXN11" s="120"/>
      <c r="UXO11" s="120"/>
      <c r="UXP11" s="120"/>
      <c r="UXQ11" s="120"/>
      <c r="UXR11" s="120"/>
      <c r="UXS11" s="120"/>
      <c r="UXT11" s="120"/>
      <c r="UXU11" s="120"/>
      <c r="UXV11" s="120"/>
      <c r="UXW11" s="120"/>
      <c r="UXX11" s="120"/>
      <c r="UXY11" s="120"/>
      <c r="UXZ11" s="120"/>
      <c r="UYA11" s="120"/>
      <c r="UYB11" s="120"/>
      <c r="UYC11" s="120"/>
      <c r="UYD11" s="120"/>
      <c r="UYE11" s="120"/>
      <c r="UYF11" s="120"/>
      <c r="UYG11" s="120"/>
      <c r="UYH11" s="120"/>
      <c r="UYI11" s="120"/>
      <c r="UYJ11" s="120"/>
      <c r="UYK11" s="120"/>
      <c r="UYL11" s="120"/>
      <c r="UYM11" s="120"/>
      <c r="UYN11" s="120"/>
      <c r="UYO11" s="120"/>
      <c r="UYP11" s="120"/>
      <c r="UYQ11" s="120"/>
      <c r="UYR11" s="120"/>
      <c r="UYS11" s="120"/>
      <c r="UYT11" s="120"/>
      <c r="UYU11" s="120"/>
      <c r="UYV11" s="120"/>
      <c r="UYW11" s="120"/>
      <c r="UYX11" s="120"/>
      <c r="UYY11" s="120"/>
      <c r="UYZ11" s="120"/>
      <c r="UZA11" s="120"/>
      <c r="UZB11" s="120"/>
      <c r="UZC11" s="120"/>
      <c r="UZD11" s="120"/>
      <c r="UZE11" s="120"/>
      <c r="UZF11" s="120"/>
      <c r="UZG11" s="120"/>
      <c r="UZH11" s="120"/>
      <c r="UZI11" s="120"/>
      <c r="UZJ11" s="120"/>
      <c r="UZK11" s="120"/>
      <c r="UZL11" s="120"/>
      <c r="UZM11" s="120"/>
      <c r="UZN11" s="120"/>
      <c r="UZO11" s="120"/>
      <c r="UZP11" s="120"/>
      <c r="UZQ11" s="120"/>
      <c r="UZR11" s="120"/>
      <c r="UZS11" s="120"/>
      <c r="UZT11" s="120"/>
      <c r="UZU11" s="120"/>
      <c r="UZV11" s="120"/>
      <c r="UZW11" s="120"/>
      <c r="UZX11" s="120"/>
      <c r="UZY11" s="120"/>
      <c r="UZZ11" s="120"/>
      <c r="VAA11" s="120"/>
      <c r="VAB11" s="120"/>
      <c r="VAC11" s="120"/>
      <c r="VAD11" s="120"/>
      <c r="VAE11" s="120"/>
      <c r="VAF11" s="120"/>
      <c r="VAG11" s="120"/>
      <c r="VAH11" s="120"/>
      <c r="VAI11" s="120"/>
      <c r="VAJ11" s="120"/>
      <c r="VAK11" s="120"/>
      <c r="VAL11" s="120"/>
      <c r="VAM11" s="120"/>
      <c r="VAN11" s="120"/>
      <c r="VAO11" s="120"/>
      <c r="VAP11" s="120"/>
      <c r="VAQ11" s="120"/>
      <c r="VAR11" s="120"/>
      <c r="VAS11" s="120"/>
      <c r="VAT11" s="120"/>
      <c r="VAU11" s="120"/>
      <c r="VAV11" s="120"/>
      <c r="VAW11" s="120"/>
      <c r="VAX11" s="120"/>
      <c r="VAY11" s="120"/>
      <c r="VAZ11" s="120"/>
      <c r="VBA11" s="120"/>
      <c r="VBB11" s="120"/>
      <c r="VBC11" s="120"/>
      <c r="VBD11" s="120"/>
      <c r="VBE11" s="120"/>
      <c r="VBF11" s="120"/>
      <c r="VBG11" s="120"/>
      <c r="VBH11" s="120"/>
      <c r="VBI11" s="120"/>
      <c r="VBJ11" s="120"/>
      <c r="VBK11" s="120"/>
      <c r="VBL11" s="120"/>
      <c r="VBM11" s="120"/>
      <c r="VBN11" s="120"/>
      <c r="VBO11" s="120"/>
      <c r="VBP11" s="120"/>
      <c r="VBQ11" s="120"/>
      <c r="VBR11" s="120"/>
      <c r="VBS11" s="120"/>
      <c r="VBT11" s="120"/>
      <c r="VBU11" s="120"/>
      <c r="VBV11" s="120"/>
      <c r="VBW11" s="120"/>
      <c r="VBX11" s="120"/>
      <c r="VBY11" s="120"/>
      <c r="VBZ11" s="120"/>
      <c r="VCA11" s="120"/>
      <c r="VCB11" s="120"/>
      <c r="VCC11" s="120"/>
      <c r="VCD11" s="120"/>
      <c r="VCE11" s="120"/>
      <c r="VCF11" s="120"/>
      <c r="VCG11" s="120"/>
      <c r="VCH11" s="120"/>
      <c r="VCI11" s="120"/>
      <c r="VCJ11" s="120"/>
      <c r="VCK11" s="120"/>
      <c r="VCL11" s="120"/>
      <c r="VCM11" s="120"/>
      <c r="VCN11" s="120"/>
      <c r="VCO11" s="120"/>
      <c r="VCP11" s="120"/>
      <c r="VCQ11" s="120"/>
      <c r="VCR11" s="120"/>
      <c r="VCS11" s="120"/>
      <c r="VCT11" s="120"/>
      <c r="VCU11" s="120"/>
      <c r="VCV11" s="120"/>
      <c r="VCW11" s="120"/>
      <c r="VCX11" s="120"/>
      <c r="VCY11" s="120"/>
      <c r="VCZ11" s="120"/>
      <c r="VDA11" s="120"/>
      <c r="VDB11" s="120"/>
      <c r="VDC11" s="120"/>
      <c r="VDD11" s="120"/>
      <c r="VDE11" s="120"/>
      <c r="VDF11" s="120"/>
      <c r="VDG11" s="120"/>
      <c r="VDH11" s="120"/>
      <c r="VDI11" s="120"/>
      <c r="VDJ11" s="120"/>
      <c r="VDK11" s="120"/>
      <c r="VDL11" s="120"/>
      <c r="VDM11" s="120"/>
      <c r="VDN11" s="120"/>
      <c r="VDO11" s="120"/>
      <c r="VDP11" s="120"/>
      <c r="VDQ11" s="120"/>
      <c r="VDR11" s="120"/>
      <c r="VDS11" s="120"/>
      <c r="VDT11" s="120"/>
      <c r="VDU11" s="120"/>
      <c r="VDV11" s="120"/>
      <c r="VDW11" s="120"/>
      <c r="VDX11" s="120"/>
      <c r="VDY11" s="120"/>
      <c r="VDZ11" s="120"/>
      <c r="VEA11" s="120"/>
      <c r="VEB11" s="120"/>
      <c r="VEC11" s="120"/>
      <c r="VED11" s="120"/>
      <c r="VEE11" s="120"/>
      <c r="VEF11" s="120"/>
      <c r="VEG11" s="120"/>
      <c r="VEH11" s="120"/>
      <c r="VEI11" s="120"/>
      <c r="VEJ11" s="120"/>
      <c r="VEK11" s="120"/>
      <c r="VEL11" s="120"/>
      <c r="VEM11" s="120"/>
      <c r="VEN11" s="120"/>
      <c r="VEO11" s="120"/>
      <c r="VEP11" s="120"/>
      <c r="VEQ11" s="120"/>
      <c r="VER11" s="120"/>
      <c r="VES11" s="120"/>
      <c r="VET11" s="120"/>
      <c r="VEU11" s="120"/>
      <c r="VEV11" s="120"/>
      <c r="VEW11" s="120"/>
      <c r="VEX11" s="120"/>
      <c r="VEY11" s="120"/>
      <c r="VEZ11" s="120"/>
      <c r="VFA11" s="120"/>
      <c r="VFB11" s="120"/>
      <c r="VFC11" s="120"/>
      <c r="VFD11" s="120"/>
      <c r="VFE11" s="120"/>
      <c r="VFF11" s="120"/>
      <c r="VFG11" s="120"/>
      <c r="VFH11" s="120"/>
      <c r="VFI11" s="120"/>
      <c r="VFJ11" s="120"/>
      <c r="VFK11" s="120"/>
      <c r="VFL11" s="120"/>
      <c r="VFM11" s="120"/>
      <c r="VFN11" s="120"/>
      <c r="VFO11" s="120"/>
      <c r="VFP11" s="120"/>
      <c r="VFQ11" s="120"/>
      <c r="VFR11" s="120"/>
      <c r="VFS11" s="120"/>
      <c r="VFT11" s="120"/>
      <c r="VFU11" s="120"/>
      <c r="VFV11" s="120"/>
      <c r="VFW11" s="120"/>
      <c r="VFX11" s="120"/>
      <c r="VFY11" s="120"/>
      <c r="VFZ11" s="120"/>
      <c r="VGA11" s="120"/>
      <c r="VGB11" s="120"/>
      <c r="VGC11" s="120"/>
      <c r="VGD11" s="120"/>
      <c r="VGE11" s="120"/>
      <c r="VGF11" s="120"/>
      <c r="VGG11" s="120"/>
      <c r="VGH11" s="120"/>
      <c r="VGI11" s="120"/>
      <c r="VGJ11" s="120"/>
      <c r="VGK11" s="120"/>
      <c r="VGL11" s="120"/>
      <c r="VGM11" s="120"/>
      <c r="VGN11" s="120"/>
      <c r="VGO11" s="120"/>
      <c r="VGP11" s="120"/>
      <c r="VGQ11" s="120"/>
      <c r="VGR11" s="120"/>
      <c r="VGS11" s="120"/>
      <c r="VGT11" s="120"/>
      <c r="VGU11" s="120"/>
      <c r="VGV11" s="120"/>
      <c r="VGW11" s="120"/>
      <c r="VGX11" s="120"/>
      <c r="VGY11" s="120"/>
      <c r="VGZ11" s="120"/>
      <c r="VHA11" s="120"/>
      <c r="VHB11" s="120"/>
      <c r="VHC11" s="120"/>
      <c r="VHD11" s="120"/>
      <c r="VHE11" s="120"/>
      <c r="VHF11" s="120"/>
      <c r="VHG11" s="120"/>
      <c r="VHH11" s="120"/>
      <c r="VHI11" s="120"/>
      <c r="VHJ11" s="120"/>
      <c r="VHK11" s="120"/>
      <c r="VHL11" s="120"/>
      <c r="VHM11" s="120"/>
      <c r="VHN11" s="120"/>
      <c r="VHO11" s="120"/>
      <c r="VHP11" s="120"/>
      <c r="VHQ11" s="120"/>
      <c r="VHR11" s="120"/>
      <c r="VHS11" s="120"/>
      <c r="VHT11" s="120"/>
      <c r="VHU11" s="120"/>
      <c r="VHV11" s="120"/>
      <c r="VHW11" s="120"/>
      <c r="VHX11" s="120"/>
      <c r="VHY11" s="120"/>
      <c r="VHZ11" s="120"/>
      <c r="VIA11" s="120"/>
      <c r="VIB11" s="120"/>
      <c r="VIC11" s="120"/>
      <c r="VID11" s="120"/>
      <c r="VIE11" s="120"/>
      <c r="VIF11" s="120"/>
      <c r="VIG11" s="120"/>
      <c r="VIH11" s="120"/>
      <c r="VII11" s="120"/>
      <c r="VIJ11" s="120"/>
      <c r="VIK11" s="120"/>
      <c r="VIL11" s="120"/>
      <c r="VIM11" s="120"/>
      <c r="VIN11" s="120"/>
      <c r="VIO11" s="120"/>
      <c r="VIP11" s="120"/>
      <c r="VIQ11" s="120"/>
      <c r="VIR11" s="120"/>
      <c r="VIS11" s="120"/>
      <c r="VIT11" s="120"/>
      <c r="VIU11" s="120"/>
      <c r="VIV11" s="120"/>
      <c r="VIW11" s="120"/>
      <c r="VIX11" s="120"/>
      <c r="VIY11" s="120"/>
      <c r="VIZ11" s="120"/>
      <c r="VJA11" s="120"/>
      <c r="VJB11" s="120"/>
      <c r="VJC11" s="120"/>
      <c r="VJD11" s="120"/>
      <c r="VJE11" s="120"/>
      <c r="VJF11" s="120"/>
      <c r="VJG11" s="120"/>
      <c r="VJH11" s="120"/>
      <c r="VJI11" s="120"/>
      <c r="VJJ11" s="120"/>
      <c r="VJK11" s="120"/>
      <c r="VJL11" s="120"/>
      <c r="VJM11" s="120"/>
      <c r="VJN11" s="120"/>
      <c r="VJO11" s="120"/>
      <c r="VJP11" s="120"/>
      <c r="VJQ11" s="120"/>
      <c r="VJR11" s="120"/>
      <c r="VJS11" s="120"/>
      <c r="VJT11" s="120"/>
      <c r="VJU11" s="120"/>
      <c r="VJV11" s="120"/>
      <c r="VJW11" s="120"/>
      <c r="VJX11" s="120"/>
      <c r="VJY11" s="120"/>
      <c r="VJZ11" s="120"/>
      <c r="VKA11" s="120"/>
      <c r="VKB11" s="120"/>
      <c r="VKC11" s="120"/>
      <c r="VKD11" s="120"/>
      <c r="VKE11" s="120"/>
      <c r="VKF11" s="120"/>
      <c r="VKG11" s="120"/>
      <c r="VKH11" s="120"/>
      <c r="VKI11" s="120"/>
      <c r="VKJ11" s="120"/>
      <c r="VKK11" s="120"/>
      <c r="VKL11" s="120"/>
      <c r="VKM11" s="120"/>
      <c r="VKN11" s="120"/>
      <c r="VKO11" s="120"/>
      <c r="VKP11" s="120"/>
      <c r="VKQ11" s="120"/>
      <c r="VKR11" s="120"/>
      <c r="VKS11" s="120"/>
      <c r="VKT11" s="120"/>
      <c r="VKU11" s="120"/>
      <c r="VKV11" s="120"/>
      <c r="VKW11" s="120"/>
      <c r="VKX11" s="120"/>
      <c r="VKY11" s="120"/>
      <c r="VKZ11" s="120"/>
      <c r="VLA11" s="120"/>
      <c r="VLB11" s="120"/>
      <c r="VLC11" s="120"/>
      <c r="VLD11" s="120"/>
      <c r="VLE11" s="120"/>
      <c r="VLF11" s="120"/>
      <c r="VLG11" s="120"/>
      <c r="VLH11" s="120"/>
      <c r="VLI11" s="120"/>
      <c r="VLJ11" s="120"/>
      <c r="VLK11" s="120"/>
      <c r="VLL11" s="120"/>
      <c r="VLM11" s="120"/>
      <c r="VLN11" s="120"/>
      <c r="VLO11" s="120"/>
      <c r="VLP11" s="120"/>
      <c r="VLQ11" s="120"/>
      <c r="VLR11" s="120"/>
      <c r="VLS11" s="120"/>
      <c r="VLT11" s="120"/>
      <c r="VLU11" s="120"/>
      <c r="VLV11" s="120"/>
      <c r="VLW11" s="120"/>
      <c r="VLX11" s="120"/>
      <c r="VLY11" s="120"/>
      <c r="VLZ11" s="120"/>
      <c r="VMA11" s="120"/>
      <c r="VMB11" s="120"/>
      <c r="VMC11" s="120"/>
      <c r="VMD11" s="120"/>
      <c r="VME11" s="120"/>
      <c r="VMF11" s="120"/>
      <c r="VMG11" s="120"/>
      <c r="VMH11" s="120"/>
      <c r="VMI11" s="120"/>
      <c r="VMJ11" s="120"/>
      <c r="VMK11" s="120"/>
      <c r="VML11" s="120"/>
      <c r="VMM11" s="120"/>
      <c r="VMN11" s="120"/>
      <c r="VMO11" s="120"/>
      <c r="VMP11" s="120"/>
      <c r="VMQ11" s="120"/>
      <c r="VMR11" s="120"/>
      <c r="VMS11" s="120"/>
      <c r="VMT11" s="120"/>
      <c r="VMU11" s="120"/>
      <c r="VMV11" s="120"/>
      <c r="VMW11" s="120"/>
      <c r="VMX11" s="120"/>
      <c r="VMY11" s="120"/>
      <c r="VMZ11" s="120"/>
      <c r="VNA11" s="120"/>
      <c r="VNB11" s="120"/>
      <c r="VNC11" s="120"/>
      <c r="VND11" s="120"/>
      <c r="VNE11" s="120"/>
      <c r="VNF11" s="120"/>
      <c r="VNG11" s="120"/>
      <c r="VNH11" s="120"/>
      <c r="VNI11" s="120"/>
      <c r="VNJ11" s="120"/>
      <c r="VNK11" s="120"/>
      <c r="VNL11" s="120"/>
      <c r="VNM11" s="120"/>
      <c r="VNN11" s="120"/>
      <c r="VNO11" s="120"/>
      <c r="VNP11" s="120"/>
      <c r="VNQ11" s="120"/>
      <c r="VNR11" s="120"/>
      <c r="VNS11" s="120"/>
      <c r="VNT11" s="120"/>
      <c r="VNU11" s="120"/>
      <c r="VNV11" s="120"/>
      <c r="VNW11" s="120"/>
      <c r="VNX11" s="120"/>
      <c r="VNY11" s="120"/>
      <c r="VNZ11" s="120"/>
      <c r="VOA11" s="120"/>
      <c r="VOB11" s="120"/>
      <c r="VOC11" s="120"/>
      <c r="VOD11" s="120"/>
      <c r="VOE11" s="120"/>
      <c r="VOF11" s="120"/>
      <c r="VOG11" s="120"/>
      <c r="VOH11" s="120"/>
      <c r="VOI11" s="120"/>
      <c r="VOJ11" s="120"/>
      <c r="VOK11" s="120"/>
      <c r="VOL11" s="120"/>
      <c r="VOM11" s="120"/>
      <c r="VON11" s="120"/>
      <c r="VOO11" s="120"/>
      <c r="VOP11" s="120"/>
      <c r="VOQ11" s="120"/>
      <c r="VOR11" s="120"/>
      <c r="VOS11" s="120"/>
      <c r="VOT11" s="120"/>
      <c r="VOU11" s="120"/>
      <c r="VOV11" s="120"/>
      <c r="VOW11" s="120"/>
      <c r="VOX11" s="120"/>
      <c r="VOY11" s="120"/>
      <c r="VOZ11" s="120"/>
      <c r="VPA11" s="120"/>
      <c r="VPB11" s="120"/>
      <c r="VPC11" s="120"/>
      <c r="VPD11" s="120"/>
      <c r="VPE11" s="120"/>
      <c r="VPF11" s="120"/>
      <c r="VPG11" s="120"/>
      <c r="VPH11" s="120"/>
      <c r="VPI11" s="120"/>
      <c r="VPJ11" s="120"/>
      <c r="VPK11" s="120"/>
      <c r="VPL11" s="120"/>
      <c r="VPM11" s="120"/>
      <c r="VPN11" s="120"/>
      <c r="VPO11" s="120"/>
      <c r="VPP11" s="120"/>
      <c r="VPQ11" s="120"/>
      <c r="VPR11" s="120"/>
      <c r="VPS11" s="120"/>
      <c r="VPT11" s="120"/>
      <c r="VPU11" s="120"/>
      <c r="VPV11" s="120"/>
      <c r="VPW11" s="120"/>
      <c r="VPX11" s="120"/>
      <c r="VPY11" s="120"/>
      <c r="VPZ11" s="120"/>
      <c r="VQA11" s="120"/>
      <c r="VQB11" s="120"/>
      <c r="VQC11" s="120"/>
      <c r="VQD11" s="120"/>
      <c r="VQE11" s="120"/>
      <c r="VQF11" s="120"/>
      <c r="VQG11" s="120"/>
      <c r="VQH11" s="120"/>
      <c r="VQI11" s="120"/>
      <c r="VQJ11" s="120"/>
      <c r="VQK11" s="120"/>
      <c r="VQL11" s="120"/>
      <c r="VQM11" s="120"/>
      <c r="VQN11" s="120"/>
      <c r="VQO11" s="120"/>
      <c r="VQP11" s="120"/>
      <c r="VQQ11" s="120"/>
      <c r="VQR11" s="120"/>
      <c r="VQS11" s="120"/>
      <c r="VQT11" s="120"/>
      <c r="VQU11" s="120"/>
      <c r="VQV11" s="120"/>
      <c r="VQW11" s="120"/>
      <c r="VQX11" s="120"/>
      <c r="VQY11" s="120"/>
      <c r="VQZ11" s="120"/>
      <c r="VRA11" s="120"/>
      <c r="VRB11" s="120"/>
      <c r="VRC11" s="120"/>
      <c r="VRD11" s="120"/>
      <c r="VRE11" s="120"/>
      <c r="VRF11" s="120"/>
      <c r="VRG11" s="120"/>
      <c r="VRH11" s="120"/>
      <c r="VRI11" s="120"/>
      <c r="VRJ11" s="120"/>
      <c r="VRK11" s="120"/>
      <c r="VRL11" s="120"/>
      <c r="VRM11" s="120"/>
      <c r="VRN11" s="120"/>
      <c r="VRO11" s="120"/>
      <c r="VRP11" s="120"/>
      <c r="VRQ11" s="120"/>
      <c r="VRR11" s="120"/>
      <c r="VRS11" s="120"/>
      <c r="VRT11" s="120"/>
      <c r="VRU11" s="120"/>
      <c r="VRV11" s="120"/>
      <c r="VRW11" s="120"/>
      <c r="VRX11" s="120"/>
      <c r="VRY11" s="120"/>
      <c r="VRZ11" s="120"/>
      <c r="VSA11" s="120"/>
      <c r="VSB11" s="120"/>
      <c r="VSC11" s="120"/>
      <c r="VSD11" s="120"/>
      <c r="VSE11" s="120"/>
      <c r="VSF11" s="120"/>
      <c r="VSG11" s="120"/>
      <c r="VSH11" s="120"/>
      <c r="VSI11" s="120"/>
      <c r="VSJ11" s="120"/>
      <c r="VSK11" s="120"/>
      <c r="VSL11" s="120"/>
      <c r="VSM11" s="120"/>
      <c r="VSN11" s="120"/>
      <c r="VSO11" s="120"/>
      <c r="VSP11" s="120"/>
      <c r="VSQ11" s="120"/>
      <c r="VSR11" s="120"/>
      <c r="VSS11" s="120"/>
      <c r="VST11" s="120"/>
      <c r="VSU11" s="120"/>
      <c r="VSV11" s="120"/>
      <c r="VSW11" s="120"/>
      <c r="VSX11" s="120"/>
      <c r="VSY11" s="120"/>
      <c r="VSZ11" s="120"/>
      <c r="VTA11" s="120"/>
      <c r="VTB11" s="120"/>
      <c r="VTC11" s="120"/>
      <c r="VTD11" s="120"/>
      <c r="VTE11" s="120"/>
      <c r="VTF11" s="120"/>
      <c r="VTG11" s="120"/>
      <c r="VTH11" s="120"/>
      <c r="VTI11" s="120"/>
      <c r="VTJ11" s="120"/>
      <c r="VTK11" s="120"/>
      <c r="VTL11" s="120"/>
      <c r="VTM11" s="120"/>
      <c r="VTN11" s="120"/>
      <c r="VTO11" s="120"/>
      <c r="VTP11" s="120"/>
      <c r="VTQ11" s="120"/>
      <c r="VTR11" s="120"/>
      <c r="VTS11" s="120"/>
      <c r="VTT11" s="120"/>
      <c r="VTU11" s="120"/>
      <c r="VTV11" s="120"/>
      <c r="VTW11" s="120"/>
      <c r="VTX11" s="120"/>
      <c r="VTY11" s="120"/>
      <c r="VTZ11" s="120"/>
      <c r="VUA11" s="120"/>
      <c r="VUB11" s="120"/>
      <c r="VUC11" s="120"/>
      <c r="VUD11" s="120"/>
      <c r="VUE11" s="120"/>
      <c r="VUF11" s="120"/>
      <c r="VUG11" s="120"/>
      <c r="VUH11" s="120"/>
      <c r="VUI11" s="120"/>
      <c r="VUJ11" s="120"/>
      <c r="VUK11" s="120"/>
      <c r="VUL11" s="120"/>
      <c r="VUM11" s="120"/>
      <c r="VUN11" s="120"/>
      <c r="VUO11" s="120"/>
      <c r="VUP11" s="120"/>
      <c r="VUQ11" s="120"/>
      <c r="VUR11" s="120"/>
      <c r="VUS11" s="120"/>
      <c r="VUT11" s="120"/>
      <c r="VUU11" s="120"/>
      <c r="VUV11" s="120"/>
      <c r="VUW11" s="120"/>
      <c r="VUX11" s="120"/>
      <c r="VUY11" s="120"/>
      <c r="VUZ11" s="120"/>
      <c r="VVA11" s="120"/>
      <c r="VVB11" s="120"/>
      <c r="VVC11" s="120"/>
      <c r="VVD11" s="120"/>
      <c r="VVE11" s="120"/>
      <c r="VVF11" s="120"/>
      <c r="VVG11" s="120"/>
      <c r="VVH11" s="120"/>
      <c r="VVI11" s="120"/>
      <c r="VVJ11" s="120"/>
      <c r="VVK11" s="120"/>
      <c r="VVL11" s="120"/>
      <c r="VVM11" s="120"/>
      <c r="VVN11" s="120"/>
      <c r="VVO11" s="120"/>
      <c r="VVP11" s="120"/>
      <c r="VVQ11" s="120"/>
      <c r="VVR11" s="120"/>
      <c r="VVS11" s="120"/>
      <c r="VVT11" s="120"/>
      <c r="VVU11" s="120"/>
      <c r="VVV11" s="120"/>
      <c r="VVW11" s="120"/>
      <c r="VVX11" s="120"/>
      <c r="VVY11" s="120"/>
      <c r="VVZ11" s="120"/>
      <c r="VWA11" s="120"/>
      <c r="VWB11" s="120"/>
      <c r="VWC11" s="120"/>
      <c r="VWD11" s="120"/>
      <c r="VWE11" s="120"/>
      <c r="VWF11" s="120"/>
      <c r="VWG11" s="120"/>
      <c r="VWH11" s="120"/>
      <c r="VWI11" s="120"/>
      <c r="VWJ11" s="120"/>
      <c r="VWK11" s="120"/>
      <c r="VWL11" s="120"/>
      <c r="VWM11" s="120"/>
      <c r="VWN11" s="120"/>
      <c r="VWO11" s="120"/>
      <c r="VWP11" s="120"/>
      <c r="VWQ11" s="120"/>
      <c r="VWR11" s="120"/>
      <c r="VWS11" s="120"/>
      <c r="VWT11" s="120"/>
      <c r="VWU11" s="120"/>
      <c r="VWV11" s="120"/>
      <c r="VWW11" s="120"/>
      <c r="VWX11" s="120"/>
      <c r="VWY11" s="120"/>
      <c r="VWZ11" s="120"/>
      <c r="VXA11" s="120"/>
      <c r="VXB11" s="120"/>
      <c r="VXC11" s="120"/>
      <c r="VXD11" s="120"/>
      <c r="VXE11" s="120"/>
      <c r="VXF11" s="120"/>
      <c r="VXG11" s="120"/>
      <c r="VXH11" s="120"/>
      <c r="VXI11" s="120"/>
      <c r="VXJ11" s="120"/>
      <c r="VXK11" s="120"/>
      <c r="VXL11" s="120"/>
      <c r="VXM11" s="120"/>
      <c r="VXN11" s="120"/>
      <c r="VXO11" s="120"/>
      <c r="VXP11" s="120"/>
      <c r="VXQ11" s="120"/>
      <c r="VXR11" s="120"/>
      <c r="VXS11" s="120"/>
      <c r="VXT11" s="120"/>
      <c r="VXU11" s="120"/>
      <c r="VXV11" s="120"/>
      <c r="VXW11" s="120"/>
      <c r="VXX11" s="120"/>
      <c r="VXY11" s="120"/>
      <c r="VXZ11" s="120"/>
      <c r="VYA11" s="120"/>
      <c r="VYB11" s="120"/>
      <c r="VYC11" s="120"/>
      <c r="VYD11" s="120"/>
      <c r="VYE11" s="120"/>
      <c r="VYF11" s="120"/>
      <c r="VYG11" s="120"/>
      <c r="VYH11" s="120"/>
      <c r="VYI11" s="120"/>
      <c r="VYJ11" s="120"/>
      <c r="VYK11" s="120"/>
      <c r="VYL11" s="120"/>
      <c r="VYM11" s="120"/>
      <c r="VYN11" s="120"/>
      <c r="VYO11" s="120"/>
      <c r="VYP11" s="120"/>
      <c r="VYQ11" s="120"/>
      <c r="VYR11" s="120"/>
      <c r="VYS11" s="120"/>
      <c r="VYT11" s="120"/>
      <c r="VYU11" s="120"/>
      <c r="VYV11" s="120"/>
      <c r="VYW11" s="120"/>
      <c r="VYX11" s="120"/>
      <c r="VYY11" s="120"/>
      <c r="VYZ11" s="120"/>
      <c r="VZA11" s="120"/>
      <c r="VZB11" s="120"/>
      <c r="VZC11" s="120"/>
      <c r="VZD11" s="120"/>
      <c r="VZE11" s="120"/>
      <c r="VZF11" s="120"/>
      <c r="VZG11" s="120"/>
      <c r="VZH11" s="120"/>
      <c r="VZI11" s="120"/>
      <c r="VZJ11" s="120"/>
      <c r="VZK11" s="120"/>
      <c r="VZL11" s="120"/>
      <c r="VZM11" s="120"/>
      <c r="VZN11" s="120"/>
      <c r="VZO11" s="120"/>
      <c r="VZP11" s="120"/>
      <c r="VZQ11" s="120"/>
      <c r="VZR11" s="120"/>
      <c r="VZS11" s="120"/>
      <c r="VZT11" s="120"/>
      <c r="VZU11" s="120"/>
      <c r="VZV11" s="120"/>
      <c r="VZW11" s="120"/>
      <c r="VZX11" s="120"/>
      <c r="VZY11" s="120"/>
      <c r="VZZ11" s="120"/>
      <c r="WAA11" s="120"/>
      <c r="WAB11" s="120"/>
      <c r="WAC11" s="120"/>
      <c r="WAD11" s="120"/>
      <c r="WAE11" s="120"/>
      <c r="WAF11" s="120"/>
      <c r="WAG11" s="120"/>
      <c r="WAH11" s="120"/>
      <c r="WAI11" s="120"/>
      <c r="WAJ11" s="120"/>
      <c r="WAK11" s="120"/>
      <c r="WAL11" s="120"/>
      <c r="WAM11" s="120"/>
      <c r="WAN11" s="120"/>
      <c r="WAO11" s="120"/>
      <c r="WAP11" s="120"/>
      <c r="WAQ11" s="120"/>
      <c r="WAR11" s="120"/>
      <c r="WAS11" s="120"/>
      <c r="WAT11" s="120"/>
      <c r="WAU11" s="120"/>
      <c r="WAV11" s="120"/>
      <c r="WAW11" s="120"/>
      <c r="WAX11" s="120"/>
      <c r="WAY11" s="120"/>
      <c r="WAZ11" s="120"/>
      <c r="WBA11" s="120"/>
      <c r="WBB11" s="120"/>
      <c r="WBC11" s="120"/>
      <c r="WBD11" s="120"/>
      <c r="WBE11" s="120"/>
      <c r="WBF11" s="120"/>
      <c r="WBG11" s="120"/>
      <c r="WBH11" s="120"/>
      <c r="WBI11" s="120"/>
      <c r="WBJ11" s="120"/>
      <c r="WBK11" s="120"/>
      <c r="WBL11" s="120"/>
      <c r="WBM11" s="120"/>
      <c r="WBN11" s="120"/>
      <c r="WBO11" s="120"/>
      <c r="WBP11" s="120"/>
      <c r="WBQ11" s="120"/>
      <c r="WBR11" s="120"/>
      <c r="WBS11" s="120"/>
      <c r="WBT11" s="120"/>
      <c r="WBU11" s="120"/>
      <c r="WBV11" s="120"/>
      <c r="WBW11" s="120"/>
      <c r="WBX11" s="120"/>
      <c r="WBY11" s="120"/>
      <c r="WBZ11" s="120"/>
      <c r="WCA11" s="120"/>
      <c r="WCB11" s="120"/>
      <c r="WCC11" s="120"/>
      <c r="WCD11" s="120"/>
      <c r="WCE11" s="120"/>
      <c r="WCF11" s="120"/>
      <c r="WCG11" s="120"/>
      <c r="WCH11" s="120"/>
      <c r="WCI11" s="120"/>
      <c r="WCJ11" s="120"/>
      <c r="WCK11" s="120"/>
      <c r="WCL11" s="120"/>
      <c r="WCM11" s="120"/>
      <c r="WCN11" s="120"/>
      <c r="WCO11" s="120"/>
      <c r="WCP11" s="120"/>
      <c r="WCQ11" s="120"/>
      <c r="WCR11" s="120"/>
      <c r="WCS11" s="120"/>
      <c r="WCT11" s="120"/>
      <c r="WCU11" s="120"/>
      <c r="WCV11" s="120"/>
      <c r="WCW11" s="120"/>
      <c r="WCX11" s="120"/>
      <c r="WCY11" s="120"/>
      <c r="WCZ11" s="120"/>
      <c r="WDA11" s="120"/>
      <c r="WDB11" s="120"/>
      <c r="WDC11" s="120"/>
      <c r="WDD11" s="120"/>
      <c r="WDE11" s="120"/>
      <c r="WDF11" s="120"/>
      <c r="WDG11" s="120"/>
      <c r="WDH11" s="120"/>
      <c r="WDI11" s="120"/>
      <c r="WDJ11" s="120"/>
      <c r="WDK11" s="120"/>
      <c r="WDL11" s="120"/>
      <c r="WDM11" s="120"/>
      <c r="WDN11" s="120"/>
      <c r="WDO11" s="120"/>
      <c r="WDP11" s="120"/>
      <c r="WDQ11" s="120"/>
      <c r="WDR11" s="120"/>
      <c r="WDS11" s="120"/>
      <c r="WDT11" s="120"/>
      <c r="WDU11" s="120"/>
      <c r="WDV11" s="120"/>
      <c r="WDW11" s="120"/>
      <c r="WDX11" s="120"/>
      <c r="WDY11" s="120"/>
      <c r="WDZ11" s="120"/>
      <c r="WEA11" s="120"/>
      <c r="WEB11" s="120"/>
      <c r="WEC11" s="120"/>
      <c r="WED11" s="120"/>
      <c r="WEE11" s="120"/>
      <c r="WEF11" s="120"/>
      <c r="WEG11" s="120"/>
      <c r="WEH11" s="120"/>
      <c r="WEI11" s="120"/>
      <c r="WEJ11" s="120"/>
      <c r="WEK11" s="120"/>
      <c r="WEL11" s="120"/>
      <c r="WEM11" s="120"/>
      <c r="WEN11" s="120"/>
      <c r="WEO11" s="120"/>
      <c r="WEP11" s="120"/>
      <c r="WEQ11" s="120"/>
      <c r="WER11" s="120"/>
      <c r="WES11" s="120"/>
      <c r="WET11" s="120"/>
      <c r="WEU11" s="120"/>
      <c r="WEV11" s="120"/>
      <c r="WEW11" s="120"/>
      <c r="WEX11" s="120"/>
      <c r="WEY11" s="120"/>
      <c r="WEZ11" s="120"/>
      <c r="WFA11" s="120"/>
      <c r="WFB11" s="120"/>
      <c r="WFC11" s="120"/>
      <c r="WFD11" s="120"/>
      <c r="WFE11" s="120"/>
      <c r="WFF11" s="120"/>
      <c r="WFG11" s="120"/>
      <c r="WFH11" s="120"/>
      <c r="WFI11" s="120"/>
      <c r="WFJ11" s="120"/>
      <c r="WFK11" s="120"/>
      <c r="WFL11" s="120"/>
      <c r="WFM11" s="120"/>
      <c r="WFN11" s="120"/>
      <c r="WFO11" s="120"/>
      <c r="WFP11" s="120"/>
      <c r="WFQ11" s="120"/>
      <c r="WFR11" s="120"/>
      <c r="WFS11" s="120"/>
      <c r="WFT11" s="120"/>
      <c r="WFU11" s="120"/>
      <c r="WFV11" s="120"/>
      <c r="WFW11" s="120"/>
      <c r="WFX11" s="120"/>
      <c r="WFY11" s="120"/>
      <c r="WFZ11" s="120"/>
      <c r="WGA11" s="120"/>
      <c r="WGB11" s="120"/>
      <c r="WGC11" s="120"/>
      <c r="WGD11" s="120"/>
      <c r="WGE11" s="120"/>
      <c r="WGF11" s="120"/>
      <c r="WGG11" s="120"/>
      <c r="WGH11" s="120"/>
      <c r="WGI11" s="120"/>
      <c r="WGJ11" s="120"/>
      <c r="WGK11" s="120"/>
      <c r="WGL11" s="120"/>
      <c r="WGM11" s="120"/>
      <c r="WGN11" s="120"/>
      <c r="WGO11" s="120"/>
      <c r="WGP11" s="120"/>
      <c r="WGQ11" s="120"/>
      <c r="WGR11" s="120"/>
      <c r="WGS11" s="120"/>
      <c r="WGT11" s="120"/>
      <c r="WGU11" s="120"/>
      <c r="WGV11" s="120"/>
      <c r="WGW11" s="120"/>
      <c r="WGX11" s="120"/>
      <c r="WGY11" s="120"/>
      <c r="WGZ11" s="120"/>
      <c r="WHA11" s="120"/>
      <c r="WHB11" s="120"/>
      <c r="WHC11" s="120"/>
      <c r="WHD11" s="120"/>
      <c r="WHE11" s="120"/>
      <c r="WHF11" s="120"/>
      <c r="WHG11" s="120"/>
      <c r="WHH11" s="120"/>
      <c r="WHI11" s="120"/>
      <c r="WHJ11" s="120"/>
      <c r="WHK11" s="120"/>
      <c r="WHL11" s="120"/>
      <c r="WHM11" s="120"/>
      <c r="WHN11" s="120"/>
      <c r="WHO11" s="120"/>
      <c r="WHP11" s="120"/>
      <c r="WHQ11" s="120"/>
      <c r="WHR11" s="120"/>
      <c r="WHS11" s="120"/>
      <c r="WHT11" s="120"/>
      <c r="WHU11" s="120"/>
      <c r="WHV11" s="120"/>
      <c r="WHW11" s="120"/>
      <c r="WHX11" s="120"/>
      <c r="WHY11" s="120"/>
      <c r="WHZ11" s="120"/>
      <c r="WIA11" s="120"/>
      <c r="WIB11" s="120"/>
      <c r="WIC11" s="120"/>
      <c r="WID11" s="120"/>
      <c r="WIE11" s="120"/>
      <c r="WIF11" s="120"/>
      <c r="WIG11" s="120"/>
      <c r="WIH11" s="120"/>
      <c r="WII11" s="120"/>
      <c r="WIJ11" s="120"/>
      <c r="WIK11" s="120"/>
      <c r="WIL11" s="120"/>
      <c r="WIM11" s="120"/>
      <c r="WIN11" s="120"/>
      <c r="WIO11" s="120"/>
      <c r="WIP11" s="120"/>
      <c r="WIQ11" s="120"/>
      <c r="WIR11" s="120"/>
      <c r="WIS11" s="120"/>
      <c r="WIT11" s="120"/>
      <c r="WIU11" s="120"/>
      <c r="WIV11" s="120"/>
      <c r="WIW11" s="120"/>
      <c r="WIX11" s="120"/>
      <c r="WIY11" s="120"/>
      <c r="WIZ11" s="120"/>
      <c r="WJA11" s="120"/>
      <c r="WJB11" s="120"/>
      <c r="WJC11" s="120"/>
      <c r="WJD11" s="120"/>
      <c r="WJE11" s="120"/>
      <c r="WJF11" s="120"/>
      <c r="WJG11" s="120"/>
      <c r="WJH11" s="120"/>
      <c r="WJI11" s="120"/>
      <c r="WJJ11" s="120"/>
      <c r="WJK11" s="120"/>
      <c r="WJL11" s="120"/>
      <c r="WJM11" s="120"/>
      <c r="WJN11" s="120"/>
      <c r="WJO11" s="120"/>
      <c r="WJP11" s="120"/>
      <c r="WJQ11" s="120"/>
      <c r="WJR11" s="120"/>
      <c r="WJS11" s="120"/>
      <c r="WJT11" s="120"/>
      <c r="WJU11" s="120"/>
      <c r="WJV11" s="120"/>
      <c r="WJW11" s="120"/>
      <c r="WJX11" s="120"/>
      <c r="WJY11" s="120"/>
      <c r="WJZ11" s="120"/>
      <c r="WKA11" s="120"/>
      <c r="WKB11" s="120"/>
      <c r="WKC11" s="120"/>
      <c r="WKD11" s="120"/>
      <c r="WKE11" s="120"/>
      <c r="WKF11" s="120"/>
      <c r="WKG11" s="120"/>
      <c r="WKH11" s="120"/>
      <c r="WKI11" s="120"/>
      <c r="WKJ11" s="120"/>
      <c r="WKK11" s="120"/>
      <c r="WKL11" s="120"/>
      <c r="WKM11" s="120"/>
      <c r="WKN11" s="120"/>
      <c r="WKO11" s="120"/>
      <c r="WKP11" s="120"/>
      <c r="WKQ11" s="120"/>
      <c r="WKR11" s="120"/>
      <c r="WKS11" s="120"/>
      <c r="WKT11" s="120"/>
      <c r="WKU11" s="120"/>
      <c r="WKV11" s="120"/>
      <c r="WKW11" s="120"/>
      <c r="WKX11" s="120"/>
      <c r="WKY11" s="120"/>
      <c r="WKZ11" s="120"/>
      <c r="WLA11" s="120"/>
      <c r="WLB11" s="120"/>
      <c r="WLC11" s="120"/>
      <c r="WLD11" s="120"/>
      <c r="WLE11" s="120"/>
      <c r="WLF11" s="120"/>
      <c r="WLG11" s="120"/>
      <c r="WLH11" s="120"/>
      <c r="WLI11" s="120"/>
      <c r="WLJ11" s="120"/>
      <c r="WLK11" s="120"/>
      <c r="WLL11" s="120"/>
      <c r="WLM11" s="120"/>
      <c r="WLN11" s="120"/>
      <c r="WLO11" s="120"/>
      <c r="WLP11" s="120"/>
      <c r="WLQ11" s="120"/>
      <c r="WLR11" s="120"/>
      <c r="WLS11" s="120"/>
      <c r="WLT11" s="120"/>
      <c r="WLU11" s="120"/>
      <c r="WLV11" s="120"/>
      <c r="WLW11" s="120"/>
      <c r="WLX11" s="120"/>
      <c r="WLY11" s="120"/>
      <c r="WLZ11" s="120"/>
      <c r="WMA11" s="120"/>
      <c r="WMB11" s="120"/>
      <c r="WMC11" s="120"/>
      <c r="WMD11" s="120"/>
      <c r="WME11" s="120"/>
      <c r="WMF11" s="120"/>
      <c r="WMG11" s="120"/>
      <c r="WMH11" s="120"/>
      <c r="WMI11" s="120"/>
      <c r="WMJ11" s="120"/>
      <c r="WMK11" s="120"/>
      <c r="WML11" s="120"/>
      <c r="WMM11" s="120"/>
      <c r="WMN11" s="120"/>
      <c r="WMO11" s="120"/>
      <c r="WMP11" s="120"/>
      <c r="WMQ11" s="120"/>
      <c r="WMR11" s="120"/>
      <c r="WMS11" s="120"/>
      <c r="WMT11" s="120"/>
      <c r="WMU11" s="120"/>
      <c r="WMV11" s="120"/>
      <c r="WMW11" s="120"/>
      <c r="WMX11" s="120"/>
      <c r="WMY11" s="120"/>
      <c r="WMZ11" s="120"/>
      <c r="WNA11" s="120"/>
      <c r="WNB11" s="120"/>
      <c r="WNC11" s="120"/>
      <c r="WND11" s="120"/>
      <c r="WNE11" s="120"/>
      <c r="WNF11" s="120"/>
      <c r="WNG11" s="120"/>
      <c r="WNH11" s="120"/>
      <c r="WNI11" s="120"/>
      <c r="WNJ11" s="120"/>
      <c r="WNK11" s="120"/>
      <c r="WNL11" s="120"/>
      <c r="WNM11" s="120"/>
      <c r="WNN11" s="120"/>
      <c r="WNO11" s="120"/>
      <c r="WNP11" s="120"/>
      <c r="WNQ11" s="120"/>
      <c r="WNR11" s="120"/>
      <c r="WNS11" s="120"/>
      <c r="WNT11" s="120"/>
      <c r="WNU11" s="120"/>
      <c r="WNV11" s="120"/>
      <c r="WNW11" s="120"/>
      <c r="WNX11" s="120"/>
      <c r="WNY11" s="120"/>
      <c r="WNZ11" s="120"/>
      <c r="WOA11" s="120"/>
      <c r="WOB11" s="120"/>
      <c r="WOC11" s="120"/>
      <c r="WOD11" s="120"/>
      <c r="WOE11" s="120"/>
      <c r="WOF11" s="120"/>
      <c r="WOG11" s="120"/>
      <c r="WOH11" s="120"/>
      <c r="WOI11" s="120"/>
      <c r="WOJ11" s="120"/>
      <c r="WOK11" s="120"/>
      <c r="WOL11" s="120"/>
      <c r="WOM11" s="120"/>
      <c r="WON11" s="120"/>
      <c r="WOO11" s="120"/>
      <c r="WOP11" s="120"/>
      <c r="WOQ11" s="120"/>
      <c r="WOR11" s="120"/>
      <c r="WOS11" s="120"/>
      <c r="WOT11" s="120"/>
      <c r="WOU11" s="120"/>
      <c r="WOV11" s="120"/>
      <c r="WOW11" s="120"/>
      <c r="WOX11" s="120"/>
      <c r="WOY11" s="120"/>
      <c r="WOZ11" s="120"/>
      <c r="WPA11" s="120"/>
      <c r="WPB11" s="120"/>
      <c r="WPC11" s="120"/>
      <c r="WPD11" s="120"/>
      <c r="WPE11" s="120"/>
      <c r="WPF11" s="120"/>
      <c r="WPG11" s="120"/>
      <c r="WPH11" s="120"/>
      <c r="WPI11" s="120"/>
      <c r="WPJ11" s="120"/>
      <c r="WPK11" s="120"/>
      <c r="WPL11" s="120"/>
      <c r="WPM11" s="120"/>
      <c r="WPN11" s="120"/>
      <c r="WPO11" s="120"/>
      <c r="WPP11" s="120"/>
      <c r="WPQ11" s="120"/>
      <c r="WPR11" s="120"/>
      <c r="WPS11" s="120"/>
      <c r="WPT11" s="120"/>
      <c r="WPU11" s="120"/>
      <c r="WPV11" s="120"/>
      <c r="WPW11" s="120"/>
      <c r="WPX11" s="120"/>
      <c r="WPY11" s="120"/>
      <c r="WPZ11" s="120"/>
      <c r="WQA11" s="120"/>
      <c r="WQB11" s="120"/>
      <c r="WQC11" s="120"/>
      <c r="WQD11" s="120"/>
      <c r="WQE11" s="120"/>
      <c r="WQF11" s="120"/>
      <c r="WQG11" s="120"/>
      <c r="WQH11" s="120"/>
      <c r="WQI11" s="120"/>
      <c r="WQJ11" s="120"/>
      <c r="WQK11" s="120"/>
      <c r="WQL11" s="120"/>
      <c r="WQM11" s="120"/>
      <c r="WQN11" s="120"/>
      <c r="WQO11" s="120"/>
      <c r="WQP11" s="120"/>
      <c r="WQQ11" s="120"/>
      <c r="WQR11" s="120"/>
      <c r="WQS11" s="120"/>
      <c r="WQT11" s="120"/>
      <c r="WQU11" s="120"/>
      <c r="WQV11" s="120"/>
      <c r="WQW11" s="120"/>
      <c r="WQX11" s="120"/>
      <c r="WQY11" s="120"/>
      <c r="WQZ11" s="120"/>
      <c r="WRA11" s="120"/>
      <c r="WRB11" s="120"/>
      <c r="WRC11" s="120"/>
      <c r="WRD11" s="120"/>
      <c r="WRE11" s="120"/>
      <c r="WRF11" s="120"/>
      <c r="WRG11" s="120"/>
      <c r="WRH11" s="120"/>
      <c r="WRI11" s="120"/>
      <c r="WRJ11" s="120"/>
      <c r="WRK11" s="120"/>
      <c r="WRL11" s="120"/>
      <c r="WRM11" s="120"/>
      <c r="WRN11" s="120"/>
      <c r="WRO11" s="120"/>
      <c r="WRP11" s="120"/>
      <c r="WRQ11" s="120"/>
      <c r="WRR11" s="120"/>
      <c r="WRS11" s="120"/>
      <c r="WRT11" s="120"/>
      <c r="WRU11" s="120"/>
      <c r="WRV11" s="120"/>
      <c r="WRW11" s="120"/>
      <c r="WRX11" s="120"/>
      <c r="WRY11" s="120"/>
      <c r="WRZ11" s="120"/>
      <c r="WSA11" s="120"/>
      <c r="WSB11" s="120"/>
      <c r="WSC11" s="120"/>
      <c r="WSD11" s="120"/>
      <c r="WSE11" s="120"/>
      <c r="WSF11" s="120"/>
      <c r="WSG11" s="120"/>
      <c r="WSH11" s="120"/>
      <c r="WSI11" s="120"/>
      <c r="WSJ11" s="120"/>
      <c r="WSK11" s="120"/>
      <c r="WSL11" s="120"/>
      <c r="WSM11" s="120"/>
      <c r="WSN11" s="120"/>
      <c r="WSO11" s="120"/>
      <c r="WSP11" s="120"/>
      <c r="WSQ11" s="120"/>
      <c r="WSR11" s="120"/>
      <c r="WSS11" s="120"/>
      <c r="WST11" s="120"/>
      <c r="WSU11" s="120"/>
      <c r="WSV11" s="120"/>
      <c r="WSW11" s="120"/>
      <c r="WSX11" s="120"/>
      <c r="WSY11" s="120"/>
      <c r="WSZ11" s="120"/>
      <c r="WTA11" s="120"/>
      <c r="WTB11" s="120"/>
      <c r="WTC11" s="120"/>
      <c r="WTD11" s="120"/>
      <c r="WTE11" s="120"/>
      <c r="WTF11" s="120"/>
      <c r="WTG11" s="120"/>
      <c r="WTH11" s="120"/>
      <c r="WTI11" s="120"/>
      <c r="WTJ11" s="120"/>
      <c r="WTK11" s="120"/>
      <c r="WTL11" s="120"/>
      <c r="WTM11" s="120"/>
      <c r="WTN11" s="120"/>
      <c r="WTO11" s="120"/>
      <c r="WTP11" s="120"/>
      <c r="WTQ11" s="120"/>
      <c r="WTR11" s="120"/>
      <c r="WTS11" s="120"/>
      <c r="WTT11" s="120"/>
      <c r="WTU11" s="120"/>
      <c r="WTV11" s="120"/>
      <c r="WTW11" s="120"/>
      <c r="WTX11" s="120"/>
      <c r="WTY11" s="120"/>
      <c r="WTZ11" s="120"/>
      <c r="WUA11" s="120"/>
      <c r="WUB11" s="120"/>
      <c r="WUC11" s="120"/>
      <c r="WUD11" s="120"/>
      <c r="WUE11" s="120"/>
      <c r="WUF11" s="120"/>
      <c r="WUG11" s="120"/>
      <c r="WUH11" s="120"/>
      <c r="WUI11" s="120"/>
      <c r="WUJ11" s="120"/>
      <c r="WUK11" s="120"/>
      <c r="WUL11" s="120"/>
      <c r="WUM11" s="120"/>
      <c r="WUN11" s="120"/>
      <c r="WUO11" s="120"/>
      <c r="WUP11" s="120"/>
      <c r="WUQ11" s="120"/>
      <c r="WUR11" s="120"/>
      <c r="WUS11" s="120"/>
      <c r="WUT11" s="120"/>
      <c r="WUU11" s="120"/>
      <c r="WUV11" s="120"/>
      <c r="WUW11" s="120"/>
      <c r="WUX11" s="120"/>
      <c r="WUY11" s="120"/>
      <c r="WUZ11" s="120"/>
      <c r="WVA11" s="120"/>
      <c r="WVB11" s="120"/>
      <c r="WVC11" s="120"/>
      <c r="WVD11" s="120"/>
      <c r="WVE11" s="120"/>
      <c r="WVF11" s="120"/>
      <c r="WVG11" s="120"/>
      <c r="WVH11" s="120"/>
      <c r="WVI11" s="120"/>
      <c r="WVJ11" s="120"/>
      <c r="WVK11" s="120"/>
      <c r="WVL11" s="120"/>
      <c r="WVM11" s="120"/>
      <c r="WVN11" s="120"/>
      <c r="WVO11" s="120"/>
      <c r="WVP11" s="120"/>
      <c r="WVQ11" s="120"/>
      <c r="WVR11" s="120"/>
      <c r="WVS11" s="120"/>
      <c r="WVT11" s="120"/>
      <c r="WVU11" s="120"/>
      <c r="WVV11" s="120"/>
      <c r="WVW11" s="120"/>
      <c r="WVX11" s="120"/>
      <c r="WVY11" s="120"/>
      <c r="WVZ11" s="120"/>
      <c r="WWA11" s="120"/>
      <c r="WWB11" s="120"/>
      <c r="WWC11" s="120"/>
      <c r="WWD11" s="120"/>
      <c r="WWE11" s="120"/>
      <c r="WWF11" s="120"/>
      <c r="WWG11" s="120"/>
      <c r="WWH11" s="120"/>
      <c r="WWI11" s="120"/>
      <c r="WWJ11" s="120"/>
      <c r="WWK11" s="120"/>
      <c r="WWL11" s="120"/>
      <c r="WWM11" s="120"/>
      <c r="WWN11" s="120"/>
      <c r="WWO11" s="120"/>
      <c r="WWP11" s="120"/>
      <c r="WWQ11" s="120"/>
      <c r="WWR11" s="120"/>
      <c r="WWS11" s="120"/>
      <c r="WWT11" s="120"/>
      <c r="WWU11" s="120"/>
      <c r="WWV11" s="120"/>
      <c r="WWW11" s="120"/>
      <c r="WWX11" s="120"/>
      <c r="WWY11" s="120"/>
      <c r="WWZ11" s="120"/>
      <c r="WXA11" s="120"/>
      <c r="WXB11" s="120"/>
      <c r="WXC11" s="120"/>
      <c r="WXD11" s="120"/>
      <c r="WXE11" s="120"/>
      <c r="WXF11" s="120"/>
      <c r="WXG11" s="120"/>
      <c r="WXH11" s="120"/>
      <c r="WXI11" s="120"/>
      <c r="WXJ11" s="120"/>
      <c r="WXK11" s="120"/>
      <c r="WXL11" s="120"/>
      <c r="WXM11" s="120"/>
      <c r="WXN11" s="120"/>
      <c r="WXO11" s="120"/>
      <c r="WXP11" s="120"/>
      <c r="WXQ11" s="120"/>
      <c r="WXR11" s="120"/>
      <c r="WXS11" s="120"/>
      <c r="WXT11" s="120"/>
      <c r="WXU11" s="120"/>
      <c r="WXV11" s="120"/>
      <c r="WXW11" s="120"/>
      <c r="WXX11" s="120"/>
      <c r="WXY11" s="120"/>
      <c r="WXZ11" s="120"/>
      <c r="WYA11" s="120"/>
      <c r="WYB11" s="120"/>
      <c r="WYC11" s="120"/>
      <c r="WYD11" s="120"/>
      <c r="WYE11" s="120"/>
      <c r="WYF11" s="120"/>
      <c r="WYG11" s="120"/>
      <c r="WYH11" s="120"/>
      <c r="WYI11" s="120"/>
      <c r="WYJ11" s="120"/>
      <c r="WYK11" s="120"/>
      <c r="WYL11" s="120"/>
      <c r="WYM11" s="120"/>
      <c r="WYN11" s="120"/>
      <c r="WYO11" s="120"/>
      <c r="WYP11" s="120"/>
      <c r="WYQ11" s="120"/>
      <c r="WYR11" s="120"/>
      <c r="WYS11" s="120"/>
      <c r="WYT11" s="120"/>
      <c r="WYU11" s="120"/>
      <c r="WYV11" s="120"/>
      <c r="WYW11" s="120"/>
      <c r="WYX11" s="120"/>
      <c r="WYY11" s="120"/>
      <c r="WYZ11" s="120"/>
      <c r="WZA11" s="120"/>
      <c r="WZB11" s="120"/>
      <c r="WZC11" s="120"/>
      <c r="WZD11" s="120"/>
      <c r="WZE11" s="120"/>
      <c r="WZF11" s="120"/>
      <c r="WZG11" s="120"/>
      <c r="WZH11" s="120"/>
      <c r="WZI11" s="120"/>
      <c r="WZJ11" s="120"/>
      <c r="WZK11" s="120"/>
      <c r="WZL11" s="120"/>
      <c r="WZM11" s="120"/>
      <c r="WZN11" s="120"/>
      <c r="WZO11" s="120"/>
      <c r="WZP11" s="120"/>
      <c r="WZQ11" s="120"/>
      <c r="WZR11" s="120"/>
      <c r="WZS11" s="120"/>
      <c r="WZT11" s="120"/>
      <c r="WZU11" s="120"/>
      <c r="WZV11" s="120"/>
      <c r="WZW11" s="120"/>
      <c r="WZX11" s="120"/>
      <c r="WZY11" s="120"/>
      <c r="WZZ11" s="120"/>
      <c r="XAA11" s="120"/>
      <c r="XAB11" s="120"/>
      <c r="XAC11" s="120"/>
      <c r="XAD11" s="120"/>
      <c r="XAE11" s="120"/>
      <c r="XAF11" s="120"/>
      <c r="XAG11" s="120"/>
      <c r="XAH11" s="120"/>
      <c r="XAI11" s="120"/>
      <c r="XAJ11" s="120"/>
      <c r="XAK11" s="120"/>
      <c r="XAL11" s="120"/>
      <c r="XAM11" s="120"/>
      <c r="XAN11" s="120"/>
      <c r="XAO11" s="120"/>
      <c r="XAP11" s="120"/>
      <c r="XAQ11" s="120"/>
      <c r="XAR11" s="120"/>
      <c r="XAS11" s="120"/>
      <c r="XAT11" s="120"/>
      <c r="XAU11" s="120"/>
      <c r="XAV11" s="120"/>
      <c r="XAW11" s="120"/>
      <c r="XAX11" s="120"/>
      <c r="XAY11" s="120"/>
      <c r="XAZ11" s="120"/>
      <c r="XBA11" s="120"/>
      <c r="XBB11" s="120"/>
      <c r="XBC11" s="120"/>
      <c r="XBD11" s="120"/>
      <c r="XBE11" s="120"/>
      <c r="XBF11" s="120"/>
      <c r="XBG11" s="120"/>
      <c r="XBH11" s="120"/>
      <c r="XBI11" s="120"/>
      <c r="XBJ11" s="120"/>
      <c r="XBK11" s="120"/>
      <c r="XBL11" s="120"/>
      <c r="XBM11" s="120"/>
      <c r="XBN11" s="120"/>
      <c r="XBO11" s="120"/>
      <c r="XBP11" s="120"/>
      <c r="XBQ11" s="120"/>
      <c r="XBR11" s="120"/>
      <c r="XBS11" s="120"/>
      <c r="XBT11" s="120"/>
      <c r="XBU11" s="120"/>
      <c r="XBV11" s="120"/>
      <c r="XBW11" s="120"/>
      <c r="XBX11" s="120"/>
      <c r="XBY11" s="120"/>
      <c r="XBZ11" s="120"/>
      <c r="XCA11" s="120"/>
      <c r="XCB11" s="120"/>
      <c r="XCC11" s="120"/>
      <c r="XCD11" s="120"/>
      <c r="XCE11" s="120"/>
      <c r="XCF11" s="120"/>
      <c r="XCG11" s="120"/>
      <c r="XCH11" s="120"/>
      <c r="XCI11" s="120"/>
      <c r="XCJ11" s="120"/>
      <c r="XCK11" s="120"/>
      <c r="XCL11" s="120"/>
      <c r="XCM11" s="120"/>
      <c r="XCN11" s="120"/>
      <c r="XCO11" s="120"/>
      <c r="XCP11" s="120"/>
      <c r="XCQ11" s="120"/>
      <c r="XCR11" s="120"/>
      <c r="XCS11" s="120"/>
      <c r="XCT11" s="120"/>
      <c r="XCU11" s="120"/>
      <c r="XCV11" s="120"/>
      <c r="XCW11" s="120"/>
      <c r="XCX11" s="120"/>
      <c r="XCY11" s="120"/>
      <c r="XCZ11" s="120"/>
      <c r="XDA11" s="120"/>
      <c r="XDB11" s="120"/>
      <c r="XDC11" s="120"/>
      <c r="XDD11" s="120"/>
      <c r="XDE11" s="120"/>
      <c r="XDF11" s="120"/>
      <c r="XDG11" s="120"/>
      <c r="XDH11" s="120"/>
      <c r="XDI11" s="120"/>
      <c r="XDJ11" s="120"/>
      <c r="XDK11" s="120"/>
      <c r="XDL11" s="120"/>
      <c r="XDM11" s="120"/>
      <c r="XDN11" s="120"/>
      <c r="XDO11" s="120"/>
      <c r="XDP11" s="120"/>
      <c r="XDQ11" s="120"/>
      <c r="XDR11" s="120"/>
      <c r="XDS11" s="120"/>
      <c r="XDT11" s="120"/>
      <c r="XDU11" s="120"/>
      <c r="XDV11" s="120"/>
      <c r="XDW11" s="120"/>
      <c r="XDX11" s="120"/>
      <c r="XDY11" s="120"/>
      <c r="XDZ11" s="120"/>
      <c r="XEA11" s="120"/>
      <c r="XEB11" s="120"/>
      <c r="XEC11" s="120"/>
      <c r="XED11" s="120"/>
      <c r="XEE11" s="120"/>
      <c r="XEF11" s="120"/>
      <c r="XEG11" s="120"/>
      <c r="XEH11" s="120"/>
      <c r="XEI11" s="120"/>
      <c r="XEJ11" s="120"/>
      <c r="XEK11" s="120"/>
      <c r="XEL11" s="120"/>
      <c r="XEM11" s="120"/>
      <c r="XEN11" s="120"/>
      <c r="XEO11" s="120"/>
      <c r="XEP11" s="120"/>
      <c r="XEQ11" s="120"/>
      <c r="XER11" s="120"/>
      <c r="XES11" s="120"/>
      <c r="XET11" s="120"/>
      <c r="XEU11" s="120"/>
      <c r="XEV11" s="120"/>
      <c r="XEW11" s="120"/>
      <c r="XEX11" s="120"/>
      <c r="XEY11" s="120"/>
      <c r="XEZ11" s="120"/>
      <c r="XFA11" s="120"/>
      <c r="XFB11" s="120"/>
      <c r="XFC11" s="120"/>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866</v>
      </c>
      <c r="C13" s="3"/>
      <c r="D13" s="3" t="s">
        <v>180</v>
      </c>
      <c r="E13" s="139">
        <f>'3. Input (des)investeringen '!F186</f>
        <v>9.0830073880921361E-2</v>
      </c>
      <c r="F13" s="139">
        <f>'3. Input (des)investeringen '!G186</f>
        <v>3.6254980079681365E-2</v>
      </c>
      <c r="G13" s="139">
        <f>'3. Input (des)investeringen '!H186</f>
        <v>3.5371011149557818E-2</v>
      </c>
      <c r="H13" s="139">
        <f>'3. Input (des)investeringen '!I186</f>
        <v>6.3126624582250282E-2</v>
      </c>
      <c r="I13" s="139">
        <f>'3. Input (des)investeringen '!J186</f>
        <v>9.1163115612993242E-2</v>
      </c>
      <c r="J13" s="139">
        <f>'3. Input (des)investeringen '!K186</f>
        <v>9.6350832266325306E-2</v>
      </c>
      <c r="K13" s="139">
        <f>'3. Input (des)investeringen '!L186</f>
        <v>0</v>
      </c>
      <c r="L13" s="139">
        <f>'3. Input (des)investeringen '!M186</f>
        <v>0</v>
      </c>
      <c r="M13" s="139">
        <f>'3. Input (des)investeringen '!N186</f>
        <v>0.04</v>
      </c>
      <c r="N13" s="139">
        <f>'3. Input (des)investeringen '!O186</f>
        <v>1.909039865244248E-2</v>
      </c>
      <c r="O13" s="139">
        <f>'3. Input (des)investeringen '!P186</f>
        <v>1.9008264462809853E-2</v>
      </c>
      <c r="P13" s="139">
        <f>'3. Input (des)investeringen '!Q186</f>
        <v>6.4882400648824015E-2</v>
      </c>
      <c r="Q13" s="139">
        <f>'3. Input (des)investeringen '!R186</f>
        <v>1.7263264788017294E-2</v>
      </c>
      <c r="R13" s="139">
        <f>'3. Input (des)investeringen '!S186</f>
        <v>8.4851509857749793E-3</v>
      </c>
      <c r="S13" s="139">
        <f>'3. Input (des)investeringen '!T186</f>
        <v>2.5488740410789294E-2</v>
      </c>
      <c r="T13" s="139">
        <f>'3. Input (des)investeringen '!U186</f>
        <v>1.6650579150579235E-2</v>
      </c>
      <c r="U13" s="139">
        <f>'3. Input (des)investeringen '!V186</f>
        <v>1.92262046047946E-2</v>
      </c>
      <c r="V13" s="139">
        <f>'3. Input (des)investeringen '!W186</f>
        <v>3.8192827200745308E-2</v>
      </c>
      <c r="W13" s="139">
        <f>'3. Input (des)investeringen '!X186</f>
        <v>1.9E-2</v>
      </c>
      <c r="X13" s="139">
        <f>'3. Input (des)investeringen '!Y186</f>
        <v>8.4000000000000005E-2</v>
      </c>
      <c r="Y13" s="139">
        <f>'3. Input (des)investeringen '!Z186</f>
        <v>4.2999999999999997E-2</v>
      </c>
      <c r="Z13" s="139">
        <f>'3. Input (des)investeringen '!AA186</f>
        <v>5.7999999999999996E-2</v>
      </c>
      <c r="AA13" s="139">
        <f>'3. Input (des)investeringen '!AB186</f>
        <v>3.9E-2</v>
      </c>
      <c r="AB13" s="139">
        <f>'3. Input (des)investeringen '!AC186</f>
        <v>3.3000000000000002E-2</v>
      </c>
      <c r="AC13" s="139">
        <f>'3. Input (des)investeringen '!AD186</f>
        <v>6.9000000000000006E-2</v>
      </c>
      <c r="AD13" s="139">
        <f>'3. Input (des)investeringen '!AE186</f>
        <v>5.4000000000000006E-2</v>
      </c>
      <c r="AE13" s="139">
        <f>'3. Input (des)investeringen '!AF186</f>
        <v>7.5999999999999998E-2</v>
      </c>
      <c r="AF13" s="139">
        <f>'3. Input (des)investeringen '!AG186</f>
        <v>7.400000000000001E-2</v>
      </c>
      <c r="AG13" s="139">
        <f>'3. Input (des)investeringen '!AH186</f>
        <v>8.1000000000000003E-2</v>
      </c>
      <c r="AH13" s="139">
        <f>'3. Input (des)investeringen '!AI186</f>
        <v>9.8000000000000004E-2</v>
      </c>
      <c r="AI13" s="139">
        <f>'3. Input (des)investeringen '!AJ186</f>
        <v>0.107</v>
      </c>
      <c r="AJ13" s="139">
        <f>'3. Input (des)investeringen '!AK186</f>
        <v>8.3000000000000004E-2</v>
      </c>
      <c r="AK13" s="139">
        <f>'3. Input (des)investeringen '!AL186</f>
        <v>6.8000000000000005E-2</v>
      </c>
      <c r="AL13" s="139">
        <f>'3. Input (des)investeringen '!AM186</f>
        <v>4.2000000000000003E-2</v>
      </c>
      <c r="AM13" s="139">
        <f>'3. Input (des)investeringen '!AN186</f>
        <v>3.7999999999999999E-2</v>
      </c>
      <c r="AN13" s="139">
        <f>'3. Input (des)investeringen '!AO186</f>
        <v>7.0999999999999994E-2</v>
      </c>
      <c r="AO13" s="139">
        <f>'3. Input (des)investeringen '!AP186</f>
        <v>6.4000000000000001E-2</v>
      </c>
      <c r="AP13" s="139">
        <f>'3. Input (des)investeringen '!AQ186</f>
        <v>5.9000000000000004E-2</v>
      </c>
      <c r="AQ13" s="139">
        <f>'3. Input (des)investeringen '!AR186</f>
        <v>2.6000000000000002E-2</v>
      </c>
      <c r="AR13" s="139">
        <f>'3. Input (des)investeringen '!AS186</f>
        <v>2.7999999999999997E-2</v>
      </c>
      <c r="AS13" s="139">
        <f>'3. Input (des)investeringen '!AT186</f>
        <v>2.3E-2</v>
      </c>
      <c r="AT13" s="139">
        <f>'3. Input (des)investeringen '!AU186</f>
        <v>-5.0000000000000001E-3</v>
      </c>
      <c r="AU13" s="139">
        <f>'3. Input (des)investeringen '!AV186</f>
        <v>2E-3</v>
      </c>
      <c r="AV13" s="139">
        <f>'3. Input (des)investeringen '!AW186</f>
        <v>9.0000000000000011E-3</v>
      </c>
      <c r="AW13" s="139">
        <f>'3. Input (des)investeringen '!AX186</f>
        <v>1.1000000000000001E-2</v>
      </c>
      <c r="AX13" s="139">
        <f>'3. Input (des)investeringen '!AY186</f>
        <v>2.4E-2</v>
      </c>
      <c r="AY13" s="139">
        <f>'3. Input (des)investeringen '!AZ186</f>
        <v>4.5999999999999999E-2</v>
      </c>
      <c r="AZ13" s="139">
        <f>'3. Input (des)investeringen '!BA186</f>
        <v>3.5000000000000003E-2</v>
      </c>
      <c r="BA13" s="139">
        <f>'3. Input (des)investeringen '!BB186</f>
        <v>0.02</v>
      </c>
      <c r="BB13" s="139">
        <f>'3. Input (des)investeringen '!BC186</f>
        <v>2.6000000000000002E-2</v>
      </c>
      <c r="BC13" s="139">
        <f>'3. Input (des)investeringen '!BD186</f>
        <v>1.4999999999999999E-2</v>
      </c>
      <c r="BD13" s="139">
        <f>'3. Input (des)investeringen '!BE186</f>
        <v>1.9E-2</v>
      </c>
      <c r="BE13" s="139">
        <f>'3. Input (des)investeringen '!BF186</f>
        <v>2.6000000000000002E-2</v>
      </c>
      <c r="BF13" s="139">
        <f>'3. Input (des)investeringen '!BG186</f>
        <v>1.7000000000000001E-2</v>
      </c>
      <c r="BG13" s="139">
        <f>'3. Input (des)investeringen '!BH186</f>
        <v>2.6000000000000002E-2</v>
      </c>
      <c r="BH13" s="139">
        <f>'3. Input (des)investeringen '!BI186</f>
        <v>2.5000000000000001E-2</v>
      </c>
      <c r="BI13" s="139">
        <f>'3. Input (des)investeringen '!BJ186</f>
        <v>4.7E-2</v>
      </c>
      <c r="BJ13" s="139">
        <f>'3. Input (des)investeringen '!BK186</f>
        <v>3.3000000000000002E-2</v>
      </c>
      <c r="BK13" s="139">
        <f>'3. Input (des)investeringen '!BL186</f>
        <v>2.1000000000000001E-2</v>
      </c>
      <c r="BL13" s="139">
        <f>'3. Input (des)investeringen '!BM186</f>
        <v>1.1000000000000001E-2</v>
      </c>
      <c r="BM13" s="139">
        <f>'3. Input (des)investeringen '!BN186</f>
        <v>1.7999999999999999E-2</v>
      </c>
      <c r="BN13" s="139">
        <f>'3. Input (des)investeringen '!BO186</f>
        <v>1.4E-2</v>
      </c>
      <c r="BO13" s="139">
        <f>'3. Input (des)investeringen '!BP186</f>
        <v>1.0999999999999999E-2</v>
      </c>
      <c r="BP13" s="139">
        <f>'3. Input (des)investeringen '!BQ186</f>
        <v>3.2000000000000001E-2</v>
      </c>
      <c r="BQ13" s="139">
        <f>'3. Input (des)investeringen '!BR186</f>
        <v>3.0000000000000001E-3</v>
      </c>
      <c r="BR13" s="139">
        <f>'3. Input (des)investeringen '!BS186</f>
        <v>1.4999999999999999E-2</v>
      </c>
      <c r="BS13" s="139">
        <f>'3. Input (des)investeringen '!BT186</f>
        <v>2.5999999999999999E-2</v>
      </c>
      <c r="BT13" s="139">
        <f>'3. Input (des)investeringen '!BU186</f>
        <v>2.3E-2</v>
      </c>
      <c r="BU13" s="139">
        <f>'3. Input (des)investeringen '!BV186</f>
        <v>2.8000000000000001E-2</v>
      </c>
      <c r="BV13" s="139">
        <f>'3. Input (des)investeringen '!BW186</f>
        <v>0.01</v>
      </c>
      <c r="BW13" s="139">
        <f>'3. Input (des)investeringen '!BX186</f>
        <v>8.0000000000000002E-3</v>
      </c>
      <c r="BX13" s="139">
        <f>'3. Input (des)investeringen '!BY186</f>
        <v>2E-3</v>
      </c>
      <c r="BY13" s="139">
        <f>'3. Input (des)investeringen '!BZ186</f>
        <v>1.4E-2</v>
      </c>
      <c r="BZ13" s="139">
        <f>'3. Input (des)investeringen '!CA186</f>
        <v>1.2E-2</v>
      </c>
      <c r="CA13" s="139">
        <f>'3. Input (des)investeringen '!CB186</f>
        <v>2.5999999999999999E-2</v>
      </c>
      <c r="CB13" s="139">
        <f>'3. Input (des)investeringen '!CC186</f>
        <v>1.6E-2</v>
      </c>
      <c r="CC13" s="139">
        <f>'3. Input (des)investeringen '!CD186</f>
        <v>1.7999999999999999E-2</v>
      </c>
      <c r="CD13" s="139">
        <f>'3. Input (des)investeringen '!CE186</f>
        <v>6.2E-2</v>
      </c>
      <c r="CE13" s="139">
        <f>'3. Input (des)investeringen '!CF186</f>
        <v>0.08</v>
      </c>
      <c r="CF13" s="139">
        <f>'3. Input (des)investeringen '!CG186</f>
        <v>1.7000000000000001E-2</v>
      </c>
      <c r="CG13" s="139">
        <f>'3. Input (des)investeringen '!CH186</f>
        <v>1.7000000000000001E-2</v>
      </c>
    </row>
    <row r="14" spans="1:16383" s="130" customFormat="1">
      <c r="A14" s="98"/>
      <c r="B14" s="98"/>
      <c r="C14" s="98"/>
      <c r="D14" s="98"/>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row>
    <row r="15" spans="1:16383" s="39" customFormat="1">
      <c r="A15" s="106"/>
      <c r="B15" s="39" t="s">
        <v>867</v>
      </c>
    </row>
    <row r="16" spans="1:16383" s="40" customFormat="1">
      <c r="A16" s="107"/>
      <c r="B16" s="40" t="s">
        <v>811</v>
      </c>
      <c r="D16" s="40" t="s">
        <v>255</v>
      </c>
      <c r="E16" s="40" t="s">
        <v>488</v>
      </c>
      <c r="F16" s="40" t="s">
        <v>489</v>
      </c>
      <c r="G16" s="40" t="s">
        <v>855</v>
      </c>
    </row>
    <row r="17" spans="2:7" s="3" customFormat="1"/>
    <row r="18" spans="2:7" s="3" customFormat="1">
      <c r="B18" s="43">
        <f>'11. Desinvesteringen'!B20</f>
        <v>1</v>
      </c>
      <c r="D18" s="43" t="str">
        <f>'11. Desinvesteringen'!C20</f>
        <v>01 Regionale leidingen</v>
      </c>
      <c r="E18" s="43">
        <f>'11. Desinvesteringen'!D20</f>
        <v>1955</v>
      </c>
      <c r="F18" s="48">
        <f>'11. Desinvesteringen'!E20</f>
        <v>7756.11</v>
      </c>
      <c r="G18" s="43">
        <f>'11. Desinvesteringen'!G20</f>
        <v>2020</v>
      </c>
    </row>
    <row r="19" spans="2:7" s="3" customFormat="1">
      <c r="B19" s="43">
        <f>'11. Desinvesteringen'!B21</f>
        <v>2</v>
      </c>
      <c r="D19" s="43" t="str">
        <f>'11. Desinvesteringen'!C21</f>
        <v>01 Regionale leidingen</v>
      </c>
      <c r="E19" s="43">
        <f>'11. Desinvesteringen'!D21</f>
        <v>1957</v>
      </c>
      <c r="F19" s="48">
        <f>'11. Desinvesteringen'!E21</f>
        <v>1329.11</v>
      </c>
      <c r="G19" s="43">
        <f>'11. Desinvesteringen'!G21</f>
        <v>2020</v>
      </c>
    </row>
    <row r="20" spans="2:7" s="3" customFormat="1">
      <c r="B20" s="43">
        <f>'11. Desinvesteringen'!B22</f>
        <v>3</v>
      </c>
      <c r="D20" s="43" t="str">
        <f>'11. Desinvesteringen'!C22</f>
        <v>01 Regionale leidingen</v>
      </c>
      <c r="E20" s="43">
        <f>'11. Desinvesteringen'!D22</f>
        <v>1958</v>
      </c>
      <c r="F20" s="48">
        <f>'11. Desinvesteringen'!E22</f>
        <v>110951.25</v>
      </c>
      <c r="G20" s="43">
        <f>'11. Desinvesteringen'!G22</f>
        <v>2020</v>
      </c>
    </row>
    <row r="21" spans="2:7" s="3" customFormat="1">
      <c r="B21" s="43">
        <f>'11. Desinvesteringen'!B23</f>
        <v>4</v>
      </c>
      <c r="D21" s="43" t="str">
        <f>'11. Desinvesteringen'!C23</f>
        <v>01 Regionale leidingen</v>
      </c>
      <c r="E21" s="43">
        <f>'11. Desinvesteringen'!D23</f>
        <v>1959</v>
      </c>
      <c r="F21" s="48">
        <f>'11. Desinvesteringen'!E23</f>
        <v>1485.2</v>
      </c>
      <c r="G21" s="43">
        <f>'11. Desinvesteringen'!G23</f>
        <v>2020</v>
      </c>
    </row>
    <row r="22" spans="2:7" s="3" customFormat="1">
      <c r="B22" s="43">
        <f>'11. Desinvesteringen'!B24</f>
        <v>5</v>
      </c>
      <c r="D22" s="43" t="str">
        <f>'11. Desinvesteringen'!C24</f>
        <v>01 Regionale leidingen</v>
      </c>
      <c r="E22" s="43">
        <f>'11. Desinvesteringen'!D24</f>
        <v>1960</v>
      </c>
      <c r="F22" s="48">
        <f>'11. Desinvesteringen'!E24</f>
        <v>472102</v>
      </c>
      <c r="G22" s="43">
        <f>'11. Desinvesteringen'!G24</f>
        <v>2020</v>
      </c>
    </row>
    <row r="23" spans="2:7" s="3" customFormat="1">
      <c r="B23" s="43">
        <f>'11. Desinvesteringen'!B25</f>
        <v>6</v>
      </c>
      <c r="D23" s="43" t="str">
        <f>'11. Desinvesteringen'!C25</f>
        <v>01 Regionale leidingen</v>
      </c>
      <c r="E23" s="43">
        <f>'11. Desinvesteringen'!D25</f>
        <v>1963</v>
      </c>
      <c r="F23" s="48">
        <f>'11. Desinvesteringen'!E25</f>
        <v>5199.87</v>
      </c>
      <c r="G23" s="43">
        <f>'11. Desinvesteringen'!G25</f>
        <v>2020</v>
      </c>
    </row>
    <row r="24" spans="2:7" s="3" customFormat="1">
      <c r="B24" s="43">
        <f>'11. Desinvesteringen'!B26</f>
        <v>7</v>
      </c>
      <c r="D24" s="43" t="str">
        <f>'11. Desinvesteringen'!C26</f>
        <v>01 Regionale leidingen</v>
      </c>
      <c r="E24" s="43">
        <f>'11. Desinvesteringen'!D26</f>
        <v>1965</v>
      </c>
      <c r="F24" s="48">
        <f>'11. Desinvesteringen'!E26</f>
        <v>323801.40000000002</v>
      </c>
      <c r="G24" s="43">
        <f>'11. Desinvesteringen'!G26</f>
        <v>2020</v>
      </c>
    </row>
    <row r="25" spans="2:7" s="3" customFormat="1">
      <c r="B25" s="43">
        <f>'11. Desinvesteringen'!B27</f>
        <v>8</v>
      </c>
      <c r="D25" s="43" t="str">
        <f>'11. Desinvesteringen'!C27</f>
        <v>01 Regionale leidingen</v>
      </c>
      <c r="E25" s="43">
        <f>'11. Desinvesteringen'!D27</f>
        <v>1966</v>
      </c>
      <c r="F25" s="48">
        <f>'11. Desinvesteringen'!E27</f>
        <v>436963.19</v>
      </c>
      <c r="G25" s="43">
        <f>'11. Desinvesteringen'!G27</f>
        <v>2020</v>
      </c>
    </row>
    <row r="26" spans="2:7" s="3" customFormat="1">
      <c r="B26" s="43">
        <f>'11. Desinvesteringen'!B28</f>
        <v>9</v>
      </c>
      <c r="D26" s="43" t="str">
        <f>'11. Desinvesteringen'!C28</f>
        <v>01 Regionale leidingen (Waterkruisingen)</v>
      </c>
      <c r="E26" s="43">
        <f>'11. Desinvesteringen'!D28</f>
        <v>1966</v>
      </c>
      <c r="F26" s="48">
        <f>'11. Desinvesteringen'!E28</f>
        <v>185.7</v>
      </c>
      <c r="G26" s="43">
        <f>'11. Desinvesteringen'!G28</f>
        <v>2020</v>
      </c>
    </row>
    <row r="27" spans="2:7" s="3" customFormat="1">
      <c r="B27" s="43">
        <f>'11. Desinvesteringen'!B29</f>
        <v>10</v>
      </c>
      <c r="D27" s="43" t="str">
        <f>'11. Desinvesteringen'!C29</f>
        <v>01 Regionale leidingen</v>
      </c>
      <c r="E27" s="43">
        <f>'11. Desinvesteringen'!D29</f>
        <v>1967</v>
      </c>
      <c r="F27" s="48">
        <f>'11. Desinvesteringen'!E29</f>
        <v>527887.29</v>
      </c>
      <c r="G27" s="43">
        <f>'11. Desinvesteringen'!G29</f>
        <v>2020</v>
      </c>
    </row>
    <row r="28" spans="2:7" s="3" customFormat="1">
      <c r="B28" s="43">
        <f>'11. Desinvesteringen'!B30</f>
        <v>11</v>
      </c>
      <c r="D28" s="43" t="str">
        <f>'11. Desinvesteringen'!C30</f>
        <v>01 Regionale leidingen</v>
      </c>
      <c r="E28" s="43">
        <f>'11. Desinvesteringen'!D30</f>
        <v>1968</v>
      </c>
      <c r="F28" s="48">
        <f>'11. Desinvesteringen'!E30</f>
        <v>243220.29</v>
      </c>
      <c r="G28" s="43">
        <f>'11. Desinvesteringen'!G30</f>
        <v>2020</v>
      </c>
    </row>
    <row r="29" spans="2:7" s="3" customFormat="1">
      <c r="B29" s="43">
        <f>'11. Desinvesteringen'!B31</f>
        <v>12</v>
      </c>
      <c r="D29" s="43" t="str">
        <f>'11. Desinvesteringen'!C31</f>
        <v>01 Regionale leidingen</v>
      </c>
      <c r="E29" s="43">
        <f>'11. Desinvesteringen'!D31</f>
        <v>1969</v>
      </c>
      <c r="F29" s="48">
        <f>'11. Desinvesteringen'!E31</f>
        <v>157118.15</v>
      </c>
      <c r="G29" s="43">
        <f>'11. Desinvesteringen'!G31</f>
        <v>2020</v>
      </c>
    </row>
    <row r="30" spans="2:7" s="3" customFormat="1">
      <c r="B30" s="43">
        <f>'11. Desinvesteringen'!B32</f>
        <v>13</v>
      </c>
      <c r="D30" s="43" t="str">
        <f>'11. Desinvesteringen'!C32</f>
        <v>01 Regionale leidingen (Waterkruisingen)</v>
      </c>
      <c r="E30" s="43">
        <f>'11. Desinvesteringen'!D32</f>
        <v>1969</v>
      </c>
      <c r="F30" s="48">
        <f>'11. Desinvesteringen'!E32</f>
        <v>16723.95</v>
      </c>
      <c r="G30" s="43">
        <f>'11. Desinvesteringen'!G32</f>
        <v>2020</v>
      </c>
    </row>
    <row r="31" spans="2:7" s="3" customFormat="1">
      <c r="B31" s="43">
        <f>'11. Desinvesteringen'!B33</f>
        <v>14</v>
      </c>
      <c r="D31" s="43" t="str">
        <f>'11. Desinvesteringen'!C33</f>
        <v>01 Regionale leidingen</v>
      </c>
      <c r="E31" s="43">
        <f>'11. Desinvesteringen'!D33</f>
        <v>1970</v>
      </c>
      <c r="F31" s="48">
        <f>'11. Desinvesteringen'!E33</f>
        <v>186298.57</v>
      </c>
      <c r="G31" s="43">
        <f>'11. Desinvesteringen'!G33</f>
        <v>2020</v>
      </c>
    </row>
    <row r="32" spans="2:7" s="3" customFormat="1">
      <c r="B32" s="43">
        <f>'11. Desinvesteringen'!B34</f>
        <v>15</v>
      </c>
      <c r="D32" s="43" t="str">
        <f>'11. Desinvesteringen'!C34</f>
        <v>01 Regionale leidingen</v>
      </c>
      <c r="E32" s="43">
        <f>'11. Desinvesteringen'!D34</f>
        <v>1971</v>
      </c>
      <c r="F32" s="48">
        <f>'11. Desinvesteringen'!E34</f>
        <v>161892.66</v>
      </c>
      <c r="G32" s="43">
        <f>'11. Desinvesteringen'!G34</f>
        <v>2020</v>
      </c>
    </row>
    <row r="33" spans="2:7" s="3" customFormat="1">
      <c r="B33" s="43">
        <f>'11. Desinvesteringen'!B35</f>
        <v>16</v>
      </c>
      <c r="D33" s="43" t="str">
        <f>'11. Desinvesteringen'!C35</f>
        <v>01 Regionale leidingen (Waterkruisingen)</v>
      </c>
      <c r="E33" s="43">
        <f>'11. Desinvesteringen'!D35</f>
        <v>1971</v>
      </c>
      <c r="F33" s="48">
        <f>'11. Desinvesteringen'!E35</f>
        <v>20942.86</v>
      </c>
      <c r="G33" s="43">
        <f>'11. Desinvesteringen'!G35</f>
        <v>2020</v>
      </c>
    </row>
    <row r="34" spans="2:7" s="3" customFormat="1">
      <c r="B34" s="43">
        <f>'11. Desinvesteringen'!B36</f>
        <v>17</v>
      </c>
      <c r="D34" s="43" t="str">
        <f>'11. Desinvesteringen'!C36</f>
        <v>01 Regionale leidingen</v>
      </c>
      <c r="E34" s="43">
        <f>'11. Desinvesteringen'!D36</f>
        <v>1972</v>
      </c>
      <c r="F34" s="48">
        <f>'11. Desinvesteringen'!E36</f>
        <v>414299.14</v>
      </c>
      <c r="G34" s="43">
        <f>'11. Desinvesteringen'!G36</f>
        <v>2020</v>
      </c>
    </row>
    <row r="35" spans="2:7" s="3" customFormat="1">
      <c r="B35" s="43">
        <f>'11. Desinvesteringen'!B37</f>
        <v>18</v>
      </c>
      <c r="D35" s="43" t="str">
        <f>'11. Desinvesteringen'!C37</f>
        <v>01 Regionale leidingen (Waterkruisingen)</v>
      </c>
      <c r="E35" s="43">
        <f>'11. Desinvesteringen'!D37</f>
        <v>1972</v>
      </c>
      <c r="F35" s="48">
        <f>'11. Desinvesteringen'!E37</f>
        <v>40987.47</v>
      </c>
      <c r="G35" s="43">
        <f>'11. Desinvesteringen'!G37</f>
        <v>2020</v>
      </c>
    </row>
    <row r="36" spans="2:7" s="3" customFormat="1">
      <c r="B36" s="43">
        <f>'11. Desinvesteringen'!B38</f>
        <v>19</v>
      </c>
      <c r="D36" s="43" t="str">
        <f>'11. Desinvesteringen'!C38</f>
        <v>01 Regionale leidingen</v>
      </c>
      <c r="E36" s="43">
        <f>'11. Desinvesteringen'!D38</f>
        <v>1973</v>
      </c>
      <c r="F36" s="48">
        <f>'11. Desinvesteringen'!E38</f>
        <v>199407.52</v>
      </c>
      <c r="G36" s="43">
        <f>'11. Desinvesteringen'!G38</f>
        <v>2020</v>
      </c>
    </row>
    <row r="37" spans="2:7" s="3" customFormat="1">
      <c r="B37" s="43">
        <f>'11. Desinvesteringen'!B39</f>
        <v>20</v>
      </c>
      <c r="D37" s="43" t="str">
        <f>'11. Desinvesteringen'!C39</f>
        <v>01 Regionale leidingen (Waterkruisingen)</v>
      </c>
      <c r="E37" s="43">
        <f>'11. Desinvesteringen'!D39</f>
        <v>1973</v>
      </c>
      <c r="F37" s="48">
        <f>'11. Desinvesteringen'!E39</f>
        <v>12298.26</v>
      </c>
      <c r="G37" s="43">
        <f>'11. Desinvesteringen'!G39</f>
        <v>2020</v>
      </c>
    </row>
    <row r="38" spans="2:7" s="3" customFormat="1">
      <c r="B38" s="43">
        <f>'11. Desinvesteringen'!B40</f>
        <v>21</v>
      </c>
      <c r="D38" s="43" t="str">
        <f>'11. Desinvesteringen'!C40</f>
        <v>01 Regionale leidingen</v>
      </c>
      <c r="E38" s="43">
        <f>'11. Desinvesteringen'!D40</f>
        <v>1974</v>
      </c>
      <c r="F38" s="48">
        <f>'11. Desinvesteringen'!E40</f>
        <v>45610.86</v>
      </c>
      <c r="G38" s="43">
        <f>'11. Desinvesteringen'!G40</f>
        <v>2020</v>
      </c>
    </row>
    <row r="39" spans="2:7" s="3" customFormat="1">
      <c r="B39" s="43">
        <f>'11. Desinvesteringen'!B41</f>
        <v>22</v>
      </c>
      <c r="D39" s="43" t="str">
        <f>'11. Desinvesteringen'!C41</f>
        <v>01 Regionale leidingen</v>
      </c>
      <c r="E39" s="43">
        <f>'11. Desinvesteringen'!D41</f>
        <v>1975</v>
      </c>
      <c r="F39" s="48">
        <f>'11. Desinvesteringen'!E41</f>
        <v>26637.1</v>
      </c>
      <c r="G39" s="43">
        <f>'11. Desinvesteringen'!G41</f>
        <v>2020</v>
      </c>
    </row>
    <row r="40" spans="2:7" s="3" customFormat="1">
      <c r="B40" s="43">
        <f>'11. Desinvesteringen'!B42</f>
        <v>23</v>
      </c>
      <c r="D40" s="43" t="str">
        <f>'11. Desinvesteringen'!C42</f>
        <v>01 Regionale leidingen (Waterkruisingen)</v>
      </c>
      <c r="E40" s="43">
        <f>'11. Desinvesteringen'!D42</f>
        <v>1975</v>
      </c>
      <c r="F40" s="48">
        <f>'11. Desinvesteringen'!E42</f>
        <v>13362.9</v>
      </c>
      <c r="G40" s="43">
        <f>'11. Desinvesteringen'!G42</f>
        <v>2020</v>
      </c>
    </row>
    <row r="41" spans="2:7" s="3" customFormat="1">
      <c r="B41" s="43">
        <f>'11. Desinvesteringen'!B43</f>
        <v>24</v>
      </c>
      <c r="D41" s="43" t="str">
        <f>'11. Desinvesteringen'!C43</f>
        <v>01 Regionale leidingen</v>
      </c>
      <c r="E41" s="43">
        <f>'11. Desinvesteringen'!D43</f>
        <v>1976</v>
      </c>
      <c r="F41" s="48">
        <f>'11. Desinvesteringen'!E43</f>
        <v>110116.33</v>
      </c>
      <c r="G41" s="43">
        <f>'11. Desinvesteringen'!G43</f>
        <v>2020</v>
      </c>
    </row>
    <row r="42" spans="2:7" s="3" customFormat="1">
      <c r="B42" s="43">
        <f>'11. Desinvesteringen'!B44</f>
        <v>25</v>
      </c>
      <c r="D42" s="43" t="str">
        <f>'11. Desinvesteringen'!C44</f>
        <v>01 Regionale leidingen</v>
      </c>
      <c r="E42" s="43">
        <f>'11. Desinvesteringen'!D44</f>
        <v>1977</v>
      </c>
      <c r="F42" s="48">
        <f>'11. Desinvesteringen'!E44</f>
        <v>40000</v>
      </c>
      <c r="G42" s="43">
        <f>'11. Desinvesteringen'!G44</f>
        <v>2020</v>
      </c>
    </row>
    <row r="43" spans="2:7" s="3" customFormat="1">
      <c r="B43" s="43">
        <f>'11. Desinvesteringen'!B45</f>
        <v>26</v>
      </c>
      <c r="D43" s="43" t="str">
        <f>'11. Desinvesteringen'!C45</f>
        <v>01 Regionale leidingen</v>
      </c>
      <c r="E43" s="43">
        <f>'11. Desinvesteringen'!D45</f>
        <v>1980</v>
      </c>
      <c r="F43" s="48">
        <f>'11. Desinvesteringen'!E45</f>
        <v>104178.71</v>
      </c>
      <c r="G43" s="43">
        <f>'11. Desinvesteringen'!G45</f>
        <v>2020</v>
      </c>
    </row>
    <row r="44" spans="2:7" s="3" customFormat="1">
      <c r="B44" s="43">
        <f>'11. Desinvesteringen'!B46</f>
        <v>27</v>
      </c>
      <c r="D44" s="43" t="str">
        <f>'11. Desinvesteringen'!C46</f>
        <v>01 Regionale leidingen (Waterkruisingen)</v>
      </c>
      <c r="E44" s="43">
        <f>'11. Desinvesteringen'!D46</f>
        <v>1980</v>
      </c>
      <c r="F44" s="48">
        <f>'11. Desinvesteringen'!E46</f>
        <v>47995.57</v>
      </c>
      <c r="G44" s="43">
        <f>'11. Desinvesteringen'!G46</f>
        <v>2020</v>
      </c>
    </row>
    <row r="45" spans="2:7" s="3" customFormat="1">
      <c r="B45" s="43">
        <f>'11. Desinvesteringen'!B47</f>
        <v>28</v>
      </c>
      <c r="D45" s="43" t="str">
        <f>'11. Desinvesteringen'!C47</f>
        <v>01 Regionale leidingen</v>
      </c>
      <c r="E45" s="43">
        <f>'11. Desinvesteringen'!D47</f>
        <v>1986</v>
      </c>
      <c r="F45" s="48">
        <f>'11. Desinvesteringen'!E47</f>
        <v>1666.04</v>
      </c>
      <c r="G45" s="43">
        <f>'11. Desinvesteringen'!G47</f>
        <v>2020</v>
      </c>
    </row>
    <row r="46" spans="2:7" s="3" customFormat="1">
      <c r="B46" s="43">
        <f>'11. Desinvesteringen'!B48</f>
        <v>29</v>
      </c>
      <c r="D46" s="43" t="str">
        <f>'11. Desinvesteringen'!C48</f>
        <v>01 Regionale leidingen</v>
      </c>
      <c r="E46" s="43">
        <f>'11. Desinvesteringen'!D48</f>
        <v>1987</v>
      </c>
      <c r="F46" s="48">
        <f>'11. Desinvesteringen'!E48</f>
        <v>35717.06</v>
      </c>
      <c r="G46" s="43">
        <f>'11. Desinvesteringen'!G48</f>
        <v>2020</v>
      </c>
    </row>
    <row r="47" spans="2:7" s="3" customFormat="1">
      <c r="B47" s="43">
        <f>'11. Desinvesteringen'!B49</f>
        <v>30</v>
      </c>
      <c r="D47" s="43" t="str">
        <f>'11. Desinvesteringen'!C49</f>
        <v>01 Regionale leidingen</v>
      </c>
      <c r="E47" s="43">
        <f>'11. Desinvesteringen'!D49</f>
        <v>1988</v>
      </c>
      <c r="F47" s="48">
        <f>'11. Desinvesteringen'!E49</f>
        <v>4808.08</v>
      </c>
      <c r="G47" s="43">
        <f>'11. Desinvesteringen'!G49</f>
        <v>2020</v>
      </c>
    </row>
    <row r="48" spans="2:7" s="3" customFormat="1">
      <c r="B48" s="43">
        <f>'11. Desinvesteringen'!B50</f>
        <v>31</v>
      </c>
      <c r="D48" s="43" t="str">
        <f>'11. Desinvesteringen'!C50</f>
        <v>01 Regionale leidingen</v>
      </c>
      <c r="E48" s="43">
        <f>'11. Desinvesteringen'!D50</f>
        <v>1989</v>
      </c>
      <c r="F48" s="48">
        <f>'11. Desinvesteringen'!E50</f>
        <v>24785.81</v>
      </c>
      <c r="G48" s="43">
        <f>'11. Desinvesteringen'!G50</f>
        <v>2020</v>
      </c>
    </row>
    <row r="49" spans="2:7" s="3" customFormat="1">
      <c r="B49" s="43">
        <f>'11. Desinvesteringen'!B51</f>
        <v>32</v>
      </c>
      <c r="D49" s="43" t="str">
        <f>'11. Desinvesteringen'!C51</f>
        <v>01 Regionale leidingen</v>
      </c>
      <c r="E49" s="43">
        <f>'11. Desinvesteringen'!D51</f>
        <v>1992</v>
      </c>
      <c r="F49" s="48">
        <f>'11. Desinvesteringen'!E51</f>
        <v>22986.32</v>
      </c>
      <c r="G49" s="43">
        <f>'11. Desinvesteringen'!G51</f>
        <v>2020</v>
      </c>
    </row>
    <row r="50" spans="2:7" s="3" customFormat="1">
      <c r="B50" s="43">
        <f>'11. Desinvesteringen'!B52</f>
        <v>33</v>
      </c>
      <c r="D50" s="43" t="str">
        <f>'11. Desinvesteringen'!C52</f>
        <v>01 Regionale leidingen</v>
      </c>
      <c r="E50" s="43">
        <f>'11. Desinvesteringen'!D52</f>
        <v>1999</v>
      </c>
      <c r="F50" s="48">
        <f>'11. Desinvesteringen'!E52</f>
        <v>62463.15</v>
      </c>
      <c r="G50" s="43">
        <f>'11. Desinvesteringen'!G52</f>
        <v>2020</v>
      </c>
    </row>
    <row r="51" spans="2:7" s="3" customFormat="1">
      <c r="B51" s="43">
        <f>'11. Desinvesteringen'!B53</f>
        <v>34</v>
      </c>
      <c r="D51" s="43" t="str">
        <f>'11. Desinvesteringen'!C53</f>
        <v>01 Regionale leidingen</v>
      </c>
      <c r="E51" s="43">
        <f>'11. Desinvesteringen'!D53</f>
        <v>2000</v>
      </c>
      <c r="F51" s="48">
        <f>'11. Desinvesteringen'!E53</f>
        <v>184556.79</v>
      </c>
      <c r="G51" s="43">
        <f>'11. Desinvesteringen'!G53</f>
        <v>2020</v>
      </c>
    </row>
    <row r="52" spans="2:7" s="3" customFormat="1">
      <c r="B52" s="43">
        <f>'11. Desinvesteringen'!B54</f>
        <v>35</v>
      </c>
      <c r="D52" s="43" t="str">
        <f>'11. Desinvesteringen'!C54</f>
        <v>01 Regionale leidingen</v>
      </c>
      <c r="E52" s="43">
        <f>'11. Desinvesteringen'!D54</f>
        <v>2001</v>
      </c>
      <c r="F52" s="48">
        <f>'11. Desinvesteringen'!E54</f>
        <v>74893.259999999995</v>
      </c>
      <c r="G52" s="43">
        <f>'11. Desinvesteringen'!G54</f>
        <v>2020</v>
      </c>
    </row>
    <row r="53" spans="2:7" s="3" customFormat="1">
      <c r="B53" s="43">
        <f>'11. Desinvesteringen'!B55</f>
        <v>36</v>
      </c>
      <c r="D53" s="43" t="str">
        <f>'11. Desinvesteringen'!C55</f>
        <v>01 Regionale leidingen</v>
      </c>
      <c r="E53" s="43">
        <f>'11. Desinvesteringen'!D55</f>
        <v>2002</v>
      </c>
      <c r="F53" s="48">
        <f>'11. Desinvesteringen'!E55</f>
        <v>98192.88</v>
      </c>
      <c r="G53" s="43">
        <f>'11. Desinvesteringen'!G55</f>
        <v>2020</v>
      </c>
    </row>
    <row r="54" spans="2:7" s="3" customFormat="1">
      <c r="B54" s="43">
        <f>'11. Desinvesteringen'!B56</f>
        <v>37</v>
      </c>
      <c r="D54" s="43" t="str">
        <f>'11. Desinvesteringen'!C56</f>
        <v>01 Regionale leidingen</v>
      </c>
      <c r="E54" s="43">
        <f>'11. Desinvesteringen'!D56</f>
        <v>2003</v>
      </c>
      <c r="F54" s="48">
        <f>'11. Desinvesteringen'!E56</f>
        <v>117678.13</v>
      </c>
      <c r="G54" s="43">
        <f>'11. Desinvesteringen'!G56</f>
        <v>2020</v>
      </c>
    </row>
    <row r="55" spans="2:7" s="3" customFormat="1">
      <c r="B55" s="43">
        <f>'11. Desinvesteringen'!B57</f>
        <v>38</v>
      </c>
      <c r="D55" s="43" t="str">
        <f>'11. Desinvesteringen'!C57</f>
        <v>01 Regionale leidingen</v>
      </c>
      <c r="E55" s="43">
        <f>'11. Desinvesteringen'!D57</f>
        <v>2004</v>
      </c>
      <c r="F55" s="48">
        <f>'11. Desinvesteringen'!E57</f>
        <v>26579.37</v>
      </c>
      <c r="G55" s="43">
        <f>'11. Desinvesteringen'!G57</f>
        <v>2020</v>
      </c>
    </row>
    <row r="56" spans="2:7" s="3" customFormat="1">
      <c r="B56" s="43">
        <f>'11. Desinvesteringen'!B58</f>
        <v>39</v>
      </c>
      <c r="D56" s="43" t="str">
        <f>'11. Desinvesteringen'!C58</f>
        <v>01 Regionale leidingen</v>
      </c>
      <c r="E56" s="43">
        <f>'11. Desinvesteringen'!D58</f>
        <v>2005</v>
      </c>
      <c r="F56" s="48">
        <f>'11. Desinvesteringen'!E58</f>
        <v>2763.58</v>
      </c>
      <c r="G56" s="43">
        <f>'11. Desinvesteringen'!G58</f>
        <v>2020</v>
      </c>
    </row>
    <row r="57" spans="2:7" s="3" customFormat="1">
      <c r="B57" s="43">
        <f>'11. Desinvesteringen'!B59</f>
        <v>40</v>
      </c>
      <c r="D57" s="43" t="str">
        <f>'11. Desinvesteringen'!C59</f>
        <v>01 Regionale leidingen</v>
      </c>
      <c r="E57" s="43">
        <f>'11. Desinvesteringen'!D59</f>
        <v>2011</v>
      </c>
      <c r="F57" s="48">
        <f>'11. Desinvesteringen'!E59</f>
        <v>6196.9935750000004</v>
      </c>
      <c r="G57" s="43">
        <f>'11. Desinvesteringen'!G59</f>
        <v>2020</v>
      </c>
    </row>
    <row r="58" spans="2:7" s="3" customFormat="1">
      <c r="B58" s="43">
        <f>'11. Desinvesteringen'!B60</f>
        <v>41</v>
      </c>
      <c r="D58" s="43" t="str">
        <f>'11. Desinvesteringen'!C60</f>
        <v>01 Regionale leidingen</v>
      </c>
      <c r="E58" s="43">
        <f>'11. Desinvesteringen'!D60</f>
        <v>2013</v>
      </c>
      <c r="F58" s="48">
        <f>'11. Desinvesteringen'!E60</f>
        <v>800675.63015999994</v>
      </c>
      <c r="G58" s="43">
        <f>'11. Desinvesteringen'!G60</f>
        <v>2020</v>
      </c>
    </row>
    <row r="59" spans="2:7" s="3" customFormat="1">
      <c r="B59" s="43">
        <f>'11. Desinvesteringen'!B61</f>
        <v>42</v>
      </c>
      <c r="D59" s="43" t="str">
        <f>'11. Desinvesteringen'!C61</f>
        <v>02 Gasontvangststations</v>
      </c>
      <c r="E59" s="43">
        <f>'11. Desinvesteringen'!D61</f>
        <v>1965</v>
      </c>
      <c r="F59" s="48">
        <f>'11. Desinvesteringen'!E61</f>
        <v>162736.70000000001</v>
      </c>
      <c r="G59" s="43">
        <f>'11. Desinvesteringen'!G61</f>
        <v>2020</v>
      </c>
    </row>
    <row r="60" spans="2:7" s="3" customFormat="1">
      <c r="B60" s="43">
        <f>'11. Desinvesteringen'!B62</f>
        <v>43</v>
      </c>
      <c r="D60" s="43" t="str">
        <f>'11. Desinvesteringen'!C62</f>
        <v>02 Gasontvangststations</v>
      </c>
      <c r="E60" s="43">
        <f>'11. Desinvesteringen'!D62</f>
        <v>1966</v>
      </c>
      <c r="F60" s="48">
        <f>'11. Desinvesteringen'!E62</f>
        <v>282042.34000000003</v>
      </c>
      <c r="G60" s="43">
        <f>'11. Desinvesteringen'!G62</f>
        <v>2020</v>
      </c>
    </row>
    <row r="61" spans="2:7" s="3" customFormat="1">
      <c r="B61" s="43">
        <f>'11. Desinvesteringen'!B63</f>
        <v>44</v>
      </c>
      <c r="D61" s="43" t="str">
        <f>'11. Desinvesteringen'!C63</f>
        <v>02 Gasontvangststations</v>
      </c>
      <c r="E61" s="43">
        <f>'11. Desinvesteringen'!D63</f>
        <v>1967</v>
      </c>
      <c r="F61" s="48">
        <f>'11. Desinvesteringen'!E63</f>
        <v>390313.68</v>
      </c>
      <c r="G61" s="43">
        <f>'11. Desinvesteringen'!G63</f>
        <v>2020</v>
      </c>
    </row>
    <row r="62" spans="2:7" s="3" customFormat="1">
      <c r="B62" s="43">
        <f>'11. Desinvesteringen'!B64</f>
        <v>45</v>
      </c>
      <c r="D62" s="43" t="str">
        <f>'11. Desinvesteringen'!C64</f>
        <v>02 Gasontvangststations</v>
      </c>
      <c r="E62" s="43">
        <f>'11. Desinvesteringen'!D64</f>
        <v>1968</v>
      </c>
      <c r="F62" s="48">
        <f>'11. Desinvesteringen'!E64</f>
        <v>337925.75</v>
      </c>
      <c r="G62" s="43">
        <f>'11. Desinvesteringen'!G64</f>
        <v>2020</v>
      </c>
    </row>
    <row r="63" spans="2:7" s="3" customFormat="1">
      <c r="B63" s="43">
        <f>'11. Desinvesteringen'!B65</f>
        <v>46</v>
      </c>
      <c r="D63" s="43" t="str">
        <f>'11. Desinvesteringen'!C65</f>
        <v>02 Gasontvangststations</v>
      </c>
      <c r="E63" s="43">
        <f>'11. Desinvesteringen'!D65</f>
        <v>1969</v>
      </c>
      <c r="F63" s="48">
        <f>'11. Desinvesteringen'!E65</f>
        <v>19730</v>
      </c>
      <c r="G63" s="43">
        <f>'11. Desinvesteringen'!G65</f>
        <v>2020</v>
      </c>
    </row>
    <row r="64" spans="2:7" s="3" customFormat="1">
      <c r="B64" s="43">
        <f>'11. Desinvesteringen'!B66</f>
        <v>47</v>
      </c>
      <c r="D64" s="43" t="str">
        <f>'11. Desinvesteringen'!C66</f>
        <v>02 Gasontvangststations</v>
      </c>
      <c r="E64" s="43">
        <f>'11. Desinvesteringen'!D66</f>
        <v>1970</v>
      </c>
      <c r="F64" s="48">
        <f>'11. Desinvesteringen'!E66</f>
        <v>169357.15</v>
      </c>
      <c r="G64" s="43">
        <f>'11. Desinvesteringen'!G66</f>
        <v>2020</v>
      </c>
    </row>
    <row r="65" spans="2:7" s="3" customFormat="1">
      <c r="B65" s="43">
        <f>'11. Desinvesteringen'!B67</f>
        <v>48</v>
      </c>
      <c r="D65" s="43" t="str">
        <f>'11. Desinvesteringen'!C67</f>
        <v>02 Gasontvangststations</v>
      </c>
      <c r="E65" s="43">
        <f>'11. Desinvesteringen'!D67</f>
        <v>1971</v>
      </c>
      <c r="F65" s="48">
        <f>'11. Desinvesteringen'!E67</f>
        <v>201451.64</v>
      </c>
      <c r="G65" s="43">
        <f>'11. Desinvesteringen'!G67</f>
        <v>2020</v>
      </c>
    </row>
    <row r="66" spans="2:7" s="3" customFormat="1">
      <c r="B66" s="43">
        <f>'11. Desinvesteringen'!B68</f>
        <v>49</v>
      </c>
      <c r="D66" s="43" t="str">
        <f>'11. Desinvesteringen'!C68</f>
        <v>02 Gasontvangststations</v>
      </c>
      <c r="E66" s="43">
        <f>'11. Desinvesteringen'!D68</f>
        <v>1972</v>
      </c>
      <c r="F66" s="48">
        <f>'11. Desinvesteringen'!E68</f>
        <v>147669.32</v>
      </c>
      <c r="G66" s="43">
        <f>'11. Desinvesteringen'!G68</f>
        <v>2020</v>
      </c>
    </row>
    <row r="67" spans="2:7" s="3" customFormat="1">
      <c r="B67" s="43">
        <f>'11. Desinvesteringen'!B69</f>
        <v>50</v>
      </c>
      <c r="D67" s="43" t="str">
        <f>'11. Desinvesteringen'!C69</f>
        <v>02 Gasontvangststations</v>
      </c>
      <c r="E67" s="43">
        <f>'11. Desinvesteringen'!D69</f>
        <v>1974</v>
      </c>
      <c r="F67" s="48">
        <f>'11. Desinvesteringen'!E69</f>
        <v>27434.639999999999</v>
      </c>
      <c r="G67" s="43">
        <f>'11. Desinvesteringen'!G69</f>
        <v>2020</v>
      </c>
    </row>
    <row r="68" spans="2:7" s="3" customFormat="1">
      <c r="B68" s="43">
        <f>'11. Desinvesteringen'!B70</f>
        <v>51</v>
      </c>
      <c r="D68" s="43" t="str">
        <f>'11. Desinvesteringen'!C70</f>
        <v>02 Gasontvangststations</v>
      </c>
      <c r="E68" s="43">
        <f>'11. Desinvesteringen'!D70</f>
        <v>1975</v>
      </c>
      <c r="F68" s="48">
        <f>'11. Desinvesteringen'!E70</f>
        <v>30000</v>
      </c>
      <c r="G68" s="43">
        <f>'11. Desinvesteringen'!G70</f>
        <v>2020</v>
      </c>
    </row>
    <row r="69" spans="2:7" s="3" customFormat="1">
      <c r="B69" s="43">
        <f>'11. Desinvesteringen'!B71</f>
        <v>52</v>
      </c>
      <c r="D69" s="43" t="str">
        <f>'11. Desinvesteringen'!C71</f>
        <v>02 Gasontvangststations</v>
      </c>
      <c r="E69" s="43">
        <f>'11. Desinvesteringen'!D71</f>
        <v>1976</v>
      </c>
      <c r="F69" s="48">
        <f>'11. Desinvesteringen'!E71</f>
        <v>72000</v>
      </c>
      <c r="G69" s="43">
        <f>'11. Desinvesteringen'!G71</f>
        <v>2020</v>
      </c>
    </row>
    <row r="70" spans="2:7" s="3" customFormat="1">
      <c r="B70" s="43">
        <f>'11. Desinvesteringen'!B72</f>
        <v>53</v>
      </c>
      <c r="D70" s="43" t="str">
        <f>'11. Desinvesteringen'!C72</f>
        <v>02 Gasontvangststations</v>
      </c>
      <c r="E70" s="43">
        <f>'11. Desinvesteringen'!D72</f>
        <v>1977</v>
      </c>
      <c r="F70" s="48">
        <f>'11. Desinvesteringen'!E72</f>
        <v>104527.46</v>
      </c>
      <c r="G70" s="43">
        <f>'11. Desinvesteringen'!G72</f>
        <v>2020</v>
      </c>
    </row>
    <row r="71" spans="2:7" s="3" customFormat="1">
      <c r="B71" s="43">
        <f>'11. Desinvesteringen'!B73</f>
        <v>54</v>
      </c>
      <c r="D71" s="43" t="str">
        <f>'11. Desinvesteringen'!C73</f>
        <v>02 Gasontvangststations</v>
      </c>
      <c r="E71" s="43">
        <f>'11. Desinvesteringen'!D73</f>
        <v>1979</v>
      </c>
      <c r="F71" s="48">
        <f>'11. Desinvesteringen'!E73</f>
        <v>102180.41</v>
      </c>
      <c r="G71" s="43">
        <f>'11. Desinvesteringen'!G73</f>
        <v>2020</v>
      </c>
    </row>
    <row r="72" spans="2:7" s="3" customFormat="1">
      <c r="B72" s="43">
        <f>'11. Desinvesteringen'!B74</f>
        <v>55</v>
      </c>
      <c r="D72" s="43" t="str">
        <f>'11. Desinvesteringen'!C74</f>
        <v>02 Gasontvangststations</v>
      </c>
      <c r="E72" s="43">
        <f>'11. Desinvesteringen'!D74</f>
        <v>1982</v>
      </c>
      <c r="F72" s="48">
        <f>'11. Desinvesteringen'!E74</f>
        <v>87225.38</v>
      </c>
      <c r="G72" s="43">
        <f>'11. Desinvesteringen'!G74</f>
        <v>2020</v>
      </c>
    </row>
    <row r="73" spans="2:7" s="3" customFormat="1">
      <c r="B73" s="43">
        <f>'11. Desinvesteringen'!B75</f>
        <v>56</v>
      </c>
      <c r="D73" s="43" t="str">
        <f>'11. Desinvesteringen'!C75</f>
        <v>02 Gasontvangststations</v>
      </c>
      <c r="E73" s="43">
        <f>'11. Desinvesteringen'!D75</f>
        <v>1983</v>
      </c>
      <c r="F73" s="48">
        <f>'11. Desinvesteringen'!E75</f>
        <v>30000</v>
      </c>
      <c r="G73" s="43">
        <f>'11. Desinvesteringen'!G75</f>
        <v>2020</v>
      </c>
    </row>
    <row r="74" spans="2:7" s="3" customFormat="1">
      <c r="B74" s="43">
        <f>'11. Desinvesteringen'!B76</f>
        <v>57</v>
      </c>
      <c r="D74" s="43" t="str">
        <f>'11. Desinvesteringen'!C76</f>
        <v>02 Gasontvangststations</v>
      </c>
      <c r="E74" s="43">
        <f>'11. Desinvesteringen'!D76</f>
        <v>1985</v>
      </c>
      <c r="F74" s="48">
        <f>'11. Desinvesteringen'!E76</f>
        <v>38613.07</v>
      </c>
      <c r="G74" s="43">
        <f>'11. Desinvesteringen'!G76</f>
        <v>2020</v>
      </c>
    </row>
    <row r="75" spans="2:7" s="3" customFormat="1">
      <c r="B75" s="43">
        <f>'11. Desinvesteringen'!B77</f>
        <v>58</v>
      </c>
      <c r="D75" s="43" t="str">
        <f>'11. Desinvesteringen'!C77</f>
        <v>02 Gasontvangststations</v>
      </c>
      <c r="E75" s="43">
        <f>'11. Desinvesteringen'!D77</f>
        <v>1987</v>
      </c>
      <c r="F75" s="48">
        <f>'11. Desinvesteringen'!E77</f>
        <v>8154.43</v>
      </c>
      <c r="G75" s="43">
        <f>'11. Desinvesteringen'!G77</f>
        <v>2020</v>
      </c>
    </row>
    <row r="76" spans="2:7" s="3" customFormat="1">
      <c r="B76" s="43">
        <f>'11. Desinvesteringen'!B78</f>
        <v>59</v>
      </c>
      <c r="D76" s="43" t="str">
        <f>'11. Desinvesteringen'!C78</f>
        <v>02 Gasontvangststations</v>
      </c>
      <c r="E76" s="43">
        <f>'11. Desinvesteringen'!D78</f>
        <v>1992</v>
      </c>
      <c r="F76" s="48">
        <f>'11. Desinvesteringen'!E78</f>
        <v>79800.429999999993</v>
      </c>
      <c r="G76" s="43">
        <f>'11. Desinvesteringen'!G78</f>
        <v>2020</v>
      </c>
    </row>
    <row r="77" spans="2:7" s="3" customFormat="1">
      <c r="B77" s="43">
        <f>'11. Desinvesteringen'!B79</f>
        <v>60</v>
      </c>
      <c r="D77" s="43" t="str">
        <f>'11. Desinvesteringen'!C79</f>
        <v>02 Gasontvangststations</v>
      </c>
      <c r="E77" s="43">
        <f>'11. Desinvesteringen'!D79</f>
        <v>1995</v>
      </c>
      <c r="F77" s="48">
        <f>'11. Desinvesteringen'!E79</f>
        <v>121494.29</v>
      </c>
      <c r="G77" s="43">
        <f>'11. Desinvesteringen'!G79</f>
        <v>2020</v>
      </c>
    </row>
    <row r="78" spans="2:7" s="3" customFormat="1">
      <c r="B78" s="43">
        <f>'11. Desinvesteringen'!B80</f>
        <v>61</v>
      </c>
      <c r="D78" s="43" t="str">
        <f>'11. Desinvesteringen'!C80</f>
        <v>02 Gasontvangststations</v>
      </c>
      <c r="E78" s="43">
        <f>'11. Desinvesteringen'!D80</f>
        <v>1998</v>
      </c>
      <c r="F78" s="48">
        <f>'11. Desinvesteringen'!E80</f>
        <v>45471.44</v>
      </c>
      <c r="G78" s="43">
        <f>'11. Desinvesteringen'!G80</f>
        <v>2020</v>
      </c>
    </row>
    <row r="79" spans="2:7" s="3" customFormat="1">
      <c r="B79" s="43">
        <f>'11. Desinvesteringen'!B81</f>
        <v>62</v>
      </c>
      <c r="D79" s="43" t="str">
        <f>'11. Desinvesteringen'!C81</f>
        <v>02 Gasontvangststations</v>
      </c>
      <c r="E79" s="43">
        <f>'11. Desinvesteringen'!D81</f>
        <v>2002</v>
      </c>
      <c r="F79" s="48">
        <f>'11. Desinvesteringen'!E81</f>
        <v>10346.200000000001</v>
      </c>
      <c r="G79" s="43">
        <f>'11. Desinvesteringen'!G81</f>
        <v>2020</v>
      </c>
    </row>
    <row r="80" spans="2:7" s="3" customFormat="1">
      <c r="B80" s="43">
        <f>'11. Desinvesteringen'!B82</f>
        <v>63</v>
      </c>
      <c r="D80" s="43" t="str">
        <f>'11. Desinvesteringen'!C82</f>
        <v>02 Gasontvangststations</v>
      </c>
      <c r="E80" s="43">
        <f>'11. Desinvesteringen'!D82</f>
        <v>2003</v>
      </c>
      <c r="F80" s="48">
        <f>'11. Desinvesteringen'!E82</f>
        <v>10560.43</v>
      </c>
      <c r="G80" s="43">
        <f>'11. Desinvesteringen'!G82</f>
        <v>2020</v>
      </c>
    </row>
    <row r="81" spans="2:7" s="3" customFormat="1">
      <c r="B81" s="43">
        <f>'11. Desinvesteringen'!B83</f>
        <v>64</v>
      </c>
      <c r="D81" s="43" t="str">
        <f>'11. Desinvesteringen'!C83</f>
        <v>02 Gasontvangststations</v>
      </c>
      <c r="E81" s="43">
        <f>'11. Desinvesteringen'!D83</f>
        <v>2004</v>
      </c>
      <c r="F81" s="48">
        <f>'11. Desinvesteringen'!E83</f>
        <v>65494.31</v>
      </c>
      <c r="G81" s="43">
        <f>'11. Desinvesteringen'!G83</f>
        <v>2020</v>
      </c>
    </row>
    <row r="82" spans="2:7" s="3" customFormat="1">
      <c r="B82" s="43">
        <f>'11. Desinvesteringen'!B84</f>
        <v>65</v>
      </c>
      <c r="D82" s="43" t="str">
        <f>'11. Desinvesteringen'!C84</f>
        <v>02 Gasontvangststations</v>
      </c>
      <c r="E82" s="43">
        <f>'11. Desinvesteringen'!D84</f>
        <v>2006</v>
      </c>
      <c r="F82" s="48">
        <f>'11. Desinvesteringen'!E84</f>
        <v>28786.400000000001</v>
      </c>
      <c r="G82" s="43">
        <f>'11. Desinvesteringen'!G84</f>
        <v>2020</v>
      </c>
    </row>
    <row r="83" spans="2:7" s="3" customFormat="1">
      <c r="B83" s="43">
        <f>'11. Desinvesteringen'!B85</f>
        <v>66</v>
      </c>
      <c r="D83" s="43" t="str">
        <f>'11. Desinvesteringen'!C85</f>
        <v>02 Gasontvangststations</v>
      </c>
      <c r="E83" s="43">
        <f>'11. Desinvesteringen'!D85</f>
        <v>2008</v>
      </c>
      <c r="F83" s="48">
        <f>'11. Desinvesteringen'!E85</f>
        <v>159796.69</v>
      </c>
      <c r="G83" s="43">
        <f>'11. Desinvesteringen'!G85</f>
        <v>2020</v>
      </c>
    </row>
    <row r="84" spans="2:7" s="3" customFormat="1">
      <c r="B84" s="43">
        <f>'11. Desinvesteringen'!B86</f>
        <v>67</v>
      </c>
      <c r="D84" s="43" t="str">
        <f>'11. Desinvesteringen'!C86</f>
        <v>02 Gasontvangststations</v>
      </c>
      <c r="E84" s="43">
        <f>'11. Desinvesteringen'!D86</f>
        <v>2011</v>
      </c>
      <c r="F84" s="48">
        <f>'11. Desinvesteringen'!E86</f>
        <v>54172.756048000003</v>
      </c>
      <c r="G84" s="43">
        <f>'11. Desinvesteringen'!G86</f>
        <v>2020</v>
      </c>
    </row>
    <row r="85" spans="2:7" s="3" customFormat="1">
      <c r="B85" s="43">
        <f>'11. Desinvesteringen'!B87</f>
        <v>68</v>
      </c>
      <c r="D85" s="43" t="str">
        <f>'11. Desinvesteringen'!C87</f>
        <v>02 Gasontvangststations</v>
      </c>
      <c r="E85" s="43">
        <f>'11. Desinvesteringen'!D87</f>
        <v>2012</v>
      </c>
      <c r="F85" s="48">
        <f>'11. Desinvesteringen'!E87</f>
        <v>16860.795606</v>
      </c>
      <c r="G85" s="43">
        <f>'11. Desinvesteringen'!G87</f>
        <v>2020</v>
      </c>
    </row>
    <row r="86" spans="2:7" s="3" customFormat="1">
      <c r="B86" s="43">
        <f>'11. Desinvesteringen'!B88</f>
        <v>69</v>
      </c>
      <c r="D86" s="43" t="str">
        <f>'11. Desinvesteringen'!C88</f>
        <v>02 Gasontvangststations</v>
      </c>
      <c r="E86" s="43">
        <f>'11. Desinvesteringen'!D88</f>
        <v>2015</v>
      </c>
      <c r="F86" s="48">
        <f>'11. Desinvesteringen'!E88</f>
        <v>15275.23848</v>
      </c>
      <c r="G86" s="43">
        <f>'11. Desinvesteringen'!G88</f>
        <v>2020</v>
      </c>
    </row>
    <row r="87" spans="2:7" s="3" customFormat="1">
      <c r="B87" s="43">
        <f>'11. Desinvesteringen'!B89</f>
        <v>70</v>
      </c>
      <c r="D87" s="43" t="str">
        <f>'11. Desinvesteringen'!C89</f>
        <v>04 Terreinen</v>
      </c>
      <c r="E87" s="43">
        <f>'11. Desinvesteringen'!D89</f>
        <v>1967</v>
      </c>
      <c r="F87" s="48">
        <f>'11. Desinvesteringen'!E89</f>
        <v>74013.37</v>
      </c>
      <c r="G87" s="43">
        <f>'11. Desinvesteringen'!G89</f>
        <v>2020</v>
      </c>
    </row>
    <row r="88" spans="2:7" s="3" customFormat="1">
      <c r="B88" s="43">
        <f>'11. Desinvesteringen'!B90</f>
        <v>71</v>
      </c>
      <c r="D88" s="43" t="str">
        <f>'11. Desinvesteringen'!C90</f>
        <v>06 Utiliteitsgebouwen</v>
      </c>
      <c r="E88" s="43">
        <f>'11. Desinvesteringen'!D90</f>
        <v>1961</v>
      </c>
      <c r="F88" s="48">
        <f>'11. Desinvesteringen'!E90</f>
        <v>92634.240000000005</v>
      </c>
      <c r="G88" s="43">
        <f>'11. Desinvesteringen'!G90</f>
        <v>2020</v>
      </c>
    </row>
    <row r="89" spans="2:7" s="3" customFormat="1">
      <c r="B89" s="43">
        <f>'11. Desinvesteringen'!B91</f>
        <v>72</v>
      </c>
      <c r="D89" s="43" t="str">
        <f>'11. Desinvesteringen'!C91</f>
        <v>06 Utiliteitsgebouwen</v>
      </c>
      <c r="E89" s="43">
        <f>'11. Desinvesteringen'!D91</f>
        <v>1968</v>
      </c>
      <c r="F89" s="48">
        <f>'11. Desinvesteringen'!E91</f>
        <v>153440.79</v>
      </c>
      <c r="G89" s="43">
        <f>'11. Desinvesteringen'!G91</f>
        <v>2020</v>
      </c>
    </row>
    <row r="90" spans="2:7" s="3" customFormat="1">
      <c r="B90" s="43">
        <f>'11. Desinvesteringen'!B92</f>
        <v>73</v>
      </c>
      <c r="D90" s="43" t="str">
        <f>'11. Desinvesteringen'!C92</f>
        <v>06 Utiliteitsgebouwen</v>
      </c>
      <c r="E90" s="43">
        <f>'11. Desinvesteringen'!D92</f>
        <v>1992</v>
      </c>
      <c r="F90" s="48">
        <f>'11. Desinvesteringen'!E92</f>
        <v>267309.21999999997</v>
      </c>
      <c r="G90" s="43">
        <f>'11. Desinvesteringen'!G92</f>
        <v>2020</v>
      </c>
    </row>
    <row r="91" spans="2:7" s="3" customFormat="1">
      <c r="B91" s="43">
        <f>'11. Desinvesteringen'!B93</f>
        <v>74</v>
      </c>
      <c r="D91" s="43" t="str">
        <f>'11. Desinvesteringen'!C93</f>
        <v>06 Utiliteitsgebouwen</v>
      </c>
      <c r="E91" s="43">
        <f>'11. Desinvesteringen'!D93</f>
        <v>2003</v>
      </c>
      <c r="F91" s="48">
        <f>'11. Desinvesteringen'!E93</f>
        <v>40177</v>
      </c>
      <c r="G91" s="43">
        <f>'11. Desinvesteringen'!G93</f>
        <v>2020</v>
      </c>
    </row>
    <row r="92" spans="2:7" s="3" customFormat="1">
      <c r="B92" s="43">
        <f>'11. Desinvesteringen'!B94</f>
        <v>75</v>
      </c>
      <c r="D92" s="43" t="str">
        <f>'11. Desinvesteringen'!C94</f>
        <v>06 Utiliteitsgebouwen</v>
      </c>
      <c r="E92" s="43">
        <f>'11. Desinvesteringen'!D94</f>
        <v>2005</v>
      </c>
      <c r="F92" s="48">
        <f>'11. Desinvesteringen'!E94</f>
        <v>186030.7</v>
      </c>
      <c r="G92" s="43">
        <f>'11. Desinvesteringen'!G94</f>
        <v>2020</v>
      </c>
    </row>
    <row r="93" spans="2:7" s="3" customFormat="1">
      <c r="B93" s="43">
        <f>'11. Desinvesteringen'!B95</f>
        <v>76</v>
      </c>
      <c r="D93" s="43" t="str">
        <f>'11. Desinvesteringen'!C95</f>
        <v>06 Utiliteitsgebouwen</v>
      </c>
      <c r="E93" s="43">
        <f>'11. Desinvesteringen'!D95</f>
        <v>2010</v>
      </c>
      <c r="F93" s="48">
        <f>'11. Desinvesteringen'!E95</f>
        <v>242998.14437600001</v>
      </c>
      <c r="G93" s="43">
        <f>'11. Desinvesteringen'!G95</f>
        <v>2020</v>
      </c>
    </row>
    <row r="94" spans="2:7" s="3" customFormat="1">
      <c r="B94" s="43">
        <f>'11. Desinvesteringen'!B96</f>
        <v>77</v>
      </c>
      <c r="D94" s="43" t="str">
        <f>'11. Desinvesteringen'!C96</f>
        <v>06 Utiliteitsgebouwen</v>
      </c>
      <c r="E94" s="43">
        <f>'11. Desinvesteringen'!D96</f>
        <v>2012</v>
      </c>
      <c r="F94" s="48">
        <f>'11. Desinvesteringen'!E96</f>
        <v>156496.05558799999</v>
      </c>
      <c r="G94" s="43">
        <f>'11. Desinvesteringen'!G96</f>
        <v>2020</v>
      </c>
    </row>
    <row r="95" spans="2:7" s="3" customFormat="1">
      <c r="B95" s="43">
        <f>'11. Desinvesteringen'!B97</f>
        <v>78</v>
      </c>
      <c r="D95" s="43" t="str">
        <f>'11. Desinvesteringen'!C97</f>
        <v>08 Inrichting gebouwen</v>
      </c>
      <c r="E95" s="43">
        <f>'11. Desinvesteringen'!D97</f>
        <v>2017</v>
      </c>
      <c r="F95" s="48">
        <f>'11. Desinvesteringen'!E97</f>
        <v>41550.210188999998</v>
      </c>
      <c r="G95" s="43">
        <f>'11. Desinvesteringen'!G97</f>
        <v>2020</v>
      </c>
    </row>
    <row r="96" spans="2:7" s="3" customFormat="1">
      <c r="B96" s="43">
        <f>'11. Desinvesteringen'!B98</f>
        <v>79</v>
      </c>
      <c r="D96" s="43" t="str">
        <f>'11. Desinvesteringen'!C98</f>
        <v>09 Bedrijfsinventaris</v>
      </c>
      <c r="E96" s="43">
        <f>'11. Desinvesteringen'!D98</f>
        <v>2003</v>
      </c>
      <c r="F96" s="48">
        <f>'11. Desinvesteringen'!E98</f>
        <v>5549.99</v>
      </c>
      <c r="G96" s="43">
        <f>'11. Desinvesteringen'!G98</f>
        <v>2020</v>
      </c>
    </row>
    <row r="97" spans="2:7" s="3" customFormat="1">
      <c r="B97" s="43">
        <f>'11. Desinvesteringen'!B99</f>
        <v>80</v>
      </c>
      <c r="D97" s="43" t="str">
        <f>'11. Desinvesteringen'!C99</f>
        <v>10 Gereedschap</v>
      </c>
      <c r="E97" s="43">
        <f>'11. Desinvesteringen'!D99</f>
        <v>1998</v>
      </c>
      <c r="F97" s="48">
        <f>'11. Desinvesteringen'!E99</f>
        <v>366600.87</v>
      </c>
      <c r="G97" s="43">
        <f>'11. Desinvesteringen'!G99</f>
        <v>2020</v>
      </c>
    </row>
    <row r="98" spans="2:7" s="3" customFormat="1">
      <c r="B98" s="43">
        <f>'11. Desinvesteringen'!B100</f>
        <v>81</v>
      </c>
      <c r="D98" s="43" t="str">
        <f>'11. Desinvesteringen'!C100</f>
        <v>10 Gereedschap</v>
      </c>
      <c r="E98" s="43">
        <f>'11. Desinvesteringen'!D100</f>
        <v>1999</v>
      </c>
      <c r="F98" s="48">
        <f>'11. Desinvesteringen'!E100</f>
        <v>268665.56</v>
      </c>
      <c r="G98" s="43">
        <f>'11. Desinvesteringen'!G100</f>
        <v>2020</v>
      </c>
    </row>
    <row r="99" spans="2:7" s="3" customFormat="1">
      <c r="B99" s="43">
        <f>'11. Desinvesteringen'!B101</f>
        <v>82</v>
      </c>
      <c r="D99" s="43" t="str">
        <f>'11. Desinvesteringen'!C101</f>
        <v>10 Gereedschap</v>
      </c>
      <c r="E99" s="43">
        <f>'11. Desinvesteringen'!D101</f>
        <v>2000</v>
      </c>
      <c r="F99" s="48">
        <f>'11. Desinvesteringen'!E101</f>
        <v>92489.12</v>
      </c>
      <c r="G99" s="43">
        <f>'11. Desinvesteringen'!G101</f>
        <v>2020</v>
      </c>
    </row>
    <row r="100" spans="2:7" s="3" customFormat="1">
      <c r="B100" s="43">
        <f>'11. Desinvesteringen'!B102</f>
        <v>83</v>
      </c>
      <c r="D100" s="43" t="str">
        <f>'11. Desinvesteringen'!C102</f>
        <v>15 Compressorstations (TT-BT-AT)</v>
      </c>
      <c r="E100" s="43">
        <f>'11. Desinvesteringen'!D102</f>
        <v>1971</v>
      </c>
      <c r="F100" s="48">
        <f>'11. Desinvesteringen'!E102</f>
        <v>739448.2</v>
      </c>
      <c r="G100" s="43">
        <f>'11. Desinvesteringen'!G102</f>
        <v>2020</v>
      </c>
    </row>
    <row r="101" spans="2:7" s="3" customFormat="1">
      <c r="B101" s="43">
        <f>'11. Desinvesteringen'!B103</f>
        <v>84</v>
      </c>
      <c r="D101" s="43" t="str">
        <f>'11. Desinvesteringen'!C103</f>
        <v>15 Compressorstations (TT-BT-AT)</v>
      </c>
      <c r="E101" s="43">
        <f>'11. Desinvesteringen'!D103</f>
        <v>1977</v>
      </c>
      <c r="F101" s="48">
        <f>'11. Desinvesteringen'!E103</f>
        <v>68166.3</v>
      </c>
      <c r="G101" s="43">
        <f>'11. Desinvesteringen'!G103</f>
        <v>2020</v>
      </c>
    </row>
    <row r="102" spans="2:7" s="3" customFormat="1">
      <c r="B102" s="43">
        <f>'11. Desinvesteringen'!B104</f>
        <v>85</v>
      </c>
      <c r="D102" s="43" t="str">
        <f>'11. Desinvesteringen'!C104</f>
        <v>15 Compressorstations (TT-BT-AT)</v>
      </c>
      <c r="E102" s="43">
        <f>'11. Desinvesteringen'!D104</f>
        <v>1994</v>
      </c>
      <c r="F102" s="48">
        <f>'11. Desinvesteringen'!E104</f>
        <v>376175.8</v>
      </c>
      <c r="G102" s="43">
        <f>'11. Desinvesteringen'!G104</f>
        <v>2020</v>
      </c>
    </row>
    <row r="103" spans="2:7" s="3" customFormat="1">
      <c r="B103" s="43">
        <f>'11. Desinvesteringen'!B105</f>
        <v>86</v>
      </c>
      <c r="D103" s="43" t="str">
        <f>'11. Desinvesteringen'!C105</f>
        <v>15 Compressorstations (TT-BT-AT)</v>
      </c>
      <c r="E103" s="43">
        <f>'11. Desinvesteringen'!D105</f>
        <v>1995</v>
      </c>
      <c r="F103" s="48">
        <f>'11. Desinvesteringen'!E105</f>
        <v>1191241.1299999999</v>
      </c>
      <c r="G103" s="43">
        <f>'11. Desinvesteringen'!G105</f>
        <v>2020</v>
      </c>
    </row>
    <row r="104" spans="2:7" s="3" customFormat="1">
      <c r="B104" s="43">
        <f>'11. Desinvesteringen'!B106</f>
        <v>87</v>
      </c>
      <c r="D104" s="43" t="str">
        <f>'11. Desinvesteringen'!C106</f>
        <v>15 Compressorstations (TT-BT-AT)</v>
      </c>
      <c r="E104" s="43">
        <f>'11. Desinvesteringen'!D106</f>
        <v>1996</v>
      </c>
      <c r="F104" s="48">
        <f>'11. Desinvesteringen'!E106</f>
        <v>60266.55</v>
      </c>
      <c r="G104" s="43">
        <f>'11. Desinvesteringen'!G106</f>
        <v>2020</v>
      </c>
    </row>
    <row r="105" spans="2:7" s="3" customFormat="1">
      <c r="B105" s="43">
        <f>'11. Desinvesteringen'!B107</f>
        <v>88</v>
      </c>
      <c r="D105" s="43" t="str">
        <f>'11. Desinvesteringen'!C107</f>
        <v>15 Compressorstations (TT-BT-AT)</v>
      </c>
      <c r="E105" s="43">
        <f>'11. Desinvesteringen'!D107</f>
        <v>1998</v>
      </c>
      <c r="F105" s="48">
        <f>'11. Desinvesteringen'!E107</f>
        <v>117092.84999999999</v>
      </c>
      <c r="G105" s="43">
        <f>'11. Desinvesteringen'!G107</f>
        <v>2020</v>
      </c>
    </row>
    <row r="106" spans="2:7" s="3" customFormat="1">
      <c r="B106" s="43">
        <f>'11. Desinvesteringen'!B108</f>
        <v>89</v>
      </c>
      <c r="D106" s="43" t="str">
        <f>'11. Desinvesteringen'!C108</f>
        <v>15 Compressorstations (TT-BT-AT) (gaschromatografen en comptabele meters)</v>
      </c>
      <c r="E106" s="43">
        <f>'11. Desinvesteringen'!D108</f>
        <v>1998</v>
      </c>
      <c r="F106" s="48">
        <f>'11. Desinvesteringen'!E108</f>
        <v>127735.64</v>
      </c>
      <c r="G106" s="43">
        <f>'11. Desinvesteringen'!G108</f>
        <v>2020</v>
      </c>
    </row>
    <row r="107" spans="2:7" s="3" customFormat="1">
      <c r="B107" s="43">
        <f>'11. Desinvesteringen'!B109</f>
        <v>90</v>
      </c>
      <c r="D107" s="43" t="str">
        <f>'11. Desinvesteringen'!C109</f>
        <v>15 Compressorstations (TT-BT-AT)</v>
      </c>
      <c r="E107" s="43">
        <f>'11. Desinvesteringen'!D109</f>
        <v>2008</v>
      </c>
      <c r="F107" s="48">
        <f>'11. Desinvesteringen'!E109</f>
        <v>526456.12101200002</v>
      </c>
      <c r="G107" s="43">
        <f>'11. Desinvesteringen'!G109</f>
        <v>2020</v>
      </c>
    </row>
    <row r="108" spans="2:7" s="3" customFormat="1">
      <c r="B108" s="43">
        <f>'11. Desinvesteringen'!B110</f>
        <v>91</v>
      </c>
      <c r="D108" s="43" t="str">
        <f>'11. Desinvesteringen'!C110</f>
        <v>15 Compressorstations (TT-BT-AT)</v>
      </c>
      <c r="E108" s="43">
        <f>'11. Desinvesteringen'!D110</f>
        <v>2010</v>
      </c>
      <c r="F108" s="48">
        <f>'11. Desinvesteringen'!E110</f>
        <v>488182.154064</v>
      </c>
      <c r="G108" s="43">
        <f>'11. Desinvesteringen'!G110</f>
        <v>2020</v>
      </c>
    </row>
    <row r="109" spans="2:7" s="3" customFormat="1">
      <c r="B109" s="43">
        <f>'11. Desinvesteringen'!B111</f>
        <v>92</v>
      </c>
      <c r="D109" s="43" t="str">
        <f>'11. Desinvesteringen'!C111</f>
        <v>15 Compressorstations (TT-BT-AT)</v>
      </c>
      <c r="E109" s="43">
        <f>'11. Desinvesteringen'!D111</f>
        <v>2015</v>
      </c>
      <c r="F109" s="48">
        <f>'11. Desinvesteringen'!E111</f>
        <v>95260.246860999992</v>
      </c>
      <c r="G109" s="43">
        <f>'11. Desinvesteringen'!G111</f>
        <v>2020</v>
      </c>
    </row>
    <row r="110" spans="2:7" s="3" customFormat="1">
      <c r="B110" s="43">
        <f>'11. Desinvesteringen'!B112</f>
        <v>93</v>
      </c>
      <c r="D110" s="43" t="str">
        <f>'11. Desinvesteringen'!C112</f>
        <v>16 LNG installaties</v>
      </c>
      <c r="E110" s="43">
        <f>'11. Desinvesteringen'!D112</f>
        <v>1977</v>
      </c>
      <c r="F110" s="48">
        <f>'11. Desinvesteringen'!E112</f>
        <v>146130.37</v>
      </c>
      <c r="G110" s="43">
        <f>'11. Desinvesteringen'!G112</f>
        <v>2020</v>
      </c>
    </row>
    <row r="111" spans="2:7" s="3" customFormat="1">
      <c r="B111" s="43">
        <f>'11. Desinvesteringen'!B113</f>
        <v>94</v>
      </c>
      <c r="D111" s="43" t="str">
        <f>'11. Desinvesteringen'!C113</f>
        <v>17 Mengstations</v>
      </c>
      <c r="E111" s="43">
        <f>'11. Desinvesteringen'!D113</f>
        <v>1993</v>
      </c>
      <c r="F111" s="48">
        <f>'11. Desinvesteringen'!E113</f>
        <v>2269257</v>
      </c>
      <c r="G111" s="43">
        <f>'11. Desinvesteringen'!G113</f>
        <v>2020</v>
      </c>
    </row>
    <row r="112" spans="2:7" s="3" customFormat="1">
      <c r="B112" s="43">
        <f>'11. Desinvesteringen'!B114</f>
        <v>95</v>
      </c>
      <c r="D112" s="43" t="str">
        <f>'11. Desinvesteringen'!C114</f>
        <v>20 Kantoorgebouwen</v>
      </c>
      <c r="E112" s="43">
        <f>'11. Desinvesteringen'!D114</f>
        <v>1997</v>
      </c>
      <c r="F112" s="48">
        <f>'11. Desinvesteringen'!E114</f>
        <v>4810.9799999999996</v>
      </c>
      <c r="G112" s="43">
        <f>'11. Desinvesteringen'!G114</f>
        <v>2020</v>
      </c>
    </row>
    <row r="113" spans="2:7" s="3" customFormat="1">
      <c r="B113" s="43">
        <f>'11. Desinvesteringen'!B115</f>
        <v>96</v>
      </c>
      <c r="D113" s="43" t="str">
        <f>'11. Desinvesteringen'!C115</f>
        <v>21 Hoofdtransportleiding</v>
      </c>
      <c r="E113" s="43">
        <f>'11. Desinvesteringen'!D115</f>
        <v>1964</v>
      </c>
      <c r="F113" s="48">
        <f>'11. Desinvesteringen'!E115</f>
        <v>109225.21</v>
      </c>
      <c r="G113" s="43">
        <f>'11. Desinvesteringen'!G115</f>
        <v>2020</v>
      </c>
    </row>
    <row r="114" spans="2:7" s="3" customFormat="1">
      <c r="B114" s="43">
        <f>'11. Desinvesteringen'!B116</f>
        <v>97</v>
      </c>
      <c r="D114" s="43" t="str">
        <f>'11. Desinvesteringen'!C116</f>
        <v>21 Hoofdtransportleiding</v>
      </c>
      <c r="E114" s="43">
        <f>'11. Desinvesteringen'!D116</f>
        <v>1965</v>
      </c>
      <c r="F114" s="48">
        <f>'11. Desinvesteringen'!E116</f>
        <v>79354.039999999994</v>
      </c>
      <c r="G114" s="43">
        <f>'11. Desinvesteringen'!G116</f>
        <v>2020</v>
      </c>
    </row>
    <row r="115" spans="2:7" s="3" customFormat="1">
      <c r="B115" s="43">
        <f>'11. Desinvesteringen'!B117</f>
        <v>98</v>
      </c>
      <c r="D115" s="43" t="str">
        <f>'11. Desinvesteringen'!C117</f>
        <v>21 Hoofdtransportleiding</v>
      </c>
      <c r="E115" s="43">
        <f>'11. Desinvesteringen'!D117</f>
        <v>1969</v>
      </c>
      <c r="F115" s="48">
        <f>'11. Desinvesteringen'!E117</f>
        <v>160000</v>
      </c>
      <c r="G115" s="43">
        <f>'11. Desinvesteringen'!G117</f>
        <v>2020</v>
      </c>
    </row>
    <row r="116" spans="2:7" s="3" customFormat="1">
      <c r="B116" s="43">
        <f>'11. Desinvesteringen'!B118</f>
        <v>99</v>
      </c>
      <c r="D116" s="43" t="str">
        <f>'11. Desinvesteringen'!C118</f>
        <v>21 Hoofdtransportleiding</v>
      </c>
      <c r="E116" s="43">
        <f>'11. Desinvesteringen'!D118</f>
        <v>1970</v>
      </c>
      <c r="F116" s="48">
        <f>'11. Desinvesteringen'!E118</f>
        <v>1644.48</v>
      </c>
      <c r="G116" s="43">
        <f>'11. Desinvesteringen'!G118</f>
        <v>2020</v>
      </c>
    </row>
    <row r="117" spans="2:7" s="3" customFormat="1">
      <c r="B117" s="43">
        <f>'11. Desinvesteringen'!B119</f>
        <v>100</v>
      </c>
      <c r="D117" s="43" t="str">
        <f>'11. Desinvesteringen'!C119</f>
        <v>21 Hoofdtransportleiding</v>
      </c>
      <c r="E117" s="43">
        <f>'11. Desinvesteringen'!D119</f>
        <v>1971</v>
      </c>
      <c r="F117" s="48">
        <f>'11. Desinvesteringen'!E119</f>
        <v>104672.38</v>
      </c>
      <c r="G117" s="43">
        <f>'11. Desinvesteringen'!G119</f>
        <v>2020</v>
      </c>
    </row>
    <row r="118" spans="2:7" s="3" customFormat="1">
      <c r="B118" s="43">
        <f>'11. Desinvesteringen'!B120</f>
        <v>101</v>
      </c>
      <c r="D118" s="43" t="str">
        <f>'11. Desinvesteringen'!C120</f>
        <v>21 Hoofdtransportleiding (waterkruisingen)</v>
      </c>
      <c r="E118" s="43">
        <f>'11. Desinvesteringen'!D120</f>
        <v>1971</v>
      </c>
      <c r="F118" s="48">
        <f>'11. Desinvesteringen'!E120</f>
        <v>21999.06</v>
      </c>
      <c r="G118" s="43">
        <f>'11. Desinvesteringen'!G120</f>
        <v>2020</v>
      </c>
    </row>
    <row r="119" spans="2:7" s="3" customFormat="1">
      <c r="B119" s="43">
        <f>'11. Desinvesteringen'!B121</f>
        <v>102</v>
      </c>
      <c r="D119" s="43" t="str">
        <f>'11. Desinvesteringen'!C121</f>
        <v>21 Hoofdtransportleiding</v>
      </c>
      <c r="E119" s="43">
        <f>'11. Desinvesteringen'!D121</f>
        <v>1972</v>
      </c>
      <c r="F119" s="48">
        <f>'11. Desinvesteringen'!E121</f>
        <v>6833.93</v>
      </c>
      <c r="G119" s="43">
        <f>'11. Desinvesteringen'!G121</f>
        <v>2020</v>
      </c>
    </row>
    <row r="120" spans="2:7" s="3" customFormat="1">
      <c r="B120" s="43">
        <f>'11. Desinvesteringen'!B122</f>
        <v>103</v>
      </c>
      <c r="D120" s="43" t="str">
        <f>'11. Desinvesteringen'!C122</f>
        <v>21 Hoofdtransportleiding</v>
      </c>
      <c r="E120" s="43">
        <f>'11. Desinvesteringen'!D122</f>
        <v>1974</v>
      </c>
      <c r="F120" s="48">
        <f>'11. Desinvesteringen'!E122</f>
        <v>78733.03</v>
      </c>
      <c r="G120" s="43">
        <f>'11. Desinvesteringen'!G122</f>
        <v>2020</v>
      </c>
    </row>
    <row r="121" spans="2:7" s="3" customFormat="1">
      <c r="B121" s="43">
        <f>'11. Desinvesteringen'!B123</f>
        <v>104</v>
      </c>
      <c r="D121" s="43" t="str">
        <f>'11. Desinvesteringen'!C123</f>
        <v>21 Hoofdtransportleiding</v>
      </c>
      <c r="E121" s="43">
        <f>'11. Desinvesteringen'!D123</f>
        <v>1975</v>
      </c>
      <c r="F121" s="48">
        <f>'11. Desinvesteringen'!E123</f>
        <v>8893.32</v>
      </c>
      <c r="G121" s="43">
        <f>'11. Desinvesteringen'!G123</f>
        <v>2020</v>
      </c>
    </row>
    <row r="122" spans="2:7" s="3" customFormat="1">
      <c r="B122" s="43">
        <f>'11. Desinvesteringen'!B124</f>
        <v>105</v>
      </c>
      <c r="D122" s="43" t="str">
        <f>'11. Desinvesteringen'!C124</f>
        <v>21 Hoofdtransportleiding</v>
      </c>
      <c r="E122" s="43">
        <f>'11. Desinvesteringen'!D124</f>
        <v>1978</v>
      </c>
      <c r="F122" s="48">
        <f>'11. Desinvesteringen'!E124</f>
        <v>174538.66</v>
      </c>
      <c r="G122" s="43">
        <f>'11. Desinvesteringen'!G124</f>
        <v>2020</v>
      </c>
    </row>
    <row r="123" spans="2:7" s="3" customFormat="1">
      <c r="B123" s="43">
        <f>'11. Desinvesteringen'!B125</f>
        <v>106</v>
      </c>
      <c r="D123" s="43" t="str">
        <f>'11. Desinvesteringen'!C125</f>
        <v>21 Hoofdtransportleiding</v>
      </c>
      <c r="E123" s="43">
        <f>'11. Desinvesteringen'!D125</f>
        <v>1983</v>
      </c>
      <c r="F123" s="48">
        <f>'11. Desinvesteringen'!E125</f>
        <v>14249.66</v>
      </c>
      <c r="G123" s="43">
        <f>'11. Desinvesteringen'!G125</f>
        <v>2020</v>
      </c>
    </row>
    <row r="124" spans="2:7" s="3" customFormat="1">
      <c r="B124" s="43">
        <f>'11. Desinvesteringen'!B126</f>
        <v>107</v>
      </c>
      <c r="D124" s="43" t="str">
        <f>'11. Desinvesteringen'!C126</f>
        <v>21 Hoofdtransportleiding</v>
      </c>
      <c r="E124" s="43">
        <f>'11. Desinvesteringen'!D126</f>
        <v>1988</v>
      </c>
      <c r="F124" s="48">
        <f>'11. Desinvesteringen'!E126</f>
        <v>44968.09</v>
      </c>
      <c r="G124" s="43">
        <f>'11. Desinvesteringen'!G126</f>
        <v>2020</v>
      </c>
    </row>
    <row r="125" spans="2:7" s="3" customFormat="1">
      <c r="B125" s="43">
        <f>'11. Desinvesteringen'!B127</f>
        <v>108</v>
      </c>
      <c r="D125" s="43" t="str">
        <f>'11. Desinvesteringen'!C127</f>
        <v>21 Hoofdtransportleiding</v>
      </c>
      <c r="E125" s="43">
        <f>'11. Desinvesteringen'!D127</f>
        <v>1995</v>
      </c>
      <c r="F125" s="48">
        <f>'11. Desinvesteringen'!E127</f>
        <v>7512.54</v>
      </c>
      <c r="G125" s="43">
        <f>'11. Desinvesteringen'!G127</f>
        <v>2020</v>
      </c>
    </row>
    <row r="126" spans="2:7" s="3" customFormat="1">
      <c r="B126" s="43">
        <f>'11. Desinvesteringen'!B128</f>
        <v>109</v>
      </c>
      <c r="D126" s="43" t="str">
        <f>'11. Desinvesteringen'!C128</f>
        <v>21 Hoofdtransportleiding</v>
      </c>
      <c r="E126" s="43">
        <f>'11. Desinvesteringen'!D128</f>
        <v>2004</v>
      </c>
      <c r="F126" s="48">
        <f>'11. Desinvesteringen'!E128</f>
        <v>187756.39</v>
      </c>
      <c r="G126" s="43">
        <f>'11. Desinvesteringen'!G128</f>
        <v>2020</v>
      </c>
    </row>
    <row r="127" spans="2:7" s="3" customFormat="1">
      <c r="B127" s="43">
        <f>'11. Desinvesteringen'!B129</f>
        <v>110</v>
      </c>
      <c r="D127" s="43" t="str">
        <f>'11. Desinvesteringen'!C129</f>
        <v>41 Stikstofbuffer</v>
      </c>
      <c r="E127" s="43">
        <f>'11. Desinvesteringen'!D129</f>
        <v>2012</v>
      </c>
      <c r="F127" s="48">
        <f>'11. Desinvesteringen'!E129</f>
        <v>2282230.9217790002</v>
      </c>
      <c r="G127" s="43">
        <f>'11. Desinvesteringen'!G129</f>
        <v>2020</v>
      </c>
    </row>
    <row r="128" spans="2:7" s="3" customFormat="1">
      <c r="B128" s="43">
        <f>'11. Desinvesteringen'!B130</f>
        <v>111</v>
      </c>
      <c r="D128" s="43" t="str">
        <f>'11. Desinvesteringen'!C130</f>
        <v>33 Exportstations</v>
      </c>
      <c r="E128" s="43">
        <f>'11. Desinvesteringen'!D130</f>
        <v>2004</v>
      </c>
      <c r="F128" s="48">
        <f>'11. Desinvesteringen'!E130</f>
        <v>2028.6</v>
      </c>
      <c r="G128" s="43">
        <f>'11. Desinvesteringen'!G130</f>
        <v>2020</v>
      </c>
    </row>
    <row r="129" spans="2:7" s="3" customFormat="1">
      <c r="B129" s="43">
        <f>'11. Desinvesteringen'!B131</f>
        <v>112</v>
      </c>
      <c r="D129" s="43" t="str">
        <f>'11. Desinvesteringen'!C131</f>
        <v>33 Exportstations</v>
      </c>
      <c r="E129" s="43">
        <f>'11. Desinvesteringen'!D131</f>
        <v>2011</v>
      </c>
      <c r="F129" s="48">
        <f>'11. Desinvesteringen'!E131</f>
        <v>603616.46129999997</v>
      </c>
      <c r="G129" s="43">
        <f>'11. Desinvesteringen'!G131</f>
        <v>2020</v>
      </c>
    </row>
    <row r="130" spans="2:7" s="3" customFormat="1">
      <c r="B130" s="43">
        <f>'11. Desinvesteringen'!B132</f>
        <v>113</v>
      </c>
      <c r="D130" s="43" t="str">
        <f>'11. Desinvesteringen'!C132</f>
        <v>34 Reduceerstations</v>
      </c>
      <c r="E130" s="43">
        <f>'11. Desinvesteringen'!D132</f>
        <v>1998</v>
      </c>
      <c r="F130" s="48">
        <f>'11. Desinvesteringen'!E132</f>
        <v>500000</v>
      </c>
      <c r="G130" s="43">
        <f>'11. Desinvesteringen'!G132</f>
        <v>2020</v>
      </c>
    </row>
    <row r="131" spans="2:7" s="3" customFormat="1">
      <c r="B131" s="43">
        <f>'11. Desinvesteringen'!B133</f>
        <v>114</v>
      </c>
      <c r="D131" s="43" t="str">
        <f>'11. Desinvesteringen'!C133</f>
        <v>34 Reduceerstations</v>
      </c>
      <c r="E131" s="43">
        <f>'11. Desinvesteringen'!D133</f>
        <v>2004</v>
      </c>
      <c r="F131" s="48">
        <f>'11. Desinvesteringen'!E133</f>
        <v>45527.519999999997</v>
      </c>
      <c r="G131" s="43">
        <f>'11. Desinvesteringen'!G133</f>
        <v>2020</v>
      </c>
    </row>
    <row r="132" spans="2:7" s="3" customFormat="1">
      <c r="B132" s="43">
        <f>'11. Desinvesteringen'!B134</f>
        <v>115</v>
      </c>
      <c r="D132" s="43" t="str">
        <f>'11. Desinvesteringen'!C134</f>
        <v>34 Reduceerstations</v>
      </c>
      <c r="E132" s="43">
        <f>'11. Desinvesteringen'!D134</f>
        <v>2005</v>
      </c>
      <c r="F132" s="48">
        <f>'11. Desinvesteringen'!E134</f>
        <v>9959.0400000000009</v>
      </c>
      <c r="G132" s="43">
        <f>'11. Desinvesteringen'!G134</f>
        <v>2020</v>
      </c>
    </row>
    <row r="133" spans="2:7" s="3" customFormat="1">
      <c r="B133" s="43">
        <f>'11. Desinvesteringen'!B135</f>
        <v>116</v>
      </c>
      <c r="D133" s="43" t="str">
        <f>'11. Desinvesteringen'!C135</f>
        <v>34 Reduceerstations</v>
      </c>
      <c r="E133" s="43">
        <f>'11. Desinvesteringen'!D135</f>
        <v>2016</v>
      </c>
      <c r="F133" s="48">
        <f>'11. Desinvesteringen'!E135</f>
        <v>855977.36259199993</v>
      </c>
      <c r="G133" s="43">
        <f>'11. Desinvesteringen'!G135</f>
        <v>2020</v>
      </c>
    </row>
    <row r="134" spans="2:7" s="3" customFormat="1">
      <c r="B134" s="43">
        <f>'11. Desinvesteringen'!B136</f>
        <v>117</v>
      </c>
      <c r="D134" s="43" t="str">
        <f>'11. Desinvesteringen'!C136</f>
        <v>35 Injectiestations</v>
      </c>
      <c r="E134" s="43">
        <f>'11. Desinvesteringen'!D136</f>
        <v>2016</v>
      </c>
      <c r="F134" s="48">
        <f>'11. Desinvesteringen'!E136</f>
        <v>778785.35750399996</v>
      </c>
      <c r="G134" s="43">
        <f>'11. Desinvesteringen'!G136</f>
        <v>2020</v>
      </c>
    </row>
    <row r="135" spans="2:7" s="3" customFormat="1">
      <c r="B135" s="43">
        <f>'11. Desinvesteringen'!B137</f>
        <v>118</v>
      </c>
      <c r="D135" s="43" t="str">
        <f>'11. Desinvesteringen'!C137</f>
        <v>36 Luchtscheidingsunit</v>
      </c>
      <c r="E135" s="43">
        <f>'11. Desinvesteringen'!D137</f>
        <v>1988</v>
      </c>
      <c r="F135" s="48">
        <f>'11. Desinvesteringen'!E137</f>
        <v>2894954.5</v>
      </c>
      <c r="G135" s="43">
        <f>'11. Desinvesteringen'!G137</f>
        <v>2020</v>
      </c>
    </row>
    <row r="136" spans="2:7" s="3" customFormat="1">
      <c r="B136" s="43">
        <f>'11. Desinvesteringen'!B138</f>
        <v>119</v>
      </c>
      <c r="D136" s="43" t="str">
        <f>'11. Desinvesteringen'!C138</f>
        <v>37 ICT middelen 1</v>
      </c>
      <c r="E136" s="43">
        <f>'11. Desinvesteringen'!D138</f>
        <v>2016</v>
      </c>
      <c r="F136" s="48">
        <f>'11. Desinvesteringen'!E138</f>
        <v>362355.80583999999</v>
      </c>
      <c r="G136" s="43">
        <f>'11. Desinvesteringen'!G138</f>
        <v>2020</v>
      </c>
    </row>
    <row r="137" spans="2:7" s="3" customFormat="1">
      <c r="B137" s="43">
        <f>'11. Desinvesteringen'!B139</f>
        <v>120</v>
      </c>
      <c r="D137" s="43" t="str">
        <f>'11. Desinvesteringen'!C139</f>
        <v>02 Gasontvangststations</v>
      </c>
      <c r="E137" s="43">
        <f>'11. Desinvesteringen'!D139</f>
        <v>1992</v>
      </c>
      <c r="F137" s="48">
        <f>'11. Desinvesteringen'!E139</f>
        <v>876626.98</v>
      </c>
      <c r="G137" s="43">
        <f>'11. Desinvesteringen'!G139</f>
        <v>2021</v>
      </c>
    </row>
    <row r="138" spans="2:7" s="3" customFormat="1">
      <c r="B138" s="43">
        <f>'11. Desinvesteringen'!B140</f>
        <v>121</v>
      </c>
      <c r="D138" s="43" t="str">
        <f>'11. Desinvesteringen'!C140</f>
        <v>02 Gasontvangststations</v>
      </c>
      <c r="E138" s="43">
        <f>'11. Desinvesteringen'!D140</f>
        <v>1993</v>
      </c>
      <c r="F138" s="48">
        <f>'11. Desinvesteringen'!E140</f>
        <v>6193.19</v>
      </c>
      <c r="G138" s="43">
        <f>'11. Desinvesteringen'!G140</f>
        <v>2021</v>
      </c>
    </row>
    <row r="139" spans="2:7" s="3" customFormat="1">
      <c r="B139" s="43">
        <f>'11. Desinvesteringen'!B141</f>
        <v>122</v>
      </c>
      <c r="D139" s="43" t="str">
        <f>'11. Desinvesteringen'!C141</f>
        <v>02 Gasontvangststations</v>
      </c>
      <c r="E139" s="43">
        <f>'11. Desinvesteringen'!D141</f>
        <v>1995</v>
      </c>
      <c r="F139" s="48">
        <f>'11. Desinvesteringen'!E141</f>
        <v>8440.31</v>
      </c>
      <c r="G139" s="43">
        <f>'11. Desinvesteringen'!G141</f>
        <v>2021</v>
      </c>
    </row>
    <row r="140" spans="2:7" s="3" customFormat="1">
      <c r="B140" s="43">
        <f>'11. Desinvesteringen'!B142</f>
        <v>123</v>
      </c>
      <c r="D140" s="43" t="str">
        <f>'11. Desinvesteringen'!C142</f>
        <v>02 Gasontvangststations</v>
      </c>
      <c r="E140" s="43">
        <f>'11. Desinvesteringen'!D142</f>
        <v>1996</v>
      </c>
      <c r="F140" s="48">
        <f>'11. Desinvesteringen'!E142</f>
        <v>6633.93</v>
      </c>
      <c r="G140" s="43">
        <f>'11. Desinvesteringen'!G142</f>
        <v>2021</v>
      </c>
    </row>
    <row r="141" spans="2:7" s="3" customFormat="1">
      <c r="B141" s="43">
        <f>'11. Desinvesteringen'!B143</f>
        <v>124</v>
      </c>
      <c r="D141" s="43" t="str">
        <f>'11. Desinvesteringen'!C143</f>
        <v>02 Gasontvangststations</v>
      </c>
      <c r="E141" s="43">
        <f>'11. Desinvesteringen'!D143</f>
        <v>1998</v>
      </c>
      <c r="F141" s="48">
        <f>'11. Desinvesteringen'!E143</f>
        <v>10371.369999999999</v>
      </c>
      <c r="G141" s="43">
        <f>'11. Desinvesteringen'!G143</f>
        <v>2021</v>
      </c>
    </row>
    <row r="142" spans="2:7" s="3" customFormat="1">
      <c r="B142" s="43">
        <f>'11. Desinvesteringen'!B144</f>
        <v>125</v>
      </c>
      <c r="D142" s="43" t="str">
        <f>'11. Desinvesteringen'!C144</f>
        <v>02 Gasontvangststations</v>
      </c>
      <c r="E142" s="43">
        <f>'11. Desinvesteringen'!D144</f>
        <v>1999</v>
      </c>
      <c r="F142" s="48">
        <f>'11. Desinvesteringen'!E144</f>
        <v>4737.3</v>
      </c>
      <c r="G142" s="43">
        <f>'11. Desinvesteringen'!G144</f>
        <v>2021</v>
      </c>
    </row>
    <row r="143" spans="2:7" s="3" customFormat="1">
      <c r="B143" s="43">
        <f>'11. Desinvesteringen'!B145</f>
        <v>126</v>
      </c>
      <c r="D143" s="43" t="str">
        <f>'11. Desinvesteringen'!C145</f>
        <v>02 Gasontvangststations</v>
      </c>
      <c r="E143" s="43">
        <f>'11. Desinvesteringen'!D145</f>
        <v>2002</v>
      </c>
      <c r="F143" s="48">
        <f>'11. Desinvesteringen'!E145</f>
        <v>49679.41</v>
      </c>
      <c r="G143" s="43">
        <f>'11. Desinvesteringen'!G145</f>
        <v>2021</v>
      </c>
    </row>
    <row r="144" spans="2:7" s="3" customFormat="1">
      <c r="B144" s="43">
        <f>'11. Desinvesteringen'!B146</f>
        <v>127</v>
      </c>
      <c r="D144" s="43" t="str">
        <f>'11. Desinvesteringen'!C146</f>
        <v>02 Gasontvangststations</v>
      </c>
      <c r="E144" s="43">
        <f>'11. Desinvesteringen'!D146</f>
        <v>2003</v>
      </c>
      <c r="F144" s="48">
        <f>'11. Desinvesteringen'!E146</f>
        <v>42948.94</v>
      </c>
      <c r="G144" s="43">
        <f>'11. Desinvesteringen'!G146</f>
        <v>2021</v>
      </c>
    </row>
    <row r="145" spans="2:7" s="3" customFormat="1">
      <c r="B145" s="43">
        <f>'11. Desinvesteringen'!B147</f>
        <v>128</v>
      </c>
      <c r="D145" s="43" t="str">
        <f>'11. Desinvesteringen'!C147</f>
        <v>02 Gasontvangststations</v>
      </c>
      <c r="E145" s="43">
        <f>'11. Desinvesteringen'!D147</f>
        <v>2005</v>
      </c>
      <c r="F145" s="48">
        <f>'11. Desinvesteringen'!E147</f>
        <v>108188.81</v>
      </c>
      <c r="G145" s="43">
        <f>'11. Desinvesteringen'!G147</f>
        <v>2021</v>
      </c>
    </row>
    <row r="146" spans="2:7" s="3" customFormat="1">
      <c r="B146" s="43">
        <f>'11. Desinvesteringen'!B148</f>
        <v>129</v>
      </c>
      <c r="D146" s="43" t="str">
        <f>'11. Desinvesteringen'!C148</f>
        <v>16 LNG installaties</v>
      </c>
      <c r="E146" s="43">
        <f>'11. Desinvesteringen'!D148</f>
        <v>2010</v>
      </c>
      <c r="F146" s="48">
        <f>'11. Desinvesteringen'!E148</f>
        <v>1044433.3749015761</v>
      </c>
      <c r="G146" s="43">
        <f>'11. Desinvesteringen'!G148</f>
        <v>2021</v>
      </c>
    </row>
    <row r="147" spans="2:7" s="3" customFormat="1">
      <c r="B147" s="43">
        <f>'11. Desinvesteringen'!B149</f>
        <v>130</v>
      </c>
      <c r="D147" s="43" t="str">
        <f>'11. Desinvesteringen'!C149</f>
        <v>16 LNG installaties</v>
      </c>
      <c r="E147" s="43">
        <f>'11. Desinvesteringen'!D149</f>
        <v>2011</v>
      </c>
      <c r="F147" s="48">
        <f>'11. Desinvesteringen'!E149</f>
        <v>55479.276483167145</v>
      </c>
      <c r="G147" s="43">
        <f>'11. Desinvesteringen'!G149</f>
        <v>2021</v>
      </c>
    </row>
    <row r="148" spans="2:7" s="3" customFormat="1">
      <c r="B148" s="43">
        <f>'11. Desinvesteringen'!B150</f>
        <v>131</v>
      </c>
      <c r="D148" s="43" t="str">
        <f>'11. Desinvesteringen'!C150</f>
        <v>16 LNG installaties</v>
      </c>
      <c r="E148" s="43">
        <f>'11. Desinvesteringen'!D150</f>
        <v>2012</v>
      </c>
      <c r="F148" s="48">
        <f>'11. Desinvesteringen'!E150</f>
        <v>3622072.4393920866</v>
      </c>
      <c r="G148" s="43">
        <f>'11. Desinvesteringen'!G150</f>
        <v>2021</v>
      </c>
    </row>
    <row r="149" spans="2:7" s="3" customFormat="1">
      <c r="B149" s="43">
        <f>'11. Desinvesteringen'!B151</f>
        <v>132</v>
      </c>
      <c r="D149" s="43" t="str">
        <f>'11. Desinvesteringen'!C151</f>
        <v>02 Gasontvangststations</v>
      </c>
      <c r="E149" s="43">
        <f>'11. Desinvesteringen'!D151</f>
        <v>2007</v>
      </c>
      <c r="F149" s="48">
        <f>'11. Desinvesteringen'!E151</f>
        <v>209399.48</v>
      </c>
      <c r="G149" s="43">
        <f>'11. Desinvesteringen'!G151</f>
        <v>2021</v>
      </c>
    </row>
    <row r="150" spans="2:7" s="3" customFormat="1">
      <c r="B150" s="43">
        <f>'11. Desinvesteringen'!B152</f>
        <v>133</v>
      </c>
      <c r="D150" s="43" t="str">
        <f>'11. Desinvesteringen'!C152</f>
        <v>02 Gasontvangststations</v>
      </c>
      <c r="E150" s="43">
        <f>'11. Desinvesteringen'!D152</f>
        <v>2011</v>
      </c>
      <c r="F150" s="48">
        <f>'11. Desinvesteringen'!E152</f>
        <v>326231.77348609408</v>
      </c>
      <c r="G150" s="43">
        <f>'11. Desinvesteringen'!G152</f>
        <v>2021</v>
      </c>
    </row>
    <row r="151" spans="2:7" s="3" customFormat="1">
      <c r="B151" s="43">
        <f>'11. Desinvesteringen'!B153</f>
        <v>134</v>
      </c>
      <c r="D151" s="43" t="str">
        <f>'11. Desinvesteringen'!C153</f>
        <v>02 Gasontvangststations</v>
      </c>
      <c r="E151" s="43">
        <f>'11. Desinvesteringen'!D153</f>
        <v>2012</v>
      </c>
      <c r="F151" s="48">
        <f>'11. Desinvesteringen'!E153</f>
        <v>304764.16110630898</v>
      </c>
      <c r="G151" s="43">
        <f>'11. Desinvesteringen'!G153</f>
        <v>2021</v>
      </c>
    </row>
    <row r="152" spans="2:7" s="3" customFormat="1">
      <c r="B152" s="43">
        <f>'11. Desinvesteringen'!B154</f>
        <v>135</v>
      </c>
      <c r="D152" s="43" t="str">
        <f>'11. Desinvesteringen'!C154</f>
        <v>02 Gasontvangststations</v>
      </c>
      <c r="E152" s="43">
        <f>'11. Desinvesteringen'!D154</f>
        <v>2013</v>
      </c>
      <c r="F152" s="48">
        <f>'11. Desinvesteringen'!E154</f>
        <v>38943.678871327982</v>
      </c>
      <c r="G152" s="43">
        <f>'11. Desinvesteringen'!G154</f>
        <v>2021</v>
      </c>
    </row>
    <row r="153" spans="2:7" s="3" customFormat="1">
      <c r="B153" s="43">
        <f>'11. Desinvesteringen'!B155</f>
        <v>136</v>
      </c>
      <c r="D153" s="43" t="str">
        <f>'11. Desinvesteringen'!C155</f>
        <v>02 Gasontvangststations</v>
      </c>
      <c r="E153" s="43">
        <f>'11. Desinvesteringen'!D155</f>
        <v>2018</v>
      </c>
      <c r="F153" s="48">
        <f>'11. Desinvesteringen'!E155</f>
        <v>24781.746230975445</v>
      </c>
      <c r="G153" s="43">
        <f>'11. Desinvesteringen'!G155</f>
        <v>2021</v>
      </c>
    </row>
    <row r="154" spans="2:7" s="3" customFormat="1">
      <c r="B154" s="43">
        <f>'11. Desinvesteringen'!B156</f>
        <v>137</v>
      </c>
      <c r="D154" s="43" t="str">
        <f>'11. Desinvesteringen'!C156</f>
        <v>05 Wegen en terreinvoorzieningen</v>
      </c>
      <c r="E154" s="43">
        <f>'11. Desinvesteringen'!D156</f>
        <v>1998</v>
      </c>
      <c r="F154" s="48">
        <f>'11. Desinvesteringen'!E156</f>
        <v>95295.21</v>
      </c>
      <c r="G154" s="43">
        <f>'11. Desinvesteringen'!G156</f>
        <v>2021</v>
      </c>
    </row>
    <row r="155" spans="2:7" s="3" customFormat="1">
      <c r="B155" s="43">
        <f>'11. Desinvesteringen'!B157</f>
        <v>138</v>
      </c>
      <c r="D155" s="43" t="str">
        <f>'11. Desinvesteringen'!C157</f>
        <v>05 Wegen en terreinvoorzieningen</v>
      </c>
      <c r="E155" s="43">
        <f>'11. Desinvesteringen'!D157</f>
        <v>2007</v>
      </c>
      <c r="F155" s="48">
        <f>'11. Desinvesteringen'!E157</f>
        <v>13693.71</v>
      </c>
      <c r="G155" s="43">
        <f>'11. Desinvesteringen'!G157</f>
        <v>2021</v>
      </c>
    </row>
    <row r="156" spans="2:7" s="3" customFormat="1">
      <c r="B156" s="43">
        <f>'11. Desinvesteringen'!B158</f>
        <v>139</v>
      </c>
      <c r="D156" s="43" t="str">
        <f>'11. Desinvesteringen'!C158</f>
        <v>05 Wegen en terreinvoorzieningen</v>
      </c>
      <c r="E156" s="43">
        <f>'11. Desinvesteringen'!D158</f>
        <v>2016</v>
      </c>
      <c r="F156" s="48">
        <f>'11. Desinvesteringen'!E158</f>
        <v>32624.757655515543</v>
      </c>
      <c r="G156" s="43">
        <f>'11. Desinvesteringen'!G158</f>
        <v>2021</v>
      </c>
    </row>
    <row r="157" spans="2:7" s="3" customFormat="1">
      <c r="B157" s="43">
        <f>'11. Desinvesteringen'!B159</f>
        <v>140</v>
      </c>
      <c r="D157" s="43" t="str">
        <f>'11. Desinvesteringen'!C159</f>
        <v>05 Wegen en terreinvoorzieningen</v>
      </c>
      <c r="E157" s="43">
        <f>'11. Desinvesteringen'!D159</f>
        <v>2018</v>
      </c>
      <c r="F157" s="48">
        <f>'11. Desinvesteringen'!E159</f>
        <v>538732.54828671971</v>
      </c>
      <c r="G157" s="43">
        <f>'11. Desinvesteringen'!G159</f>
        <v>2021</v>
      </c>
    </row>
    <row r="158" spans="2:7" s="3" customFormat="1">
      <c r="B158" s="43">
        <f>'11. Desinvesteringen'!B160</f>
        <v>141</v>
      </c>
      <c r="D158" s="43" t="str">
        <f>'11. Desinvesteringen'!C160</f>
        <v>06 Utiliteitsgebouwen</v>
      </c>
      <c r="E158" s="43">
        <f>'11. Desinvesteringen'!D160</f>
        <v>1980</v>
      </c>
      <c r="F158" s="48">
        <f>'11. Desinvesteringen'!E160</f>
        <v>15535.76</v>
      </c>
      <c r="G158" s="43">
        <f>'11. Desinvesteringen'!G160</f>
        <v>2021</v>
      </c>
    </row>
    <row r="159" spans="2:7" s="3" customFormat="1">
      <c r="B159" s="43">
        <f>'11. Desinvesteringen'!B161</f>
        <v>142</v>
      </c>
      <c r="D159" s="43" t="str">
        <f>'11. Desinvesteringen'!C161</f>
        <v>06 Utiliteitsgebouwen</v>
      </c>
      <c r="E159" s="43">
        <f>'11. Desinvesteringen'!D161</f>
        <v>2005</v>
      </c>
      <c r="F159" s="48">
        <f>'11. Desinvesteringen'!E161</f>
        <v>95475</v>
      </c>
      <c r="G159" s="43">
        <f>'11. Desinvesteringen'!G161</f>
        <v>2021</v>
      </c>
    </row>
    <row r="160" spans="2:7" s="3" customFormat="1">
      <c r="B160" s="43">
        <f>'11. Desinvesteringen'!B162</f>
        <v>143</v>
      </c>
      <c r="D160" s="43" t="str">
        <f>'11. Desinvesteringen'!C162</f>
        <v>06 Utiliteitsgebouwen</v>
      </c>
      <c r="E160" s="43">
        <f>'11. Desinvesteringen'!D162</f>
        <v>2006</v>
      </c>
      <c r="F160" s="48">
        <f>'11. Desinvesteringen'!E162</f>
        <v>43750.75</v>
      </c>
      <c r="G160" s="43">
        <f>'11. Desinvesteringen'!G162</f>
        <v>2021</v>
      </c>
    </row>
    <row r="161" spans="2:7" s="3" customFormat="1">
      <c r="B161" s="43">
        <f>'11. Desinvesteringen'!B163</f>
        <v>144</v>
      </c>
      <c r="D161" s="43" t="str">
        <f>'11. Desinvesteringen'!C163</f>
        <v>06 Utiliteitsgebouwen (LNG)</v>
      </c>
      <c r="E161" s="43">
        <f>'11. Desinvesteringen'!D163</f>
        <v>2006</v>
      </c>
      <c r="F161" s="48">
        <f>'11. Desinvesteringen'!E163</f>
        <v>213008.69</v>
      </c>
      <c r="G161" s="43">
        <f>'11. Desinvesteringen'!G163</f>
        <v>2021</v>
      </c>
    </row>
    <row r="162" spans="2:7" s="3" customFormat="1">
      <c r="B162" s="43">
        <f>'11. Desinvesteringen'!B164</f>
        <v>145</v>
      </c>
      <c r="D162" s="43" t="str">
        <f>'11. Desinvesteringen'!C164</f>
        <v>06 Utiliteitsgebouwen</v>
      </c>
      <c r="E162" s="43">
        <f>'11. Desinvesteringen'!D164</f>
        <v>2010</v>
      </c>
      <c r="F162" s="48">
        <f>'11. Desinvesteringen'!E164</f>
        <v>8444.43</v>
      </c>
      <c r="G162" s="43">
        <f>'11. Desinvesteringen'!G164</f>
        <v>2021</v>
      </c>
    </row>
    <row r="163" spans="2:7" s="3" customFormat="1">
      <c r="B163" s="43">
        <f>'11. Desinvesteringen'!B165</f>
        <v>146</v>
      </c>
      <c r="D163" s="43" t="str">
        <f>'11. Desinvesteringen'!C165</f>
        <v>08 Inrichting gebouwen</v>
      </c>
      <c r="E163" s="43">
        <f>'11. Desinvesteringen'!D165</f>
        <v>1995</v>
      </c>
      <c r="F163" s="48">
        <f>'11. Desinvesteringen'!E165</f>
        <v>21404.81</v>
      </c>
      <c r="G163" s="43">
        <f>'11. Desinvesteringen'!G165</f>
        <v>2021</v>
      </c>
    </row>
    <row r="164" spans="2:7" s="3" customFormat="1">
      <c r="B164" s="43">
        <f>'11. Desinvesteringen'!B166</f>
        <v>147</v>
      </c>
      <c r="D164" s="43" t="str">
        <f>'11. Desinvesteringen'!C166</f>
        <v>08 Inrichting gebouwen</v>
      </c>
      <c r="E164" s="43">
        <f>'11. Desinvesteringen'!D166</f>
        <v>1999</v>
      </c>
      <c r="F164" s="48">
        <f>'11. Desinvesteringen'!E166</f>
        <v>41263.57</v>
      </c>
      <c r="G164" s="43">
        <f>'11. Desinvesteringen'!G166</f>
        <v>2021</v>
      </c>
    </row>
    <row r="165" spans="2:7" s="3" customFormat="1">
      <c r="B165" s="43">
        <f>'11. Desinvesteringen'!B167</f>
        <v>148</v>
      </c>
      <c r="D165" s="43" t="str">
        <f>'11. Desinvesteringen'!C167</f>
        <v>16 LNG installaties</v>
      </c>
      <c r="E165" s="43">
        <f>'11. Desinvesteringen'!D167</f>
        <v>2013</v>
      </c>
      <c r="F165" s="48">
        <f>'11. Desinvesteringen'!E167</f>
        <v>3696661.0956130447</v>
      </c>
      <c r="G165" s="43">
        <f>'11. Desinvesteringen'!G167</f>
        <v>2021</v>
      </c>
    </row>
    <row r="166" spans="2:7" s="3" customFormat="1">
      <c r="B166" s="43">
        <f>'11. Desinvesteringen'!B168</f>
        <v>149</v>
      </c>
      <c r="D166" s="43" t="str">
        <f>'11. Desinvesteringen'!C168</f>
        <v>16 LNG installaties</v>
      </c>
      <c r="E166" s="43">
        <f>'11. Desinvesteringen'!D168</f>
        <v>2014</v>
      </c>
      <c r="F166" s="48">
        <f>'11. Desinvesteringen'!E168</f>
        <v>-211261.47377242689</v>
      </c>
      <c r="G166" s="43">
        <f>'11. Desinvesteringen'!G168</f>
        <v>2021</v>
      </c>
    </row>
    <row r="167" spans="2:7" s="3" customFormat="1">
      <c r="B167" s="43">
        <f>'11. Desinvesteringen'!B169</f>
        <v>150</v>
      </c>
      <c r="D167" s="43" t="str">
        <f>'11. Desinvesteringen'!C169</f>
        <v>16 LNG installaties</v>
      </c>
      <c r="E167" s="43">
        <f>'11. Desinvesteringen'!D169</f>
        <v>2015</v>
      </c>
      <c r="F167" s="48">
        <f>'11. Desinvesteringen'!E169</f>
        <v>1410348.6255901323</v>
      </c>
      <c r="G167" s="43">
        <f>'11. Desinvesteringen'!G169</f>
        <v>2021</v>
      </c>
    </row>
    <row r="168" spans="2:7" s="3" customFormat="1">
      <c r="B168" s="43">
        <f>'11. Desinvesteringen'!B170</f>
        <v>151</v>
      </c>
      <c r="D168" s="43" t="str">
        <f>'11. Desinvesteringen'!C170</f>
        <v>08 Inrichting gebouwen</v>
      </c>
      <c r="E168" s="43">
        <f>'11. Desinvesteringen'!D170</f>
        <v>2004</v>
      </c>
      <c r="F168" s="48">
        <f>'11. Desinvesteringen'!E170</f>
        <v>25586.77</v>
      </c>
      <c r="G168" s="43">
        <f>'11. Desinvesteringen'!G170</f>
        <v>2021</v>
      </c>
    </row>
    <row r="169" spans="2:7" s="3" customFormat="1">
      <c r="B169" s="43">
        <f>'11. Desinvesteringen'!B171</f>
        <v>152</v>
      </c>
      <c r="D169" s="43" t="str">
        <f>'11. Desinvesteringen'!C171</f>
        <v>08 Inrichting gebouwen</v>
      </c>
      <c r="E169" s="43">
        <f>'11. Desinvesteringen'!D171</f>
        <v>2007</v>
      </c>
      <c r="F169" s="48">
        <f>'11. Desinvesteringen'!E171</f>
        <v>72524.09</v>
      </c>
      <c r="G169" s="43">
        <f>'11. Desinvesteringen'!G171</f>
        <v>2021</v>
      </c>
    </row>
    <row r="170" spans="2:7" s="3" customFormat="1">
      <c r="B170" s="43">
        <f>'11. Desinvesteringen'!B172</f>
        <v>153</v>
      </c>
      <c r="D170" s="43" t="str">
        <f>'11. Desinvesteringen'!C172</f>
        <v>08 Inrichting gebouwen</v>
      </c>
      <c r="E170" s="43">
        <f>'11. Desinvesteringen'!D172</f>
        <v>2009</v>
      </c>
      <c r="F170" s="48">
        <f>'11. Desinvesteringen'!E172</f>
        <v>43757.98</v>
      </c>
      <c r="G170" s="43">
        <f>'11. Desinvesteringen'!G172</f>
        <v>2021</v>
      </c>
    </row>
    <row r="171" spans="2:7" s="3" customFormat="1">
      <c r="B171" s="43">
        <f>'11. Desinvesteringen'!B173</f>
        <v>154</v>
      </c>
      <c r="D171" s="43" t="str">
        <f>'11. Desinvesteringen'!C173</f>
        <v>08 Inrichting gebouwen</v>
      </c>
      <c r="E171" s="43">
        <f>'11. Desinvesteringen'!D173</f>
        <v>2018</v>
      </c>
      <c r="F171" s="48">
        <f>'11. Desinvesteringen'!E173</f>
        <v>92063.762018898677</v>
      </c>
      <c r="G171" s="43">
        <f>'11. Desinvesteringen'!G173</f>
        <v>2021</v>
      </c>
    </row>
    <row r="172" spans="2:7" s="3" customFormat="1">
      <c r="B172" s="43">
        <f>'11. Desinvesteringen'!B174</f>
        <v>155</v>
      </c>
      <c r="D172" s="43" t="str">
        <f>'11. Desinvesteringen'!C174</f>
        <v>09 Bedrijfsinventaris</v>
      </c>
      <c r="E172" s="43">
        <f>'11. Desinvesteringen'!D174</f>
        <v>1999</v>
      </c>
      <c r="F172" s="48">
        <f>'11. Desinvesteringen'!E174</f>
        <v>23628.5</v>
      </c>
      <c r="G172" s="43">
        <f>'11. Desinvesteringen'!G174</f>
        <v>2021</v>
      </c>
    </row>
    <row r="173" spans="2:7" s="3" customFormat="1">
      <c r="B173" s="43">
        <f>'11. Desinvesteringen'!B175</f>
        <v>156</v>
      </c>
      <c r="D173" s="43" t="str">
        <f>'11. Desinvesteringen'!C175</f>
        <v>09 Bedrijfsinventaris</v>
      </c>
      <c r="E173" s="43">
        <f>'11. Desinvesteringen'!D175</f>
        <v>2003</v>
      </c>
      <c r="F173" s="48">
        <f>'11. Desinvesteringen'!E175</f>
        <v>5549.99</v>
      </c>
      <c r="G173" s="43">
        <f>'11. Desinvesteringen'!G175</f>
        <v>2021</v>
      </c>
    </row>
    <row r="174" spans="2:7" s="3" customFormat="1">
      <c r="B174" s="43">
        <f>'11. Desinvesteringen'!B176</f>
        <v>157</v>
      </c>
      <c r="D174" s="43" t="str">
        <f>'11. Desinvesteringen'!C176</f>
        <v>09 Bedrijfsinventaris</v>
      </c>
      <c r="E174" s="43">
        <f>'11. Desinvesteringen'!D176</f>
        <v>2004</v>
      </c>
      <c r="F174" s="48">
        <f>'11. Desinvesteringen'!E176</f>
        <v>7075.25</v>
      </c>
      <c r="G174" s="43">
        <f>'11. Desinvesteringen'!G176</f>
        <v>2021</v>
      </c>
    </row>
    <row r="175" spans="2:7" s="3" customFormat="1">
      <c r="B175" s="43">
        <f>'11. Desinvesteringen'!B177</f>
        <v>158</v>
      </c>
      <c r="D175" s="43" t="str">
        <f>'11. Desinvesteringen'!C177</f>
        <v>09 Bedrijfsinventaris</v>
      </c>
      <c r="E175" s="43">
        <f>'11. Desinvesteringen'!D177</f>
        <v>2011</v>
      </c>
      <c r="F175" s="48">
        <f>'11. Desinvesteringen'!E177</f>
        <v>32592.1</v>
      </c>
      <c r="G175" s="43">
        <f>'11. Desinvesteringen'!G177</f>
        <v>2021</v>
      </c>
    </row>
    <row r="176" spans="2:7" s="3" customFormat="1">
      <c r="B176" s="43">
        <f>'11. Desinvesteringen'!B178</f>
        <v>159</v>
      </c>
      <c r="D176" s="43" t="str">
        <f>'11. Desinvesteringen'!C178</f>
        <v>09 Bedrijfsinventaris</v>
      </c>
      <c r="E176" s="43">
        <f>'11. Desinvesteringen'!D178</f>
        <v>2012</v>
      </c>
      <c r="F176" s="48">
        <f>'11. Desinvesteringen'!E178</f>
        <v>47594.894530059231</v>
      </c>
      <c r="G176" s="43">
        <f>'11. Desinvesteringen'!G178</f>
        <v>2021</v>
      </c>
    </row>
    <row r="177" spans="2:7" s="3" customFormat="1">
      <c r="B177" s="43">
        <f>'11. Desinvesteringen'!B179</f>
        <v>160</v>
      </c>
      <c r="D177" s="43" t="str">
        <f>'11. Desinvesteringen'!C179</f>
        <v>09 Bedrijfsinventaris</v>
      </c>
      <c r="E177" s="43">
        <f>'11. Desinvesteringen'!D179</f>
        <v>2017</v>
      </c>
      <c r="F177" s="48">
        <f>'11. Desinvesteringen'!E179</f>
        <v>30787.351220734221</v>
      </c>
      <c r="G177" s="43">
        <f>'11. Desinvesteringen'!G179</f>
        <v>2021</v>
      </c>
    </row>
    <row r="178" spans="2:7" s="3" customFormat="1">
      <c r="B178" s="43">
        <f>'11. Desinvesteringen'!B180</f>
        <v>161</v>
      </c>
      <c r="D178" s="43" t="str">
        <f>'11. Desinvesteringen'!C180</f>
        <v>09 Bedrijfsinventaris</v>
      </c>
      <c r="E178" s="43">
        <f>'11. Desinvesteringen'!D180</f>
        <v>2018</v>
      </c>
      <c r="F178" s="48">
        <f>'11. Desinvesteringen'!E180</f>
        <v>15158.814286337998</v>
      </c>
      <c r="G178" s="43">
        <f>'11. Desinvesteringen'!G180</f>
        <v>2021</v>
      </c>
    </row>
    <row r="179" spans="2:7" s="3" customFormat="1">
      <c r="B179" s="43">
        <f>'11. Desinvesteringen'!B181</f>
        <v>162</v>
      </c>
      <c r="D179" s="43" t="str">
        <f>'11. Desinvesteringen'!C181</f>
        <v>10 Gereedschap</v>
      </c>
      <c r="E179" s="43">
        <f>'11. Desinvesteringen'!D181</f>
        <v>2011</v>
      </c>
      <c r="F179" s="48">
        <f>'11. Desinvesteringen'!E181</f>
        <v>327059.9632444483</v>
      </c>
      <c r="G179" s="43">
        <f>'11. Desinvesteringen'!G181</f>
        <v>2021</v>
      </c>
    </row>
    <row r="180" spans="2:7" s="3" customFormat="1">
      <c r="B180" s="43">
        <f>'11. Desinvesteringen'!B182</f>
        <v>163</v>
      </c>
      <c r="D180" s="43" t="str">
        <f>'11. Desinvesteringen'!C182</f>
        <v>10 Gereedschap</v>
      </c>
      <c r="E180" s="43">
        <f>'11. Desinvesteringen'!D182</f>
        <v>2011</v>
      </c>
      <c r="F180" s="48">
        <f>'11. Desinvesteringen'!E182</f>
        <v>204205.26050762061</v>
      </c>
      <c r="G180" s="43">
        <f>'11. Desinvesteringen'!G182</f>
        <v>2021</v>
      </c>
    </row>
    <row r="181" spans="2:7" s="3" customFormat="1">
      <c r="B181" s="43">
        <f>'11. Desinvesteringen'!B183</f>
        <v>164</v>
      </c>
      <c r="D181" s="43" t="str">
        <f>'11. Desinvesteringen'!C183</f>
        <v>15 Compressorstations (TT-BT-AT)</v>
      </c>
      <c r="E181" s="43">
        <f>'11. Desinvesteringen'!D183</f>
        <v>1970</v>
      </c>
      <c r="F181" s="48">
        <f>'11. Desinvesteringen'!E183</f>
        <v>200671.11000000002</v>
      </c>
      <c r="G181" s="43">
        <f>'11. Desinvesteringen'!G183</f>
        <v>2021</v>
      </c>
    </row>
    <row r="182" spans="2:7" s="3" customFormat="1">
      <c r="B182" s="43">
        <f>'11. Desinvesteringen'!B184</f>
        <v>165</v>
      </c>
      <c r="D182" s="43" t="str">
        <f>'11. Desinvesteringen'!C184</f>
        <v>15 Compressorstations (TT-BT-AT)</v>
      </c>
      <c r="E182" s="43">
        <f>'11. Desinvesteringen'!D184</f>
        <v>1971</v>
      </c>
      <c r="F182" s="48">
        <f>'11. Desinvesteringen'!E184</f>
        <v>31459.45</v>
      </c>
      <c r="G182" s="43">
        <f>'11. Desinvesteringen'!G184</f>
        <v>2021</v>
      </c>
    </row>
    <row r="183" spans="2:7" s="3" customFormat="1">
      <c r="B183" s="43">
        <f>'11. Desinvesteringen'!B185</f>
        <v>166</v>
      </c>
      <c r="D183" s="43" t="str">
        <f>'11. Desinvesteringen'!C185</f>
        <v>15 Compressorstations (TT-BT-AT)</v>
      </c>
      <c r="E183" s="43">
        <f>'11. Desinvesteringen'!D185</f>
        <v>1974</v>
      </c>
      <c r="F183" s="48">
        <f>'11. Desinvesteringen'!E185</f>
        <v>37307.01</v>
      </c>
      <c r="G183" s="43">
        <f>'11. Desinvesteringen'!G185</f>
        <v>2021</v>
      </c>
    </row>
    <row r="184" spans="2:7" s="3" customFormat="1">
      <c r="B184" s="43">
        <f>'11. Desinvesteringen'!B186</f>
        <v>167</v>
      </c>
      <c r="D184" s="43" t="str">
        <f>'11. Desinvesteringen'!C186</f>
        <v>16 LNG installaties</v>
      </c>
      <c r="E184" s="43">
        <f>'11. Desinvesteringen'!D186</f>
        <v>1977</v>
      </c>
      <c r="F184" s="48">
        <f>'11. Desinvesteringen'!E186</f>
        <v>35828970.149999999</v>
      </c>
      <c r="G184" s="43">
        <f>'11. Desinvesteringen'!G186</f>
        <v>2021</v>
      </c>
    </row>
    <row r="185" spans="2:7" s="3" customFormat="1">
      <c r="B185" s="43">
        <f>'11. Desinvesteringen'!B187</f>
        <v>168</v>
      </c>
      <c r="D185" s="43" t="str">
        <f>'11. Desinvesteringen'!C187</f>
        <v>16 LNG installaties</v>
      </c>
      <c r="E185" s="43">
        <f>'11. Desinvesteringen'!D187</f>
        <v>1998</v>
      </c>
      <c r="F185" s="48">
        <f>'11. Desinvesteringen'!E187</f>
        <v>75833.259999999995</v>
      </c>
      <c r="G185" s="43">
        <f>'11. Desinvesteringen'!G187</f>
        <v>2021</v>
      </c>
    </row>
    <row r="186" spans="2:7" s="3" customFormat="1">
      <c r="B186" s="43">
        <f>'11. Desinvesteringen'!B188</f>
        <v>169</v>
      </c>
      <c r="D186" s="43" t="str">
        <f>'11. Desinvesteringen'!C188</f>
        <v>16 LNG installaties</v>
      </c>
      <c r="E186" s="43">
        <f>'11. Desinvesteringen'!D188</f>
        <v>2004</v>
      </c>
      <c r="F186" s="48">
        <f>'11. Desinvesteringen'!E188</f>
        <v>698617.72</v>
      </c>
      <c r="G186" s="43">
        <f>'11. Desinvesteringen'!G188</f>
        <v>2021</v>
      </c>
    </row>
    <row r="187" spans="2:7" s="3" customFormat="1">
      <c r="B187" s="43">
        <f>'11. Desinvesteringen'!B189</f>
        <v>170</v>
      </c>
      <c r="D187" s="43" t="str">
        <f>'11. Desinvesteringen'!C189</f>
        <v>15 Compressorstations (TT-BT-AT)</v>
      </c>
      <c r="E187" s="43">
        <f>'11. Desinvesteringen'!D189</f>
        <v>1977</v>
      </c>
      <c r="F187" s="48">
        <f>'11. Desinvesteringen'!E189</f>
        <v>56993.78</v>
      </c>
      <c r="G187" s="43">
        <f>'11. Desinvesteringen'!G189</f>
        <v>2021</v>
      </c>
    </row>
    <row r="188" spans="2:7" s="3" customFormat="1">
      <c r="B188" s="43">
        <f>'11. Desinvesteringen'!B190</f>
        <v>171</v>
      </c>
      <c r="D188" s="43" t="str">
        <f>'11. Desinvesteringen'!C190</f>
        <v>15 Compressorstations (TT-BT-AT)</v>
      </c>
      <c r="E188" s="43">
        <f>'11. Desinvesteringen'!D190</f>
        <v>1987</v>
      </c>
      <c r="F188" s="48">
        <f>'11. Desinvesteringen'!E190</f>
        <v>30140.38</v>
      </c>
      <c r="G188" s="43">
        <f>'11. Desinvesteringen'!G190</f>
        <v>2021</v>
      </c>
    </row>
    <row r="189" spans="2:7" s="3" customFormat="1">
      <c r="B189" s="43">
        <f>'11. Desinvesteringen'!B191</f>
        <v>172</v>
      </c>
      <c r="D189" s="43" t="str">
        <f>'11. Desinvesteringen'!C191</f>
        <v>15 Compressorstations (TT-BT-AT)</v>
      </c>
      <c r="E189" s="43">
        <f>'11. Desinvesteringen'!D191</f>
        <v>2006</v>
      </c>
      <c r="F189" s="48">
        <f>'11. Desinvesteringen'!E191</f>
        <v>220824.52000000002</v>
      </c>
      <c r="G189" s="43">
        <f>'11. Desinvesteringen'!G191</f>
        <v>2021</v>
      </c>
    </row>
    <row r="190" spans="2:7" s="3" customFormat="1">
      <c r="B190" s="43">
        <f>'11. Desinvesteringen'!B192</f>
        <v>173</v>
      </c>
      <c r="D190" s="43" t="str">
        <f>'11. Desinvesteringen'!C192</f>
        <v>15 Compressorstations (TT-BT-AT)</v>
      </c>
      <c r="E190" s="43">
        <f>'11. Desinvesteringen'!D192</f>
        <v>2007</v>
      </c>
      <c r="F190" s="48">
        <f>'11. Desinvesteringen'!E192</f>
        <v>118615.11181912628</v>
      </c>
      <c r="G190" s="43">
        <f>'11. Desinvesteringen'!G192</f>
        <v>2021</v>
      </c>
    </row>
    <row r="191" spans="2:7" s="3" customFormat="1">
      <c r="B191" s="43">
        <f>'11. Desinvesteringen'!B193</f>
        <v>174</v>
      </c>
      <c r="D191" s="43" t="str">
        <f>'11. Desinvesteringen'!C193</f>
        <v>15 Compressorstations (TT-BT-AT)</v>
      </c>
      <c r="E191" s="43">
        <f>'11. Desinvesteringen'!D193</f>
        <v>2009</v>
      </c>
      <c r="F191" s="48">
        <f>'11. Desinvesteringen'!E193</f>
        <v>36749.480000000003</v>
      </c>
      <c r="G191" s="43">
        <f>'11. Desinvesteringen'!G193</f>
        <v>2021</v>
      </c>
    </row>
    <row r="192" spans="2:7" s="3" customFormat="1">
      <c r="B192" s="43">
        <f>'11. Desinvesteringen'!B194</f>
        <v>175</v>
      </c>
      <c r="D192" s="43" t="str">
        <f>'11. Desinvesteringen'!C194</f>
        <v>15 Compressorstations (TT-BT-AT)</v>
      </c>
      <c r="E192" s="43">
        <f>'11. Desinvesteringen'!D194</f>
        <v>2010</v>
      </c>
      <c r="F192" s="48">
        <f>'11. Desinvesteringen'!E194</f>
        <v>16852.444769673708</v>
      </c>
      <c r="G192" s="43">
        <f>'11. Desinvesteringen'!G194</f>
        <v>2021</v>
      </c>
    </row>
    <row r="193" spans="2:7" s="3" customFormat="1">
      <c r="B193" s="43">
        <f>'11. Desinvesteringen'!B195</f>
        <v>176</v>
      </c>
      <c r="D193" s="43" t="str">
        <f>'11. Desinvesteringen'!C195</f>
        <v>15 Compressorstations (TT-BT-AT)</v>
      </c>
      <c r="E193" s="43">
        <f>'11. Desinvesteringen'!D195</f>
        <v>2011</v>
      </c>
      <c r="F193" s="48">
        <f>'11. Desinvesteringen'!E195</f>
        <v>161240.22989045532</v>
      </c>
      <c r="G193" s="43">
        <f>'11. Desinvesteringen'!G195</f>
        <v>2021</v>
      </c>
    </row>
    <row r="194" spans="2:7" s="3" customFormat="1">
      <c r="B194" s="43">
        <f>'11. Desinvesteringen'!B196</f>
        <v>177</v>
      </c>
      <c r="D194" s="43" t="str">
        <f>'11. Desinvesteringen'!C196</f>
        <v>16 LNG installaties</v>
      </c>
      <c r="E194" s="43">
        <f>'11. Desinvesteringen'!D196</f>
        <v>2016</v>
      </c>
      <c r="F194" s="48">
        <f>'11. Desinvesteringen'!E196</f>
        <v>1210083.3299999998</v>
      </c>
      <c r="G194" s="43">
        <f>'11. Desinvesteringen'!G196</f>
        <v>2021</v>
      </c>
    </row>
    <row r="195" spans="2:7" s="3" customFormat="1">
      <c r="B195" s="43">
        <f>'11. Desinvesteringen'!B197</f>
        <v>178</v>
      </c>
      <c r="D195" s="43" t="str">
        <f>'11. Desinvesteringen'!C197</f>
        <v>16 LNG installaties</v>
      </c>
      <c r="E195" s="43">
        <f>'11. Desinvesteringen'!D197</f>
        <v>2016</v>
      </c>
      <c r="F195" s="48">
        <f>'11. Desinvesteringen'!E197</f>
        <v>4463010.1800000006</v>
      </c>
      <c r="G195" s="43">
        <f>'11. Desinvesteringen'!G197</f>
        <v>2021</v>
      </c>
    </row>
    <row r="196" spans="2:7" s="3" customFormat="1">
      <c r="B196" s="43">
        <f>'11. Desinvesteringen'!B198</f>
        <v>179</v>
      </c>
      <c r="D196" s="43" t="str">
        <f>'11. Desinvesteringen'!C198</f>
        <v>17 Mengstations</v>
      </c>
      <c r="E196" s="43">
        <f>'11. Desinvesteringen'!D198</f>
        <v>1993</v>
      </c>
      <c r="F196" s="48">
        <f>'11. Desinvesteringen'!E198</f>
        <v>7214.43</v>
      </c>
      <c r="G196" s="43">
        <f>'11. Desinvesteringen'!G198</f>
        <v>2021</v>
      </c>
    </row>
    <row r="197" spans="2:7" s="3" customFormat="1">
      <c r="B197" s="43">
        <f>'11. Desinvesteringen'!B199</f>
        <v>180</v>
      </c>
      <c r="D197" s="43" t="str">
        <f>'11. Desinvesteringen'!C199</f>
        <v>17 Mengstations</v>
      </c>
      <c r="E197" s="43">
        <f>'11. Desinvesteringen'!D199</f>
        <v>2006</v>
      </c>
      <c r="F197" s="48">
        <f>'11. Desinvesteringen'!E199</f>
        <v>90670.522605892213</v>
      </c>
      <c r="G197" s="43">
        <f>'11. Desinvesteringen'!G199</f>
        <v>2021</v>
      </c>
    </row>
    <row r="198" spans="2:7" s="3" customFormat="1">
      <c r="B198" s="43">
        <f>'11. Desinvesteringen'!B200</f>
        <v>181</v>
      </c>
      <c r="D198" s="43" t="str">
        <f>'11. Desinvesteringen'!C200</f>
        <v>17 Mengstations</v>
      </c>
      <c r="E198" s="43">
        <f>'11. Desinvesteringen'!D200</f>
        <v>2007</v>
      </c>
      <c r="F198" s="48">
        <f>'11. Desinvesteringen'!E200</f>
        <v>15457.31</v>
      </c>
      <c r="G198" s="43">
        <f>'11. Desinvesteringen'!G200</f>
        <v>2021</v>
      </c>
    </row>
    <row r="199" spans="2:7" s="3" customFormat="1">
      <c r="B199" s="43">
        <f>'11. Desinvesteringen'!B201</f>
        <v>182</v>
      </c>
      <c r="D199" s="43" t="str">
        <f>'11. Desinvesteringen'!C201</f>
        <v>17 Mengstations</v>
      </c>
      <c r="E199" s="43">
        <f>'11. Desinvesteringen'!D201</f>
        <v>2011</v>
      </c>
      <c r="F199" s="48">
        <f>'11. Desinvesteringen'!E201</f>
        <v>17709.499967104181</v>
      </c>
      <c r="G199" s="43">
        <f>'11. Desinvesteringen'!G201</f>
        <v>2021</v>
      </c>
    </row>
    <row r="200" spans="2:7" s="3" customFormat="1">
      <c r="B200" s="43">
        <f>'11. Desinvesteringen'!B202</f>
        <v>183</v>
      </c>
      <c r="D200" s="43" t="str">
        <f>'11. Desinvesteringen'!C202</f>
        <v>20 Kantoorgebouwen</v>
      </c>
      <c r="E200" s="43">
        <f>'11. Desinvesteringen'!D202</f>
        <v>1998</v>
      </c>
      <c r="F200" s="48">
        <f>'11. Desinvesteringen'!E202</f>
        <v>1145228.3699999999</v>
      </c>
      <c r="G200" s="43">
        <f>'11. Desinvesteringen'!G202</f>
        <v>2021</v>
      </c>
    </row>
    <row r="201" spans="2:7" s="3" customFormat="1">
      <c r="B201" s="43">
        <f>'11. Desinvesteringen'!B203</f>
        <v>184</v>
      </c>
      <c r="D201" s="43" t="str">
        <f>'11. Desinvesteringen'!C203</f>
        <v>20 Kantoorgebouwen</v>
      </c>
      <c r="E201" s="43">
        <f>'11. Desinvesteringen'!D203</f>
        <v>2002</v>
      </c>
      <c r="F201" s="48">
        <f>'11. Desinvesteringen'!E203</f>
        <v>207275.81</v>
      </c>
      <c r="G201" s="43">
        <f>'11. Desinvesteringen'!G203</f>
        <v>2021</v>
      </c>
    </row>
    <row r="202" spans="2:7" s="3" customFormat="1">
      <c r="B202" s="43">
        <f>'11. Desinvesteringen'!B204</f>
        <v>185</v>
      </c>
      <c r="D202" s="43" t="str">
        <f>'11. Desinvesteringen'!C204</f>
        <v>20 Kantoorgebouwen</v>
      </c>
      <c r="E202" s="43">
        <f>'11. Desinvesteringen'!D204</f>
        <v>2004</v>
      </c>
      <c r="F202" s="48">
        <f>'11. Desinvesteringen'!E204</f>
        <v>114452.9</v>
      </c>
      <c r="G202" s="43">
        <f>'11. Desinvesteringen'!G204</f>
        <v>2021</v>
      </c>
    </row>
    <row r="203" spans="2:7" s="3" customFormat="1">
      <c r="B203" s="43">
        <f>'11. Desinvesteringen'!B205</f>
        <v>186</v>
      </c>
      <c r="D203" s="43" t="str">
        <f>'11. Desinvesteringen'!C205</f>
        <v>20 Kantoorgebouwen</v>
      </c>
      <c r="E203" s="43">
        <f>'11. Desinvesteringen'!D205</f>
        <v>2005</v>
      </c>
      <c r="F203" s="48">
        <f>'11. Desinvesteringen'!E205</f>
        <v>188996.13</v>
      </c>
      <c r="G203" s="43">
        <f>'11. Desinvesteringen'!G205</f>
        <v>2021</v>
      </c>
    </row>
    <row r="204" spans="2:7" s="3" customFormat="1">
      <c r="B204" s="43">
        <f>'11. Desinvesteringen'!B206</f>
        <v>187</v>
      </c>
      <c r="D204" s="43" t="str">
        <f>'11. Desinvesteringen'!C206</f>
        <v>20 Kantoorgebouwen</v>
      </c>
      <c r="E204" s="43">
        <f>'11. Desinvesteringen'!D206</f>
        <v>2008</v>
      </c>
      <c r="F204" s="48">
        <f>'11. Desinvesteringen'!E206</f>
        <v>84567.28</v>
      </c>
      <c r="G204" s="43">
        <f>'11. Desinvesteringen'!G206</f>
        <v>2021</v>
      </c>
    </row>
    <row r="205" spans="2:7" s="3" customFormat="1">
      <c r="B205" s="43">
        <f>'11. Desinvesteringen'!B207</f>
        <v>188</v>
      </c>
      <c r="D205" s="43" t="str">
        <f>'11. Desinvesteringen'!C207</f>
        <v>20 Kantoorgebouwen</v>
      </c>
      <c r="E205" s="43">
        <f>'11. Desinvesteringen'!D207</f>
        <v>2009</v>
      </c>
      <c r="F205" s="48">
        <f>'11. Desinvesteringen'!E207</f>
        <v>163009.45000000001</v>
      </c>
      <c r="G205" s="43">
        <f>'11. Desinvesteringen'!G207</f>
        <v>2021</v>
      </c>
    </row>
    <row r="206" spans="2:7" s="3" customFormat="1">
      <c r="B206" s="43">
        <f>'11. Desinvesteringen'!B208</f>
        <v>189</v>
      </c>
      <c r="D206" s="43" t="str">
        <f>'11. Desinvesteringen'!C208</f>
        <v>20 Kantoorgebouwen</v>
      </c>
      <c r="E206" s="43">
        <f>'11. Desinvesteringen'!D208</f>
        <v>2010</v>
      </c>
      <c r="F206" s="48">
        <f>'11. Desinvesteringen'!E208</f>
        <v>137160.34344793225</v>
      </c>
      <c r="G206" s="43">
        <f>'11. Desinvesteringen'!G208</f>
        <v>2021</v>
      </c>
    </row>
    <row r="207" spans="2:7" s="3" customFormat="1">
      <c r="B207" s="43">
        <f>'11. Desinvesteringen'!B209</f>
        <v>190</v>
      </c>
      <c r="D207" s="43" t="str">
        <f>'11. Desinvesteringen'!C209</f>
        <v>20 Kantoorgebouwen</v>
      </c>
      <c r="E207" s="43">
        <f>'11. Desinvesteringen'!D209</f>
        <v>2011</v>
      </c>
      <c r="F207" s="48">
        <f>'11. Desinvesteringen'!E209</f>
        <v>28002.195226489926</v>
      </c>
      <c r="G207" s="43">
        <f>'11. Desinvesteringen'!G209</f>
        <v>2021</v>
      </c>
    </row>
    <row r="208" spans="2:7" s="3" customFormat="1">
      <c r="B208" s="43">
        <f>'11. Desinvesteringen'!B210</f>
        <v>191</v>
      </c>
      <c r="D208" s="43" t="str">
        <f>'11. Desinvesteringen'!C210</f>
        <v>20 Kantoorgebouwen</v>
      </c>
      <c r="E208" s="43">
        <f>'11. Desinvesteringen'!D210</f>
        <v>2012</v>
      </c>
      <c r="F208" s="48">
        <f>'11. Desinvesteringen'!E210</f>
        <v>418308.90169201128</v>
      </c>
      <c r="G208" s="43">
        <f>'11. Desinvesteringen'!G210</f>
        <v>2021</v>
      </c>
    </row>
    <row r="209" spans="2:7" s="3" customFormat="1">
      <c r="B209" s="43">
        <f>'11. Desinvesteringen'!B211</f>
        <v>192</v>
      </c>
      <c r="D209" s="43" t="str">
        <f>'11. Desinvesteringen'!C211</f>
        <v>20 Kantoorgebouwen</v>
      </c>
      <c r="E209" s="43">
        <f>'11. Desinvesteringen'!D211</f>
        <v>2012</v>
      </c>
      <c r="F209" s="48">
        <f>'11. Desinvesteringen'!E211</f>
        <v>34493.89</v>
      </c>
      <c r="G209" s="43">
        <f>'11. Desinvesteringen'!G211</f>
        <v>2021</v>
      </c>
    </row>
    <row r="210" spans="2:7" s="3" customFormat="1">
      <c r="B210" s="43">
        <f>'11. Desinvesteringen'!B212</f>
        <v>193</v>
      </c>
      <c r="D210" s="43" t="str">
        <f>'11. Desinvesteringen'!C212</f>
        <v>20 Kantoorgebouwen</v>
      </c>
      <c r="E210" s="43">
        <f>'11. Desinvesteringen'!D212</f>
        <v>2014</v>
      </c>
      <c r="F210" s="48">
        <f>'11. Desinvesteringen'!E212</f>
        <v>119209.70383364368</v>
      </c>
      <c r="G210" s="43">
        <f>'11. Desinvesteringen'!G212</f>
        <v>2021</v>
      </c>
    </row>
    <row r="211" spans="2:7" s="3" customFormat="1">
      <c r="B211" s="43">
        <f>'11. Desinvesteringen'!B213</f>
        <v>194</v>
      </c>
      <c r="D211" s="43" t="str">
        <f>'11. Desinvesteringen'!C213</f>
        <v>20 Kantoorgebouwen</v>
      </c>
      <c r="E211" s="43">
        <f>'11. Desinvesteringen'!D213</f>
        <v>2015</v>
      </c>
      <c r="F211" s="48">
        <f>'11. Desinvesteringen'!E213</f>
        <v>86744.489646918475</v>
      </c>
      <c r="G211" s="43">
        <f>'11. Desinvesteringen'!G213</f>
        <v>2021</v>
      </c>
    </row>
    <row r="212" spans="2:7" s="3" customFormat="1">
      <c r="B212" s="43">
        <f>'11. Desinvesteringen'!B214</f>
        <v>195</v>
      </c>
      <c r="D212" s="43" t="str">
        <f>'11. Desinvesteringen'!C214</f>
        <v>20 Kantoorgebouwen</v>
      </c>
      <c r="E212" s="43">
        <f>'11. Desinvesteringen'!D214</f>
        <v>2016</v>
      </c>
      <c r="F212" s="48">
        <f>'11. Desinvesteringen'!E214</f>
        <v>872938.23153047287</v>
      </c>
      <c r="G212" s="43">
        <f>'11. Desinvesteringen'!G214</f>
        <v>2021</v>
      </c>
    </row>
    <row r="213" spans="2:7" s="3" customFormat="1">
      <c r="B213" s="43">
        <f>'11. Desinvesteringen'!B215</f>
        <v>196</v>
      </c>
      <c r="D213" s="43" t="str">
        <f>'11. Desinvesteringen'!C215</f>
        <v>20 Kantoorgebouwen</v>
      </c>
      <c r="E213" s="43">
        <f>'11. Desinvesteringen'!D215</f>
        <v>2018</v>
      </c>
      <c r="F213" s="48">
        <f>'11. Desinvesteringen'!E215</f>
        <v>318444.09968867822</v>
      </c>
      <c r="G213" s="43">
        <f>'11. Desinvesteringen'!G215</f>
        <v>2021</v>
      </c>
    </row>
    <row r="214" spans="2:7" s="3" customFormat="1">
      <c r="B214" s="43">
        <f>'11. Desinvesteringen'!B216</f>
        <v>197</v>
      </c>
      <c r="D214" s="43" t="str">
        <f>'11. Desinvesteringen'!C216</f>
        <v>20 Kantoorgebouwen</v>
      </c>
      <c r="E214" s="43">
        <f>'11. Desinvesteringen'!D216</f>
        <v>2019</v>
      </c>
      <c r="F214" s="48">
        <f>'11. Desinvesteringen'!E216</f>
        <v>470203.71904289688</v>
      </c>
      <c r="G214" s="43">
        <f>'11. Desinvesteringen'!G216</f>
        <v>2021</v>
      </c>
    </row>
    <row r="215" spans="2:7" s="3" customFormat="1">
      <c r="B215" s="43">
        <f>'11. Desinvesteringen'!B217</f>
        <v>198</v>
      </c>
      <c r="D215" s="43" t="str">
        <f>'11. Desinvesteringen'!C217</f>
        <v>21 Hoofdtransportleiding</v>
      </c>
      <c r="E215" s="43">
        <f>'11. Desinvesteringen'!D217</f>
        <v>1964</v>
      </c>
      <c r="F215" s="48">
        <f>'11. Desinvesteringen'!E217</f>
        <v>1904</v>
      </c>
      <c r="G215" s="43">
        <f>'11. Desinvesteringen'!G217</f>
        <v>2021</v>
      </c>
    </row>
    <row r="216" spans="2:7" s="3" customFormat="1">
      <c r="B216" s="43">
        <f>'11. Desinvesteringen'!B218</f>
        <v>199</v>
      </c>
      <c r="D216" s="43" t="str">
        <f>'11. Desinvesteringen'!C218</f>
        <v>21 Hoofdtransportleiding</v>
      </c>
      <c r="E216" s="43">
        <f>'11. Desinvesteringen'!D218</f>
        <v>1966</v>
      </c>
      <c r="F216" s="48">
        <f>'11. Desinvesteringen'!E218</f>
        <v>360</v>
      </c>
      <c r="G216" s="43">
        <f>'11. Desinvesteringen'!G218</f>
        <v>2021</v>
      </c>
    </row>
    <row r="217" spans="2:7" s="3" customFormat="1">
      <c r="B217" s="43">
        <f>'11. Desinvesteringen'!B219</f>
        <v>200</v>
      </c>
      <c r="D217" s="43" t="str">
        <f>'11. Desinvesteringen'!C219</f>
        <v>21 Hoofdtransportleiding</v>
      </c>
      <c r="E217" s="43">
        <f>'11. Desinvesteringen'!D219</f>
        <v>1967</v>
      </c>
      <c r="F217" s="48">
        <f>'11. Desinvesteringen'!E219</f>
        <v>168</v>
      </c>
      <c r="G217" s="43">
        <f>'11. Desinvesteringen'!G219</f>
        <v>2021</v>
      </c>
    </row>
    <row r="218" spans="2:7" s="3" customFormat="1">
      <c r="B218" s="43">
        <f>'11. Desinvesteringen'!B220</f>
        <v>201</v>
      </c>
      <c r="D218" s="43" t="str">
        <f>'11. Desinvesteringen'!C220</f>
        <v>21 Hoofdtransportleiding</v>
      </c>
      <c r="E218" s="43">
        <f>'11. Desinvesteringen'!D220</f>
        <v>1968</v>
      </c>
      <c r="F218" s="48">
        <f>'11. Desinvesteringen'!E220</f>
        <v>10784</v>
      </c>
      <c r="G218" s="43">
        <f>'11. Desinvesteringen'!G220</f>
        <v>2021</v>
      </c>
    </row>
    <row r="219" spans="2:7" s="3" customFormat="1">
      <c r="B219" s="43">
        <f>'11. Desinvesteringen'!B221</f>
        <v>202</v>
      </c>
      <c r="D219" s="43" t="str">
        <f>'11. Desinvesteringen'!C221</f>
        <v>32 M&amp;R stations</v>
      </c>
      <c r="E219" s="43">
        <f>'11. Desinvesteringen'!D221</f>
        <v>1964</v>
      </c>
      <c r="F219" s="48">
        <f>'11. Desinvesteringen'!E221</f>
        <v>6186.9699999999993</v>
      </c>
      <c r="G219" s="43">
        <f>'11. Desinvesteringen'!G221</f>
        <v>2021</v>
      </c>
    </row>
    <row r="220" spans="2:7" s="3" customFormat="1">
      <c r="B220" s="43">
        <f>'11. Desinvesteringen'!B222</f>
        <v>203</v>
      </c>
      <c r="D220" s="43" t="str">
        <f>'11. Desinvesteringen'!C222</f>
        <v>32 M&amp;R stations</v>
      </c>
      <c r="E220" s="43">
        <f>'11. Desinvesteringen'!D222</f>
        <v>1966</v>
      </c>
      <c r="F220" s="48">
        <f>'11. Desinvesteringen'!E222</f>
        <v>944.59</v>
      </c>
      <c r="G220" s="43">
        <f>'11. Desinvesteringen'!G222</f>
        <v>2021</v>
      </c>
    </row>
    <row r="221" spans="2:7" s="3" customFormat="1">
      <c r="B221" s="43">
        <f>'11. Desinvesteringen'!B223</f>
        <v>204</v>
      </c>
      <c r="D221" s="43" t="str">
        <f>'11. Desinvesteringen'!C223</f>
        <v>32 M&amp;R stations</v>
      </c>
      <c r="E221" s="43">
        <f>'11. Desinvesteringen'!D223</f>
        <v>1967</v>
      </c>
      <c r="F221" s="48">
        <f>'11. Desinvesteringen'!E223</f>
        <v>5645.93</v>
      </c>
      <c r="G221" s="43">
        <f>'11. Desinvesteringen'!G223</f>
        <v>2021</v>
      </c>
    </row>
    <row r="222" spans="2:7" s="3" customFormat="1">
      <c r="B222" s="43">
        <f>'11. Desinvesteringen'!B224</f>
        <v>205</v>
      </c>
      <c r="D222" s="43" t="str">
        <f>'11. Desinvesteringen'!C224</f>
        <v>21 Hoofdtransportleiding</v>
      </c>
      <c r="E222" s="43">
        <f>'11. Desinvesteringen'!D224</f>
        <v>1969</v>
      </c>
      <c r="F222" s="48">
        <f>'11. Desinvesteringen'!E224</f>
        <v>528</v>
      </c>
      <c r="G222" s="43">
        <f>'11. Desinvesteringen'!G224</f>
        <v>2021</v>
      </c>
    </row>
    <row r="223" spans="2:7" s="3" customFormat="1">
      <c r="B223" s="43">
        <f>'11. Desinvesteringen'!B225</f>
        <v>206</v>
      </c>
      <c r="D223" s="43" t="str">
        <f>'11. Desinvesteringen'!C225</f>
        <v>21 Hoofdtransportleiding</v>
      </c>
      <c r="E223" s="43">
        <f>'11. Desinvesteringen'!D225</f>
        <v>1970</v>
      </c>
      <c r="F223" s="48">
        <f>'11. Desinvesteringen'!E225</f>
        <v>126766.11</v>
      </c>
      <c r="G223" s="43">
        <f>'11. Desinvesteringen'!G225</f>
        <v>2021</v>
      </c>
    </row>
    <row r="224" spans="2:7" s="3" customFormat="1">
      <c r="B224" s="43">
        <f>'11. Desinvesteringen'!B226</f>
        <v>207</v>
      </c>
      <c r="D224" s="43" t="str">
        <f>'11. Desinvesteringen'!C226</f>
        <v>21 Hoofdtransportleiding</v>
      </c>
      <c r="E224" s="43">
        <f>'11. Desinvesteringen'!D226</f>
        <v>1971</v>
      </c>
      <c r="F224" s="48">
        <f>'11. Desinvesteringen'!E226</f>
        <v>13448</v>
      </c>
      <c r="G224" s="43">
        <f>'11. Desinvesteringen'!G226</f>
        <v>2021</v>
      </c>
    </row>
    <row r="225" spans="2:7" s="3" customFormat="1">
      <c r="B225" s="43">
        <f>'11. Desinvesteringen'!B227</f>
        <v>208</v>
      </c>
      <c r="D225" s="43" t="str">
        <f>'11. Desinvesteringen'!C227</f>
        <v>21 Hoofdtransportleiding</v>
      </c>
      <c r="E225" s="43">
        <f>'11. Desinvesteringen'!D227</f>
        <v>1972</v>
      </c>
      <c r="F225" s="48">
        <f>'11. Desinvesteringen'!E227</f>
        <v>3048</v>
      </c>
      <c r="G225" s="43">
        <f>'11. Desinvesteringen'!G227</f>
        <v>2021</v>
      </c>
    </row>
    <row r="226" spans="2:7" s="3" customFormat="1">
      <c r="B226" s="43">
        <f>'11. Desinvesteringen'!B228</f>
        <v>209</v>
      </c>
      <c r="D226" s="43" t="str">
        <f>'11. Desinvesteringen'!C228</f>
        <v>21 Hoofdtransportleiding</v>
      </c>
      <c r="E226" s="43">
        <f>'11. Desinvesteringen'!D228</f>
        <v>1973</v>
      </c>
      <c r="F226" s="48">
        <f>'11. Desinvesteringen'!E228</f>
        <v>216</v>
      </c>
      <c r="G226" s="43">
        <f>'11. Desinvesteringen'!G228</f>
        <v>2021</v>
      </c>
    </row>
    <row r="227" spans="2:7" s="3" customFormat="1">
      <c r="B227" s="43">
        <f>'11. Desinvesteringen'!B229</f>
        <v>210</v>
      </c>
      <c r="D227" s="43" t="str">
        <f>'11. Desinvesteringen'!C229</f>
        <v>21 Hoofdtransportleiding</v>
      </c>
      <c r="E227" s="43">
        <f>'11. Desinvesteringen'!D229</f>
        <v>1974</v>
      </c>
      <c r="F227" s="48">
        <f>'11. Desinvesteringen'!E229</f>
        <v>3688</v>
      </c>
      <c r="G227" s="43">
        <f>'11. Desinvesteringen'!G229</f>
        <v>2021</v>
      </c>
    </row>
    <row r="228" spans="2:7" s="3" customFormat="1">
      <c r="B228" s="43">
        <f>'11. Desinvesteringen'!B230</f>
        <v>211</v>
      </c>
      <c r="D228" s="43" t="str">
        <f>'11. Desinvesteringen'!C230</f>
        <v>21 Hoofdtransportleiding</v>
      </c>
      <c r="E228" s="43">
        <f>'11. Desinvesteringen'!D230</f>
        <v>1975</v>
      </c>
      <c r="F228" s="48">
        <f>'11. Desinvesteringen'!E230</f>
        <v>4480.3200000000006</v>
      </c>
      <c r="G228" s="43">
        <f>'11. Desinvesteringen'!G230</f>
        <v>2021</v>
      </c>
    </row>
    <row r="229" spans="2:7" s="3" customFormat="1">
      <c r="B229" s="43">
        <f>'11. Desinvesteringen'!B231</f>
        <v>212</v>
      </c>
      <c r="D229" s="43" t="str">
        <f>'11. Desinvesteringen'!C231</f>
        <v>21 Hoofdtransportleiding</v>
      </c>
      <c r="E229" s="43">
        <f>'11. Desinvesteringen'!D231</f>
        <v>1977</v>
      </c>
      <c r="F229" s="48">
        <f>'11. Desinvesteringen'!E231</f>
        <v>745.37</v>
      </c>
      <c r="G229" s="43">
        <f>'11. Desinvesteringen'!G231</f>
        <v>2021</v>
      </c>
    </row>
    <row r="230" spans="2:7" s="3" customFormat="1">
      <c r="B230" s="43">
        <f>'11. Desinvesteringen'!B232</f>
        <v>213</v>
      </c>
      <c r="D230" s="43" t="str">
        <f>'11. Desinvesteringen'!C232</f>
        <v>21 Hoofdtransportleiding</v>
      </c>
      <c r="E230" s="43">
        <f>'11. Desinvesteringen'!D232</f>
        <v>1978</v>
      </c>
      <c r="F230" s="48">
        <f>'11. Desinvesteringen'!E232</f>
        <v>25825.9</v>
      </c>
      <c r="G230" s="43">
        <f>'11. Desinvesteringen'!G232</f>
        <v>2021</v>
      </c>
    </row>
    <row r="231" spans="2:7" s="3" customFormat="1">
      <c r="B231" s="43">
        <f>'11. Desinvesteringen'!B233</f>
        <v>214</v>
      </c>
      <c r="D231" s="43" t="str">
        <f>'11. Desinvesteringen'!C233</f>
        <v>21 Hoofdtransportleiding</v>
      </c>
      <c r="E231" s="43">
        <f>'11. Desinvesteringen'!D233</f>
        <v>1980</v>
      </c>
      <c r="F231" s="48">
        <f>'11. Desinvesteringen'!E233</f>
        <v>1675.53</v>
      </c>
      <c r="G231" s="43">
        <f>'11. Desinvesteringen'!G233</f>
        <v>2021</v>
      </c>
    </row>
    <row r="232" spans="2:7" s="3" customFormat="1">
      <c r="B232" s="43">
        <f>'11. Desinvesteringen'!B234</f>
        <v>215</v>
      </c>
      <c r="D232" s="43" t="str">
        <f>'11. Desinvesteringen'!C234</f>
        <v>21 Hoofdtransportleiding</v>
      </c>
      <c r="E232" s="43">
        <f>'11. Desinvesteringen'!D234</f>
        <v>1981</v>
      </c>
      <c r="F232" s="48">
        <f>'11. Desinvesteringen'!E234</f>
        <v>2145.67</v>
      </c>
      <c r="G232" s="43">
        <f>'11. Desinvesteringen'!G234</f>
        <v>2021</v>
      </c>
    </row>
    <row r="233" spans="2:7" s="3" customFormat="1">
      <c r="B233" s="43">
        <f>'11. Desinvesteringen'!B235</f>
        <v>216</v>
      </c>
      <c r="D233" s="43" t="str">
        <f>'11. Desinvesteringen'!C235</f>
        <v>21 Hoofdtransportleiding</v>
      </c>
      <c r="E233" s="43">
        <f>'11. Desinvesteringen'!D235</f>
        <v>1983</v>
      </c>
      <c r="F233" s="48">
        <f>'11. Desinvesteringen'!E235</f>
        <v>47940.21</v>
      </c>
      <c r="G233" s="43">
        <f>'11. Desinvesteringen'!G235</f>
        <v>2021</v>
      </c>
    </row>
    <row r="234" spans="2:7" s="3" customFormat="1">
      <c r="B234" s="43">
        <f>'11. Desinvesteringen'!B236</f>
        <v>217</v>
      </c>
      <c r="D234" s="43" t="str">
        <f>'11. Desinvesteringen'!C236</f>
        <v>21 Hoofdtransportleiding</v>
      </c>
      <c r="E234" s="43">
        <f>'11. Desinvesteringen'!D236</f>
        <v>1984</v>
      </c>
      <c r="F234" s="48">
        <f>'11. Desinvesteringen'!E236</f>
        <v>3028.66</v>
      </c>
      <c r="G234" s="43">
        <f>'11. Desinvesteringen'!G236</f>
        <v>2021</v>
      </c>
    </row>
    <row r="235" spans="2:7" s="3" customFormat="1">
      <c r="B235" s="43">
        <f>'11. Desinvesteringen'!B237</f>
        <v>218</v>
      </c>
      <c r="D235" s="43" t="str">
        <f>'11. Desinvesteringen'!C237</f>
        <v>21 Hoofdtransportleiding</v>
      </c>
      <c r="E235" s="43">
        <f>'11. Desinvesteringen'!D237</f>
        <v>1985</v>
      </c>
      <c r="F235" s="48">
        <f>'11. Desinvesteringen'!E237</f>
        <v>5162.49</v>
      </c>
      <c r="G235" s="43">
        <f>'11. Desinvesteringen'!G237</f>
        <v>2021</v>
      </c>
    </row>
    <row r="236" spans="2:7" s="3" customFormat="1">
      <c r="B236" s="43">
        <f>'11. Desinvesteringen'!B238</f>
        <v>219</v>
      </c>
      <c r="D236" s="43" t="str">
        <f>'11. Desinvesteringen'!C238</f>
        <v>21 Hoofdtransportleiding</v>
      </c>
      <c r="E236" s="43">
        <f>'11. Desinvesteringen'!D238</f>
        <v>1986</v>
      </c>
      <c r="F236" s="48">
        <f>'11. Desinvesteringen'!E238</f>
        <v>6123683.1800000006</v>
      </c>
      <c r="G236" s="43">
        <f>'11. Desinvesteringen'!G238</f>
        <v>2021</v>
      </c>
    </row>
    <row r="237" spans="2:7" s="3" customFormat="1">
      <c r="B237" s="43">
        <f>'11. Desinvesteringen'!B239</f>
        <v>220</v>
      </c>
      <c r="D237" s="43" t="str">
        <f>'11. Desinvesteringen'!C239</f>
        <v>21 Hoofdtransportleiding</v>
      </c>
      <c r="E237" s="43">
        <f>'11. Desinvesteringen'!D239</f>
        <v>1987</v>
      </c>
      <c r="F237" s="48">
        <f>'11. Desinvesteringen'!E239</f>
        <v>5769.73</v>
      </c>
      <c r="G237" s="43">
        <f>'11. Desinvesteringen'!G239</f>
        <v>2021</v>
      </c>
    </row>
    <row r="238" spans="2:7" s="3" customFormat="1">
      <c r="B238" s="43">
        <f>'11. Desinvesteringen'!B240</f>
        <v>221</v>
      </c>
      <c r="D238" s="43" t="str">
        <f>'11. Desinvesteringen'!C240</f>
        <v>32 M&amp;R stations</v>
      </c>
      <c r="E238" s="43">
        <f>'11. Desinvesteringen'!D240</f>
        <v>1972</v>
      </c>
      <c r="F238" s="48">
        <f>'11. Desinvesteringen'!E240</f>
        <v>33239.620000000003</v>
      </c>
      <c r="G238" s="43">
        <f>'11. Desinvesteringen'!G240</f>
        <v>2021</v>
      </c>
    </row>
    <row r="239" spans="2:7" s="3" customFormat="1">
      <c r="B239" s="43">
        <f>'11. Desinvesteringen'!B241</f>
        <v>222</v>
      </c>
      <c r="D239" s="43" t="str">
        <f>'11. Desinvesteringen'!C241</f>
        <v>32 M&amp;R stations</v>
      </c>
      <c r="E239" s="43">
        <f>'11. Desinvesteringen'!D241</f>
        <v>1973</v>
      </c>
      <c r="F239" s="48">
        <f>'11. Desinvesteringen'!E241</f>
        <v>126124.84</v>
      </c>
      <c r="G239" s="43">
        <f>'11. Desinvesteringen'!G241</f>
        <v>2021</v>
      </c>
    </row>
    <row r="240" spans="2:7" s="3" customFormat="1">
      <c r="B240" s="43">
        <f>'11. Desinvesteringen'!B242</f>
        <v>223</v>
      </c>
      <c r="D240" s="43" t="str">
        <f>'11. Desinvesteringen'!C242</f>
        <v>32 M&amp;R stations</v>
      </c>
      <c r="E240" s="43">
        <f>'11. Desinvesteringen'!D242</f>
        <v>1974</v>
      </c>
      <c r="F240" s="48">
        <f>'11. Desinvesteringen'!E242</f>
        <v>12379.830000000002</v>
      </c>
      <c r="G240" s="43">
        <f>'11. Desinvesteringen'!G242</f>
        <v>2021</v>
      </c>
    </row>
    <row r="241" spans="2:7" s="3" customFormat="1">
      <c r="B241" s="43">
        <f>'11. Desinvesteringen'!B243</f>
        <v>224</v>
      </c>
      <c r="D241" s="43" t="str">
        <f>'11. Desinvesteringen'!C243</f>
        <v>21 Hoofdtransportleiding</v>
      </c>
      <c r="E241" s="43">
        <f>'11. Desinvesteringen'!D243</f>
        <v>1988</v>
      </c>
      <c r="F241" s="48">
        <f>'11. Desinvesteringen'!E243</f>
        <v>2251.5500000000002</v>
      </c>
      <c r="G241" s="43">
        <f>'11. Desinvesteringen'!G243</f>
        <v>2021</v>
      </c>
    </row>
    <row r="242" spans="2:7" s="3" customFormat="1">
      <c r="B242" s="43">
        <f>'11. Desinvesteringen'!B244</f>
        <v>225</v>
      </c>
      <c r="D242" s="43" t="str">
        <f>'11. Desinvesteringen'!C244</f>
        <v>21 Hoofdtransportleiding</v>
      </c>
      <c r="E242" s="43">
        <f>'11. Desinvesteringen'!D244</f>
        <v>1990</v>
      </c>
      <c r="F242" s="48">
        <f>'11. Desinvesteringen'!E244</f>
        <v>2264.98</v>
      </c>
      <c r="G242" s="43">
        <f>'11. Desinvesteringen'!G244</f>
        <v>2021</v>
      </c>
    </row>
    <row r="243" spans="2:7" s="3" customFormat="1">
      <c r="B243" s="43">
        <f>'11. Desinvesteringen'!B245</f>
        <v>226</v>
      </c>
      <c r="D243" s="43" t="str">
        <f>'11. Desinvesteringen'!C245</f>
        <v>21 Hoofdtransportleiding</v>
      </c>
      <c r="E243" s="43">
        <f>'11. Desinvesteringen'!D245</f>
        <v>1991</v>
      </c>
      <c r="F243" s="48">
        <f>'11. Desinvesteringen'!E245</f>
        <v>212044.27000000002</v>
      </c>
      <c r="G243" s="43">
        <f>'11. Desinvesteringen'!G245</f>
        <v>2021</v>
      </c>
    </row>
    <row r="244" spans="2:7" s="3" customFormat="1">
      <c r="B244" s="43">
        <f>'11. Desinvesteringen'!B246</f>
        <v>227</v>
      </c>
      <c r="D244" s="43" t="str">
        <f>'11. Desinvesteringen'!C246</f>
        <v>21 Hoofdtransportleiding</v>
      </c>
      <c r="E244" s="43">
        <f>'11. Desinvesteringen'!D246</f>
        <v>1992</v>
      </c>
      <c r="F244" s="48">
        <f>'11. Desinvesteringen'!E246</f>
        <v>17214.810000000001</v>
      </c>
      <c r="G244" s="43">
        <f>'11. Desinvesteringen'!G246</f>
        <v>2021</v>
      </c>
    </row>
    <row r="245" spans="2:7" s="3" customFormat="1">
      <c r="B245" s="43">
        <f>'11. Desinvesteringen'!B247</f>
        <v>228</v>
      </c>
      <c r="D245" s="43" t="str">
        <f>'11. Desinvesteringen'!C247</f>
        <v>21 Hoofdtransportleiding</v>
      </c>
      <c r="E245" s="43">
        <f>'11. Desinvesteringen'!D247</f>
        <v>1993</v>
      </c>
      <c r="F245" s="48">
        <f>'11. Desinvesteringen'!E247</f>
        <v>955.02</v>
      </c>
      <c r="G245" s="43">
        <f>'11. Desinvesteringen'!G247</f>
        <v>2021</v>
      </c>
    </row>
    <row r="246" spans="2:7" s="3" customFormat="1">
      <c r="B246" s="43">
        <f>'11. Desinvesteringen'!B248</f>
        <v>229</v>
      </c>
      <c r="D246" s="43" t="str">
        <f>'11. Desinvesteringen'!C248</f>
        <v>21 Hoofdtransportleiding</v>
      </c>
      <c r="E246" s="43">
        <f>'11. Desinvesteringen'!D248</f>
        <v>1994</v>
      </c>
      <c r="F246" s="48">
        <f>'11. Desinvesteringen'!E248</f>
        <v>2215.4899999999998</v>
      </c>
      <c r="G246" s="43">
        <f>'11. Desinvesteringen'!G248</f>
        <v>2021</v>
      </c>
    </row>
    <row r="247" spans="2:7" s="3" customFormat="1">
      <c r="B247" s="43">
        <f>'11. Desinvesteringen'!B249</f>
        <v>230</v>
      </c>
      <c r="D247" s="43" t="str">
        <f>'11. Desinvesteringen'!C249</f>
        <v>21 Hoofdtransportleiding</v>
      </c>
      <c r="E247" s="43">
        <f>'11. Desinvesteringen'!D249</f>
        <v>1995</v>
      </c>
      <c r="F247" s="48">
        <f>'11. Desinvesteringen'!E249</f>
        <v>2202.9899999999998</v>
      </c>
      <c r="G247" s="43">
        <f>'11. Desinvesteringen'!G249</f>
        <v>2021</v>
      </c>
    </row>
    <row r="248" spans="2:7" s="3" customFormat="1">
      <c r="B248" s="43">
        <f>'11. Desinvesteringen'!B250</f>
        <v>231</v>
      </c>
      <c r="D248" s="43" t="str">
        <f>'11. Desinvesteringen'!C250</f>
        <v>21 Hoofdtransportleiding</v>
      </c>
      <c r="E248" s="43">
        <f>'11. Desinvesteringen'!D250</f>
        <v>1996</v>
      </c>
      <c r="F248" s="48">
        <f>'11. Desinvesteringen'!E250</f>
        <v>25933.81</v>
      </c>
      <c r="G248" s="43">
        <f>'11. Desinvesteringen'!G250</f>
        <v>2021</v>
      </c>
    </row>
    <row r="249" spans="2:7" s="3" customFormat="1">
      <c r="B249" s="43">
        <f>'11. Desinvesteringen'!B251</f>
        <v>232</v>
      </c>
      <c r="D249" s="43" t="str">
        <f>'11. Desinvesteringen'!C251</f>
        <v>21 Hoofdtransportleiding</v>
      </c>
      <c r="E249" s="43">
        <f>'11. Desinvesteringen'!D251</f>
        <v>1998</v>
      </c>
      <c r="F249" s="48">
        <f>'11. Desinvesteringen'!E251</f>
        <v>218.17</v>
      </c>
      <c r="G249" s="43">
        <f>'11. Desinvesteringen'!G251</f>
        <v>2021</v>
      </c>
    </row>
    <row r="250" spans="2:7" s="3" customFormat="1">
      <c r="B250" s="43">
        <f>'11. Desinvesteringen'!B252</f>
        <v>233</v>
      </c>
      <c r="D250" s="43" t="str">
        <f>'11. Desinvesteringen'!C252</f>
        <v>21 Hoofdtransportleiding</v>
      </c>
      <c r="E250" s="43">
        <f>'11. Desinvesteringen'!D252</f>
        <v>2000</v>
      </c>
      <c r="F250" s="48">
        <f>'11. Desinvesteringen'!E252</f>
        <v>3336.46</v>
      </c>
      <c r="G250" s="43">
        <f>'11. Desinvesteringen'!G252</f>
        <v>2021</v>
      </c>
    </row>
    <row r="251" spans="2:7" s="3" customFormat="1">
      <c r="B251" s="43">
        <f>'11. Desinvesteringen'!B253</f>
        <v>234</v>
      </c>
      <c r="D251" s="43" t="str">
        <f>'11. Desinvesteringen'!C253</f>
        <v>21 Hoofdtransportleiding</v>
      </c>
      <c r="E251" s="43">
        <f>'11. Desinvesteringen'!D253</f>
        <v>2001</v>
      </c>
      <c r="F251" s="48">
        <f>'11. Desinvesteringen'!E253</f>
        <v>7332.67</v>
      </c>
      <c r="G251" s="43">
        <f>'11. Desinvesteringen'!G253</f>
        <v>2021</v>
      </c>
    </row>
    <row r="252" spans="2:7" s="3" customFormat="1">
      <c r="B252" s="43">
        <f>'11. Desinvesteringen'!B254</f>
        <v>235</v>
      </c>
      <c r="D252" s="43" t="str">
        <f>'11. Desinvesteringen'!C254</f>
        <v>21 Hoofdtransportleiding</v>
      </c>
      <c r="E252" s="43">
        <f>'11. Desinvesteringen'!D254</f>
        <v>2004</v>
      </c>
      <c r="F252" s="48">
        <f>'11. Desinvesteringen'!E254</f>
        <v>32470.219999999998</v>
      </c>
      <c r="G252" s="43">
        <f>'11. Desinvesteringen'!G254</f>
        <v>2021</v>
      </c>
    </row>
    <row r="253" spans="2:7" s="3" customFormat="1">
      <c r="B253" s="43">
        <f>'11. Desinvesteringen'!B255</f>
        <v>236</v>
      </c>
      <c r="D253" s="43" t="str">
        <f>'11. Desinvesteringen'!C255</f>
        <v>21 Hoofdtransportleiding</v>
      </c>
      <c r="E253" s="43">
        <f>'11. Desinvesteringen'!D255</f>
        <v>2007</v>
      </c>
      <c r="F253" s="48">
        <f>'11. Desinvesteringen'!E255</f>
        <v>36698.050000000003</v>
      </c>
      <c r="G253" s="43">
        <f>'11. Desinvesteringen'!G255</f>
        <v>2021</v>
      </c>
    </row>
    <row r="254" spans="2:7" s="3" customFormat="1">
      <c r="B254" s="43">
        <f>'11. Desinvesteringen'!B256</f>
        <v>237</v>
      </c>
      <c r="D254" s="43" t="str">
        <f>'11. Desinvesteringen'!C256</f>
        <v>21 Hoofdtransportleiding</v>
      </c>
      <c r="E254" s="43">
        <f>'11. Desinvesteringen'!D256</f>
        <v>2007</v>
      </c>
      <c r="F254" s="48">
        <f>'11. Desinvesteringen'!E256</f>
        <v>814.86374062264201</v>
      </c>
      <c r="G254" s="43">
        <f>'11. Desinvesteringen'!G256</f>
        <v>2021</v>
      </c>
    </row>
    <row r="255" spans="2:7" s="3" customFormat="1">
      <c r="B255" s="43">
        <f>'11. Desinvesteringen'!B257</f>
        <v>238</v>
      </c>
      <c r="D255" s="43" t="str">
        <f>'11. Desinvesteringen'!C257</f>
        <v>21 Hoofdtransportleiding</v>
      </c>
      <c r="E255" s="43">
        <f>'11. Desinvesteringen'!D257</f>
        <v>2008</v>
      </c>
      <c r="F255" s="48">
        <f>'11. Desinvesteringen'!E257</f>
        <v>1697.82</v>
      </c>
      <c r="G255" s="43">
        <f>'11. Desinvesteringen'!G257</f>
        <v>2021</v>
      </c>
    </row>
    <row r="256" spans="2:7" s="3" customFormat="1">
      <c r="B256" s="43">
        <f>'11. Desinvesteringen'!B258</f>
        <v>239</v>
      </c>
      <c r="D256" s="43" t="str">
        <f>'11. Desinvesteringen'!C258</f>
        <v>21 Hoofdtransportleiding</v>
      </c>
      <c r="E256" s="43">
        <f>'11. Desinvesteringen'!D258</f>
        <v>2009</v>
      </c>
      <c r="F256" s="48">
        <f>'11. Desinvesteringen'!E258</f>
        <v>306.17</v>
      </c>
      <c r="G256" s="43">
        <f>'11. Desinvesteringen'!G258</f>
        <v>2021</v>
      </c>
    </row>
    <row r="257" spans="2:7" s="3" customFormat="1">
      <c r="B257" s="43">
        <f>'11. Desinvesteringen'!B259</f>
        <v>240</v>
      </c>
      <c r="D257" s="43" t="str">
        <f>'11. Desinvesteringen'!C259</f>
        <v>32 M&amp;R stations</v>
      </c>
      <c r="E257" s="43">
        <f>'11. Desinvesteringen'!D259</f>
        <v>1996</v>
      </c>
      <c r="F257" s="48">
        <f>'11. Desinvesteringen'!E259</f>
        <v>4334.99</v>
      </c>
      <c r="G257" s="43">
        <f>'11. Desinvesteringen'!G259</f>
        <v>2021</v>
      </c>
    </row>
    <row r="258" spans="2:7" s="3" customFormat="1">
      <c r="B258" s="43">
        <f>'11. Desinvesteringen'!B260</f>
        <v>241</v>
      </c>
      <c r="D258" s="43" t="str">
        <f>'11. Desinvesteringen'!C260</f>
        <v>32 M&amp;R stations</v>
      </c>
      <c r="E258" s="43">
        <f>'11. Desinvesteringen'!D260</f>
        <v>2004</v>
      </c>
      <c r="F258" s="48">
        <f>'11. Desinvesteringen'!E260</f>
        <v>3261.03</v>
      </c>
      <c r="G258" s="43">
        <f>'11. Desinvesteringen'!G260</f>
        <v>2021</v>
      </c>
    </row>
    <row r="259" spans="2:7" s="3" customFormat="1">
      <c r="B259" s="43">
        <f>'11. Desinvesteringen'!B261</f>
        <v>242</v>
      </c>
      <c r="D259" s="43" t="str">
        <f>'11. Desinvesteringen'!C261</f>
        <v>32 M&amp;R stations</v>
      </c>
      <c r="E259" s="43">
        <f>'11. Desinvesteringen'!D261</f>
        <v>2005</v>
      </c>
      <c r="F259" s="48">
        <f>'11. Desinvesteringen'!E261</f>
        <v>6498.35</v>
      </c>
      <c r="G259" s="43">
        <f>'11. Desinvesteringen'!G261</f>
        <v>2021</v>
      </c>
    </row>
    <row r="260" spans="2:7" s="3" customFormat="1">
      <c r="B260" s="43">
        <f>'11. Desinvesteringen'!B262</f>
        <v>243</v>
      </c>
      <c r="D260" s="43" t="str">
        <f>'11. Desinvesteringen'!C262</f>
        <v>21 Hoofdtransportleiding</v>
      </c>
      <c r="E260" s="43">
        <f>'11. Desinvesteringen'!D262</f>
        <v>2013</v>
      </c>
      <c r="F260" s="48">
        <f>'11. Desinvesteringen'!E262</f>
        <v>111081.36098285067</v>
      </c>
      <c r="G260" s="43">
        <f>'11. Desinvesteringen'!G262</f>
        <v>2021</v>
      </c>
    </row>
    <row r="261" spans="2:7" s="3" customFormat="1">
      <c r="B261" s="43">
        <f>'11. Desinvesteringen'!B263</f>
        <v>244</v>
      </c>
      <c r="D261" s="43" t="str">
        <f>'11. Desinvesteringen'!C263</f>
        <v>21 Hoofdtransportleiding</v>
      </c>
      <c r="E261" s="43">
        <f>'11. Desinvesteringen'!D263</f>
        <v>2015</v>
      </c>
      <c r="F261" s="48">
        <f>'11. Desinvesteringen'!E263</f>
        <v>10546.74451914087</v>
      </c>
      <c r="G261" s="43">
        <f>'11. Desinvesteringen'!G263</f>
        <v>2021</v>
      </c>
    </row>
    <row r="262" spans="2:7" s="3" customFormat="1">
      <c r="B262" s="43">
        <f>'11. Desinvesteringen'!B264</f>
        <v>245</v>
      </c>
      <c r="D262" s="43" t="str">
        <f>'11. Desinvesteringen'!C264</f>
        <v>21 Hoofdtransportleiding</v>
      </c>
      <c r="E262" s="43">
        <f>'11. Desinvesteringen'!D264</f>
        <v>2016</v>
      </c>
      <c r="F262" s="48">
        <f>'11. Desinvesteringen'!E264</f>
        <v>23513.843749704858</v>
      </c>
      <c r="G262" s="43">
        <f>'11. Desinvesteringen'!G264</f>
        <v>2021</v>
      </c>
    </row>
    <row r="263" spans="2:7" s="3" customFormat="1">
      <c r="B263" s="43">
        <f>'11. Desinvesteringen'!B265</f>
        <v>246</v>
      </c>
      <c r="D263" s="43" t="str">
        <f>'11. Desinvesteringen'!C265</f>
        <v>23 Brigittaleiding</v>
      </c>
      <c r="E263" s="43">
        <f>'11. Desinvesteringen'!D265</f>
        <v>1980</v>
      </c>
      <c r="F263" s="48">
        <f>'11. Desinvesteringen'!E265</f>
        <v>634.20000000000005</v>
      </c>
      <c r="G263" s="43">
        <f>'11. Desinvesteringen'!G265</f>
        <v>2021</v>
      </c>
    </row>
    <row r="264" spans="2:7" s="3" customFormat="1">
      <c r="B264" s="43">
        <f>'11. Desinvesteringen'!B266</f>
        <v>247</v>
      </c>
      <c r="D264" s="43" t="str">
        <f>'11. Desinvesteringen'!C266</f>
        <v>23 Brigittaleiding</v>
      </c>
      <c r="E264" s="43">
        <f>'11. Desinvesteringen'!D266</f>
        <v>1995</v>
      </c>
      <c r="F264" s="48">
        <f>'11. Desinvesteringen'!E266</f>
        <v>3276.15</v>
      </c>
      <c r="G264" s="43">
        <f>'11. Desinvesteringen'!G266</f>
        <v>2021</v>
      </c>
    </row>
    <row r="265" spans="2:7" s="3" customFormat="1">
      <c r="B265" s="43">
        <f>'11. Desinvesteringen'!B267</f>
        <v>248</v>
      </c>
      <c r="D265" s="43" t="str">
        <f>'11. Desinvesteringen'!C267</f>
        <v>33 Exportstations</v>
      </c>
      <c r="E265" s="43">
        <f>'11. Desinvesteringen'!D267</f>
        <v>1966</v>
      </c>
      <c r="F265" s="48">
        <f>'11. Desinvesteringen'!E267</f>
        <v>9693.7099999999991</v>
      </c>
      <c r="G265" s="43">
        <f>'11. Desinvesteringen'!G267</f>
        <v>2021</v>
      </c>
    </row>
    <row r="266" spans="2:7" s="3" customFormat="1">
      <c r="B266" s="43">
        <f>'11. Desinvesteringen'!B268</f>
        <v>249</v>
      </c>
      <c r="D266" s="43" t="str">
        <f>'11. Desinvesteringen'!C268</f>
        <v>33 Exportstations</v>
      </c>
      <c r="E266" s="43">
        <f>'11. Desinvesteringen'!D268</f>
        <v>1975</v>
      </c>
      <c r="F266" s="48">
        <f>'11. Desinvesteringen'!E268</f>
        <v>41515.949999999997</v>
      </c>
      <c r="G266" s="43">
        <f>'11. Desinvesteringen'!G268</f>
        <v>2021</v>
      </c>
    </row>
    <row r="267" spans="2:7" s="3" customFormat="1">
      <c r="B267" s="43">
        <f>'11. Desinvesteringen'!B269</f>
        <v>250</v>
      </c>
      <c r="D267" s="43" t="str">
        <f>'11. Desinvesteringen'!C269</f>
        <v>33 Exportstations</v>
      </c>
      <c r="E267" s="43">
        <f>'11. Desinvesteringen'!D269</f>
        <v>1998</v>
      </c>
      <c r="F267" s="48">
        <f>'11. Desinvesteringen'!E269</f>
        <v>15977.01</v>
      </c>
      <c r="G267" s="43">
        <f>'11. Desinvesteringen'!G269</f>
        <v>2021</v>
      </c>
    </row>
    <row r="268" spans="2:7" s="3" customFormat="1">
      <c r="B268" s="43">
        <f>'11. Desinvesteringen'!B270</f>
        <v>251</v>
      </c>
      <c r="D268" s="43" t="str">
        <f>'11. Desinvesteringen'!C270</f>
        <v>33 Exportstations</v>
      </c>
      <c r="E268" s="43">
        <f>'11. Desinvesteringen'!D270</f>
        <v>2006</v>
      </c>
      <c r="F268" s="48">
        <f>'11. Desinvesteringen'!E270</f>
        <v>102233.51999999999</v>
      </c>
      <c r="G268" s="43">
        <f>'11. Desinvesteringen'!G270</f>
        <v>2021</v>
      </c>
    </row>
    <row r="269" spans="2:7" s="3" customFormat="1">
      <c r="B269" s="43">
        <f>'11. Desinvesteringen'!B271</f>
        <v>252</v>
      </c>
      <c r="D269" s="43" t="str">
        <f>'11. Desinvesteringen'!C271</f>
        <v>34 Reduceerstations</v>
      </c>
      <c r="E269" s="43">
        <f>'11. Desinvesteringen'!D271</f>
        <v>1986</v>
      </c>
      <c r="F269" s="48">
        <f>'11. Desinvesteringen'!E271</f>
        <v>11474.46</v>
      </c>
      <c r="G269" s="43">
        <f>'11. Desinvesteringen'!G271</f>
        <v>2021</v>
      </c>
    </row>
    <row r="270" spans="2:7" s="3" customFormat="1">
      <c r="B270" s="43">
        <f>'11. Desinvesteringen'!B272</f>
        <v>253</v>
      </c>
      <c r="D270" s="43" t="str">
        <f>'11. Desinvesteringen'!C272</f>
        <v>34 Reduceerstations</v>
      </c>
      <c r="E270" s="43">
        <f>'11. Desinvesteringen'!D272</f>
        <v>1996</v>
      </c>
      <c r="F270" s="48">
        <f>'11. Desinvesteringen'!E272</f>
        <v>3094.13</v>
      </c>
      <c r="G270" s="43">
        <f>'11. Desinvesteringen'!G272</f>
        <v>2021</v>
      </c>
    </row>
    <row r="271" spans="2:7" s="3" customFormat="1">
      <c r="B271" s="43">
        <f>'11. Desinvesteringen'!B273</f>
        <v>254</v>
      </c>
      <c r="D271" s="43" t="str">
        <f>'11. Desinvesteringen'!C273</f>
        <v>34 Reduceerstations</v>
      </c>
      <c r="E271" s="43">
        <f>'11. Desinvesteringen'!D273</f>
        <v>1997</v>
      </c>
      <c r="F271" s="48">
        <f>'11. Desinvesteringen'!E273</f>
        <v>31484.79</v>
      </c>
      <c r="G271" s="43">
        <f>'11. Desinvesteringen'!G273</f>
        <v>2021</v>
      </c>
    </row>
    <row r="272" spans="2:7" s="3" customFormat="1">
      <c r="B272" s="43">
        <f>'11. Desinvesteringen'!B274</f>
        <v>255</v>
      </c>
      <c r="D272" s="43" t="str">
        <f>'11. Desinvesteringen'!C274</f>
        <v>34 Reduceerstations</v>
      </c>
      <c r="E272" s="43">
        <f>'11. Desinvesteringen'!D274</f>
        <v>1998</v>
      </c>
      <c r="F272" s="48">
        <f>'11. Desinvesteringen'!E274</f>
        <v>1479.93</v>
      </c>
      <c r="G272" s="43">
        <f>'11. Desinvesteringen'!G274</f>
        <v>2021</v>
      </c>
    </row>
    <row r="273" spans="2:7" s="3" customFormat="1">
      <c r="B273" s="43">
        <f>'11. Desinvesteringen'!B275</f>
        <v>256</v>
      </c>
      <c r="D273" s="43" t="str">
        <f>'11. Desinvesteringen'!C275</f>
        <v>37 ICT middelen 1</v>
      </c>
      <c r="E273" s="43">
        <f>'11. Desinvesteringen'!D275</f>
        <v>2014</v>
      </c>
      <c r="F273" s="48">
        <f>'11. Desinvesteringen'!E275</f>
        <v>389821.72686058586</v>
      </c>
      <c r="G273" s="43">
        <f>'11. Desinvesteringen'!G275</f>
        <v>2021</v>
      </c>
    </row>
    <row r="274" spans="2:7" s="3" customFormat="1">
      <c r="B274" s="43">
        <f>'11. Desinvesteringen'!B276</f>
        <v>257</v>
      </c>
      <c r="D274" s="43" t="str">
        <f>'11. Desinvesteringen'!C276</f>
        <v>37 ICT middelen 1</v>
      </c>
      <c r="E274" s="43">
        <f>'11. Desinvesteringen'!D276</f>
        <v>2016</v>
      </c>
      <c r="F274" s="48">
        <f>'11. Desinvesteringen'!E276</f>
        <v>6703956.690605375</v>
      </c>
      <c r="G274" s="43">
        <f>'11. Desinvesteringen'!G276</f>
        <v>2021</v>
      </c>
    </row>
    <row r="275" spans="2:7" s="3" customFormat="1">
      <c r="B275" s="43">
        <f>'11. Desinvesteringen'!B277</f>
        <v>258</v>
      </c>
      <c r="D275" s="43" t="str">
        <f>'11. Desinvesteringen'!C277</f>
        <v>37 ICT middelen 1</v>
      </c>
      <c r="E275" s="43">
        <f>'11. Desinvesteringen'!D277</f>
        <v>2017</v>
      </c>
      <c r="F275" s="48">
        <f>'11. Desinvesteringen'!E277</f>
        <v>684727.21448209102</v>
      </c>
      <c r="G275" s="43">
        <f>'11. Desinvesteringen'!G277</f>
        <v>2021</v>
      </c>
    </row>
    <row r="276" spans="2:7" s="3" customFormat="1">
      <c r="B276" s="43">
        <f>'11. Desinvesteringen'!B278</f>
        <v>259</v>
      </c>
      <c r="D276" s="43" t="str">
        <f>'11. Desinvesteringen'!C278</f>
        <v>37 ICT middelen 1</v>
      </c>
      <c r="E276" s="43">
        <f>'11. Desinvesteringen'!D278</f>
        <v>2018</v>
      </c>
      <c r="F276" s="48">
        <f>'11. Desinvesteringen'!E278</f>
        <v>493959.41966385196</v>
      </c>
      <c r="G276" s="43">
        <f>'11. Desinvesteringen'!G278</f>
        <v>2021</v>
      </c>
    </row>
    <row r="277" spans="2:7" s="3" customFormat="1">
      <c r="B277" s="43">
        <f>'11. Desinvesteringen'!B279</f>
        <v>260</v>
      </c>
      <c r="D277" s="43" t="str">
        <f>'11. Desinvesteringen'!C279</f>
        <v>37 ICT middelen 1</v>
      </c>
      <c r="E277" s="43">
        <f>'11. Desinvesteringen'!D279</f>
        <v>2019</v>
      </c>
      <c r="F277" s="48">
        <f>'11. Desinvesteringen'!E279</f>
        <v>890860.60513630731</v>
      </c>
      <c r="G277" s="43">
        <f>'11. Desinvesteringen'!G279</f>
        <v>2021</v>
      </c>
    </row>
    <row r="278" spans="2:7" s="3" customFormat="1">
      <c r="B278" s="43">
        <f>'11. Desinvesteringen'!B280</f>
        <v>261</v>
      </c>
      <c r="D278" s="43" t="str">
        <f>'11. Desinvesteringen'!C280</f>
        <v>38 ICT middelen 2</v>
      </c>
      <c r="E278" s="43">
        <f>'11. Desinvesteringen'!D280</f>
        <v>2019</v>
      </c>
      <c r="F278" s="48">
        <f>'11. Desinvesteringen'!E280</f>
        <v>211448.77498552162</v>
      </c>
      <c r="G278" s="43">
        <f>'11. Desinvesteringen'!G280</f>
        <v>2021</v>
      </c>
    </row>
    <row r="279" spans="2:7" s="3" customFormat="1">
      <c r="B279" s="43">
        <f>'11. Desinvesteringen'!B281</f>
        <v>262</v>
      </c>
      <c r="D279" s="43" t="str">
        <f>'11. Desinvesteringen'!C281</f>
        <v>01 Regionale leidingen</v>
      </c>
      <c r="E279" s="43">
        <f>'11. Desinvesteringen'!D281</f>
        <v>1950</v>
      </c>
      <c r="F279" s="48">
        <f>'11. Desinvesteringen'!E281</f>
        <v>107805.84</v>
      </c>
      <c r="G279" s="43">
        <f>'11. Desinvesteringen'!G281</f>
        <v>2021</v>
      </c>
    </row>
    <row r="280" spans="2:7" s="3" customFormat="1">
      <c r="B280" s="43">
        <f>'11. Desinvesteringen'!B282</f>
        <v>263</v>
      </c>
      <c r="D280" s="43" t="str">
        <f>'11. Desinvesteringen'!C282</f>
        <v>01 Regionale leidingen</v>
      </c>
      <c r="E280" s="43">
        <f>'11. Desinvesteringen'!D282</f>
        <v>1953</v>
      </c>
      <c r="F280" s="48">
        <f>'11. Desinvesteringen'!E282</f>
        <v>55835.41</v>
      </c>
      <c r="G280" s="43">
        <f>'11. Desinvesteringen'!G282</f>
        <v>2021</v>
      </c>
    </row>
    <row r="281" spans="2:7" s="3" customFormat="1">
      <c r="B281" s="43">
        <f>'11. Desinvesteringen'!B283</f>
        <v>264</v>
      </c>
      <c r="D281" s="43" t="str">
        <f>'11. Desinvesteringen'!C283</f>
        <v>01 Regionale leidingen</v>
      </c>
      <c r="E281" s="43">
        <f>'11. Desinvesteringen'!D283</f>
        <v>1962</v>
      </c>
      <c r="F281" s="48">
        <f>'11. Desinvesteringen'!E283</f>
        <v>40000</v>
      </c>
      <c r="G281" s="43">
        <f>'11. Desinvesteringen'!G283</f>
        <v>2021</v>
      </c>
    </row>
    <row r="282" spans="2:7" s="3" customFormat="1">
      <c r="B282" s="43">
        <f>'11. Desinvesteringen'!B284</f>
        <v>265</v>
      </c>
      <c r="D282" s="43" t="str">
        <f>'11. Desinvesteringen'!C284</f>
        <v>01 Regionale leidingen</v>
      </c>
      <c r="E282" s="43">
        <f>'11. Desinvesteringen'!D284</f>
        <v>1965</v>
      </c>
      <c r="F282" s="48">
        <f>'11. Desinvesteringen'!E284</f>
        <v>25702.75</v>
      </c>
      <c r="G282" s="43">
        <f>'11. Desinvesteringen'!G284</f>
        <v>2021</v>
      </c>
    </row>
    <row r="283" spans="2:7" s="3" customFormat="1">
      <c r="B283" s="43">
        <f>'11. Desinvesteringen'!B285</f>
        <v>266</v>
      </c>
      <c r="D283" s="43" t="str">
        <f>'11. Desinvesteringen'!C285</f>
        <v>01 Regionale leidingen</v>
      </c>
      <c r="E283" s="43">
        <f>'11. Desinvesteringen'!D285</f>
        <v>1966</v>
      </c>
      <c r="F283" s="48">
        <f>'11. Desinvesteringen'!E285</f>
        <v>109434.39</v>
      </c>
      <c r="G283" s="43">
        <f>'11. Desinvesteringen'!G285</f>
        <v>2021</v>
      </c>
    </row>
    <row r="284" spans="2:7" s="3" customFormat="1">
      <c r="B284" s="43">
        <f>'11. Desinvesteringen'!B286</f>
        <v>267</v>
      </c>
      <c r="D284" s="43" t="str">
        <f>'11. Desinvesteringen'!C286</f>
        <v>01 Regionale leidingen</v>
      </c>
      <c r="E284" s="43">
        <f>'11. Desinvesteringen'!D286</f>
        <v>1967</v>
      </c>
      <c r="F284" s="48">
        <f>'11. Desinvesteringen'!E286</f>
        <v>190675.34999999998</v>
      </c>
      <c r="G284" s="43">
        <f>'11. Desinvesteringen'!G286</f>
        <v>2021</v>
      </c>
    </row>
    <row r="285" spans="2:7" s="3" customFormat="1">
      <c r="B285" s="43">
        <f>'11. Desinvesteringen'!B287</f>
        <v>268</v>
      </c>
      <c r="D285" s="43" t="str">
        <f>'11. Desinvesteringen'!C287</f>
        <v>01 Regionale leidingen</v>
      </c>
      <c r="E285" s="43">
        <f>'11. Desinvesteringen'!D287</f>
        <v>1968</v>
      </c>
      <c r="F285" s="48">
        <f>'11. Desinvesteringen'!E287</f>
        <v>99063.760000000009</v>
      </c>
      <c r="G285" s="43">
        <f>'11. Desinvesteringen'!G287</f>
        <v>2021</v>
      </c>
    </row>
    <row r="286" spans="2:7" s="3" customFormat="1">
      <c r="B286" s="43">
        <f>'11. Desinvesteringen'!B288</f>
        <v>269</v>
      </c>
      <c r="D286" s="43" t="str">
        <f>'11. Desinvesteringen'!C288</f>
        <v>01 Regionale leidingen</v>
      </c>
      <c r="E286" s="43">
        <f>'11. Desinvesteringen'!D288</f>
        <v>1969</v>
      </c>
      <c r="F286" s="48">
        <f>'11. Desinvesteringen'!E288</f>
        <v>91756</v>
      </c>
      <c r="G286" s="43">
        <f>'11. Desinvesteringen'!G288</f>
        <v>2021</v>
      </c>
    </row>
    <row r="287" spans="2:7" s="3" customFormat="1">
      <c r="B287" s="43">
        <f>'11. Desinvesteringen'!B289</f>
        <v>270</v>
      </c>
      <c r="D287" s="43" t="str">
        <f>'11. Desinvesteringen'!C289</f>
        <v>01 Regionale leidingen</v>
      </c>
      <c r="E287" s="43">
        <f>'11. Desinvesteringen'!D289</f>
        <v>1970</v>
      </c>
      <c r="F287" s="48">
        <f>'11. Desinvesteringen'!E289</f>
        <v>226775.59999999998</v>
      </c>
      <c r="G287" s="43">
        <f>'11. Desinvesteringen'!G289</f>
        <v>2021</v>
      </c>
    </row>
    <row r="288" spans="2:7" s="3" customFormat="1">
      <c r="B288" s="43">
        <f>'11. Desinvesteringen'!B290</f>
        <v>271</v>
      </c>
      <c r="D288" s="43" t="str">
        <f>'11. Desinvesteringen'!C290</f>
        <v>01 Regionale leidingen</v>
      </c>
      <c r="E288" s="43">
        <f>'11. Desinvesteringen'!D290</f>
        <v>1971</v>
      </c>
      <c r="F288" s="48">
        <f>'11. Desinvesteringen'!E290</f>
        <v>280880.57</v>
      </c>
      <c r="G288" s="43">
        <f>'11. Desinvesteringen'!G290</f>
        <v>2021</v>
      </c>
    </row>
    <row r="289" spans="2:7" s="3" customFormat="1">
      <c r="B289" s="43">
        <f>'11. Desinvesteringen'!B291</f>
        <v>272</v>
      </c>
      <c r="D289" s="43" t="str">
        <f>'11. Desinvesteringen'!C291</f>
        <v>01 Regionale leidingen</v>
      </c>
      <c r="E289" s="43">
        <f>'11. Desinvesteringen'!D291</f>
        <v>1972</v>
      </c>
      <c r="F289" s="48">
        <f>'11. Desinvesteringen'!E291</f>
        <v>113518.65</v>
      </c>
      <c r="G289" s="43">
        <f>'11. Desinvesteringen'!G291</f>
        <v>2021</v>
      </c>
    </row>
    <row r="290" spans="2:7" s="3" customFormat="1">
      <c r="B290" s="43">
        <f>'11. Desinvesteringen'!B292</f>
        <v>273</v>
      </c>
      <c r="D290" s="43" t="str">
        <f>'11. Desinvesteringen'!C292</f>
        <v>01 Regionale leidingen</v>
      </c>
      <c r="E290" s="43">
        <f>'11. Desinvesteringen'!D292</f>
        <v>1973</v>
      </c>
      <c r="F290" s="48">
        <f>'11. Desinvesteringen'!E292</f>
        <v>71403.600000000006</v>
      </c>
      <c r="G290" s="43">
        <f>'11. Desinvesteringen'!G292</f>
        <v>2021</v>
      </c>
    </row>
    <row r="291" spans="2:7" s="3" customFormat="1">
      <c r="B291" s="43">
        <f>'11. Desinvesteringen'!B293</f>
        <v>274</v>
      </c>
      <c r="D291" s="43" t="str">
        <f>'11. Desinvesteringen'!C293</f>
        <v>01 Regionale leidingen</v>
      </c>
      <c r="E291" s="43">
        <f>'11. Desinvesteringen'!D293</f>
        <v>1975</v>
      </c>
      <c r="F291" s="48">
        <f>'11. Desinvesteringen'!E293</f>
        <v>19198.080000000002</v>
      </c>
      <c r="G291" s="43">
        <f>'11. Desinvesteringen'!G293</f>
        <v>2021</v>
      </c>
    </row>
    <row r="292" spans="2:7" s="3" customFormat="1">
      <c r="B292" s="43">
        <f>'11. Desinvesteringen'!B294</f>
        <v>275</v>
      </c>
      <c r="D292" s="43" t="str">
        <f>'11. Desinvesteringen'!C294</f>
        <v>01 Regionale leidingen</v>
      </c>
      <c r="E292" s="43">
        <f>'11. Desinvesteringen'!D294</f>
        <v>1979</v>
      </c>
      <c r="F292" s="48">
        <f>'11. Desinvesteringen'!E294</f>
        <v>42081.31</v>
      </c>
      <c r="G292" s="43">
        <f>'11. Desinvesteringen'!G294</f>
        <v>2021</v>
      </c>
    </row>
    <row r="293" spans="2:7" s="3" customFormat="1">
      <c r="B293" s="43">
        <f>'11. Desinvesteringen'!B295</f>
        <v>276</v>
      </c>
      <c r="D293" s="43" t="str">
        <f>'11. Desinvesteringen'!C295</f>
        <v>01 Regionale leidingen</v>
      </c>
      <c r="E293" s="43">
        <f>'11. Desinvesteringen'!D295</f>
        <v>1991</v>
      </c>
      <c r="F293" s="48">
        <f>'11. Desinvesteringen'!E295</f>
        <v>38721.65</v>
      </c>
      <c r="G293" s="43">
        <f>'11. Desinvesteringen'!G295</f>
        <v>2021</v>
      </c>
    </row>
    <row r="294" spans="2:7" s="3" customFormat="1">
      <c r="B294" s="43">
        <f>'11. Desinvesteringen'!B296</f>
        <v>277</v>
      </c>
      <c r="D294" s="43" t="str">
        <f>'11. Desinvesteringen'!C296</f>
        <v>04 Terreinen</v>
      </c>
      <c r="E294" s="43">
        <f>'11. Desinvesteringen'!D296</f>
        <v>1956</v>
      </c>
      <c r="F294" s="48">
        <f>'11. Desinvesteringen'!E296</f>
        <v>10811.2</v>
      </c>
      <c r="G294" s="43">
        <f>'11. Desinvesteringen'!G296</f>
        <v>2021</v>
      </c>
    </row>
    <row r="295" spans="2:7" s="3" customFormat="1">
      <c r="B295" s="43">
        <f>'11. Desinvesteringen'!B297</f>
        <v>278</v>
      </c>
      <c r="D295" s="43" t="str">
        <f>'11. Desinvesteringen'!C297</f>
        <v>04 Terreinen</v>
      </c>
      <c r="E295" s="43">
        <f>'11. Desinvesteringen'!D297</f>
        <v>1968</v>
      </c>
      <c r="F295" s="48">
        <f>'11. Desinvesteringen'!E297</f>
        <v>73172.06</v>
      </c>
      <c r="G295" s="43">
        <f>'11. Desinvesteringen'!G297</f>
        <v>2021</v>
      </c>
    </row>
    <row r="296" spans="2:7" s="3" customFormat="1">
      <c r="B296" s="43">
        <f>'11. Desinvesteringen'!B298</f>
        <v>279</v>
      </c>
      <c r="D296" s="43" t="str">
        <f>'11. Desinvesteringen'!C298</f>
        <v>04 Terreinen</v>
      </c>
      <c r="E296" s="43">
        <f>'11. Desinvesteringen'!D298</f>
        <v>1979</v>
      </c>
      <c r="F296" s="48">
        <f>'11. Desinvesteringen'!E298</f>
        <v>1664.95</v>
      </c>
      <c r="G296" s="43">
        <f>'11. Desinvesteringen'!G298</f>
        <v>2021</v>
      </c>
    </row>
    <row r="297" spans="2:7" s="3" customFormat="1">
      <c r="B297" s="43">
        <f>'11. Desinvesteringen'!B299</f>
        <v>280</v>
      </c>
      <c r="D297" s="43" t="str">
        <f>'11. Desinvesteringen'!C299</f>
        <v>01 Regionale leidingen</v>
      </c>
      <c r="E297" s="43">
        <f>'11. Desinvesteringen'!D299</f>
        <v>1992</v>
      </c>
      <c r="F297" s="48">
        <f>'11. Desinvesteringen'!E299</f>
        <v>55514.82</v>
      </c>
      <c r="G297" s="43">
        <f>'11. Desinvesteringen'!G299</f>
        <v>2021</v>
      </c>
    </row>
    <row r="298" spans="2:7" s="3" customFormat="1">
      <c r="B298" s="43">
        <f>'11. Desinvesteringen'!B300</f>
        <v>281</v>
      </c>
      <c r="D298" s="43" t="str">
        <f>'11. Desinvesteringen'!C300</f>
        <v>01 Regionale leidingen</v>
      </c>
      <c r="E298" s="43">
        <f>'11. Desinvesteringen'!D300</f>
        <v>1994</v>
      </c>
      <c r="F298" s="48">
        <f>'11. Desinvesteringen'!E300</f>
        <v>23050.77</v>
      </c>
      <c r="G298" s="43">
        <f>'11. Desinvesteringen'!G300</f>
        <v>2021</v>
      </c>
    </row>
    <row r="299" spans="2:7" s="3" customFormat="1">
      <c r="B299" s="43">
        <f>'11. Desinvesteringen'!B301</f>
        <v>282</v>
      </c>
      <c r="D299" s="43" t="str">
        <f>'11. Desinvesteringen'!C301</f>
        <v>01 Regionale leidingen</v>
      </c>
      <c r="E299" s="43">
        <f>'11. Desinvesteringen'!D301</f>
        <v>1997</v>
      </c>
      <c r="F299" s="48">
        <f>'11. Desinvesteringen'!E301</f>
        <v>27362.14</v>
      </c>
      <c r="G299" s="43">
        <f>'11. Desinvesteringen'!G301</f>
        <v>2021</v>
      </c>
    </row>
    <row r="300" spans="2:7" s="3" customFormat="1">
      <c r="B300" s="43">
        <f>'11. Desinvesteringen'!B302</f>
        <v>283</v>
      </c>
      <c r="D300" s="43" t="str">
        <f>'11. Desinvesteringen'!C302</f>
        <v>01 Regionale leidingen</v>
      </c>
      <c r="E300" s="43">
        <f>'11. Desinvesteringen'!D302</f>
        <v>2004</v>
      </c>
      <c r="F300" s="48">
        <f>'11. Desinvesteringen'!E302</f>
        <v>151657.73000000001</v>
      </c>
      <c r="G300" s="43">
        <f>'11. Desinvesteringen'!G302</f>
        <v>2021</v>
      </c>
    </row>
    <row r="301" spans="2:7" s="3" customFormat="1">
      <c r="B301" s="43">
        <f>'11. Desinvesteringen'!B303</f>
        <v>284</v>
      </c>
      <c r="D301" s="43" t="str">
        <f>'11. Desinvesteringen'!C303</f>
        <v>01 Regionale leidingen</v>
      </c>
      <c r="E301" s="43">
        <f>'11. Desinvesteringen'!D303</f>
        <v>2007</v>
      </c>
      <c r="F301" s="48">
        <f>'11. Desinvesteringen'!E303</f>
        <v>2827.55</v>
      </c>
      <c r="G301" s="43">
        <f>'11. Desinvesteringen'!G303</f>
        <v>2021</v>
      </c>
    </row>
    <row r="302" spans="2:7" s="3" customFormat="1">
      <c r="B302" s="43">
        <f>'11. Desinvesteringen'!B304</f>
        <v>285</v>
      </c>
      <c r="D302" s="43" t="str">
        <f>'11. Desinvesteringen'!C304</f>
        <v>01 Regionale leidingen</v>
      </c>
      <c r="E302" s="43">
        <f>'11. Desinvesteringen'!D304</f>
        <v>2009</v>
      </c>
      <c r="F302" s="48">
        <f>'11. Desinvesteringen'!E304</f>
        <v>124313.99</v>
      </c>
      <c r="G302" s="43">
        <f>'11. Desinvesteringen'!G304</f>
        <v>2021</v>
      </c>
    </row>
    <row r="303" spans="2:7" s="3" customFormat="1">
      <c r="B303" s="43">
        <f>'11. Desinvesteringen'!B305</f>
        <v>286</v>
      </c>
      <c r="D303" s="43" t="str">
        <f>'11. Desinvesteringen'!C305</f>
        <v>01 Regionale leidingen</v>
      </c>
      <c r="E303" s="43">
        <f>'11. Desinvesteringen'!D305</f>
        <v>2010</v>
      </c>
      <c r="F303" s="48">
        <f>'11. Desinvesteringen'!E305</f>
        <v>268395.78855748021</v>
      </c>
      <c r="G303" s="43">
        <f>'11. Desinvesteringen'!G305</f>
        <v>2021</v>
      </c>
    </row>
    <row r="304" spans="2:7" s="3" customFormat="1">
      <c r="B304" s="43">
        <f>'11. Desinvesteringen'!B306</f>
        <v>287</v>
      </c>
      <c r="D304" s="43" t="str">
        <f>'11. Desinvesteringen'!C306</f>
        <v>01 Regionale leidingen</v>
      </c>
      <c r="E304" s="43">
        <f>'11. Desinvesteringen'!D306</f>
        <v>2011</v>
      </c>
      <c r="F304" s="48">
        <f>'11. Desinvesteringen'!E306</f>
        <v>64375.815051532467</v>
      </c>
      <c r="G304" s="43">
        <f>'11. Desinvesteringen'!G306</f>
        <v>2021</v>
      </c>
    </row>
    <row r="305" spans="2:7" s="3" customFormat="1">
      <c r="B305" s="43">
        <f>'11. Desinvesteringen'!B307</f>
        <v>288</v>
      </c>
      <c r="D305" s="43" t="str">
        <f>'11. Desinvesteringen'!C307</f>
        <v>01 Regionale leidingen</v>
      </c>
      <c r="E305" s="43">
        <f>'11. Desinvesteringen'!D307</f>
        <v>2013</v>
      </c>
      <c r="F305" s="48">
        <f>'11. Desinvesteringen'!E307</f>
        <v>398931.4021603408</v>
      </c>
      <c r="G305" s="43">
        <f>'11. Desinvesteringen'!G307</f>
        <v>2021</v>
      </c>
    </row>
    <row r="306" spans="2:7" s="3" customFormat="1">
      <c r="B306" s="43">
        <f>'11. Desinvesteringen'!B308</f>
        <v>289</v>
      </c>
      <c r="D306" s="43" t="str">
        <f>'11. Desinvesteringen'!C308</f>
        <v>01 Regionale leidingen</v>
      </c>
      <c r="E306" s="43">
        <f>'11. Desinvesteringen'!D308</f>
        <v>2014</v>
      </c>
      <c r="F306" s="48">
        <f>'11. Desinvesteringen'!E308</f>
        <v>536.92166709422554</v>
      </c>
      <c r="G306" s="43">
        <f>'11. Desinvesteringen'!G308</f>
        <v>2021</v>
      </c>
    </row>
    <row r="307" spans="2:7" s="3" customFormat="1">
      <c r="B307" s="43">
        <f>'11. Desinvesteringen'!B309</f>
        <v>290</v>
      </c>
      <c r="D307" s="43" t="str">
        <f>'11. Desinvesteringen'!C309</f>
        <v>01 Regionale leidingen</v>
      </c>
      <c r="E307" s="43">
        <f>'11. Desinvesteringen'!D309</f>
        <v>2018</v>
      </c>
      <c r="F307" s="48">
        <f>'11. Desinvesteringen'!E309</f>
        <v>1020326.7510328252</v>
      </c>
      <c r="G307" s="43">
        <f>'11. Desinvesteringen'!G309</f>
        <v>2021</v>
      </c>
    </row>
    <row r="308" spans="2:7" s="3" customFormat="1">
      <c r="B308" s="43">
        <f>'11. Desinvesteringen'!B310</f>
        <v>291</v>
      </c>
      <c r="D308" s="43" t="str">
        <f>'11. Desinvesteringen'!C310</f>
        <v>01 Regionale leidingen</v>
      </c>
      <c r="E308" s="43">
        <f>'11. Desinvesteringen'!D310</f>
        <v>2019</v>
      </c>
      <c r="F308" s="48">
        <f>'11. Desinvesteringen'!E310</f>
        <v>11951.372469743606</v>
      </c>
      <c r="G308" s="43">
        <f>'11. Desinvesteringen'!G310</f>
        <v>2021</v>
      </c>
    </row>
    <row r="309" spans="2:7" s="3" customFormat="1">
      <c r="B309" s="43">
        <f>'11. Desinvesteringen'!B311</f>
        <v>292</v>
      </c>
      <c r="D309" s="43" t="str">
        <f>'11. Desinvesteringen'!C311</f>
        <v>02 Gasontvangststations</v>
      </c>
      <c r="E309" s="43">
        <f>'11. Desinvesteringen'!D311</f>
        <v>1965</v>
      </c>
      <c r="F309" s="48">
        <f>'11. Desinvesteringen'!E311</f>
        <v>37085.920000000006</v>
      </c>
      <c r="G309" s="43">
        <f>'11. Desinvesteringen'!G311</f>
        <v>2021</v>
      </c>
    </row>
    <row r="310" spans="2:7" s="3" customFormat="1">
      <c r="B310" s="43">
        <f>'11. Desinvesteringen'!B312</f>
        <v>293</v>
      </c>
      <c r="D310" s="43" t="str">
        <f>'11. Desinvesteringen'!C312</f>
        <v>02 Gasontvangststations</v>
      </c>
      <c r="E310" s="43">
        <f>'11. Desinvesteringen'!D312</f>
        <v>1966</v>
      </c>
      <c r="F310" s="48">
        <f>'11. Desinvesteringen'!E312</f>
        <v>191229.55</v>
      </c>
      <c r="G310" s="43">
        <f>'11. Desinvesteringen'!G312</f>
        <v>2021</v>
      </c>
    </row>
    <row r="311" spans="2:7" s="3" customFormat="1">
      <c r="B311" s="43">
        <f>'11. Desinvesteringen'!B313</f>
        <v>294</v>
      </c>
      <c r="D311" s="43" t="str">
        <f>'11. Desinvesteringen'!C313</f>
        <v>02 Gasontvangststations</v>
      </c>
      <c r="E311" s="43">
        <f>'11. Desinvesteringen'!D313</f>
        <v>1967</v>
      </c>
      <c r="F311" s="48">
        <f>'11. Desinvesteringen'!E313</f>
        <v>221505.32</v>
      </c>
      <c r="G311" s="43">
        <f>'11. Desinvesteringen'!G313</f>
        <v>2021</v>
      </c>
    </row>
    <row r="312" spans="2:7" s="3" customFormat="1">
      <c r="B312" s="43">
        <f>'11. Desinvesteringen'!B314</f>
        <v>295</v>
      </c>
      <c r="D312" s="43" t="str">
        <f>'11. Desinvesteringen'!C314</f>
        <v>04 Terreinen</v>
      </c>
      <c r="E312" s="43">
        <f>'11. Desinvesteringen'!D314</f>
        <v>1986</v>
      </c>
      <c r="F312" s="48">
        <f>'11. Desinvesteringen'!E314</f>
        <v>216560.83000000002</v>
      </c>
      <c r="G312" s="43">
        <f>'11. Desinvesteringen'!G314</f>
        <v>2021</v>
      </c>
    </row>
    <row r="313" spans="2:7" s="3" customFormat="1">
      <c r="B313" s="43">
        <f>'11. Desinvesteringen'!B315</f>
        <v>296</v>
      </c>
      <c r="D313" s="43" t="str">
        <f>'11. Desinvesteringen'!C315</f>
        <v>04 Terreinen</v>
      </c>
      <c r="E313" s="43">
        <f>'11. Desinvesteringen'!D315</f>
        <v>2012</v>
      </c>
      <c r="F313" s="48">
        <f>'11. Desinvesteringen'!E315</f>
        <v>492468.36169150769</v>
      </c>
      <c r="G313" s="43">
        <f>'11. Desinvesteringen'!G315</f>
        <v>2021</v>
      </c>
    </row>
    <row r="314" spans="2:7" s="3" customFormat="1">
      <c r="B314" s="43">
        <f>'11. Desinvesteringen'!B316</f>
        <v>297</v>
      </c>
      <c r="D314" s="43" t="str">
        <f>'11. Desinvesteringen'!C316</f>
        <v>16 LNG installaties</v>
      </c>
      <c r="E314" s="43">
        <f>'11. Desinvesteringen'!D316</f>
        <v>2006</v>
      </c>
      <c r="F314" s="48">
        <f>'11. Desinvesteringen'!E316</f>
        <v>134414.63</v>
      </c>
      <c r="G314" s="43">
        <f>'11. Desinvesteringen'!G316</f>
        <v>2021</v>
      </c>
    </row>
    <row r="315" spans="2:7" s="3" customFormat="1">
      <c r="B315" s="43">
        <f>'11. Desinvesteringen'!B317</f>
        <v>298</v>
      </c>
      <c r="D315" s="43" t="str">
        <f>'11. Desinvesteringen'!C317</f>
        <v>02 Gasontvangststations</v>
      </c>
      <c r="E315" s="43">
        <f>'11. Desinvesteringen'!D317</f>
        <v>1968</v>
      </c>
      <c r="F315" s="48">
        <f>'11. Desinvesteringen'!E317</f>
        <v>138671.18999999997</v>
      </c>
      <c r="G315" s="43">
        <f>'11. Desinvesteringen'!G317</f>
        <v>2021</v>
      </c>
    </row>
    <row r="316" spans="2:7" s="3" customFormat="1">
      <c r="B316" s="43">
        <f>'11. Desinvesteringen'!B318</f>
        <v>299</v>
      </c>
      <c r="D316" s="43" t="str">
        <f>'11. Desinvesteringen'!C318</f>
        <v>02 Gasontvangststations</v>
      </c>
      <c r="E316" s="43">
        <f>'11. Desinvesteringen'!D318</f>
        <v>1969</v>
      </c>
      <c r="F316" s="48">
        <f>'11. Desinvesteringen'!E318</f>
        <v>252663.02</v>
      </c>
      <c r="G316" s="43">
        <f>'11. Desinvesteringen'!G318</f>
        <v>2021</v>
      </c>
    </row>
    <row r="317" spans="2:7" s="3" customFormat="1">
      <c r="B317" s="43">
        <f>'11. Desinvesteringen'!B319</f>
        <v>300</v>
      </c>
      <c r="D317" s="43" t="str">
        <f>'11. Desinvesteringen'!C319</f>
        <v>02 Gasontvangststations</v>
      </c>
      <c r="E317" s="43">
        <f>'11. Desinvesteringen'!D319</f>
        <v>1970</v>
      </c>
      <c r="F317" s="48">
        <f>'11. Desinvesteringen'!E319</f>
        <v>111949.98</v>
      </c>
      <c r="G317" s="43">
        <f>'11. Desinvesteringen'!G319</f>
        <v>2021</v>
      </c>
    </row>
    <row r="318" spans="2:7" s="3" customFormat="1">
      <c r="B318" s="43">
        <f>'11. Desinvesteringen'!B320</f>
        <v>301</v>
      </c>
      <c r="D318" s="43" t="str">
        <f>'11. Desinvesteringen'!C320</f>
        <v>02 Gasontvangststations</v>
      </c>
      <c r="E318" s="43">
        <f>'11. Desinvesteringen'!D320</f>
        <v>1971</v>
      </c>
      <c r="F318" s="48">
        <f>'11. Desinvesteringen'!E320</f>
        <v>158788.27000000002</v>
      </c>
      <c r="G318" s="43">
        <f>'11. Desinvesteringen'!G320</f>
        <v>2021</v>
      </c>
    </row>
    <row r="319" spans="2:7" s="3" customFormat="1">
      <c r="B319" s="43">
        <f>'11. Desinvesteringen'!B321</f>
        <v>302</v>
      </c>
      <c r="D319" s="43" t="str">
        <f>'11. Desinvesteringen'!C321</f>
        <v>02 Gasontvangststations</v>
      </c>
      <c r="E319" s="43">
        <f>'11. Desinvesteringen'!D321</f>
        <v>1972</v>
      </c>
      <c r="F319" s="48">
        <f>'11. Desinvesteringen'!E321</f>
        <v>241793.13</v>
      </c>
      <c r="G319" s="43">
        <f>'11. Desinvesteringen'!G321</f>
        <v>2021</v>
      </c>
    </row>
    <row r="320" spans="2:7" s="3" customFormat="1">
      <c r="B320" s="43">
        <f>'11. Desinvesteringen'!B322</f>
        <v>303</v>
      </c>
      <c r="D320" s="43" t="str">
        <f>'11. Desinvesteringen'!C322</f>
        <v>02 Gasontvangststations</v>
      </c>
      <c r="E320" s="43">
        <f>'11. Desinvesteringen'!D322</f>
        <v>1973</v>
      </c>
      <c r="F320" s="48">
        <f>'11. Desinvesteringen'!E322</f>
        <v>16917.16</v>
      </c>
      <c r="G320" s="43">
        <f>'11. Desinvesteringen'!G322</f>
        <v>2021</v>
      </c>
    </row>
    <row r="321" spans="2:7" s="3" customFormat="1">
      <c r="B321" s="43">
        <f>'11. Desinvesteringen'!B323</f>
        <v>304</v>
      </c>
      <c r="D321" s="43" t="str">
        <f>'11. Desinvesteringen'!C323</f>
        <v>02 Gasontvangststations</v>
      </c>
      <c r="E321" s="43">
        <f>'11. Desinvesteringen'!D323</f>
        <v>1974</v>
      </c>
      <c r="F321" s="48">
        <f>'11. Desinvesteringen'!E323</f>
        <v>19498.32</v>
      </c>
      <c r="G321" s="43">
        <f>'11. Desinvesteringen'!G323</f>
        <v>2021</v>
      </c>
    </row>
    <row r="322" spans="2:7" s="3" customFormat="1">
      <c r="B322" s="43">
        <f>'11. Desinvesteringen'!B324</f>
        <v>305</v>
      </c>
      <c r="D322" s="43" t="str">
        <f>'11. Desinvesteringen'!C324</f>
        <v>02 Gasontvangststations</v>
      </c>
      <c r="E322" s="43">
        <f>'11. Desinvesteringen'!D324</f>
        <v>1975</v>
      </c>
      <c r="F322" s="48">
        <f>'11. Desinvesteringen'!E324</f>
        <v>136362.09</v>
      </c>
      <c r="G322" s="43">
        <f>'11. Desinvesteringen'!G324</f>
        <v>2021</v>
      </c>
    </row>
    <row r="323" spans="2:7" s="3" customFormat="1">
      <c r="B323" s="43">
        <f>'11. Desinvesteringen'!B325</f>
        <v>306</v>
      </c>
      <c r="D323" s="43" t="str">
        <f>'11. Desinvesteringen'!C325</f>
        <v>02 Gasontvangststations</v>
      </c>
      <c r="E323" s="43">
        <f>'11. Desinvesteringen'!D325</f>
        <v>1976</v>
      </c>
      <c r="F323" s="48">
        <f>'11. Desinvesteringen'!E325</f>
        <v>95438.5</v>
      </c>
      <c r="G323" s="43">
        <f>'11. Desinvesteringen'!G325</f>
        <v>2021</v>
      </c>
    </row>
    <row r="324" spans="2:7" s="3" customFormat="1">
      <c r="B324" s="43">
        <f>'11. Desinvesteringen'!B326</f>
        <v>307</v>
      </c>
      <c r="D324" s="43" t="str">
        <f>'11. Desinvesteringen'!C326</f>
        <v>02 Gasontvangststations</v>
      </c>
      <c r="E324" s="43">
        <f>'11. Desinvesteringen'!D326</f>
        <v>1977</v>
      </c>
      <c r="F324" s="48">
        <f>'11. Desinvesteringen'!E326</f>
        <v>60014.03</v>
      </c>
      <c r="G324" s="43">
        <f>'11. Desinvesteringen'!G326</f>
        <v>2021</v>
      </c>
    </row>
    <row r="325" spans="2:7" s="3" customFormat="1">
      <c r="B325" s="43">
        <f>'11. Desinvesteringen'!B327</f>
        <v>308</v>
      </c>
      <c r="D325" s="43" t="str">
        <f>'11. Desinvesteringen'!C327</f>
        <v>02 Gasontvangststations</v>
      </c>
      <c r="E325" s="43">
        <f>'11. Desinvesteringen'!D327</f>
        <v>1978</v>
      </c>
      <c r="F325" s="48">
        <f>'11. Desinvesteringen'!E327</f>
        <v>16510.61</v>
      </c>
      <c r="G325" s="43">
        <f>'11. Desinvesteringen'!G327</f>
        <v>2021</v>
      </c>
    </row>
    <row r="326" spans="2:7" s="3" customFormat="1">
      <c r="B326" s="43">
        <f>'11. Desinvesteringen'!B328</f>
        <v>309</v>
      </c>
      <c r="D326" s="43" t="str">
        <f>'11. Desinvesteringen'!C328</f>
        <v>02 Gasontvangststations</v>
      </c>
      <c r="E326" s="43">
        <f>'11. Desinvesteringen'!D328</f>
        <v>1979</v>
      </c>
      <c r="F326" s="48">
        <f>'11. Desinvesteringen'!E328</f>
        <v>38157.51</v>
      </c>
      <c r="G326" s="43">
        <f>'11. Desinvesteringen'!G328</f>
        <v>2021</v>
      </c>
    </row>
    <row r="327" spans="2:7" s="3" customFormat="1">
      <c r="B327" s="43">
        <f>'11. Desinvesteringen'!B329</f>
        <v>310</v>
      </c>
      <c r="D327" s="43" t="str">
        <f>'11. Desinvesteringen'!C329</f>
        <v>02 Gasontvangststations</v>
      </c>
      <c r="E327" s="43">
        <f>'11. Desinvesteringen'!D329</f>
        <v>1986</v>
      </c>
      <c r="F327" s="48">
        <f>'11. Desinvesteringen'!E329</f>
        <v>109742.65</v>
      </c>
      <c r="G327" s="43">
        <f>'11. Desinvesteringen'!G329</f>
        <v>2021</v>
      </c>
    </row>
    <row r="328" spans="2:7" s="3" customFormat="1">
      <c r="B328" s="43">
        <f>'11. Desinvesteringen'!B330</f>
        <v>311</v>
      </c>
      <c r="D328" s="43" t="str">
        <f>'11. Desinvesteringen'!C330</f>
        <v>02 Gasontvangststations</v>
      </c>
      <c r="E328" s="43">
        <f>'11. Desinvesteringen'!D330</f>
        <v>1989</v>
      </c>
      <c r="F328" s="48">
        <f>'11. Desinvesteringen'!E330</f>
        <v>13251.86</v>
      </c>
      <c r="G328" s="43">
        <f>'11. Desinvesteringen'!G330</f>
        <v>2021</v>
      </c>
    </row>
    <row r="329" spans="2:7" s="3" customFormat="1">
      <c r="B329" s="43">
        <f>'11. Desinvesteringen'!B331</f>
        <v>312</v>
      </c>
      <c r="D329" s="43" t="str">
        <f>'11. Desinvesteringen'!C331</f>
        <v>02 Gasontvangststations</v>
      </c>
      <c r="E329" s="43">
        <f>'11. Desinvesteringen'!D331</f>
        <v>1991</v>
      </c>
      <c r="F329" s="48">
        <f>'11. Desinvesteringen'!E331</f>
        <v>8107.24</v>
      </c>
      <c r="G329" s="43">
        <f>'11. Desinvesteringen'!G331</f>
        <v>2021</v>
      </c>
    </row>
    <row r="330" spans="2:7" s="3" customFormat="1">
      <c r="B330" s="43">
        <f>'11. Desinvesteringen'!B332</f>
        <v>313</v>
      </c>
      <c r="D330" s="43" t="str">
        <f>'11. Desinvesteringen'!C332</f>
        <v>16 LNG installaties</v>
      </c>
      <c r="E330" s="43">
        <f>'11. Desinvesteringen'!D332</f>
        <v>2007</v>
      </c>
      <c r="F330" s="48">
        <f>'11. Desinvesteringen'!E332</f>
        <v>295840.56</v>
      </c>
      <c r="G330" s="43">
        <f>'11. Desinvesteringen'!G332</f>
        <v>2021</v>
      </c>
    </row>
    <row r="331" spans="2:7" s="3" customFormat="1">
      <c r="B331" s="43">
        <f>'11. Desinvesteringen'!B333</f>
        <v>314</v>
      </c>
      <c r="D331" s="43" t="str">
        <f>'11. Desinvesteringen'!C333</f>
        <v>16 LNG installaties</v>
      </c>
      <c r="E331" s="43">
        <f>'11. Desinvesteringen'!D333</f>
        <v>2008</v>
      </c>
      <c r="F331" s="48">
        <f>'11. Desinvesteringen'!E333</f>
        <v>422693.60000000003</v>
      </c>
      <c r="G331" s="43">
        <f>'11. Desinvesteringen'!G333</f>
        <v>2021</v>
      </c>
    </row>
    <row r="332" spans="2:7" s="3" customFormat="1">
      <c r="B332" s="43">
        <f>'11. Desinvesteringen'!B334</f>
        <v>315</v>
      </c>
      <c r="D332" s="43" t="str">
        <f>'11. Desinvesteringen'!C334</f>
        <v>16 LNG installaties</v>
      </c>
      <c r="E332" s="43">
        <f>'11. Desinvesteringen'!D334</f>
        <v>2009</v>
      </c>
      <c r="F332" s="48">
        <f>'11. Desinvesteringen'!E334</f>
        <v>7501964.5199999996</v>
      </c>
      <c r="G332" s="43">
        <f>'11. Desinvesteringen'!G334</f>
        <v>2021</v>
      </c>
    </row>
    <row r="333" spans="2:7" s="3" customFormat="1">
      <c r="B333" s="43">
        <f>'11. Desinvesteringen'!B335</f>
        <v>316</v>
      </c>
      <c r="D333" s="43" t="str">
        <f>'11. Desinvesteringen'!C335</f>
        <v>01 Regionale leidingen</v>
      </c>
      <c r="E333" s="43">
        <f>'11. Desinvesteringen'!D335</f>
        <v>1949</v>
      </c>
      <c r="F333" s="48">
        <f>'11. Desinvesteringen'!E335</f>
        <v>160877.82</v>
      </c>
      <c r="G333" s="43">
        <f>'11. Desinvesteringen'!G335</f>
        <v>2022</v>
      </c>
    </row>
    <row r="334" spans="2:7" s="3" customFormat="1">
      <c r="B334" s="43">
        <f>'11. Desinvesteringen'!B336</f>
        <v>317</v>
      </c>
      <c r="D334" s="43" t="str">
        <f>'11. Desinvesteringen'!C336</f>
        <v>01 Regionale leidingen</v>
      </c>
      <c r="E334" s="43">
        <f>'11. Desinvesteringen'!D336</f>
        <v>1951</v>
      </c>
      <c r="F334" s="48">
        <f>'11. Desinvesteringen'!E336</f>
        <v>84605.79</v>
      </c>
      <c r="G334" s="43">
        <f>'11. Desinvesteringen'!G336</f>
        <v>2022</v>
      </c>
    </row>
    <row r="335" spans="2:7" s="3" customFormat="1">
      <c r="B335" s="43">
        <f>'11. Desinvesteringen'!B337</f>
        <v>318</v>
      </c>
      <c r="D335" s="43" t="str">
        <f>'11. Desinvesteringen'!C337</f>
        <v>01 Regionale leidingen</v>
      </c>
      <c r="E335" s="43">
        <f>'11. Desinvesteringen'!D337</f>
        <v>1955</v>
      </c>
      <c r="F335" s="48">
        <f>'11. Desinvesteringen'!E337</f>
        <v>144.74</v>
      </c>
      <c r="G335" s="43">
        <f>'11. Desinvesteringen'!G337</f>
        <v>2022</v>
      </c>
    </row>
    <row r="336" spans="2:7" s="3" customFormat="1">
      <c r="B336" s="43">
        <f>'11. Desinvesteringen'!B338</f>
        <v>319</v>
      </c>
      <c r="D336" s="43" t="str">
        <f>'11. Desinvesteringen'!C338</f>
        <v>01 Regionale leidingen</v>
      </c>
      <c r="E336" s="43">
        <f>'11. Desinvesteringen'!D338</f>
        <v>1960</v>
      </c>
      <c r="F336" s="48">
        <f>'11. Desinvesteringen'!E338</f>
        <v>0.01</v>
      </c>
      <c r="G336" s="43">
        <f>'11. Desinvesteringen'!G338</f>
        <v>2022</v>
      </c>
    </row>
    <row r="337" spans="2:7" s="3" customFormat="1">
      <c r="B337" s="43">
        <f>'11. Desinvesteringen'!B339</f>
        <v>320</v>
      </c>
      <c r="D337" s="43" t="str">
        <f>'11. Desinvesteringen'!C339</f>
        <v>01 Regionale leidingen</v>
      </c>
      <c r="E337" s="43">
        <f>'11. Desinvesteringen'!D339</f>
        <v>1964</v>
      </c>
      <c r="F337" s="48">
        <f>'11. Desinvesteringen'!E339</f>
        <v>30000</v>
      </c>
      <c r="G337" s="43">
        <f>'11. Desinvesteringen'!G339</f>
        <v>2022</v>
      </c>
    </row>
    <row r="338" spans="2:7" s="3" customFormat="1">
      <c r="B338" s="43">
        <f>'11. Desinvesteringen'!B340</f>
        <v>321</v>
      </c>
      <c r="D338" s="43" t="str">
        <f>'11. Desinvesteringen'!C340</f>
        <v>01 Regionale leidingen</v>
      </c>
      <c r="E338" s="43">
        <f>'11. Desinvesteringen'!D340</f>
        <v>1965</v>
      </c>
      <c r="F338" s="48">
        <f>'11. Desinvesteringen'!E340</f>
        <v>138426.70000000001</v>
      </c>
      <c r="G338" s="43">
        <f>'11. Desinvesteringen'!G340</f>
        <v>2022</v>
      </c>
    </row>
    <row r="339" spans="2:7" s="3" customFormat="1">
      <c r="B339" s="43">
        <f>'11. Desinvesteringen'!B341</f>
        <v>322</v>
      </c>
      <c r="D339" s="43" t="str">
        <f>'11. Desinvesteringen'!C341</f>
        <v>01 Regionale leidingen</v>
      </c>
      <c r="E339" s="43">
        <f>'11. Desinvesteringen'!D341</f>
        <v>1966</v>
      </c>
      <c r="F339" s="48">
        <f>'11. Desinvesteringen'!E341</f>
        <v>234290.08</v>
      </c>
      <c r="G339" s="43">
        <f>'11. Desinvesteringen'!G341</f>
        <v>2022</v>
      </c>
    </row>
    <row r="340" spans="2:7" s="3" customFormat="1">
      <c r="B340" s="43">
        <f>'11. Desinvesteringen'!B342</f>
        <v>323</v>
      </c>
      <c r="D340" s="43" t="str">
        <f>'11. Desinvesteringen'!C342</f>
        <v>01 Regionale leidingen</v>
      </c>
      <c r="E340" s="43">
        <f>'11. Desinvesteringen'!D342</f>
        <v>1967</v>
      </c>
      <c r="F340" s="48">
        <f>'11. Desinvesteringen'!E342</f>
        <v>91461.86</v>
      </c>
      <c r="G340" s="43">
        <f>'11. Desinvesteringen'!G342</f>
        <v>2022</v>
      </c>
    </row>
    <row r="341" spans="2:7" s="3" customFormat="1">
      <c r="B341" s="43">
        <f>'11. Desinvesteringen'!B343</f>
        <v>324</v>
      </c>
      <c r="D341" s="43" t="str">
        <f>'11. Desinvesteringen'!C343</f>
        <v>01 Regionale leidingen</v>
      </c>
      <c r="E341" s="43">
        <f>'11. Desinvesteringen'!D343</f>
        <v>1968</v>
      </c>
      <c r="F341" s="48">
        <f>'11. Desinvesteringen'!E343</f>
        <v>48585.87</v>
      </c>
      <c r="G341" s="43">
        <f>'11. Desinvesteringen'!G343</f>
        <v>2022</v>
      </c>
    </row>
    <row r="342" spans="2:7" s="3" customFormat="1">
      <c r="B342" s="43">
        <f>'11. Desinvesteringen'!B344</f>
        <v>325</v>
      </c>
      <c r="D342" s="43" t="str">
        <f>'11. Desinvesteringen'!C344</f>
        <v>01 Regionale leidingen</v>
      </c>
      <c r="E342" s="43">
        <f>'11. Desinvesteringen'!D344</f>
        <v>1969</v>
      </c>
      <c r="F342" s="48">
        <f>'11. Desinvesteringen'!E344</f>
        <v>78148.28</v>
      </c>
      <c r="G342" s="43">
        <f>'11. Desinvesteringen'!G344</f>
        <v>2022</v>
      </c>
    </row>
    <row r="343" spans="2:7" s="3" customFormat="1">
      <c r="B343" s="43">
        <f>'11. Desinvesteringen'!B345</f>
        <v>326</v>
      </c>
      <c r="D343" s="43" t="str">
        <f>'11. Desinvesteringen'!C345</f>
        <v>01 Regionale leidingen</v>
      </c>
      <c r="E343" s="43">
        <f>'11. Desinvesteringen'!D345</f>
        <v>1970</v>
      </c>
      <c r="F343" s="48">
        <f>'11. Desinvesteringen'!E345</f>
        <v>107313.68999999999</v>
      </c>
      <c r="G343" s="43">
        <f>'11. Desinvesteringen'!G345</f>
        <v>2022</v>
      </c>
    </row>
    <row r="344" spans="2:7" s="3" customFormat="1">
      <c r="B344" s="43">
        <f>'11. Desinvesteringen'!B346</f>
        <v>327</v>
      </c>
      <c r="D344" s="43" t="str">
        <f>'11. Desinvesteringen'!C346</f>
        <v>01 Regionale leidingen</v>
      </c>
      <c r="E344" s="43">
        <f>'11. Desinvesteringen'!D346</f>
        <v>1971</v>
      </c>
      <c r="F344" s="48">
        <f>'11. Desinvesteringen'!E346</f>
        <v>63212.38</v>
      </c>
      <c r="G344" s="43">
        <f>'11. Desinvesteringen'!G346</f>
        <v>2022</v>
      </c>
    </row>
    <row r="345" spans="2:7" s="3" customFormat="1">
      <c r="B345" s="43">
        <f>'11. Desinvesteringen'!B347</f>
        <v>328</v>
      </c>
      <c r="D345" s="43" t="str">
        <f>'11. Desinvesteringen'!C347</f>
        <v>01 Regionale leidingen</v>
      </c>
      <c r="E345" s="43">
        <f>'11. Desinvesteringen'!D347</f>
        <v>1972</v>
      </c>
      <c r="F345" s="48">
        <f>'11. Desinvesteringen'!E347</f>
        <v>191127.04000000001</v>
      </c>
      <c r="G345" s="43">
        <f>'11. Desinvesteringen'!G347</f>
        <v>2022</v>
      </c>
    </row>
    <row r="346" spans="2:7" s="3" customFormat="1">
      <c r="B346" s="43">
        <f>'11. Desinvesteringen'!B348</f>
        <v>329</v>
      </c>
      <c r="D346" s="43" t="str">
        <f>'11. Desinvesteringen'!C348</f>
        <v>01 Regionale leidingen</v>
      </c>
      <c r="E346" s="43">
        <f>'11. Desinvesteringen'!D348</f>
        <v>1973</v>
      </c>
      <c r="F346" s="48">
        <f>'11. Desinvesteringen'!E348</f>
        <v>149822.34</v>
      </c>
      <c r="G346" s="43">
        <f>'11. Desinvesteringen'!G348</f>
        <v>2022</v>
      </c>
    </row>
    <row r="347" spans="2:7" s="3" customFormat="1">
      <c r="B347" s="43">
        <f>'11. Desinvesteringen'!B349</f>
        <v>330</v>
      </c>
      <c r="D347" s="43" t="str">
        <f>'11. Desinvesteringen'!C349</f>
        <v>01 Regionale leidingen</v>
      </c>
      <c r="E347" s="43">
        <f>'11. Desinvesteringen'!D349</f>
        <v>1974</v>
      </c>
      <c r="F347" s="48">
        <f>'11. Desinvesteringen'!E349</f>
        <v>54981.1</v>
      </c>
      <c r="G347" s="43">
        <f>'11. Desinvesteringen'!G349</f>
        <v>2022</v>
      </c>
    </row>
    <row r="348" spans="2:7" s="3" customFormat="1">
      <c r="B348" s="43">
        <f>'11. Desinvesteringen'!B350</f>
        <v>331</v>
      </c>
      <c r="D348" s="43" t="str">
        <f>'11. Desinvesteringen'!C350</f>
        <v>01 Regionale leidingen</v>
      </c>
      <c r="E348" s="43">
        <f>'11. Desinvesteringen'!D350</f>
        <v>1975</v>
      </c>
      <c r="F348" s="48">
        <f>'11. Desinvesteringen'!E350</f>
        <v>42603.9</v>
      </c>
      <c r="G348" s="43">
        <f>'11. Desinvesteringen'!G350</f>
        <v>2022</v>
      </c>
    </row>
    <row r="349" spans="2:7" s="3" customFormat="1">
      <c r="B349" s="43">
        <f>'11. Desinvesteringen'!B351</f>
        <v>332</v>
      </c>
      <c r="D349" s="43" t="str">
        <f>'11. Desinvesteringen'!C351</f>
        <v>01 Regionale leidingen</v>
      </c>
      <c r="E349" s="43">
        <f>'11. Desinvesteringen'!D351</f>
        <v>1976</v>
      </c>
      <c r="F349" s="48">
        <f>'11. Desinvesteringen'!E351</f>
        <v>96350.659999999989</v>
      </c>
      <c r="G349" s="43">
        <f>'11. Desinvesteringen'!G351</f>
        <v>2022</v>
      </c>
    </row>
    <row r="350" spans="2:7" s="3" customFormat="1">
      <c r="B350" s="43">
        <f>'11. Desinvesteringen'!B352</f>
        <v>333</v>
      </c>
      <c r="D350" s="43" t="str">
        <f>'11. Desinvesteringen'!C352</f>
        <v>01 Regionale leidingen</v>
      </c>
      <c r="E350" s="43">
        <f>'11. Desinvesteringen'!D352</f>
        <v>1977</v>
      </c>
      <c r="F350" s="48">
        <f>'11. Desinvesteringen'!E352</f>
        <v>40000</v>
      </c>
      <c r="G350" s="43">
        <f>'11. Desinvesteringen'!G352</f>
        <v>2022</v>
      </c>
    </row>
    <row r="351" spans="2:7" s="3" customFormat="1">
      <c r="B351" s="43">
        <f>'11. Desinvesteringen'!B353</f>
        <v>334</v>
      </c>
      <c r="D351" s="43" t="str">
        <f>'11. Desinvesteringen'!C353</f>
        <v>01 Regionale leidingen</v>
      </c>
      <c r="E351" s="43">
        <f>'11. Desinvesteringen'!D353</f>
        <v>1980</v>
      </c>
      <c r="F351" s="48">
        <f>'11. Desinvesteringen'!E353</f>
        <v>120440.92</v>
      </c>
      <c r="G351" s="43">
        <f>'11. Desinvesteringen'!G353</f>
        <v>2022</v>
      </c>
    </row>
    <row r="352" spans="2:7" s="3" customFormat="1">
      <c r="B352" s="43">
        <f>'11. Desinvesteringen'!B354</f>
        <v>335</v>
      </c>
      <c r="D352" s="43" t="str">
        <f>'11. Desinvesteringen'!C354</f>
        <v>01 Regionale leidingen</v>
      </c>
      <c r="E352" s="43">
        <f>'11. Desinvesteringen'!D354</f>
        <v>1986</v>
      </c>
      <c r="F352" s="48">
        <f>'11. Desinvesteringen'!E354</f>
        <v>522.41999999999996</v>
      </c>
      <c r="G352" s="43">
        <f>'11. Desinvesteringen'!G354</f>
        <v>2022</v>
      </c>
    </row>
    <row r="353" spans="2:7" s="3" customFormat="1">
      <c r="B353" s="43">
        <f>'11. Desinvesteringen'!B355</f>
        <v>336</v>
      </c>
      <c r="D353" s="43" t="str">
        <f>'11. Desinvesteringen'!C355</f>
        <v>01 Regionale leidingen</v>
      </c>
      <c r="E353" s="43">
        <f>'11. Desinvesteringen'!D355</f>
        <v>1987</v>
      </c>
      <c r="F353" s="48">
        <f>'11. Desinvesteringen'!E355</f>
        <v>53825.87</v>
      </c>
      <c r="G353" s="43">
        <f>'11. Desinvesteringen'!G355</f>
        <v>2022</v>
      </c>
    </row>
    <row r="354" spans="2:7" s="3" customFormat="1">
      <c r="B354" s="43">
        <f>'11. Desinvesteringen'!B356</f>
        <v>337</v>
      </c>
      <c r="D354" s="43" t="str">
        <f>'11. Desinvesteringen'!C356</f>
        <v>01 Regionale leidingen</v>
      </c>
      <c r="E354" s="43">
        <f>'11. Desinvesteringen'!D356</f>
        <v>1991</v>
      </c>
      <c r="F354" s="48">
        <f>'11. Desinvesteringen'!E356</f>
        <v>27309.98</v>
      </c>
      <c r="G354" s="43">
        <f>'11. Desinvesteringen'!G356</f>
        <v>2022</v>
      </c>
    </row>
    <row r="355" spans="2:7" s="3" customFormat="1">
      <c r="B355" s="43">
        <f>'11. Desinvesteringen'!B357</f>
        <v>338</v>
      </c>
      <c r="D355" s="43" t="str">
        <f>'11. Desinvesteringen'!C357</f>
        <v>01 Regionale leidingen</v>
      </c>
      <c r="E355" s="43">
        <f>'11. Desinvesteringen'!D357</f>
        <v>1994</v>
      </c>
      <c r="F355" s="48">
        <f>'11. Desinvesteringen'!E357</f>
        <v>108598.45</v>
      </c>
      <c r="G355" s="43">
        <f>'11. Desinvesteringen'!G357</f>
        <v>2022</v>
      </c>
    </row>
    <row r="356" spans="2:7" s="3" customFormat="1">
      <c r="B356" s="43">
        <f>'11. Desinvesteringen'!B358</f>
        <v>339</v>
      </c>
      <c r="D356" s="43" t="str">
        <f>'11. Desinvesteringen'!C358</f>
        <v>01 Regionale leidingen</v>
      </c>
      <c r="E356" s="43">
        <f>'11. Desinvesteringen'!D358</f>
        <v>1995</v>
      </c>
      <c r="F356" s="48">
        <f>'11. Desinvesteringen'!E358</f>
        <v>22977.040000000001</v>
      </c>
      <c r="G356" s="43">
        <f>'11. Desinvesteringen'!G358</f>
        <v>2022</v>
      </c>
    </row>
    <row r="357" spans="2:7" s="3" customFormat="1">
      <c r="B357" s="43">
        <f>'11. Desinvesteringen'!B359</f>
        <v>340</v>
      </c>
      <c r="D357" s="43" t="str">
        <f>'11. Desinvesteringen'!C359</f>
        <v>01 Regionale leidingen</v>
      </c>
      <c r="E357" s="43">
        <f>'11. Desinvesteringen'!D359</f>
        <v>1997</v>
      </c>
      <c r="F357" s="48">
        <f>'11. Desinvesteringen'!E359</f>
        <v>4863.96</v>
      </c>
      <c r="G357" s="43">
        <f>'11. Desinvesteringen'!G359</f>
        <v>2022</v>
      </c>
    </row>
    <row r="358" spans="2:7" s="3" customFormat="1">
      <c r="B358" s="43">
        <f>'11. Desinvesteringen'!B360</f>
        <v>341</v>
      </c>
      <c r="D358" s="43" t="str">
        <f>'11. Desinvesteringen'!C360</f>
        <v>01 Regionale leidingen</v>
      </c>
      <c r="E358" s="43">
        <f>'11. Desinvesteringen'!D360</f>
        <v>2001</v>
      </c>
      <c r="F358" s="48">
        <f>'11. Desinvesteringen'!E360</f>
        <v>6708.79</v>
      </c>
      <c r="G358" s="43">
        <f>'11. Desinvesteringen'!G360</f>
        <v>2022</v>
      </c>
    </row>
    <row r="359" spans="2:7" s="3" customFormat="1">
      <c r="B359" s="43">
        <f>'11. Desinvesteringen'!B361</f>
        <v>342</v>
      </c>
      <c r="D359" s="43" t="str">
        <f>'11. Desinvesteringen'!C361</f>
        <v>01 Regionale leidingen</v>
      </c>
      <c r="E359" s="43">
        <f>'11. Desinvesteringen'!D361</f>
        <v>2002</v>
      </c>
      <c r="F359" s="48">
        <f>'11. Desinvesteringen'!E361</f>
        <v>4460.3999999999996</v>
      </c>
      <c r="G359" s="43">
        <f>'11. Desinvesteringen'!G361</f>
        <v>2022</v>
      </c>
    </row>
    <row r="360" spans="2:7" s="3" customFormat="1">
      <c r="B360" s="43">
        <f>'11. Desinvesteringen'!B362</f>
        <v>343</v>
      </c>
      <c r="D360" s="43" t="str">
        <f>'11. Desinvesteringen'!C362</f>
        <v>01 Regionale leidingen</v>
      </c>
      <c r="E360" s="43">
        <f>'11. Desinvesteringen'!D362</f>
        <v>2004</v>
      </c>
      <c r="F360" s="48">
        <f>'11. Desinvesteringen'!E362</f>
        <v>111686.38999999998</v>
      </c>
      <c r="G360" s="43">
        <f>'11. Desinvesteringen'!G362</f>
        <v>2022</v>
      </c>
    </row>
    <row r="361" spans="2:7" s="3" customFormat="1">
      <c r="B361" s="43">
        <f>'11. Desinvesteringen'!B363</f>
        <v>344</v>
      </c>
      <c r="D361" s="43" t="str">
        <f>'11. Desinvesteringen'!C363</f>
        <v>01 Regionale leidingen</v>
      </c>
      <c r="E361" s="43">
        <f>'11. Desinvesteringen'!D363</f>
        <v>2005</v>
      </c>
      <c r="F361" s="48">
        <f>'11. Desinvesteringen'!E363</f>
        <v>24040.95</v>
      </c>
      <c r="G361" s="43">
        <f>'11. Desinvesteringen'!G363</f>
        <v>2022</v>
      </c>
    </row>
    <row r="362" spans="2:7" s="3" customFormat="1">
      <c r="B362" s="43">
        <f>'11. Desinvesteringen'!B364</f>
        <v>345</v>
      </c>
      <c r="D362" s="43" t="str">
        <f>'11. Desinvesteringen'!C364</f>
        <v>01 Regionale leidingen</v>
      </c>
      <c r="E362" s="43">
        <f>'11. Desinvesteringen'!D364</f>
        <v>2009</v>
      </c>
      <c r="F362" s="48">
        <f>'11. Desinvesteringen'!E364</f>
        <v>382357.44</v>
      </c>
      <c r="G362" s="43">
        <f>'11. Desinvesteringen'!G364</f>
        <v>2022</v>
      </c>
    </row>
    <row r="363" spans="2:7" s="3" customFormat="1">
      <c r="B363" s="43">
        <f>'11. Desinvesteringen'!B365</f>
        <v>346</v>
      </c>
      <c r="D363" s="43" t="str">
        <f>'11. Desinvesteringen'!C365</f>
        <v>01 Regionale leidingen</v>
      </c>
      <c r="E363" s="43">
        <f>'11. Desinvesteringen'!D365</f>
        <v>2010</v>
      </c>
      <c r="F363" s="48">
        <f>'11. Desinvesteringen'!E365</f>
        <v>161319.04441174126</v>
      </c>
      <c r="G363" s="43">
        <f>'11. Desinvesteringen'!G365</f>
        <v>2022</v>
      </c>
    </row>
    <row r="364" spans="2:7" s="3" customFormat="1">
      <c r="B364" s="43">
        <f>'11. Desinvesteringen'!B366</f>
        <v>347</v>
      </c>
      <c r="D364" s="43" t="str">
        <f>'11. Desinvesteringen'!C366</f>
        <v>01 Regionale leidingen</v>
      </c>
      <c r="E364" s="43">
        <f>'11. Desinvesteringen'!D366</f>
        <v>2011</v>
      </c>
      <c r="F364" s="48">
        <f>'11. Desinvesteringen'!E366</f>
        <v>58878.280274353092</v>
      </c>
      <c r="G364" s="43">
        <f>'11. Desinvesteringen'!G366</f>
        <v>2022</v>
      </c>
    </row>
    <row r="365" spans="2:7" s="3" customFormat="1">
      <c r="B365" s="43">
        <f>'11. Desinvesteringen'!B367</f>
        <v>348</v>
      </c>
      <c r="D365" s="43" t="str">
        <f>'11. Desinvesteringen'!C367</f>
        <v>01 Regionale leidingen</v>
      </c>
      <c r="E365" s="43">
        <f>'11. Desinvesteringen'!D367</f>
        <v>2012</v>
      </c>
      <c r="F365" s="48">
        <f>'11. Desinvesteringen'!E367</f>
        <v>93953.985920705352</v>
      </c>
      <c r="G365" s="43">
        <f>'11. Desinvesteringen'!G367</f>
        <v>2022</v>
      </c>
    </row>
    <row r="366" spans="2:7" s="3" customFormat="1">
      <c r="B366" s="43">
        <f>'11. Desinvesteringen'!B368</f>
        <v>349</v>
      </c>
      <c r="D366" s="43" t="str">
        <f>'11. Desinvesteringen'!C368</f>
        <v>01 Regionale leidingen</v>
      </c>
      <c r="E366" s="43">
        <f>'11. Desinvesteringen'!D368</f>
        <v>2013</v>
      </c>
      <c r="F366" s="48">
        <f>'11. Desinvesteringen'!E368</f>
        <v>168956.89717004116</v>
      </c>
      <c r="G366" s="43">
        <f>'11. Desinvesteringen'!G368</f>
        <v>2022</v>
      </c>
    </row>
    <row r="367" spans="2:7" s="3" customFormat="1">
      <c r="B367" s="43">
        <f>'11. Desinvesteringen'!B369</f>
        <v>350</v>
      </c>
      <c r="D367" s="43" t="str">
        <f>'11. Desinvesteringen'!C369</f>
        <v>02 Gasontvangststations</v>
      </c>
      <c r="E367" s="43">
        <f>'11. Desinvesteringen'!D369</f>
        <v>1965</v>
      </c>
      <c r="F367" s="48">
        <f>'11. Desinvesteringen'!E369</f>
        <v>59962.48</v>
      </c>
      <c r="G367" s="43">
        <f>'11. Desinvesteringen'!G369</f>
        <v>2022</v>
      </c>
    </row>
    <row r="368" spans="2:7" s="3" customFormat="1">
      <c r="B368" s="43">
        <f>'11. Desinvesteringen'!B370</f>
        <v>351</v>
      </c>
      <c r="D368" s="43" t="str">
        <f>'11. Desinvesteringen'!C370</f>
        <v>02 Gasontvangststations</v>
      </c>
      <c r="E368" s="43">
        <f>'11. Desinvesteringen'!D370</f>
        <v>1966</v>
      </c>
      <c r="F368" s="48">
        <f>'11. Desinvesteringen'!E370</f>
        <v>318047.64</v>
      </c>
      <c r="G368" s="43">
        <f>'11. Desinvesteringen'!G370</f>
        <v>2022</v>
      </c>
    </row>
    <row r="369" spans="2:7" s="3" customFormat="1">
      <c r="B369" s="43">
        <f>'11. Desinvesteringen'!B371</f>
        <v>352</v>
      </c>
      <c r="D369" s="43" t="str">
        <f>'11. Desinvesteringen'!C371</f>
        <v>02 Gasontvangststations</v>
      </c>
      <c r="E369" s="43">
        <f>'11. Desinvesteringen'!D371</f>
        <v>1967</v>
      </c>
      <c r="F369" s="48">
        <f>'11. Desinvesteringen'!E371</f>
        <v>109472.13</v>
      </c>
      <c r="G369" s="43">
        <f>'11. Desinvesteringen'!G371</f>
        <v>2022</v>
      </c>
    </row>
    <row r="370" spans="2:7" s="3" customFormat="1">
      <c r="B370" s="43">
        <f>'11. Desinvesteringen'!B372</f>
        <v>353</v>
      </c>
      <c r="D370" s="43" t="str">
        <f>'11. Desinvesteringen'!C372</f>
        <v>02 Gasontvangststations</v>
      </c>
      <c r="E370" s="43">
        <f>'11. Desinvesteringen'!D372</f>
        <v>1968</v>
      </c>
      <c r="F370" s="48">
        <f>'11. Desinvesteringen'!E372</f>
        <v>205157.75</v>
      </c>
      <c r="G370" s="43">
        <f>'11. Desinvesteringen'!G372</f>
        <v>2022</v>
      </c>
    </row>
    <row r="371" spans="2:7" s="3" customFormat="1">
      <c r="B371" s="43">
        <f>'11. Desinvesteringen'!B373</f>
        <v>354</v>
      </c>
      <c r="D371" s="43" t="str">
        <f>'11. Desinvesteringen'!C373</f>
        <v>02 Gasontvangststations</v>
      </c>
      <c r="E371" s="43">
        <f>'11. Desinvesteringen'!D373</f>
        <v>1969</v>
      </c>
      <c r="F371" s="48">
        <f>'11. Desinvesteringen'!E373</f>
        <v>384223.42</v>
      </c>
      <c r="G371" s="43">
        <f>'11. Desinvesteringen'!G373</f>
        <v>2022</v>
      </c>
    </row>
    <row r="372" spans="2:7" s="3" customFormat="1">
      <c r="B372" s="43">
        <f>'11. Desinvesteringen'!B374</f>
        <v>355</v>
      </c>
      <c r="D372" s="43" t="str">
        <f>'11. Desinvesteringen'!C374</f>
        <v>02 Gasontvangststations</v>
      </c>
      <c r="E372" s="43">
        <f>'11. Desinvesteringen'!D374</f>
        <v>1970</v>
      </c>
      <c r="F372" s="48">
        <f>'11. Desinvesteringen'!E374</f>
        <v>158864.33000000002</v>
      </c>
      <c r="G372" s="43">
        <f>'11. Desinvesteringen'!G374</f>
        <v>2022</v>
      </c>
    </row>
    <row r="373" spans="2:7" s="3" customFormat="1">
      <c r="B373" s="43">
        <f>'11. Desinvesteringen'!B375</f>
        <v>356</v>
      </c>
      <c r="D373" s="43" t="str">
        <f>'11. Desinvesteringen'!C375</f>
        <v>02 Gasontvangststations</v>
      </c>
      <c r="E373" s="43">
        <f>'11. Desinvesteringen'!D375</f>
        <v>1971</v>
      </c>
      <c r="F373" s="48">
        <f>'11. Desinvesteringen'!E375</f>
        <v>262805.23</v>
      </c>
      <c r="G373" s="43">
        <f>'11. Desinvesteringen'!G375</f>
        <v>2022</v>
      </c>
    </row>
    <row r="374" spans="2:7" s="3" customFormat="1">
      <c r="B374" s="43">
        <f>'11. Desinvesteringen'!B376</f>
        <v>357</v>
      </c>
      <c r="D374" s="43" t="str">
        <f>'11. Desinvesteringen'!C376</f>
        <v>02 Gasontvangststations</v>
      </c>
      <c r="E374" s="43">
        <f>'11. Desinvesteringen'!D376</f>
        <v>1972</v>
      </c>
      <c r="F374" s="48">
        <f>'11. Desinvesteringen'!E376</f>
        <v>114985.86000000002</v>
      </c>
      <c r="G374" s="43">
        <f>'11. Desinvesteringen'!G376</f>
        <v>2022</v>
      </c>
    </row>
    <row r="375" spans="2:7" s="3" customFormat="1">
      <c r="B375" s="43">
        <f>'11. Desinvesteringen'!B377</f>
        <v>358</v>
      </c>
      <c r="D375" s="43" t="str">
        <f>'11. Desinvesteringen'!C377</f>
        <v>02 Gasontvangststations</v>
      </c>
      <c r="E375" s="43">
        <f>'11. Desinvesteringen'!D377</f>
        <v>1973</v>
      </c>
      <c r="F375" s="48">
        <f>'11. Desinvesteringen'!E377</f>
        <v>120091.87999999999</v>
      </c>
      <c r="G375" s="43">
        <f>'11. Desinvesteringen'!G377</f>
        <v>2022</v>
      </c>
    </row>
    <row r="376" spans="2:7" s="3" customFormat="1">
      <c r="B376" s="43">
        <f>'11. Desinvesteringen'!B378</f>
        <v>359</v>
      </c>
      <c r="D376" s="43" t="str">
        <f>'11. Desinvesteringen'!C378</f>
        <v>02 Gasontvangststations</v>
      </c>
      <c r="E376" s="43">
        <f>'11. Desinvesteringen'!D378</f>
        <v>1974</v>
      </c>
      <c r="F376" s="48">
        <f>'11. Desinvesteringen'!E378</f>
        <v>93174.06</v>
      </c>
      <c r="G376" s="43">
        <f>'11. Desinvesteringen'!G378</f>
        <v>2022</v>
      </c>
    </row>
    <row r="377" spans="2:7" s="3" customFormat="1">
      <c r="B377" s="43">
        <f>'11. Desinvesteringen'!B379</f>
        <v>360</v>
      </c>
      <c r="D377" s="43" t="str">
        <f>'11. Desinvesteringen'!C379</f>
        <v>02 Gasontvangststations</v>
      </c>
      <c r="E377" s="43">
        <f>'11. Desinvesteringen'!D379</f>
        <v>1975</v>
      </c>
      <c r="F377" s="48">
        <f>'11. Desinvesteringen'!E379</f>
        <v>4893.67</v>
      </c>
      <c r="G377" s="43">
        <f>'11. Desinvesteringen'!G379</f>
        <v>2022</v>
      </c>
    </row>
    <row r="378" spans="2:7" s="3" customFormat="1">
      <c r="B378" s="43">
        <f>'11. Desinvesteringen'!B380</f>
        <v>361</v>
      </c>
      <c r="D378" s="43" t="str">
        <f>'11. Desinvesteringen'!C380</f>
        <v>02 Gasontvangststations</v>
      </c>
      <c r="E378" s="43">
        <f>'11. Desinvesteringen'!D380</f>
        <v>1976</v>
      </c>
      <c r="F378" s="48">
        <f>'11. Desinvesteringen'!E380</f>
        <v>22029.58</v>
      </c>
      <c r="G378" s="43">
        <f>'11. Desinvesteringen'!G380</f>
        <v>2022</v>
      </c>
    </row>
    <row r="379" spans="2:7" s="3" customFormat="1">
      <c r="B379" s="43">
        <f>'11. Desinvesteringen'!B381</f>
        <v>362</v>
      </c>
      <c r="D379" s="43" t="str">
        <f>'11. Desinvesteringen'!C381</f>
        <v>02 Gasontvangststations</v>
      </c>
      <c r="E379" s="43">
        <f>'11. Desinvesteringen'!D381</f>
        <v>1977</v>
      </c>
      <c r="F379" s="48">
        <f>'11. Desinvesteringen'!E381</f>
        <v>46858.65</v>
      </c>
      <c r="G379" s="43">
        <f>'11. Desinvesteringen'!G381</f>
        <v>2022</v>
      </c>
    </row>
    <row r="380" spans="2:7" s="3" customFormat="1">
      <c r="B380" s="43">
        <f>'11. Desinvesteringen'!B382</f>
        <v>363</v>
      </c>
      <c r="D380" s="43" t="str">
        <f>'11. Desinvesteringen'!C382</f>
        <v>02 Gasontvangststations</v>
      </c>
      <c r="E380" s="43">
        <f>'11. Desinvesteringen'!D382</f>
        <v>1979</v>
      </c>
      <c r="F380" s="48">
        <f>'11. Desinvesteringen'!E382</f>
        <v>5905.65</v>
      </c>
      <c r="G380" s="43">
        <f>'11. Desinvesteringen'!G382</f>
        <v>2022</v>
      </c>
    </row>
    <row r="381" spans="2:7" s="3" customFormat="1">
      <c r="B381" s="43">
        <f>'11. Desinvesteringen'!B383</f>
        <v>364</v>
      </c>
      <c r="D381" s="43" t="str">
        <f>'11. Desinvesteringen'!C383</f>
        <v>02 Gasontvangststations</v>
      </c>
      <c r="E381" s="43">
        <f>'11. Desinvesteringen'!D383</f>
        <v>1980</v>
      </c>
      <c r="F381" s="48">
        <f>'11. Desinvesteringen'!E383</f>
        <v>150815.79</v>
      </c>
      <c r="G381" s="43">
        <f>'11. Desinvesteringen'!G383</f>
        <v>2022</v>
      </c>
    </row>
    <row r="382" spans="2:7" s="3" customFormat="1">
      <c r="B382" s="43">
        <f>'11. Desinvesteringen'!B384</f>
        <v>365</v>
      </c>
      <c r="D382" s="43" t="str">
        <f>'11. Desinvesteringen'!C384</f>
        <v>02 Gasontvangststations</v>
      </c>
      <c r="E382" s="43">
        <f>'11. Desinvesteringen'!D384</f>
        <v>1981</v>
      </c>
      <c r="F382" s="48">
        <f>'11. Desinvesteringen'!E384</f>
        <v>32315.9</v>
      </c>
      <c r="G382" s="43">
        <f>'11. Desinvesteringen'!G384</f>
        <v>2022</v>
      </c>
    </row>
    <row r="383" spans="2:7" s="3" customFormat="1">
      <c r="B383" s="43">
        <f>'11. Desinvesteringen'!B385</f>
        <v>366</v>
      </c>
      <c r="D383" s="43" t="str">
        <f>'11. Desinvesteringen'!C385</f>
        <v>02 Gasontvangststations</v>
      </c>
      <c r="E383" s="43">
        <f>'11. Desinvesteringen'!D385</f>
        <v>1982</v>
      </c>
      <c r="F383" s="48">
        <f>'11. Desinvesteringen'!E385</f>
        <v>8847.35</v>
      </c>
      <c r="G383" s="43">
        <f>'11. Desinvesteringen'!G385</f>
        <v>2022</v>
      </c>
    </row>
    <row r="384" spans="2:7" s="3" customFormat="1">
      <c r="B384" s="43">
        <f>'11. Desinvesteringen'!B386</f>
        <v>367</v>
      </c>
      <c r="D384" s="43" t="str">
        <f>'11. Desinvesteringen'!C386</f>
        <v>02 Gasontvangststations</v>
      </c>
      <c r="E384" s="43">
        <f>'11. Desinvesteringen'!D386</f>
        <v>1984</v>
      </c>
      <c r="F384" s="48">
        <f>'11. Desinvesteringen'!E386</f>
        <v>4950.9399999999996</v>
      </c>
      <c r="G384" s="43">
        <f>'11. Desinvesteringen'!G386</f>
        <v>2022</v>
      </c>
    </row>
    <row r="385" spans="2:7" s="3" customFormat="1">
      <c r="B385" s="43">
        <f>'11. Desinvesteringen'!B387</f>
        <v>368</v>
      </c>
      <c r="D385" s="43" t="str">
        <f>'11. Desinvesteringen'!C387</f>
        <v>02 Gasontvangststations</v>
      </c>
      <c r="E385" s="43">
        <f>'11. Desinvesteringen'!D387</f>
        <v>1989</v>
      </c>
      <c r="F385" s="48">
        <f>'11. Desinvesteringen'!E387</f>
        <v>51009.69</v>
      </c>
      <c r="G385" s="43">
        <f>'11. Desinvesteringen'!G387</f>
        <v>2022</v>
      </c>
    </row>
    <row r="386" spans="2:7" s="3" customFormat="1">
      <c r="B386" s="43">
        <f>'11. Desinvesteringen'!B388</f>
        <v>369</v>
      </c>
      <c r="D386" s="43" t="str">
        <f>'11. Desinvesteringen'!C388</f>
        <v>02 Gasontvangststations</v>
      </c>
      <c r="E386" s="43">
        <f>'11. Desinvesteringen'!D388</f>
        <v>1990</v>
      </c>
      <c r="F386" s="48">
        <f>'11. Desinvesteringen'!E388</f>
        <v>160044.32</v>
      </c>
      <c r="G386" s="43">
        <f>'11. Desinvesteringen'!G388</f>
        <v>2022</v>
      </c>
    </row>
    <row r="387" spans="2:7" s="3" customFormat="1">
      <c r="B387" s="43">
        <f>'11. Desinvesteringen'!B389</f>
        <v>370</v>
      </c>
      <c r="D387" s="43" t="str">
        <f>'11. Desinvesteringen'!C389</f>
        <v>02 Gasontvangststations</v>
      </c>
      <c r="E387" s="43">
        <f>'11. Desinvesteringen'!D389</f>
        <v>1991</v>
      </c>
      <c r="F387" s="48">
        <f>'11. Desinvesteringen'!E389</f>
        <v>8034.15</v>
      </c>
      <c r="G387" s="43">
        <f>'11. Desinvesteringen'!G389</f>
        <v>2022</v>
      </c>
    </row>
    <row r="388" spans="2:7" s="3" customFormat="1">
      <c r="B388" s="43">
        <f>'11. Desinvesteringen'!B390</f>
        <v>371</v>
      </c>
      <c r="D388" s="43" t="str">
        <f>'11. Desinvesteringen'!C390</f>
        <v>02 Gasontvangststations</v>
      </c>
      <c r="E388" s="43">
        <f>'11. Desinvesteringen'!D390</f>
        <v>1992</v>
      </c>
      <c r="F388" s="48">
        <f>'11. Desinvesteringen'!E390</f>
        <v>21906.92</v>
      </c>
      <c r="G388" s="43">
        <f>'11. Desinvesteringen'!G390</f>
        <v>2022</v>
      </c>
    </row>
    <row r="389" spans="2:7" s="3" customFormat="1">
      <c r="B389" s="43">
        <f>'11. Desinvesteringen'!B391</f>
        <v>372</v>
      </c>
      <c r="D389" s="43" t="str">
        <f>'11. Desinvesteringen'!C391</f>
        <v>02 Gasontvangststations</v>
      </c>
      <c r="E389" s="43">
        <f>'11. Desinvesteringen'!D391</f>
        <v>1993</v>
      </c>
      <c r="F389" s="48">
        <f>'11. Desinvesteringen'!E391</f>
        <v>15863.25</v>
      </c>
      <c r="G389" s="43">
        <f>'11. Desinvesteringen'!G391</f>
        <v>2022</v>
      </c>
    </row>
    <row r="390" spans="2:7" s="3" customFormat="1">
      <c r="B390" s="43">
        <f>'11. Desinvesteringen'!B392</f>
        <v>373</v>
      </c>
      <c r="D390" s="43" t="str">
        <f>'11. Desinvesteringen'!C392</f>
        <v>02 Gasontvangststations</v>
      </c>
      <c r="E390" s="43">
        <f>'11. Desinvesteringen'!D392</f>
        <v>1994</v>
      </c>
      <c r="F390" s="48">
        <f>'11. Desinvesteringen'!E392</f>
        <v>51450.05</v>
      </c>
      <c r="G390" s="43">
        <f>'11. Desinvesteringen'!G392</f>
        <v>2022</v>
      </c>
    </row>
    <row r="391" spans="2:7" s="3" customFormat="1">
      <c r="B391" s="43">
        <f>'11. Desinvesteringen'!B393</f>
        <v>374</v>
      </c>
      <c r="D391" s="43" t="str">
        <f>'11. Desinvesteringen'!C393</f>
        <v>02 Gasontvangststations</v>
      </c>
      <c r="E391" s="43">
        <f>'11. Desinvesteringen'!D393</f>
        <v>1995</v>
      </c>
      <c r="F391" s="48">
        <f>'11. Desinvesteringen'!E393</f>
        <v>62522.97</v>
      </c>
      <c r="G391" s="43">
        <f>'11. Desinvesteringen'!G393</f>
        <v>2022</v>
      </c>
    </row>
    <row r="392" spans="2:7" s="3" customFormat="1">
      <c r="B392" s="43">
        <f>'11. Desinvesteringen'!B394</f>
        <v>375</v>
      </c>
      <c r="D392" s="43" t="str">
        <f>'11. Desinvesteringen'!C394</f>
        <v>02 Gasontvangststations</v>
      </c>
      <c r="E392" s="43">
        <f>'11. Desinvesteringen'!D394</f>
        <v>1996</v>
      </c>
      <c r="F392" s="48">
        <f>'11. Desinvesteringen'!E394</f>
        <v>16582.84</v>
      </c>
      <c r="G392" s="43">
        <f>'11. Desinvesteringen'!G394</f>
        <v>2022</v>
      </c>
    </row>
    <row r="393" spans="2:7" s="3" customFormat="1">
      <c r="B393" s="43">
        <f>'11. Desinvesteringen'!B395</f>
        <v>376</v>
      </c>
      <c r="D393" s="43" t="str">
        <f>'11. Desinvesteringen'!C395</f>
        <v>02 Gasontvangststations</v>
      </c>
      <c r="E393" s="43">
        <f>'11. Desinvesteringen'!D395</f>
        <v>1997</v>
      </c>
      <c r="F393" s="48">
        <f>'11. Desinvesteringen'!E395</f>
        <v>16150.88</v>
      </c>
      <c r="G393" s="43">
        <f>'11. Desinvesteringen'!G395</f>
        <v>2022</v>
      </c>
    </row>
    <row r="394" spans="2:7" s="3" customFormat="1">
      <c r="B394" s="43">
        <f>'11. Desinvesteringen'!B396</f>
        <v>377</v>
      </c>
      <c r="D394" s="43" t="str">
        <f>'11. Desinvesteringen'!C396</f>
        <v>02 Gasontvangststations</v>
      </c>
      <c r="E394" s="43">
        <f>'11. Desinvesteringen'!D396</f>
        <v>2000</v>
      </c>
      <c r="F394" s="48">
        <f>'11. Desinvesteringen'!E396</f>
        <v>11054.31</v>
      </c>
      <c r="G394" s="43">
        <f>'11. Desinvesteringen'!G396</f>
        <v>2022</v>
      </c>
    </row>
    <row r="395" spans="2:7" s="3" customFormat="1">
      <c r="B395" s="43">
        <f>'11. Desinvesteringen'!B397</f>
        <v>378</v>
      </c>
      <c r="D395" s="43" t="str">
        <f>'11. Desinvesteringen'!C397</f>
        <v>02 Gasontvangststations</v>
      </c>
      <c r="E395" s="43">
        <f>'11. Desinvesteringen'!D397</f>
        <v>2002</v>
      </c>
      <c r="F395" s="48">
        <f>'11. Desinvesteringen'!E397</f>
        <v>9572.0400000000009</v>
      </c>
      <c r="G395" s="43">
        <f>'11. Desinvesteringen'!G397</f>
        <v>2022</v>
      </c>
    </row>
    <row r="396" spans="2:7" s="3" customFormat="1">
      <c r="B396" s="43">
        <f>'11. Desinvesteringen'!B398</f>
        <v>379</v>
      </c>
      <c r="D396" s="43" t="str">
        <f>'11. Desinvesteringen'!C398</f>
        <v>02 Gasontvangststations</v>
      </c>
      <c r="E396" s="43">
        <f>'11. Desinvesteringen'!D398</f>
        <v>2003</v>
      </c>
      <c r="F396" s="48">
        <f>'11. Desinvesteringen'!E398</f>
        <v>37361.589999999997</v>
      </c>
      <c r="G396" s="43">
        <f>'11. Desinvesteringen'!G398</f>
        <v>2022</v>
      </c>
    </row>
    <row r="397" spans="2:7" s="3" customFormat="1">
      <c r="B397" s="43">
        <f>'11. Desinvesteringen'!B399</f>
        <v>380</v>
      </c>
      <c r="D397" s="43" t="str">
        <f>'11. Desinvesteringen'!C399</f>
        <v>02 Gasontvangststations</v>
      </c>
      <c r="E397" s="43">
        <f>'11. Desinvesteringen'!D399</f>
        <v>2005</v>
      </c>
      <c r="F397" s="48">
        <f>'11. Desinvesteringen'!E399</f>
        <v>13619.77</v>
      </c>
      <c r="G397" s="43">
        <f>'11. Desinvesteringen'!G399</f>
        <v>2022</v>
      </c>
    </row>
    <row r="398" spans="2:7" s="3" customFormat="1">
      <c r="B398" s="43">
        <f>'11. Desinvesteringen'!B400</f>
        <v>381</v>
      </c>
      <c r="D398" s="43" t="str">
        <f>'11. Desinvesteringen'!C400</f>
        <v>02 Gasontvangststations</v>
      </c>
      <c r="E398" s="43">
        <f>'11. Desinvesteringen'!D400</f>
        <v>2007</v>
      </c>
      <c r="F398" s="48">
        <f>'11. Desinvesteringen'!E400</f>
        <v>316887.66000000003</v>
      </c>
      <c r="G398" s="43">
        <f>'11. Desinvesteringen'!G400</f>
        <v>2022</v>
      </c>
    </row>
    <row r="399" spans="2:7" s="3" customFormat="1">
      <c r="B399" s="43">
        <f>'11. Desinvesteringen'!B401</f>
        <v>382</v>
      </c>
      <c r="D399" s="43" t="str">
        <f>'11. Desinvesteringen'!C401</f>
        <v>02 Gasontvangststations</v>
      </c>
      <c r="E399" s="43">
        <f>'11. Desinvesteringen'!D401</f>
        <v>2010</v>
      </c>
      <c r="F399" s="48">
        <f>'11. Desinvesteringen'!E401</f>
        <v>154710.54390000002</v>
      </c>
      <c r="G399" s="43">
        <f>'11. Desinvesteringen'!G401</f>
        <v>2022</v>
      </c>
    </row>
    <row r="400" spans="2:7" s="3" customFormat="1">
      <c r="B400" s="43">
        <f>'11. Desinvesteringen'!B402</f>
        <v>383</v>
      </c>
      <c r="D400" s="43" t="str">
        <f>'11. Desinvesteringen'!C402</f>
        <v>02 Gasontvangststations</v>
      </c>
      <c r="E400" s="43">
        <f>'11. Desinvesteringen'!D402</f>
        <v>2012</v>
      </c>
      <c r="F400" s="48">
        <f>'11. Desinvesteringen'!E402</f>
        <v>41792.986548232657</v>
      </c>
      <c r="G400" s="43">
        <f>'11. Desinvesteringen'!G402</f>
        <v>2022</v>
      </c>
    </row>
    <row r="401" spans="2:7" s="3" customFormat="1">
      <c r="B401" s="43">
        <f>'11. Desinvesteringen'!B403</f>
        <v>384</v>
      </c>
      <c r="D401" s="43" t="str">
        <f>'11. Desinvesteringen'!C403</f>
        <v>06 Utiliteitsgebouwen</v>
      </c>
      <c r="E401" s="43">
        <f>'11. Desinvesteringen'!D403</f>
        <v>1980</v>
      </c>
      <c r="F401" s="48">
        <f>'11. Desinvesteringen'!E403</f>
        <v>47081.56</v>
      </c>
      <c r="G401" s="43">
        <f>'11. Desinvesteringen'!G403</f>
        <v>2022</v>
      </c>
    </row>
    <row r="402" spans="2:7" s="3" customFormat="1">
      <c r="B402" s="43">
        <f>'11. Desinvesteringen'!B404</f>
        <v>385</v>
      </c>
      <c r="D402" s="43" t="str">
        <f>'11. Desinvesteringen'!C404</f>
        <v>15 Compressorstations (TT-BT-AT)</v>
      </c>
      <c r="E402" s="43">
        <f>'11. Desinvesteringen'!D404</f>
        <v>1970</v>
      </c>
      <c r="F402" s="48">
        <f>'11. Desinvesteringen'!E404</f>
        <v>81298.009999999995</v>
      </c>
      <c r="G402" s="43">
        <f>'11. Desinvesteringen'!G404</f>
        <v>2022</v>
      </c>
    </row>
    <row r="403" spans="2:7" s="3" customFormat="1">
      <c r="B403" s="43">
        <f>'11. Desinvesteringen'!B405</f>
        <v>386</v>
      </c>
      <c r="D403" s="43" t="str">
        <f>'11. Desinvesteringen'!C405</f>
        <v>15 Compressorstations (TT-BT-AT)</v>
      </c>
      <c r="E403" s="43">
        <f>'11. Desinvesteringen'!D405</f>
        <v>1971</v>
      </c>
      <c r="F403" s="48">
        <f>'11. Desinvesteringen'!E405</f>
        <v>86713.88</v>
      </c>
      <c r="G403" s="43">
        <f>'11. Desinvesteringen'!G405</f>
        <v>2022</v>
      </c>
    </row>
    <row r="404" spans="2:7" s="3" customFormat="1">
      <c r="B404" s="43">
        <f>'11. Desinvesteringen'!B406</f>
        <v>387</v>
      </c>
      <c r="D404" s="43" t="str">
        <f>'11. Desinvesteringen'!C406</f>
        <v>15 Compressorstations (TT-BT-AT)</v>
      </c>
      <c r="E404" s="43">
        <f>'11. Desinvesteringen'!D406</f>
        <v>1974</v>
      </c>
      <c r="F404" s="48">
        <f>'11. Desinvesteringen'!E406</f>
        <v>177923.75</v>
      </c>
      <c r="G404" s="43">
        <f>'11. Desinvesteringen'!G406</f>
        <v>2022</v>
      </c>
    </row>
    <row r="405" spans="2:7" s="3" customFormat="1">
      <c r="B405" s="43">
        <f>'11. Desinvesteringen'!B407</f>
        <v>388</v>
      </c>
      <c r="D405" s="43" t="str">
        <f>'11. Desinvesteringen'!C407</f>
        <v>15 Compressorstations (TT-BT-AT)</v>
      </c>
      <c r="E405" s="43">
        <f>'11. Desinvesteringen'!D407</f>
        <v>1997</v>
      </c>
      <c r="F405" s="48">
        <f>'11. Desinvesteringen'!E407</f>
        <v>15658.35</v>
      </c>
      <c r="G405" s="43">
        <f>'11. Desinvesteringen'!G407</f>
        <v>2022</v>
      </c>
    </row>
    <row r="406" spans="2:7" s="3" customFormat="1">
      <c r="B406" s="43">
        <f>'11. Desinvesteringen'!B408</f>
        <v>389</v>
      </c>
      <c r="D406" s="43" t="str">
        <f>'11. Desinvesteringen'!C408</f>
        <v>15 Compressorstations (TT-BT-AT)</v>
      </c>
      <c r="E406" s="43">
        <f>'11. Desinvesteringen'!D408</f>
        <v>2011</v>
      </c>
      <c r="F406" s="48">
        <f>'11. Desinvesteringen'!E408</f>
        <v>117399.27471035083</v>
      </c>
      <c r="G406" s="43">
        <f>'11. Desinvesteringen'!G408</f>
        <v>2022</v>
      </c>
    </row>
    <row r="407" spans="2:7" s="3" customFormat="1">
      <c r="B407" s="43">
        <f>'11. Desinvesteringen'!B409</f>
        <v>390</v>
      </c>
      <c r="D407" s="43" t="str">
        <f>'11. Desinvesteringen'!C409</f>
        <v>16 LNG installaties</v>
      </c>
      <c r="E407" s="43">
        <f>'11. Desinvesteringen'!D409</f>
        <v>1977</v>
      </c>
      <c r="F407" s="48">
        <f>'11. Desinvesteringen'!E409</f>
        <v>1111944.56</v>
      </c>
      <c r="G407" s="43">
        <f>'11. Desinvesteringen'!G409</f>
        <v>2022</v>
      </c>
    </row>
    <row r="408" spans="2:7" s="3" customFormat="1">
      <c r="B408" s="43">
        <f>'11. Desinvesteringen'!B410</f>
        <v>391</v>
      </c>
      <c r="D408" s="43" t="str">
        <f>'11. Desinvesteringen'!C410</f>
        <v>16 LNG installaties</v>
      </c>
      <c r="E408" s="43">
        <f>'11. Desinvesteringen'!D410</f>
        <v>1998</v>
      </c>
      <c r="F408" s="48">
        <f>'11. Desinvesteringen'!E410</f>
        <v>1841303.44</v>
      </c>
      <c r="G408" s="43">
        <f>'11. Desinvesteringen'!G410</f>
        <v>2022</v>
      </c>
    </row>
    <row r="409" spans="2:7" s="3" customFormat="1">
      <c r="B409" s="43">
        <f>'11. Desinvesteringen'!B411</f>
        <v>392</v>
      </c>
      <c r="D409" s="43" t="str">
        <f>'11. Desinvesteringen'!C411</f>
        <v>17 Mengstations</v>
      </c>
      <c r="E409" s="43">
        <f>'11. Desinvesteringen'!D411</f>
        <v>2019</v>
      </c>
      <c r="F409" s="48">
        <f>'11. Desinvesteringen'!E411</f>
        <v>64295.18960042399</v>
      </c>
      <c r="G409" s="43">
        <f>'11. Desinvesteringen'!G411</f>
        <v>2022</v>
      </c>
    </row>
    <row r="410" spans="2:7" s="3" customFormat="1">
      <c r="B410" s="43">
        <f>'11. Desinvesteringen'!B412</f>
        <v>393</v>
      </c>
      <c r="D410" s="43" t="str">
        <f>'11. Desinvesteringen'!C412</f>
        <v>21 Hoofdtransportleiding</v>
      </c>
      <c r="E410" s="43">
        <f>'11. Desinvesteringen'!D412</f>
        <v>1964</v>
      </c>
      <c r="F410" s="48">
        <f>'11. Desinvesteringen'!E412</f>
        <v>1445.34</v>
      </c>
      <c r="G410" s="43">
        <f>'11. Desinvesteringen'!G412</f>
        <v>2022</v>
      </c>
    </row>
    <row r="411" spans="2:7" s="3" customFormat="1">
      <c r="B411" s="43">
        <f>'11. Desinvesteringen'!B413</f>
        <v>394</v>
      </c>
      <c r="D411" s="43" t="str">
        <f>'11. Desinvesteringen'!C413</f>
        <v>21 Hoofdtransportleiding</v>
      </c>
      <c r="E411" s="43">
        <f>'11. Desinvesteringen'!D413</f>
        <v>1977</v>
      </c>
      <c r="F411" s="48">
        <f>'11. Desinvesteringen'!E413</f>
        <v>50000</v>
      </c>
      <c r="G411" s="43">
        <f>'11. Desinvesteringen'!G413</f>
        <v>2022</v>
      </c>
    </row>
    <row r="412" spans="2:7" s="3" customFormat="1">
      <c r="B412" s="43">
        <f>'11. Desinvesteringen'!B414</f>
        <v>395</v>
      </c>
      <c r="D412" s="43" t="str">
        <f>'11. Desinvesteringen'!C414</f>
        <v>21 Hoofdtransportleiding</v>
      </c>
      <c r="E412" s="43">
        <f>'11. Desinvesteringen'!D414</f>
        <v>1978</v>
      </c>
      <c r="F412" s="48">
        <f>'11. Desinvesteringen'!E414</f>
        <v>16458.09</v>
      </c>
      <c r="G412" s="43">
        <f>'11. Desinvesteringen'!G414</f>
        <v>2022</v>
      </c>
    </row>
    <row r="413" spans="2:7" s="3" customFormat="1">
      <c r="B413" s="43">
        <f>'11. Desinvesteringen'!B415</f>
        <v>396</v>
      </c>
      <c r="D413" s="43" t="str">
        <f>'11. Desinvesteringen'!C415</f>
        <v>21 Hoofdtransportleiding</v>
      </c>
      <c r="E413" s="43">
        <f>'11. Desinvesteringen'!D415</f>
        <v>1983</v>
      </c>
      <c r="F413" s="48">
        <f>'11. Desinvesteringen'!E415</f>
        <v>44290.400000000001</v>
      </c>
      <c r="G413" s="43">
        <f>'11. Desinvesteringen'!G415</f>
        <v>2022</v>
      </c>
    </row>
    <row r="414" spans="2:7" s="3" customFormat="1">
      <c r="B414" s="43">
        <f>'11. Desinvesteringen'!B416</f>
        <v>397</v>
      </c>
      <c r="D414" s="43" t="str">
        <f>'11. Desinvesteringen'!C416</f>
        <v>21 Hoofdtransportleiding</v>
      </c>
      <c r="E414" s="43">
        <f>'11. Desinvesteringen'!D416</f>
        <v>1987</v>
      </c>
      <c r="F414" s="48">
        <f>'11. Desinvesteringen'!E416</f>
        <v>90000</v>
      </c>
      <c r="G414" s="43">
        <f>'11. Desinvesteringen'!G416</f>
        <v>2022</v>
      </c>
    </row>
    <row r="415" spans="2:7" s="3" customFormat="1">
      <c r="B415" s="43">
        <f>'11. Desinvesteringen'!B417</f>
        <v>398</v>
      </c>
      <c r="D415" s="43" t="str">
        <f>'11. Desinvesteringen'!C417</f>
        <v>32 M&amp;R stations</v>
      </c>
      <c r="E415" s="43">
        <f>'11. Desinvesteringen'!D417</f>
        <v>1964</v>
      </c>
      <c r="F415" s="48">
        <f>'11. Desinvesteringen'!E417</f>
        <v>184143.09</v>
      </c>
      <c r="G415" s="43">
        <f>'11. Desinvesteringen'!G417</f>
        <v>2022</v>
      </c>
    </row>
    <row r="416" spans="2:7" s="3" customFormat="1">
      <c r="B416" s="43">
        <f>'11. Desinvesteringen'!B418</f>
        <v>399</v>
      </c>
      <c r="D416" s="43" t="str">
        <f>'11. Desinvesteringen'!C418</f>
        <v>32 M&amp;R stations</v>
      </c>
      <c r="E416" s="43">
        <f>'11. Desinvesteringen'!D418</f>
        <v>1967</v>
      </c>
      <c r="F416" s="48">
        <f>'11. Desinvesteringen'!E418</f>
        <v>477869.69</v>
      </c>
      <c r="G416" s="43">
        <f>'11. Desinvesteringen'!G418</f>
        <v>2022</v>
      </c>
    </row>
    <row r="417" spans="2:7" s="3" customFormat="1">
      <c r="B417" s="43">
        <f>'11. Desinvesteringen'!B419</f>
        <v>400</v>
      </c>
      <c r="D417" s="43" t="str">
        <f>'11. Desinvesteringen'!C419</f>
        <v>32 M&amp;R stations</v>
      </c>
      <c r="E417" s="43">
        <f>'11. Desinvesteringen'!D419</f>
        <v>1968</v>
      </c>
      <c r="F417" s="48">
        <f>'11. Desinvesteringen'!E419</f>
        <v>7990.16</v>
      </c>
      <c r="G417" s="43">
        <f>'11. Desinvesteringen'!G419</f>
        <v>2022</v>
      </c>
    </row>
    <row r="418" spans="2:7" s="3" customFormat="1">
      <c r="B418" s="43">
        <f>'11. Desinvesteringen'!B420</f>
        <v>401</v>
      </c>
      <c r="D418" s="43" t="str">
        <f>'11. Desinvesteringen'!C420</f>
        <v>32 M&amp;R stations</v>
      </c>
      <c r="E418" s="43">
        <f>'11. Desinvesteringen'!D420</f>
        <v>1969</v>
      </c>
      <c r="F418" s="48">
        <f>'11. Desinvesteringen'!E420</f>
        <v>64322.44</v>
      </c>
      <c r="G418" s="43">
        <f>'11. Desinvesteringen'!G420</f>
        <v>2022</v>
      </c>
    </row>
    <row r="419" spans="2:7" s="3" customFormat="1">
      <c r="B419" s="43">
        <f>'11. Desinvesteringen'!B421</f>
        <v>402</v>
      </c>
      <c r="D419" s="43" t="str">
        <f>'11. Desinvesteringen'!C421</f>
        <v>32 M&amp;R stations</v>
      </c>
      <c r="E419" s="43">
        <f>'11. Desinvesteringen'!D421</f>
        <v>1972</v>
      </c>
      <c r="F419" s="48">
        <f>'11. Desinvesteringen'!E421</f>
        <v>58241.78</v>
      </c>
      <c r="G419" s="43">
        <f>'11. Desinvesteringen'!G421</f>
        <v>2022</v>
      </c>
    </row>
    <row r="420" spans="2:7" s="3" customFormat="1">
      <c r="B420" s="43">
        <f>'11. Desinvesteringen'!B422</f>
        <v>403</v>
      </c>
      <c r="D420" s="43" t="str">
        <f>'11. Desinvesteringen'!C422</f>
        <v>32 M&amp;R stations</v>
      </c>
      <c r="E420" s="43">
        <f>'11. Desinvesteringen'!D422</f>
        <v>1974</v>
      </c>
      <c r="F420" s="48">
        <f>'11. Desinvesteringen'!E422</f>
        <v>117946.1</v>
      </c>
      <c r="G420" s="43">
        <f>'11. Desinvesteringen'!G422</f>
        <v>2022</v>
      </c>
    </row>
    <row r="421" spans="2:7" s="3" customFormat="1">
      <c r="B421" s="43">
        <f>'11. Desinvesteringen'!B423</f>
        <v>404</v>
      </c>
      <c r="D421" s="43" t="str">
        <f>'11. Desinvesteringen'!C423</f>
        <v>32 M&amp;R stations</v>
      </c>
      <c r="E421" s="43">
        <f>'11. Desinvesteringen'!D423</f>
        <v>1978</v>
      </c>
      <c r="F421" s="48">
        <f>'11. Desinvesteringen'!E423</f>
        <v>1289616.6000000001</v>
      </c>
      <c r="G421" s="43">
        <f>'11. Desinvesteringen'!G423</f>
        <v>2022</v>
      </c>
    </row>
    <row r="422" spans="2:7" s="3" customFormat="1">
      <c r="B422" s="43">
        <f>'11. Desinvesteringen'!B424</f>
        <v>405</v>
      </c>
      <c r="D422" s="43" t="str">
        <f>'11. Desinvesteringen'!C424</f>
        <v>32 M&amp;R stations</v>
      </c>
      <c r="E422" s="43">
        <f>'11. Desinvesteringen'!D424</f>
        <v>1995</v>
      </c>
      <c r="F422" s="48">
        <f>'11. Desinvesteringen'!E424</f>
        <v>15754.34</v>
      </c>
      <c r="G422" s="43">
        <f>'11. Desinvesteringen'!G424</f>
        <v>2022</v>
      </c>
    </row>
    <row r="423" spans="2:7" s="3" customFormat="1">
      <c r="B423" s="43">
        <f>'11. Desinvesteringen'!B425</f>
        <v>406</v>
      </c>
      <c r="D423" s="43" t="str">
        <f>'11. Desinvesteringen'!C425</f>
        <v>32 M&amp;R stations</v>
      </c>
      <c r="E423" s="43">
        <f>'11. Desinvesteringen'!D425</f>
        <v>2012</v>
      </c>
      <c r="F423" s="48">
        <f>'11. Desinvesteringen'!E425</f>
        <v>386956.48760918935</v>
      </c>
      <c r="G423" s="43">
        <f>'11. Desinvesteringen'!G425</f>
        <v>2022</v>
      </c>
    </row>
    <row r="424" spans="2:7" s="3" customFormat="1">
      <c r="B424" s="43">
        <f>'11. Desinvesteringen'!B426</f>
        <v>407</v>
      </c>
      <c r="D424" s="43" t="str">
        <f>'11. Desinvesteringen'!C426</f>
        <v>34 Reduceerstations</v>
      </c>
      <c r="E424" s="43">
        <f>'11. Desinvesteringen'!D426</f>
        <v>1986</v>
      </c>
      <c r="F424" s="48">
        <f>'11. Desinvesteringen'!E426</f>
        <v>29497.66</v>
      </c>
      <c r="G424" s="43">
        <f>'11. Desinvesteringen'!G426</f>
        <v>2022</v>
      </c>
    </row>
    <row r="425" spans="2:7" s="3" customFormat="1">
      <c r="B425" s="43">
        <f>'11. Desinvesteringen'!B427</f>
        <v>0</v>
      </c>
      <c r="D425" s="43">
        <f>'11. Desinvesteringen'!C427</f>
        <v>0</v>
      </c>
      <c r="E425" s="43">
        <f>'11. Desinvesteringen'!D427</f>
        <v>0</v>
      </c>
      <c r="F425" s="48">
        <f>'11. Desinvesteringen'!E427</f>
        <v>0</v>
      </c>
      <c r="G425" s="43">
        <f>'11. Desinvesteringen'!G427</f>
        <v>0</v>
      </c>
    </row>
    <row r="426" spans="2:7" s="3" customFormat="1">
      <c r="B426" s="43">
        <f>'11. Desinvesteringen'!B428</f>
        <v>0</v>
      </c>
      <c r="D426" s="43">
        <f>'11. Desinvesteringen'!C428</f>
        <v>0</v>
      </c>
      <c r="E426" s="43">
        <f>'11. Desinvesteringen'!D428</f>
        <v>0</v>
      </c>
      <c r="F426" s="48">
        <f>'11. Desinvesteringen'!E428</f>
        <v>0</v>
      </c>
      <c r="G426" s="43">
        <f>'11. Desinvesteringen'!G428</f>
        <v>0</v>
      </c>
    </row>
    <row r="427" spans="2:7" s="3" customFormat="1">
      <c r="B427" s="43">
        <f>'11. Desinvesteringen'!B429</f>
        <v>0</v>
      </c>
      <c r="D427" s="43">
        <f>'11. Desinvesteringen'!C429</f>
        <v>0</v>
      </c>
      <c r="E427" s="43">
        <f>'11. Desinvesteringen'!D429</f>
        <v>0</v>
      </c>
      <c r="F427" s="48">
        <f>'11. Desinvesteringen'!E429</f>
        <v>0</v>
      </c>
      <c r="G427" s="43">
        <f>'11. Desinvesteringen'!G429</f>
        <v>0</v>
      </c>
    </row>
    <row r="428" spans="2:7" s="3" customFormat="1">
      <c r="B428" s="43">
        <f>'11. Desinvesteringen'!B430</f>
        <v>0</v>
      </c>
      <c r="D428" s="43">
        <f>'11. Desinvesteringen'!C430</f>
        <v>0</v>
      </c>
      <c r="E428" s="43">
        <f>'11. Desinvesteringen'!D430</f>
        <v>0</v>
      </c>
      <c r="F428" s="48">
        <f>'11. Desinvesteringen'!E430</f>
        <v>0</v>
      </c>
      <c r="G428" s="43">
        <f>'11. Desinvesteringen'!G430</f>
        <v>0</v>
      </c>
    </row>
    <row r="429" spans="2:7" s="3" customFormat="1">
      <c r="B429" s="43">
        <f>'11. Desinvesteringen'!B431</f>
        <v>0</v>
      </c>
      <c r="D429" s="43">
        <f>'11. Desinvesteringen'!C431</f>
        <v>0</v>
      </c>
      <c r="E429" s="43">
        <f>'11. Desinvesteringen'!D431</f>
        <v>0</v>
      </c>
      <c r="F429" s="48">
        <f>'11. Desinvesteringen'!E431</f>
        <v>0</v>
      </c>
      <c r="G429" s="43">
        <f>'11. Desinvesteringen'!G431</f>
        <v>0</v>
      </c>
    </row>
    <row r="430" spans="2:7" s="3" customFormat="1">
      <c r="B430" s="43">
        <f>'11. Desinvesteringen'!B432</f>
        <v>0</v>
      </c>
      <c r="D430" s="43">
        <f>'11. Desinvesteringen'!C432</f>
        <v>0</v>
      </c>
      <c r="E430" s="43">
        <f>'11. Desinvesteringen'!D432</f>
        <v>0</v>
      </c>
      <c r="F430" s="48">
        <f>'11. Desinvesteringen'!E432</f>
        <v>0</v>
      </c>
      <c r="G430" s="43">
        <f>'11. Desinvesteringen'!G432</f>
        <v>0</v>
      </c>
    </row>
    <row r="431" spans="2:7" s="3" customFormat="1">
      <c r="B431" s="43">
        <f>'11. Desinvesteringen'!B433</f>
        <v>0</v>
      </c>
      <c r="D431" s="43">
        <f>'11. Desinvesteringen'!C433</f>
        <v>0</v>
      </c>
      <c r="E431" s="43">
        <f>'11. Desinvesteringen'!D433</f>
        <v>0</v>
      </c>
      <c r="F431" s="48">
        <f>'11. Desinvesteringen'!E433</f>
        <v>0</v>
      </c>
      <c r="G431" s="43">
        <f>'11. Desinvesteringen'!G433</f>
        <v>0</v>
      </c>
    </row>
    <row r="432" spans="2:7" s="251" customFormat="1">
      <c r="B432" s="43">
        <f>'11. Desinvesteringen'!B434</f>
        <v>0</v>
      </c>
      <c r="C432" s="3"/>
      <c r="D432" s="43">
        <f>'11. Desinvesteringen'!C434</f>
        <v>0</v>
      </c>
      <c r="E432" s="43">
        <f>'11. Desinvesteringen'!D434</f>
        <v>0</v>
      </c>
      <c r="F432" s="48">
        <f>'11. Desinvesteringen'!E434</f>
        <v>0</v>
      </c>
      <c r="G432" s="43">
        <f>'11. Desinvesteringen'!G434</f>
        <v>0</v>
      </c>
    </row>
    <row r="433" spans="1:16383" s="251" customFormat="1">
      <c r="B433" s="43">
        <f>'11. Desinvesteringen'!B435</f>
        <v>0</v>
      </c>
      <c r="C433" s="3"/>
      <c r="D433" s="43">
        <f>'11. Desinvesteringen'!C435</f>
        <v>0</v>
      </c>
      <c r="E433" s="43">
        <f>'11. Desinvesteringen'!D435</f>
        <v>0</v>
      </c>
      <c r="F433" s="48">
        <f>'11. Desinvesteringen'!E435</f>
        <v>0</v>
      </c>
      <c r="G433" s="43">
        <f>'11. Desinvesteringen'!G435</f>
        <v>0</v>
      </c>
    </row>
    <row r="434" spans="1:16383" s="251" customFormat="1">
      <c r="B434" s="43">
        <f>'11. Desinvesteringen'!B436</f>
        <v>0</v>
      </c>
      <c r="C434" s="3"/>
      <c r="D434" s="43">
        <f>'11. Desinvesteringen'!C436</f>
        <v>0</v>
      </c>
      <c r="E434" s="43">
        <f>'11. Desinvesteringen'!D436</f>
        <v>0</v>
      </c>
      <c r="F434" s="48">
        <f>'11. Desinvesteringen'!E436</f>
        <v>0</v>
      </c>
      <c r="G434" s="43">
        <f>'11. Desinvesteringen'!G436</f>
        <v>0</v>
      </c>
    </row>
    <row r="435" spans="1:16383">
      <c r="A435" s="3"/>
      <c r="B435" s="3"/>
      <c r="C435" s="3"/>
      <c r="D435" s="98"/>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row>
    <row r="436" spans="1:16383">
      <c r="A436" s="8"/>
      <c r="B436" s="8" t="s">
        <v>868</v>
      </c>
      <c r="C436" s="8"/>
      <c r="D436" s="8"/>
      <c r="E436" s="120">
        <v>1946</v>
      </c>
      <c r="F436" s="120">
        <v>1947</v>
      </c>
      <c r="G436" s="120">
        <v>1948</v>
      </c>
      <c r="H436" s="120">
        <v>1949</v>
      </c>
      <c r="I436" s="120">
        <v>1950</v>
      </c>
      <c r="J436" s="120">
        <v>1951</v>
      </c>
      <c r="K436" s="120">
        <v>1952</v>
      </c>
      <c r="L436" s="120">
        <v>1953</v>
      </c>
      <c r="M436" s="120">
        <v>1954</v>
      </c>
      <c r="N436" s="120">
        <v>1955</v>
      </c>
      <c r="O436" s="120">
        <v>1956</v>
      </c>
      <c r="P436" s="120">
        <v>1957</v>
      </c>
      <c r="Q436" s="120">
        <v>1958</v>
      </c>
      <c r="R436" s="120">
        <v>1959</v>
      </c>
      <c r="S436" s="120">
        <v>1960</v>
      </c>
      <c r="T436" s="120">
        <v>1961</v>
      </c>
      <c r="U436" s="120">
        <v>1962</v>
      </c>
      <c r="V436" s="120">
        <v>1963</v>
      </c>
      <c r="W436" s="120">
        <v>1964</v>
      </c>
      <c r="X436" s="120">
        <v>1965</v>
      </c>
      <c r="Y436" s="120">
        <v>1966</v>
      </c>
      <c r="Z436" s="120">
        <v>1967</v>
      </c>
      <c r="AA436" s="120">
        <v>1968</v>
      </c>
      <c r="AB436" s="120">
        <v>1969</v>
      </c>
      <c r="AC436" s="120">
        <v>1970</v>
      </c>
      <c r="AD436" s="120">
        <v>1971</v>
      </c>
      <c r="AE436" s="120">
        <v>1972</v>
      </c>
      <c r="AF436" s="120">
        <v>1973</v>
      </c>
      <c r="AG436" s="120">
        <v>1974</v>
      </c>
      <c r="AH436" s="120">
        <v>1975</v>
      </c>
      <c r="AI436" s="120">
        <v>1976</v>
      </c>
      <c r="AJ436" s="8">
        <v>1977</v>
      </c>
      <c r="AK436" s="8">
        <v>1978</v>
      </c>
      <c r="AL436" s="8">
        <v>1979</v>
      </c>
      <c r="AM436" s="8">
        <v>1980</v>
      </c>
      <c r="AN436" s="8">
        <v>1981</v>
      </c>
      <c r="AO436" s="8">
        <v>1982</v>
      </c>
      <c r="AP436" s="8">
        <v>1983</v>
      </c>
      <c r="AQ436" s="8">
        <v>1984</v>
      </c>
      <c r="AR436" s="8">
        <v>1985</v>
      </c>
      <c r="AS436" s="8">
        <v>1986</v>
      </c>
      <c r="AT436" s="8">
        <v>1987</v>
      </c>
      <c r="AU436" s="8">
        <v>1988</v>
      </c>
      <c r="AV436" s="8">
        <v>1989</v>
      </c>
      <c r="AW436" s="8">
        <v>1990</v>
      </c>
      <c r="AX436" s="8">
        <v>1991</v>
      </c>
      <c r="AY436" s="8">
        <v>1992</v>
      </c>
      <c r="AZ436" s="8">
        <v>1993</v>
      </c>
      <c r="BA436" s="8">
        <v>1994</v>
      </c>
      <c r="BB436" s="8">
        <v>1995</v>
      </c>
      <c r="BC436" s="8">
        <v>1996</v>
      </c>
      <c r="BD436" s="8">
        <v>1997</v>
      </c>
      <c r="BE436" s="8">
        <v>1998</v>
      </c>
      <c r="BF436" s="8">
        <v>1999</v>
      </c>
      <c r="BG436" s="8">
        <v>2000</v>
      </c>
      <c r="BH436" s="8">
        <v>2001</v>
      </c>
      <c r="BI436" s="8">
        <v>2002</v>
      </c>
      <c r="BJ436" s="8">
        <v>2003</v>
      </c>
      <c r="BK436" s="8">
        <v>2004</v>
      </c>
      <c r="BL436" s="8">
        <v>2005</v>
      </c>
      <c r="BM436" s="8">
        <v>2006</v>
      </c>
      <c r="BN436" s="8">
        <v>2007</v>
      </c>
      <c r="BO436" s="8">
        <v>2008</v>
      </c>
      <c r="BP436" s="8">
        <v>2009</v>
      </c>
      <c r="BQ436" s="8">
        <v>2010</v>
      </c>
      <c r="BR436" s="8">
        <v>2011</v>
      </c>
      <c r="BS436" s="8">
        <v>2012</v>
      </c>
      <c r="BT436" s="8">
        <v>2013</v>
      </c>
      <c r="BU436" s="8">
        <v>2014</v>
      </c>
      <c r="BV436" s="8">
        <v>2015</v>
      </c>
      <c r="BW436" s="8">
        <v>2016</v>
      </c>
      <c r="BX436" s="8">
        <v>2017</v>
      </c>
      <c r="BY436" s="8">
        <v>2018</v>
      </c>
      <c r="BZ436" s="8">
        <v>2019</v>
      </c>
      <c r="CA436" s="8">
        <v>2020</v>
      </c>
      <c r="CB436" s="8">
        <v>2021</v>
      </c>
      <c r="CC436" s="8">
        <v>2022</v>
      </c>
      <c r="CD436" s="8">
        <v>2023</v>
      </c>
      <c r="CE436" s="8">
        <v>2024</v>
      </c>
      <c r="CF436" s="8">
        <v>2025</v>
      </c>
      <c r="CG436" s="8">
        <v>2026</v>
      </c>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c r="IX436" s="120"/>
      <c r="IY436" s="120"/>
      <c r="IZ436" s="120"/>
      <c r="JA436" s="120"/>
      <c r="JB436" s="120"/>
      <c r="JC436" s="120"/>
      <c r="JD436" s="120"/>
      <c r="JE436" s="120"/>
      <c r="JF436" s="120"/>
      <c r="JG436" s="120"/>
      <c r="JH436" s="120"/>
      <c r="JI436" s="120"/>
      <c r="JJ436" s="120"/>
      <c r="JK436" s="120"/>
      <c r="JL436" s="120"/>
      <c r="JM436" s="120"/>
      <c r="JN436" s="120"/>
      <c r="JO436" s="120"/>
      <c r="JP436" s="120"/>
      <c r="JQ436" s="120"/>
      <c r="JR436" s="120"/>
      <c r="JS436" s="120"/>
      <c r="JT436" s="120"/>
      <c r="JU436" s="120"/>
      <c r="JV436" s="120"/>
      <c r="JW436" s="120"/>
      <c r="JX436" s="120"/>
      <c r="JY436" s="120"/>
      <c r="JZ436" s="120"/>
      <c r="KA436" s="120"/>
      <c r="KB436" s="120"/>
      <c r="KC436" s="120"/>
      <c r="KD436" s="120"/>
      <c r="KE436" s="120"/>
      <c r="KF436" s="120"/>
      <c r="KG436" s="120"/>
      <c r="KH436" s="120"/>
      <c r="KI436" s="120"/>
      <c r="KJ436" s="120"/>
      <c r="KK436" s="120"/>
      <c r="KL436" s="120"/>
      <c r="KM436" s="120"/>
      <c r="KN436" s="120"/>
      <c r="KO436" s="120"/>
      <c r="KP436" s="120"/>
      <c r="KQ436" s="120"/>
      <c r="KR436" s="120"/>
      <c r="KS436" s="120"/>
      <c r="KT436" s="120"/>
      <c r="KU436" s="120"/>
      <c r="KV436" s="120"/>
      <c r="KW436" s="120"/>
      <c r="KX436" s="120"/>
      <c r="KY436" s="120"/>
      <c r="KZ436" s="120"/>
      <c r="LA436" s="120"/>
      <c r="LB436" s="120"/>
      <c r="LC436" s="120"/>
      <c r="LD436" s="120"/>
      <c r="LE436" s="120"/>
      <c r="LF436" s="120"/>
      <c r="LG436" s="120"/>
      <c r="LH436" s="120"/>
      <c r="LI436" s="120"/>
      <c r="LJ436" s="120"/>
      <c r="LK436" s="120"/>
      <c r="LL436" s="120"/>
      <c r="LM436" s="120"/>
      <c r="LN436" s="120"/>
      <c r="LO436" s="120"/>
      <c r="LP436" s="120"/>
      <c r="LQ436" s="120"/>
      <c r="LR436" s="120"/>
      <c r="LS436" s="120"/>
      <c r="LT436" s="120"/>
      <c r="LU436" s="120"/>
      <c r="LV436" s="120"/>
      <c r="LW436" s="120"/>
      <c r="LX436" s="120"/>
      <c r="LY436" s="120"/>
      <c r="LZ436" s="120"/>
      <c r="MA436" s="120"/>
      <c r="MB436" s="120"/>
      <c r="MC436" s="120"/>
      <c r="MD436" s="120"/>
      <c r="ME436" s="120"/>
      <c r="MF436" s="120"/>
      <c r="MG436" s="120"/>
      <c r="MH436" s="120"/>
      <c r="MI436" s="120"/>
      <c r="MJ436" s="120"/>
      <c r="MK436" s="120"/>
      <c r="ML436" s="120"/>
      <c r="MM436" s="120"/>
      <c r="MN436" s="120"/>
      <c r="MO436" s="120"/>
      <c r="MP436" s="120"/>
      <c r="MQ436" s="120"/>
      <c r="MR436" s="120"/>
      <c r="MS436" s="120"/>
      <c r="MT436" s="120"/>
      <c r="MU436" s="120"/>
      <c r="MV436" s="120"/>
      <c r="MW436" s="120"/>
      <c r="MX436" s="120"/>
      <c r="MY436" s="120"/>
      <c r="MZ436" s="120"/>
      <c r="NA436" s="120"/>
      <c r="NB436" s="120"/>
      <c r="NC436" s="120"/>
      <c r="ND436" s="120"/>
      <c r="NE436" s="120"/>
      <c r="NF436" s="120"/>
      <c r="NG436" s="120"/>
      <c r="NH436" s="120"/>
      <c r="NI436" s="120"/>
      <c r="NJ436" s="120"/>
      <c r="NK436" s="120"/>
      <c r="NL436" s="120"/>
      <c r="NM436" s="120"/>
      <c r="NN436" s="120"/>
      <c r="NO436" s="120"/>
      <c r="NP436" s="120"/>
      <c r="NQ436" s="120"/>
      <c r="NR436" s="120"/>
      <c r="NS436" s="120"/>
      <c r="NT436" s="120"/>
      <c r="NU436" s="120"/>
      <c r="NV436" s="120"/>
      <c r="NW436" s="120"/>
      <c r="NX436" s="120"/>
      <c r="NY436" s="120"/>
      <c r="NZ436" s="120"/>
      <c r="OA436" s="120"/>
      <c r="OB436" s="120"/>
      <c r="OC436" s="120"/>
      <c r="OD436" s="120"/>
      <c r="OE436" s="120"/>
      <c r="OF436" s="120"/>
      <c r="OG436" s="120"/>
      <c r="OH436" s="120"/>
      <c r="OI436" s="120"/>
      <c r="OJ436" s="120"/>
      <c r="OK436" s="120"/>
      <c r="OL436" s="120"/>
      <c r="OM436" s="120"/>
      <c r="ON436" s="120"/>
      <c r="OO436" s="120"/>
      <c r="OP436" s="120"/>
      <c r="OQ436" s="120"/>
      <c r="OR436" s="120"/>
      <c r="OS436" s="120"/>
      <c r="OT436" s="120"/>
      <c r="OU436" s="120"/>
      <c r="OV436" s="120"/>
      <c r="OW436" s="120"/>
      <c r="OX436" s="120"/>
      <c r="OY436" s="120"/>
      <c r="OZ436" s="120"/>
      <c r="PA436" s="120"/>
      <c r="PB436" s="120"/>
      <c r="PC436" s="120"/>
      <c r="PD436" s="120"/>
      <c r="PE436" s="120"/>
      <c r="PF436" s="120"/>
      <c r="PG436" s="120"/>
      <c r="PH436" s="120"/>
      <c r="PI436" s="120"/>
      <c r="PJ436" s="120"/>
      <c r="PK436" s="120"/>
      <c r="PL436" s="120"/>
      <c r="PM436" s="120"/>
      <c r="PN436" s="120"/>
      <c r="PO436" s="120"/>
      <c r="PP436" s="120"/>
      <c r="PQ436" s="120"/>
      <c r="PR436" s="120"/>
      <c r="PS436" s="120"/>
      <c r="PT436" s="120"/>
      <c r="PU436" s="120"/>
      <c r="PV436" s="120"/>
      <c r="PW436" s="120"/>
      <c r="PX436" s="120"/>
      <c r="PY436" s="120"/>
      <c r="PZ436" s="120"/>
      <c r="QA436" s="120"/>
      <c r="QB436" s="120"/>
      <c r="QC436" s="120"/>
      <c r="QD436" s="120"/>
      <c r="QE436" s="120"/>
      <c r="QF436" s="120"/>
      <c r="QG436" s="120"/>
      <c r="QH436" s="120"/>
      <c r="QI436" s="120"/>
      <c r="QJ436" s="120"/>
      <c r="QK436" s="120"/>
      <c r="QL436" s="120"/>
      <c r="QM436" s="120"/>
      <c r="QN436" s="120"/>
      <c r="QO436" s="120"/>
      <c r="QP436" s="120"/>
      <c r="QQ436" s="120"/>
      <c r="QR436" s="120"/>
      <c r="QS436" s="120"/>
      <c r="QT436" s="120"/>
      <c r="QU436" s="120"/>
      <c r="QV436" s="120"/>
      <c r="QW436" s="120"/>
      <c r="QX436" s="120"/>
      <c r="QY436" s="120"/>
      <c r="QZ436" s="120"/>
      <c r="RA436" s="120"/>
      <c r="RB436" s="120"/>
      <c r="RC436" s="120"/>
      <c r="RD436" s="120"/>
      <c r="RE436" s="120"/>
      <c r="RF436" s="120"/>
      <c r="RG436" s="120"/>
      <c r="RH436" s="120"/>
      <c r="RI436" s="120"/>
      <c r="RJ436" s="120"/>
      <c r="RK436" s="120"/>
      <c r="RL436" s="120"/>
      <c r="RM436" s="120"/>
      <c r="RN436" s="120"/>
      <c r="RO436" s="120"/>
      <c r="RP436" s="120"/>
      <c r="RQ436" s="120"/>
      <c r="RR436" s="120"/>
      <c r="RS436" s="120"/>
      <c r="RT436" s="120"/>
      <c r="RU436" s="120"/>
      <c r="RV436" s="120"/>
      <c r="RW436" s="120"/>
      <c r="RX436" s="120"/>
      <c r="RY436" s="120"/>
      <c r="RZ436" s="120"/>
      <c r="SA436" s="120"/>
      <c r="SB436" s="120"/>
      <c r="SC436" s="120"/>
      <c r="SD436" s="120"/>
      <c r="SE436" s="120"/>
      <c r="SF436" s="120"/>
      <c r="SG436" s="120"/>
      <c r="SH436" s="120"/>
      <c r="SI436" s="120"/>
      <c r="SJ436" s="120"/>
      <c r="SK436" s="120"/>
      <c r="SL436" s="120"/>
      <c r="SM436" s="120"/>
      <c r="SN436" s="120"/>
      <c r="SO436" s="120"/>
      <c r="SP436" s="120"/>
      <c r="SQ436" s="120"/>
      <c r="SR436" s="120"/>
      <c r="SS436" s="120"/>
      <c r="ST436" s="120"/>
      <c r="SU436" s="120"/>
      <c r="SV436" s="120"/>
      <c r="SW436" s="120"/>
      <c r="SX436" s="120"/>
      <c r="SY436" s="120"/>
      <c r="SZ436" s="120"/>
      <c r="TA436" s="120"/>
      <c r="TB436" s="120"/>
      <c r="TC436" s="120"/>
      <c r="TD436" s="120"/>
      <c r="TE436" s="120"/>
      <c r="TF436" s="120"/>
      <c r="TG436" s="120"/>
      <c r="TH436" s="120"/>
      <c r="TI436" s="120"/>
      <c r="TJ436" s="120"/>
      <c r="TK436" s="120"/>
      <c r="TL436" s="120"/>
      <c r="TM436" s="120"/>
      <c r="TN436" s="120"/>
      <c r="TO436" s="120"/>
      <c r="TP436" s="120"/>
      <c r="TQ436" s="120"/>
      <c r="TR436" s="120"/>
      <c r="TS436" s="120"/>
      <c r="TT436" s="120"/>
      <c r="TU436" s="120"/>
      <c r="TV436" s="120"/>
      <c r="TW436" s="120"/>
      <c r="TX436" s="120"/>
      <c r="TY436" s="120"/>
      <c r="TZ436" s="120"/>
      <c r="UA436" s="120"/>
      <c r="UB436" s="120"/>
      <c r="UC436" s="120"/>
      <c r="UD436" s="120"/>
      <c r="UE436" s="120"/>
      <c r="UF436" s="120"/>
      <c r="UG436" s="120"/>
      <c r="UH436" s="120"/>
      <c r="UI436" s="120"/>
      <c r="UJ436" s="120"/>
      <c r="UK436" s="120"/>
      <c r="UL436" s="120"/>
      <c r="UM436" s="120"/>
      <c r="UN436" s="120"/>
      <c r="UO436" s="120"/>
      <c r="UP436" s="120"/>
      <c r="UQ436" s="120"/>
      <c r="UR436" s="120"/>
      <c r="US436" s="120"/>
      <c r="UT436" s="120"/>
      <c r="UU436" s="120"/>
      <c r="UV436" s="120"/>
      <c r="UW436" s="120"/>
      <c r="UX436" s="120"/>
      <c r="UY436" s="120"/>
      <c r="UZ436" s="120"/>
      <c r="VA436" s="120"/>
      <c r="VB436" s="120"/>
      <c r="VC436" s="120"/>
      <c r="VD436" s="120"/>
      <c r="VE436" s="120"/>
      <c r="VF436" s="120"/>
      <c r="VG436" s="120"/>
      <c r="VH436" s="120"/>
      <c r="VI436" s="120"/>
      <c r="VJ436" s="120"/>
      <c r="VK436" s="120"/>
      <c r="VL436" s="120"/>
      <c r="VM436" s="120"/>
      <c r="VN436" s="120"/>
      <c r="VO436" s="120"/>
      <c r="VP436" s="120"/>
      <c r="VQ436" s="120"/>
      <c r="VR436" s="120"/>
      <c r="VS436" s="120"/>
      <c r="VT436" s="120"/>
      <c r="VU436" s="120"/>
      <c r="VV436" s="120"/>
      <c r="VW436" s="120"/>
      <c r="VX436" s="120"/>
      <c r="VY436" s="120"/>
      <c r="VZ436" s="120"/>
      <c r="WA436" s="120"/>
      <c r="WB436" s="120"/>
      <c r="WC436" s="120"/>
      <c r="WD436" s="120"/>
      <c r="WE436" s="120"/>
      <c r="WF436" s="120"/>
      <c r="WG436" s="120"/>
      <c r="WH436" s="120"/>
      <c r="WI436" s="120"/>
      <c r="WJ436" s="120"/>
      <c r="WK436" s="120"/>
      <c r="WL436" s="120"/>
      <c r="WM436" s="120"/>
      <c r="WN436" s="120"/>
      <c r="WO436" s="120"/>
      <c r="WP436" s="120"/>
      <c r="WQ436" s="120"/>
      <c r="WR436" s="120"/>
      <c r="WS436" s="120"/>
      <c r="WT436" s="120"/>
      <c r="WU436" s="120"/>
      <c r="WV436" s="120"/>
      <c r="WW436" s="120"/>
      <c r="WX436" s="120"/>
      <c r="WY436" s="120"/>
      <c r="WZ436" s="120"/>
      <c r="XA436" s="120"/>
      <c r="XB436" s="120"/>
      <c r="XC436" s="120"/>
      <c r="XD436" s="120"/>
      <c r="XE436" s="120"/>
      <c r="XF436" s="120"/>
      <c r="XG436" s="120"/>
      <c r="XH436" s="120"/>
      <c r="XI436" s="120"/>
      <c r="XJ436" s="120"/>
      <c r="XK436" s="120"/>
      <c r="XL436" s="120"/>
      <c r="XM436" s="120"/>
      <c r="XN436" s="120"/>
      <c r="XO436" s="120"/>
      <c r="XP436" s="120"/>
      <c r="XQ436" s="120"/>
      <c r="XR436" s="120"/>
      <c r="XS436" s="120"/>
      <c r="XT436" s="120"/>
      <c r="XU436" s="120"/>
      <c r="XV436" s="120"/>
      <c r="XW436" s="120"/>
      <c r="XX436" s="120"/>
      <c r="XY436" s="120"/>
      <c r="XZ436" s="120"/>
      <c r="YA436" s="120"/>
      <c r="YB436" s="120"/>
      <c r="YC436" s="120"/>
      <c r="YD436" s="120"/>
      <c r="YE436" s="120"/>
      <c r="YF436" s="120"/>
      <c r="YG436" s="120"/>
      <c r="YH436" s="120"/>
      <c r="YI436" s="120"/>
      <c r="YJ436" s="120"/>
      <c r="YK436" s="120"/>
      <c r="YL436" s="120"/>
      <c r="YM436" s="120"/>
      <c r="YN436" s="120"/>
      <c r="YO436" s="120"/>
      <c r="YP436" s="120"/>
      <c r="YQ436" s="120"/>
      <c r="YR436" s="120"/>
      <c r="YS436" s="120"/>
      <c r="YT436" s="120"/>
      <c r="YU436" s="120"/>
      <c r="YV436" s="120"/>
      <c r="YW436" s="120"/>
      <c r="YX436" s="120"/>
      <c r="YY436" s="120"/>
      <c r="YZ436" s="120"/>
      <c r="ZA436" s="120"/>
      <c r="ZB436" s="120"/>
      <c r="ZC436" s="120"/>
      <c r="ZD436" s="120"/>
      <c r="ZE436" s="120"/>
      <c r="ZF436" s="120"/>
      <c r="ZG436" s="120"/>
      <c r="ZH436" s="120"/>
      <c r="ZI436" s="120"/>
      <c r="ZJ436" s="120"/>
      <c r="ZK436" s="120"/>
      <c r="ZL436" s="120"/>
      <c r="ZM436" s="120"/>
      <c r="ZN436" s="120"/>
      <c r="ZO436" s="120"/>
      <c r="ZP436" s="120"/>
      <c r="ZQ436" s="120"/>
      <c r="ZR436" s="120"/>
      <c r="ZS436" s="120"/>
      <c r="ZT436" s="120"/>
      <c r="ZU436" s="120"/>
      <c r="ZV436" s="120"/>
      <c r="ZW436" s="120"/>
      <c r="ZX436" s="120"/>
      <c r="ZY436" s="120"/>
      <c r="ZZ436" s="120"/>
      <c r="AAA436" s="120"/>
      <c r="AAB436" s="120"/>
      <c r="AAC436" s="120"/>
      <c r="AAD436" s="120"/>
      <c r="AAE436" s="120"/>
      <c r="AAF436" s="120"/>
      <c r="AAG436" s="120"/>
      <c r="AAH436" s="120"/>
      <c r="AAI436" s="120"/>
      <c r="AAJ436" s="120"/>
      <c r="AAK436" s="120"/>
      <c r="AAL436" s="120"/>
      <c r="AAM436" s="120"/>
      <c r="AAN436" s="120"/>
      <c r="AAO436" s="120"/>
      <c r="AAP436" s="120"/>
      <c r="AAQ436" s="120"/>
      <c r="AAR436" s="120"/>
      <c r="AAS436" s="120"/>
      <c r="AAT436" s="120"/>
      <c r="AAU436" s="120"/>
      <c r="AAV436" s="120"/>
      <c r="AAW436" s="120"/>
      <c r="AAX436" s="120"/>
      <c r="AAY436" s="120"/>
      <c r="AAZ436" s="120"/>
      <c r="ABA436" s="120"/>
      <c r="ABB436" s="120"/>
      <c r="ABC436" s="120"/>
      <c r="ABD436" s="120"/>
      <c r="ABE436" s="120"/>
      <c r="ABF436" s="120"/>
      <c r="ABG436" s="120"/>
      <c r="ABH436" s="120"/>
      <c r="ABI436" s="120"/>
      <c r="ABJ436" s="120"/>
      <c r="ABK436" s="120"/>
      <c r="ABL436" s="120"/>
      <c r="ABM436" s="120"/>
      <c r="ABN436" s="120"/>
      <c r="ABO436" s="120"/>
      <c r="ABP436" s="120"/>
      <c r="ABQ436" s="120"/>
      <c r="ABR436" s="120"/>
      <c r="ABS436" s="120"/>
      <c r="ABT436" s="120"/>
      <c r="ABU436" s="120"/>
      <c r="ABV436" s="120"/>
      <c r="ABW436" s="120"/>
      <c r="ABX436" s="120"/>
      <c r="ABY436" s="120"/>
      <c r="ABZ436" s="120"/>
      <c r="ACA436" s="120"/>
      <c r="ACB436" s="120"/>
      <c r="ACC436" s="120"/>
      <c r="ACD436" s="120"/>
      <c r="ACE436" s="120"/>
      <c r="ACF436" s="120"/>
      <c r="ACG436" s="120"/>
      <c r="ACH436" s="120"/>
      <c r="ACI436" s="120"/>
      <c r="ACJ436" s="120"/>
      <c r="ACK436" s="120"/>
      <c r="ACL436" s="120"/>
      <c r="ACM436" s="120"/>
      <c r="ACN436" s="120"/>
      <c r="ACO436" s="120"/>
      <c r="ACP436" s="120"/>
      <c r="ACQ436" s="120"/>
      <c r="ACR436" s="120"/>
      <c r="ACS436" s="120"/>
      <c r="ACT436" s="120"/>
      <c r="ACU436" s="120"/>
      <c r="ACV436" s="120"/>
      <c r="ACW436" s="120"/>
      <c r="ACX436" s="120"/>
      <c r="ACY436" s="120"/>
      <c r="ACZ436" s="120"/>
      <c r="ADA436" s="120"/>
      <c r="ADB436" s="120"/>
      <c r="ADC436" s="120"/>
      <c r="ADD436" s="120"/>
      <c r="ADE436" s="120"/>
      <c r="ADF436" s="120"/>
      <c r="ADG436" s="120"/>
      <c r="ADH436" s="120"/>
      <c r="ADI436" s="120"/>
      <c r="ADJ436" s="120"/>
      <c r="ADK436" s="120"/>
      <c r="ADL436" s="120"/>
      <c r="ADM436" s="120"/>
      <c r="ADN436" s="120"/>
      <c r="ADO436" s="120"/>
      <c r="ADP436" s="120"/>
      <c r="ADQ436" s="120"/>
      <c r="ADR436" s="120"/>
      <c r="ADS436" s="120"/>
      <c r="ADT436" s="120"/>
      <c r="ADU436" s="120"/>
      <c r="ADV436" s="120"/>
      <c r="ADW436" s="120"/>
      <c r="ADX436" s="120"/>
      <c r="ADY436" s="120"/>
      <c r="ADZ436" s="120"/>
      <c r="AEA436" s="120"/>
      <c r="AEB436" s="120"/>
      <c r="AEC436" s="120"/>
      <c r="AED436" s="120"/>
      <c r="AEE436" s="120"/>
      <c r="AEF436" s="120"/>
      <c r="AEG436" s="120"/>
      <c r="AEH436" s="120"/>
      <c r="AEI436" s="120"/>
      <c r="AEJ436" s="120"/>
      <c r="AEK436" s="120"/>
      <c r="AEL436" s="120"/>
      <c r="AEM436" s="120"/>
      <c r="AEN436" s="120"/>
      <c r="AEO436" s="120"/>
      <c r="AEP436" s="120"/>
      <c r="AEQ436" s="120"/>
      <c r="AER436" s="120"/>
      <c r="AES436" s="120"/>
      <c r="AET436" s="120"/>
      <c r="AEU436" s="120"/>
      <c r="AEV436" s="120"/>
      <c r="AEW436" s="120"/>
      <c r="AEX436" s="120"/>
      <c r="AEY436" s="120"/>
      <c r="AEZ436" s="120"/>
      <c r="AFA436" s="120"/>
      <c r="AFB436" s="120"/>
      <c r="AFC436" s="120"/>
      <c r="AFD436" s="120"/>
      <c r="AFE436" s="120"/>
      <c r="AFF436" s="120"/>
      <c r="AFG436" s="120"/>
      <c r="AFH436" s="120"/>
      <c r="AFI436" s="120"/>
      <c r="AFJ436" s="120"/>
      <c r="AFK436" s="120"/>
      <c r="AFL436" s="120"/>
      <c r="AFM436" s="120"/>
      <c r="AFN436" s="120"/>
      <c r="AFO436" s="120"/>
      <c r="AFP436" s="120"/>
      <c r="AFQ436" s="120"/>
      <c r="AFR436" s="120"/>
      <c r="AFS436" s="120"/>
      <c r="AFT436" s="120"/>
      <c r="AFU436" s="120"/>
      <c r="AFV436" s="120"/>
      <c r="AFW436" s="120"/>
      <c r="AFX436" s="120"/>
      <c r="AFY436" s="120"/>
      <c r="AFZ436" s="120"/>
      <c r="AGA436" s="120"/>
      <c r="AGB436" s="120"/>
      <c r="AGC436" s="120"/>
      <c r="AGD436" s="120"/>
      <c r="AGE436" s="120"/>
      <c r="AGF436" s="120"/>
      <c r="AGG436" s="120"/>
      <c r="AGH436" s="120"/>
      <c r="AGI436" s="120"/>
      <c r="AGJ436" s="120"/>
      <c r="AGK436" s="120"/>
      <c r="AGL436" s="120"/>
      <c r="AGM436" s="120"/>
      <c r="AGN436" s="120"/>
      <c r="AGO436" s="120"/>
      <c r="AGP436" s="120"/>
      <c r="AGQ436" s="120"/>
      <c r="AGR436" s="120"/>
      <c r="AGS436" s="120"/>
      <c r="AGT436" s="120"/>
      <c r="AGU436" s="120"/>
      <c r="AGV436" s="120"/>
      <c r="AGW436" s="120"/>
      <c r="AGX436" s="120"/>
      <c r="AGY436" s="120"/>
      <c r="AGZ436" s="120"/>
      <c r="AHA436" s="120"/>
      <c r="AHB436" s="120"/>
      <c r="AHC436" s="120"/>
      <c r="AHD436" s="120"/>
      <c r="AHE436" s="120"/>
      <c r="AHF436" s="120"/>
      <c r="AHG436" s="120"/>
      <c r="AHH436" s="120"/>
      <c r="AHI436" s="120"/>
      <c r="AHJ436" s="120"/>
      <c r="AHK436" s="120"/>
      <c r="AHL436" s="120"/>
      <c r="AHM436" s="120"/>
      <c r="AHN436" s="120"/>
      <c r="AHO436" s="120"/>
      <c r="AHP436" s="120"/>
      <c r="AHQ436" s="120"/>
      <c r="AHR436" s="120"/>
      <c r="AHS436" s="120"/>
      <c r="AHT436" s="120"/>
      <c r="AHU436" s="120"/>
      <c r="AHV436" s="120"/>
      <c r="AHW436" s="120"/>
      <c r="AHX436" s="120"/>
      <c r="AHY436" s="120"/>
      <c r="AHZ436" s="120"/>
      <c r="AIA436" s="120"/>
      <c r="AIB436" s="120"/>
      <c r="AIC436" s="120"/>
      <c r="AID436" s="120"/>
      <c r="AIE436" s="120"/>
      <c r="AIF436" s="120"/>
      <c r="AIG436" s="120"/>
      <c r="AIH436" s="120"/>
      <c r="AII436" s="120"/>
      <c r="AIJ436" s="120"/>
      <c r="AIK436" s="120"/>
      <c r="AIL436" s="120"/>
      <c r="AIM436" s="120"/>
      <c r="AIN436" s="120"/>
      <c r="AIO436" s="120"/>
      <c r="AIP436" s="120"/>
      <c r="AIQ436" s="120"/>
      <c r="AIR436" s="120"/>
      <c r="AIS436" s="120"/>
      <c r="AIT436" s="120"/>
      <c r="AIU436" s="120"/>
      <c r="AIV436" s="120"/>
      <c r="AIW436" s="120"/>
      <c r="AIX436" s="120"/>
      <c r="AIY436" s="120"/>
      <c r="AIZ436" s="120"/>
      <c r="AJA436" s="120"/>
      <c r="AJB436" s="120"/>
      <c r="AJC436" s="120"/>
      <c r="AJD436" s="120"/>
      <c r="AJE436" s="120"/>
      <c r="AJF436" s="120"/>
      <c r="AJG436" s="120"/>
      <c r="AJH436" s="120"/>
      <c r="AJI436" s="120"/>
      <c r="AJJ436" s="120"/>
      <c r="AJK436" s="120"/>
      <c r="AJL436" s="120"/>
      <c r="AJM436" s="120"/>
      <c r="AJN436" s="120"/>
      <c r="AJO436" s="120"/>
      <c r="AJP436" s="120"/>
      <c r="AJQ436" s="120"/>
      <c r="AJR436" s="120"/>
      <c r="AJS436" s="120"/>
      <c r="AJT436" s="120"/>
      <c r="AJU436" s="120"/>
      <c r="AJV436" s="120"/>
      <c r="AJW436" s="120"/>
      <c r="AJX436" s="120"/>
      <c r="AJY436" s="120"/>
      <c r="AJZ436" s="120"/>
      <c r="AKA436" s="120"/>
      <c r="AKB436" s="120"/>
      <c r="AKC436" s="120"/>
      <c r="AKD436" s="120"/>
      <c r="AKE436" s="120"/>
      <c r="AKF436" s="120"/>
      <c r="AKG436" s="120"/>
      <c r="AKH436" s="120"/>
      <c r="AKI436" s="120"/>
      <c r="AKJ436" s="120"/>
      <c r="AKK436" s="120"/>
      <c r="AKL436" s="120"/>
      <c r="AKM436" s="120"/>
      <c r="AKN436" s="120"/>
      <c r="AKO436" s="120"/>
      <c r="AKP436" s="120"/>
      <c r="AKQ436" s="120"/>
      <c r="AKR436" s="120"/>
      <c r="AKS436" s="120"/>
      <c r="AKT436" s="120"/>
      <c r="AKU436" s="120"/>
      <c r="AKV436" s="120"/>
      <c r="AKW436" s="120"/>
      <c r="AKX436" s="120"/>
      <c r="AKY436" s="120"/>
      <c r="AKZ436" s="120"/>
      <c r="ALA436" s="120"/>
      <c r="ALB436" s="120"/>
      <c r="ALC436" s="120"/>
      <c r="ALD436" s="120"/>
      <c r="ALE436" s="120"/>
      <c r="ALF436" s="120"/>
      <c r="ALG436" s="120"/>
      <c r="ALH436" s="120"/>
      <c r="ALI436" s="120"/>
      <c r="ALJ436" s="120"/>
      <c r="ALK436" s="120"/>
      <c r="ALL436" s="120"/>
      <c r="ALM436" s="120"/>
      <c r="ALN436" s="120"/>
      <c r="ALO436" s="120"/>
      <c r="ALP436" s="120"/>
      <c r="ALQ436" s="120"/>
      <c r="ALR436" s="120"/>
      <c r="ALS436" s="120"/>
      <c r="ALT436" s="120"/>
      <c r="ALU436" s="120"/>
      <c r="ALV436" s="120"/>
      <c r="ALW436" s="120"/>
      <c r="ALX436" s="120"/>
      <c r="ALY436" s="120"/>
      <c r="ALZ436" s="120"/>
      <c r="AMA436" s="120"/>
      <c r="AMB436" s="120"/>
      <c r="AMC436" s="120"/>
      <c r="AMD436" s="120"/>
      <c r="AME436" s="120"/>
      <c r="AMF436" s="120"/>
      <c r="AMG436" s="120"/>
      <c r="AMH436" s="120"/>
      <c r="AMI436" s="120"/>
      <c r="AMJ436" s="120"/>
      <c r="AMK436" s="120"/>
      <c r="AML436" s="120"/>
      <c r="AMM436" s="120"/>
      <c r="AMN436" s="120"/>
      <c r="AMO436" s="120"/>
      <c r="AMP436" s="120"/>
      <c r="AMQ436" s="120"/>
      <c r="AMR436" s="120"/>
      <c r="AMS436" s="120"/>
      <c r="AMT436" s="120"/>
      <c r="AMU436" s="120"/>
      <c r="AMV436" s="120"/>
      <c r="AMW436" s="120"/>
      <c r="AMX436" s="120"/>
      <c r="AMY436" s="120"/>
      <c r="AMZ436" s="120"/>
      <c r="ANA436" s="120"/>
      <c r="ANB436" s="120"/>
      <c r="ANC436" s="120"/>
      <c r="AND436" s="120"/>
      <c r="ANE436" s="120"/>
      <c r="ANF436" s="120"/>
      <c r="ANG436" s="120"/>
      <c r="ANH436" s="120"/>
      <c r="ANI436" s="120"/>
      <c r="ANJ436" s="120"/>
      <c r="ANK436" s="120"/>
      <c r="ANL436" s="120"/>
      <c r="ANM436" s="120"/>
      <c r="ANN436" s="120"/>
      <c r="ANO436" s="120"/>
      <c r="ANP436" s="120"/>
      <c r="ANQ436" s="120"/>
      <c r="ANR436" s="120"/>
      <c r="ANS436" s="120"/>
      <c r="ANT436" s="120"/>
      <c r="ANU436" s="120"/>
      <c r="ANV436" s="120"/>
      <c r="ANW436" s="120"/>
      <c r="ANX436" s="120"/>
      <c r="ANY436" s="120"/>
      <c r="ANZ436" s="120"/>
      <c r="AOA436" s="120"/>
      <c r="AOB436" s="120"/>
      <c r="AOC436" s="120"/>
      <c r="AOD436" s="120"/>
      <c r="AOE436" s="120"/>
      <c r="AOF436" s="120"/>
      <c r="AOG436" s="120"/>
      <c r="AOH436" s="120"/>
      <c r="AOI436" s="120"/>
      <c r="AOJ436" s="120"/>
      <c r="AOK436" s="120"/>
      <c r="AOL436" s="120"/>
      <c r="AOM436" s="120"/>
      <c r="AON436" s="120"/>
      <c r="AOO436" s="120"/>
      <c r="AOP436" s="120"/>
      <c r="AOQ436" s="120"/>
      <c r="AOR436" s="120"/>
      <c r="AOS436" s="120"/>
      <c r="AOT436" s="120"/>
      <c r="AOU436" s="120"/>
      <c r="AOV436" s="120"/>
      <c r="AOW436" s="120"/>
      <c r="AOX436" s="120"/>
      <c r="AOY436" s="120"/>
      <c r="AOZ436" s="120"/>
      <c r="APA436" s="120"/>
      <c r="APB436" s="120"/>
      <c r="APC436" s="120"/>
      <c r="APD436" s="120"/>
      <c r="APE436" s="120"/>
      <c r="APF436" s="120"/>
      <c r="APG436" s="120"/>
      <c r="APH436" s="120"/>
      <c r="API436" s="120"/>
      <c r="APJ436" s="120"/>
      <c r="APK436" s="120"/>
      <c r="APL436" s="120"/>
      <c r="APM436" s="120"/>
      <c r="APN436" s="120"/>
      <c r="APO436" s="120"/>
      <c r="APP436" s="120"/>
      <c r="APQ436" s="120"/>
      <c r="APR436" s="120"/>
      <c r="APS436" s="120"/>
      <c r="APT436" s="120"/>
      <c r="APU436" s="120"/>
      <c r="APV436" s="120"/>
      <c r="APW436" s="120"/>
      <c r="APX436" s="120"/>
      <c r="APY436" s="120"/>
      <c r="APZ436" s="120"/>
      <c r="AQA436" s="120"/>
      <c r="AQB436" s="120"/>
      <c r="AQC436" s="120"/>
      <c r="AQD436" s="120"/>
      <c r="AQE436" s="120"/>
      <c r="AQF436" s="120"/>
      <c r="AQG436" s="120"/>
      <c r="AQH436" s="120"/>
      <c r="AQI436" s="120"/>
      <c r="AQJ436" s="120"/>
      <c r="AQK436" s="120"/>
      <c r="AQL436" s="120"/>
      <c r="AQM436" s="120"/>
      <c r="AQN436" s="120"/>
      <c r="AQO436" s="120"/>
      <c r="AQP436" s="120"/>
      <c r="AQQ436" s="120"/>
      <c r="AQR436" s="120"/>
      <c r="AQS436" s="120"/>
      <c r="AQT436" s="120"/>
      <c r="AQU436" s="120"/>
      <c r="AQV436" s="120"/>
      <c r="AQW436" s="120"/>
      <c r="AQX436" s="120"/>
      <c r="AQY436" s="120"/>
      <c r="AQZ436" s="120"/>
      <c r="ARA436" s="120"/>
      <c r="ARB436" s="120"/>
      <c r="ARC436" s="120"/>
      <c r="ARD436" s="120"/>
      <c r="ARE436" s="120"/>
      <c r="ARF436" s="120"/>
      <c r="ARG436" s="120"/>
      <c r="ARH436" s="120"/>
      <c r="ARI436" s="120"/>
      <c r="ARJ436" s="120"/>
      <c r="ARK436" s="120"/>
      <c r="ARL436" s="120"/>
      <c r="ARM436" s="120"/>
      <c r="ARN436" s="120"/>
      <c r="ARO436" s="120"/>
      <c r="ARP436" s="120"/>
      <c r="ARQ436" s="120"/>
      <c r="ARR436" s="120"/>
      <c r="ARS436" s="120"/>
      <c r="ART436" s="120"/>
      <c r="ARU436" s="120"/>
      <c r="ARV436" s="120"/>
      <c r="ARW436" s="120"/>
      <c r="ARX436" s="120"/>
      <c r="ARY436" s="120"/>
      <c r="ARZ436" s="120"/>
      <c r="ASA436" s="120"/>
      <c r="ASB436" s="120"/>
      <c r="ASC436" s="120"/>
      <c r="ASD436" s="120"/>
      <c r="ASE436" s="120"/>
      <c r="ASF436" s="120"/>
      <c r="ASG436" s="120"/>
      <c r="ASH436" s="120"/>
      <c r="ASI436" s="120"/>
      <c r="ASJ436" s="120"/>
      <c r="ASK436" s="120"/>
      <c r="ASL436" s="120"/>
      <c r="ASM436" s="120"/>
      <c r="ASN436" s="120"/>
      <c r="ASO436" s="120"/>
      <c r="ASP436" s="120"/>
      <c r="ASQ436" s="120"/>
      <c r="ASR436" s="120"/>
      <c r="ASS436" s="120"/>
      <c r="AST436" s="120"/>
      <c r="ASU436" s="120"/>
      <c r="ASV436" s="120"/>
      <c r="ASW436" s="120"/>
      <c r="ASX436" s="120"/>
      <c r="ASY436" s="120"/>
      <c r="ASZ436" s="120"/>
      <c r="ATA436" s="120"/>
      <c r="ATB436" s="120"/>
      <c r="ATC436" s="120"/>
      <c r="ATD436" s="120"/>
      <c r="ATE436" s="120"/>
      <c r="ATF436" s="120"/>
      <c r="ATG436" s="120"/>
      <c r="ATH436" s="120"/>
      <c r="ATI436" s="120"/>
      <c r="ATJ436" s="120"/>
      <c r="ATK436" s="120"/>
      <c r="ATL436" s="120"/>
      <c r="ATM436" s="120"/>
      <c r="ATN436" s="120"/>
      <c r="ATO436" s="120"/>
      <c r="ATP436" s="120"/>
      <c r="ATQ436" s="120"/>
      <c r="ATR436" s="120"/>
      <c r="ATS436" s="120"/>
      <c r="ATT436" s="120"/>
      <c r="ATU436" s="120"/>
      <c r="ATV436" s="120"/>
      <c r="ATW436" s="120"/>
      <c r="ATX436" s="120"/>
      <c r="ATY436" s="120"/>
      <c r="ATZ436" s="120"/>
      <c r="AUA436" s="120"/>
      <c r="AUB436" s="120"/>
      <c r="AUC436" s="120"/>
      <c r="AUD436" s="120"/>
      <c r="AUE436" s="120"/>
      <c r="AUF436" s="120"/>
      <c r="AUG436" s="120"/>
      <c r="AUH436" s="120"/>
      <c r="AUI436" s="120"/>
      <c r="AUJ436" s="120"/>
      <c r="AUK436" s="120"/>
      <c r="AUL436" s="120"/>
      <c r="AUM436" s="120"/>
      <c r="AUN436" s="120"/>
      <c r="AUO436" s="120"/>
      <c r="AUP436" s="120"/>
      <c r="AUQ436" s="120"/>
      <c r="AUR436" s="120"/>
      <c r="AUS436" s="120"/>
      <c r="AUT436" s="120"/>
      <c r="AUU436" s="120"/>
      <c r="AUV436" s="120"/>
      <c r="AUW436" s="120"/>
      <c r="AUX436" s="120"/>
      <c r="AUY436" s="120"/>
      <c r="AUZ436" s="120"/>
      <c r="AVA436" s="120"/>
      <c r="AVB436" s="120"/>
      <c r="AVC436" s="120"/>
      <c r="AVD436" s="120"/>
      <c r="AVE436" s="120"/>
      <c r="AVF436" s="120"/>
      <c r="AVG436" s="120"/>
      <c r="AVH436" s="120"/>
      <c r="AVI436" s="120"/>
      <c r="AVJ436" s="120"/>
      <c r="AVK436" s="120"/>
      <c r="AVL436" s="120"/>
      <c r="AVM436" s="120"/>
      <c r="AVN436" s="120"/>
      <c r="AVO436" s="120"/>
      <c r="AVP436" s="120"/>
      <c r="AVQ436" s="120"/>
      <c r="AVR436" s="120"/>
      <c r="AVS436" s="120"/>
      <c r="AVT436" s="120"/>
      <c r="AVU436" s="120"/>
      <c r="AVV436" s="120"/>
      <c r="AVW436" s="120"/>
      <c r="AVX436" s="120"/>
      <c r="AVY436" s="120"/>
      <c r="AVZ436" s="120"/>
      <c r="AWA436" s="120"/>
      <c r="AWB436" s="120"/>
      <c r="AWC436" s="120"/>
      <c r="AWD436" s="120"/>
      <c r="AWE436" s="120"/>
      <c r="AWF436" s="120"/>
      <c r="AWG436" s="120"/>
      <c r="AWH436" s="120"/>
      <c r="AWI436" s="120"/>
      <c r="AWJ436" s="120"/>
      <c r="AWK436" s="120"/>
      <c r="AWL436" s="120"/>
      <c r="AWM436" s="120"/>
      <c r="AWN436" s="120"/>
      <c r="AWO436" s="120"/>
      <c r="AWP436" s="120"/>
      <c r="AWQ436" s="120"/>
      <c r="AWR436" s="120"/>
      <c r="AWS436" s="120"/>
      <c r="AWT436" s="120"/>
      <c r="AWU436" s="120"/>
      <c r="AWV436" s="120"/>
      <c r="AWW436" s="120"/>
      <c r="AWX436" s="120"/>
      <c r="AWY436" s="120"/>
      <c r="AWZ436" s="120"/>
      <c r="AXA436" s="120"/>
      <c r="AXB436" s="120"/>
      <c r="AXC436" s="120"/>
      <c r="AXD436" s="120"/>
      <c r="AXE436" s="120"/>
      <c r="AXF436" s="120"/>
      <c r="AXG436" s="120"/>
      <c r="AXH436" s="120"/>
      <c r="AXI436" s="120"/>
      <c r="AXJ436" s="120"/>
      <c r="AXK436" s="120"/>
      <c r="AXL436" s="120"/>
      <c r="AXM436" s="120"/>
      <c r="AXN436" s="120"/>
      <c r="AXO436" s="120"/>
      <c r="AXP436" s="120"/>
      <c r="AXQ436" s="120"/>
      <c r="AXR436" s="120"/>
      <c r="AXS436" s="120"/>
      <c r="AXT436" s="120"/>
      <c r="AXU436" s="120"/>
      <c r="AXV436" s="120"/>
      <c r="AXW436" s="120"/>
      <c r="AXX436" s="120"/>
      <c r="AXY436" s="120"/>
      <c r="AXZ436" s="120"/>
      <c r="AYA436" s="120"/>
      <c r="AYB436" s="120"/>
      <c r="AYC436" s="120"/>
      <c r="AYD436" s="120"/>
      <c r="AYE436" s="120"/>
      <c r="AYF436" s="120"/>
      <c r="AYG436" s="120"/>
      <c r="AYH436" s="120"/>
      <c r="AYI436" s="120"/>
      <c r="AYJ436" s="120"/>
      <c r="AYK436" s="120"/>
      <c r="AYL436" s="120"/>
      <c r="AYM436" s="120"/>
      <c r="AYN436" s="120"/>
      <c r="AYO436" s="120"/>
      <c r="AYP436" s="120"/>
      <c r="AYQ436" s="120"/>
      <c r="AYR436" s="120"/>
      <c r="AYS436" s="120"/>
      <c r="AYT436" s="120"/>
      <c r="AYU436" s="120"/>
      <c r="AYV436" s="120"/>
      <c r="AYW436" s="120"/>
      <c r="AYX436" s="120"/>
      <c r="AYY436" s="120"/>
      <c r="AYZ436" s="120"/>
      <c r="AZA436" s="120"/>
      <c r="AZB436" s="120"/>
      <c r="AZC436" s="120"/>
      <c r="AZD436" s="120"/>
      <c r="AZE436" s="120"/>
      <c r="AZF436" s="120"/>
      <c r="AZG436" s="120"/>
      <c r="AZH436" s="120"/>
      <c r="AZI436" s="120"/>
      <c r="AZJ436" s="120"/>
      <c r="AZK436" s="120"/>
      <c r="AZL436" s="120"/>
      <c r="AZM436" s="120"/>
      <c r="AZN436" s="120"/>
      <c r="AZO436" s="120"/>
      <c r="AZP436" s="120"/>
      <c r="AZQ436" s="120"/>
      <c r="AZR436" s="120"/>
      <c r="AZS436" s="120"/>
      <c r="AZT436" s="120"/>
      <c r="AZU436" s="120"/>
      <c r="AZV436" s="120"/>
      <c r="AZW436" s="120"/>
      <c r="AZX436" s="120"/>
      <c r="AZY436" s="120"/>
      <c r="AZZ436" s="120"/>
      <c r="BAA436" s="120"/>
      <c r="BAB436" s="120"/>
      <c r="BAC436" s="120"/>
      <c r="BAD436" s="120"/>
      <c r="BAE436" s="120"/>
      <c r="BAF436" s="120"/>
      <c r="BAG436" s="120"/>
      <c r="BAH436" s="120"/>
      <c r="BAI436" s="120"/>
      <c r="BAJ436" s="120"/>
      <c r="BAK436" s="120"/>
      <c r="BAL436" s="120"/>
      <c r="BAM436" s="120"/>
      <c r="BAN436" s="120"/>
      <c r="BAO436" s="120"/>
      <c r="BAP436" s="120"/>
      <c r="BAQ436" s="120"/>
      <c r="BAR436" s="120"/>
      <c r="BAS436" s="120"/>
      <c r="BAT436" s="120"/>
      <c r="BAU436" s="120"/>
      <c r="BAV436" s="120"/>
      <c r="BAW436" s="120"/>
      <c r="BAX436" s="120"/>
      <c r="BAY436" s="120"/>
      <c r="BAZ436" s="120"/>
      <c r="BBA436" s="120"/>
      <c r="BBB436" s="120"/>
      <c r="BBC436" s="120"/>
      <c r="BBD436" s="120"/>
      <c r="BBE436" s="120"/>
      <c r="BBF436" s="120"/>
      <c r="BBG436" s="120"/>
      <c r="BBH436" s="120"/>
      <c r="BBI436" s="120"/>
      <c r="BBJ436" s="120"/>
      <c r="BBK436" s="120"/>
      <c r="BBL436" s="120"/>
      <c r="BBM436" s="120"/>
      <c r="BBN436" s="120"/>
      <c r="BBO436" s="120"/>
      <c r="BBP436" s="120"/>
      <c r="BBQ436" s="120"/>
      <c r="BBR436" s="120"/>
      <c r="BBS436" s="120"/>
      <c r="BBT436" s="120"/>
      <c r="BBU436" s="120"/>
      <c r="BBV436" s="120"/>
      <c r="BBW436" s="120"/>
      <c r="BBX436" s="120"/>
      <c r="BBY436" s="120"/>
      <c r="BBZ436" s="120"/>
      <c r="BCA436" s="120"/>
      <c r="BCB436" s="120"/>
      <c r="BCC436" s="120"/>
      <c r="BCD436" s="120"/>
      <c r="BCE436" s="120"/>
      <c r="BCF436" s="120"/>
      <c r="BCG436" s="120"/>
      <c r="BCH436" s="120"/>
      <c r="BCI436" s="120"/>
      <c r="BCJ436" s="120"/>
      <c r="BCK436" s="120"/>
      <c r="BCL436" s="120"/>
      <c r="BCM436" s="120"/>
      <c r="BCN436" s="120"/>
      <c r="BCO436" s="120"/>
      <c r="BCP436" s="120"/>
      <c r="BCQ436" s="120"/>
      <c r="BCR436" s="120"/>
      <c r="BCS436" s="120"/>
      <c r="BCT436" s="120"/>
      <c r="BCU436" s="120"/>
      <c r="BCV436" s="120"/>
      <c r="BCW436" s="120"/>
      <c r="BCX436" s="120"/>
      <c r="BCY436" s="120"/>
      <c r="BCZ436" s="120"/>
      <c r="BDA436" s="120"/>
      <c r="BDB436" s="120"/>
      <c r="BDC436" s="120"/>
      <c r="BDD436" s="120"/>
      <c r="BDE436" s="120"/>
      <c r="BDF436" s="120"/>
      <c r="BDG436" s="120"/>
      <c r="BDH436" s="120"/>
      <c r="BDI436" s="120"/>
      <c r="BDJ436" s="120"/>
      <c r="BDK436" s="120"/>
      <c r="BDL436" s="120"/>
      <c r="BDM436" s="120"/>
      <c r="BDN436" s="120"/>
      <c r="BDO436" s="120"/>
      <c r="BDP436" s="120"/>
      <c r="BDQ436" s="120"/>
      <c r="BDR436" s="120"/>
      <c r="BDS436" s="120"/>
      <c r="BDT436" s="120"/>
      <c r="BDU436" s="120"/>
      <c r="BDV436" s="120"/>
      <c r="BDW436" s="120"/>
      <c r="BDX436" s="120"/>
      <c r="BDY436" s="120"/>
      <c r="BDZ436" s="120"/>
      <c r="BEA436" s="120"/>
      <c r="BEB436" s="120"/>
      <c r="BEC436" s="120"/>
      <c r="BED436" s="120"/>
      <c r="BEE436" s="120"/>
      <c r="BEF436" s="120"/>
      <c r="BEG436" s="120"/>
      <c r="BEH436" s="120"/>
      <c r="BEI436" s="120"/>
      <c r="BEJ436" s="120"/>
      <c r="BEK436" s="120"/>
      <c r="BEL436" s="120"/>
      <c r="BEM436" s="120"/>
      <c r="BEN436" s="120"/>
      <c r="BEO436" s="120"/>
      <c r="BEP436" s="120"/>
      <c r="BEQ436" s="120"/>
      <c r="BER436" s="120"/>
      <c r="BES436" s="120"/>
      <c r="BET436" s="120"/>
      <c r="BEU436" s="120"/>
      <c r="BEV436" s="120"/>
      <c r="BEW436" s="120"/>
      <c r="BEX436" s="120"/>
      <c r="BEY436" s="120"/>
      <c r="BEZ436" s="120"/>
      <c r="BFA436" s="120"/>
      <c r="BFB436" s="120"/>
      <c r="BFC436" s="120"/>
      <c r="BFD436" s="120"/>
      <c r="BFE436" s="120"/>
      <c r="BFF436" s="120"/>
      <c r="BFG436" s="120"/>
      <c r="BFH436" s="120"/>
      <c r="BFI436" s="120"/>
      <c r="BFJ436" s="120"/>
      <c r="BFK436" s="120"/>
      <c r="BFL436" s="120"/>
      <c r="BFM436" s="120"/>
      <c r="BFN436" s="120"/>
      <c r="BFO436" s="120"/>
      <c r="BFP436" s="120"/>
      <c r="BFQ436" s="120"/>
      <c r="BFR436" s="120"/>
      <c r="BFS436" s="120"/>
      <c r="BFT436" s="120"/>
      <c r="BFU436" s="120"/>
      <c r="BFV436" s="120"/>
      <c r="BFW436" s="120"/>
      <c r="BFX436" s="120"/>
      <c r="BFY436" s="120"/>
      <c r="BFZ436" s="120"/>
      <c r="BGA436" s="120"/>
      <c r="BGB436" s="120"/>
      <c r="BGC436" s="120"/>
      <c r="BGD436" s="120"/>
      <c r="BGE436" s="120"/>
      <c r="BGF436" s="120"/>
      <c r="BGG436" s="120"/>
      <c r="BGH436" s="120"/>
      <c r="BGI436" s="120"/>
      <c r="BGJ436" s="120"/>
      <c r="BGK436" s="120"/>
      <c r="BGL436" s="120"/>
      <c r="BGM436" s="120"/>
      <c r="BGN436" s="120"/>
      <c r="BGO436" s="120"/>
      <c r="BGP436" s="120"/>
      <c r="BGQ436" s="120"/>
      <c r="BGR436" s="120"/>
      <c r="BGS436" s="120"/>
      <c r="BGT436" s="120"/>
      <c r="BGU436" s="120"/>
      <c r="BGV436" s="120"/>
      <c r="BGW436" s="120"/>
      <c r="BGX436" s="120"/>
      <c r="BGY436" s="120"/>
      <c r="BGZ436" s="120"/>
      <c r="BHA436" s="120"/>
      <c r="BHB436" s="120"/>
      <c r="BHC436" s="120"/>
      <c r="BHD436" s="120"/>
      <c r="BHE436" s="120"/>
      <c r="BHF436" s="120"/>
      <c r="BHG436" s="120"/>
      <c r="BHH436" s="120"/>
      <c r="BHI436" s="120"/>
      <c r="BHJ436" s="120"/>
      <c r="BHK436" s="120"/>
      <c r="BHL436" s="120"/>
      <c r="BHM436" s="120"/>
      <c r="BHN436" s="120"/>
      <c r="BHO436" s="120"/>
      <c r="BHP436" s="120"/>
      <c r="BHQ436" s="120"/>
      <c r="BHR436" s="120"/>
      <c r="BHS436" s="120"/>
      <c r="BHT436" s="120"/>
      <c r="BHU436" s="120"/>
      <c r="BHV436" s="120"/>
      <c r="BHW436" s="120"/>
      <c r="BHX436" s="120"/>
      <c r="BHY436" s="120"/>
      <c r="BHZ436" s="120"/>
      <c r="BIA436" s="120"/>
      <c r="BIB436" s="120"/>
      <c r="BIC436" s="120"/>
      <c r="BID436" s="120"/>
      <c r="BIE436" s="120"/>
      <c r="BIF436" s="120"/>
      <c r="BIG436" s="120"/>
      <c r="BIH436" s="120"/>
      <c r="BII436" s="120"/>
      <c r="BIJ436" s="120"/>
      <c r="BIK436" s="120"/>
      <c r="BIL436" s="120"/>
      <c r="BIM436" s="120"/>
      <c r="BIN436" s="120"/>
      <c r="BIO436" s="120"/>
      <c r="BIP436" s="120"/>
      <c r="BIQ436" s="120"/>
      <c r="BIR436" s="120"/>
      <c r="BIS436" s="120"/>
      <c r="BIT436" s="120"/>
      <c r="BIU436" s="120"/>
      <c r="BIV436" s="120"/>
      <c r="BIW436" s="120"/>
      <c r="BIX436" s="120"/>
      <c r="BIY436" s="120"/>
      <c r="BIZ436" s="120"/>
      <c r="BJA436" s="120"/>
      <c r="BJB436" s="120"/>
      <c r="BJC436" s="120"/>
      <c r="BJD436" s="120"/>
      <c r="BJE436" s="120"/>
      <c r="BJF436" s="120"/>
      <c r="BJG436" s="120"/>
      <c r="BJH436" s="120"/>
      <c r="BJI436" s="120"/>
      <c r="BJJ436" s="120"/>
      <c r="BJK436" s="120"/>
      <c r="BJL436" s="120"/>
      <c r="BJM436" s="120"/>
      <c r="BJN436" s="120"/>
      <c r="BJO436" s="120"/>
      <c r="BJP436" s="120"/>
      <c r="BJQ436" s="120"/>
      <c r="BJR436" s="120"/>
      <c r="BJS436" s="120"/>
      <c r="BJT436" s="120"/>
      <c r="BJU436" s="120"/>
      <c r="BJV436" s="120"/>
      <c r="BJW436" s="120"/>
      <c r="BJX436" s="120"/>
      <c r="BJY436" s="120"/>
      <c r="BJZ436" s="120"/>
      <c r="BKA436" s="120"/>
      <c r="BKB436" s="120"/>
      <c r="BKC436" s="120"/>
      <c r="BKD436" s="120"/>
      <c r="BKE436" s="120"/>
      <c r="BKF436" s="120"/>
      <c r="BKG436" s="120"/>
      <c r="BKH436" s="120"/>
      <c r="BKI436" s="120"/>
      <c r="BKJ436" s="120"/>
      <c r="BKK436" s="120"/>
      <c r="BKL436" s="120"/>
      <c r="BKM436" s="120"/>
      <c r="BKN436" s="120"/>
      <c r="BKO436" s="120"/>
      <c r="BKP436" s="120"/>
      <c r="BKQ436" s="120"/>
      <c r="BKR436" s="120"/>
      <c r="BKS436" s="120"/>
      <c r="BKT436" s="120"/>
      <c r="BKU436" s="120"/>
      <c r="BKV436" s="120"/>
      <c r="BKW436" s="120"/>
      <c r="BKX436" s="120"/>
      <c r="BKY436" s="120"/>
      <c r="BKZ436" s="120"/>
      <c r="BLA436" s="120"/>
      <c r="BLB436" s="120"/>
      <c r="BLC436" s="120"/>
      <c r="BLD436" s="120"/>
      <c r="BLE436" s="120"/>
      <c r="BLF436" s="120"/>
      <c r="BLG436" s="120"/>
      <c r="BLH436" s="120"/>
      <c r="BLI436" s="120"/>
      <c r="BLJ436" s="120"/>
      <c r="BLK436" s="120"/>
      <c r="BLL436" s="120"/>
      <c r="BLM436" s="120"/>
      <c r="BLN436" s="120"/>
      <c r="BLO436" s="120"/>
      <c r="BLP436" s="120"/>
      <c r="BLQ436" s="120"/>
      <c r="BLR436" s="120"/>
      <c r="BLS436" s="120"/>
      <c r="BLT436" s="120"/>
      <c r="BLU436" s="120"/>
      <c r="BLV436" s="120"/>
      <c r="BLW436" s="120"/>
      <c r="BLX436" s="120"/>
      <c r="BLY436" s="120"/>
      <c r="BLZ436" s="120"/>
      <c r="BMA436" s="120"/>
      <c r="BMB436" s="120"/>
      <c r="BMC436" s="120"/>
      <c r="BMD436" s="120"/>
      <c r="BME436" s="120"/>
      <c r="BMF436" s="120"/>
      <c r="BMG436" s="120"/>
      <c r="BMH436" s="120"/>
      <c r="BMI436" s="120"/>
      <c r="BMJ436" s="120"/>
      <c r="BMK436" s="120"/>
      <c r="BML436" s="120"/>
      <c r="BMM436" s="120"/>
      <c r="BMN436" s="120"/>
      <c r="BMO436" s="120"/>
      <c r="BMP436" s="120"/>
      <c r="BMQ436" s="120"/>
      <c r="BMR436" s="120"/>
      <c r="BMS436" s="120"/>
      <c r="BMT436" s="120"/>
      <c r="BMU436" s="120"/>
      <c r="BMV436" s="120"/>
      <c r="BMW436" s="120"/>
      <c r="BMX436" s="120"/>
      <c r="BMY436" s="120"/>
      <c r="BMZ436" s="120"/>
      <c r="BNA436" s="120"/>
      <c r="BNB436" s="120"/>
      <c r="BNC436" s="120"/>
      <c r="BND436" s="120"/>
      <c r="BNE436" s="120"/>
      <c r="BNF436" s="120"/>
      <c r="BNG436" s="120"/>
      <c r="BNH436" s="120"/>
      <c r="BNI436" s="120"/>
      <c r="BNJ436" s="120"/>
      <c r="BNK436" s="120"/>
      <c r="BNL436" s="120"/>
      <c r="BNM436" s="120"/>
      <c r="BNN436" s="120"/>
      <c r="BNO436" s="120"/>
      <c r="BNP436" s="120"/>
      <c r="BNQ436" s="120"/>
      <c r="BNR436" s="120"/>
      <c r="BNS436" s="120"/>
      <c r="BNT436" s="120"/>
      <c r="BNU436" s="120"/>
      <c r="BNV436" s="120"/>
      <c r="BNW436" s="120"/>
      <c r="BNX436" s="120"/>
      <c r="BNY436" s="120"/>
      <c r="BNZ436" s="120"/>
      <c r="BOA436" s="120"/>
      <c r="BOB436" s="120"/>
      <c r="BOC436" s="120"/>
      <c r="BOD436" s="120"/>
      <c r="BOE436" s="120"/>
      <c r="BOF436" s="120"/>
      <c r="BOG436" s="120"/>
      <c r="BOH436" s="120"/>
      <c r="BOI436" s="120"/>
      <c r="BOJ436" s="120"/>
      <c r="BOK436" s="120"/>
      <c r="BOL436" s="120"/>
      <c r="BOM436" s="120"/>
      <c r="BON436" s="120"/>
      <c r="BOO436" s="120"/>
      <c r="BOP436" s="120"/>
      <c r="BOQ436" s="120"/>
      <c r="BOR436" s="120"/>
      <c r="BOS436" s="120"/>
      <c r="BOT436" s="120"/>
      <c r="BOU436" s="120"/>
      <c r="BOV436" s="120"/>
      <c r="BOW436" s="120"/>
      <c r="BOX436" s="120"/>
      <c r="BOY436" s="120"/>
      <c r="BOZ436" s="120"/>
      <c r="BPA436" s="120"/>
      <c r="BPB436" s="120"/>
      <c r="BPC436" s="120"/>
      <c r="BPD436" s="120"/>
      <c r="BPE436" s="120"/>
      <c r="BPF436" s="120"/>
      <c r="BPG436" s="120"/>
      <c r="BPH436" s="120"/>
      <c r="BPI436" s="120"/>
      <c r="BPJ436" s="120"/>
      <c r="BPK436" s="120"/>
      <c r="BPL436" s="120"/>
      <c r="BPM436" s="120"/>
      <c r="BPN436" s="120"/>
      <c r="BPO436" s="120"/>
      <c r="BPP436" s="120"/>
      <c r="BPQ436" s="120"/>
      <c r="BPR436" s="120"/>
      <c r="BPS436" s="120"/>
      <c r="BPT436" s="120"/>
      <c r="BPU436" s="120"/>
      <c r="BPV436" s="120"/>
      <c r="BPW436" s="120"/>
      <c r="BPX436" s="120"/>
      <c r="BPY436" s="120"/>
      <c r="BPZ436" s="120"/>
      <c r="BQA436" s="120"/>
      <c r="BQB436" s="120"/>
      <c r="BQC436" s="120"/>
      <c r="BQD436" s="120"/>
      <c r="BQE436" s="120"/>
      <c r="BQF436" s="120"/>
      <c r="BQG436" s="120"/>
      <c r="BQH436" s="120"/>
      <c r="BQI436" s="120"/>
      <c r="BQJ436" s="120"/>
      <c r="BQK436" s="120"/>
      <c r="BQL436" s="120"/>
      <c r="BQM436" s="120"/>
      <c r="BQN436" s="120"/>
      <c r="BQO436" s="120"/>
      <c r="BQP436" s="120"/>
      <c r="BQQ436" s="120"/>
      <c r="BQR436" s="120"/>
      <c r="BQS436" s="120"/>
      <c r="BQT436" s="120"/>
      <c r="BQU436" s="120"/>
      <c r="BQV436" s="120"/>
      <c r="BQW436" s="120"/>
      <c r="BQX436" s="120"/>
      <c r="BQY436" s="120"/>
      <c r="BQZ436" s="120"/>
      <c r="BRA436" s="120"/>
      <c r="BRB436" s="120"/>
      <c r="BRC436" s="120"/>
      <c r="BRD436" s="120"/>
      <c r="BRE436" s="120"/>
      <c r="BRF436" s="120"/>
      <c r="BRG436" s="120"/>
      <c r="BRH436" s="120"/>
      <c r="BRI436" s="120"/>
      <c r="BRJ436" s="120"/>
      <c r="BRK436" s="120"/>
      <c r="BRL436" s="120"/>
      <c r="BRM436" s="120"/>
      <c r="BRN436" s="120"/>
      <c r="BRO436" s="120"/>
      <c r="BRP436" s="120"/>
      <c r="BRQ436" s="120"/>
      <c r="BRR436" s="120"/>
      <c r="BRS436" s="120"/>
      <c r="BRT436" s="120"/>
      <c r="BRU436" s="120"/>
      <c r="BRV436" s="120"/>
      <c r="BRW436" s="120"/>
      <c r="BRX436" s="120"/>
      <c r="BRY436" s="120"/>
      <c r="BRZ436" s="120"/>
      <c r="BSA436" s="120"/>
      <c r="BSB436" s="120"/>
      <c r="BSC436" s="120"/>
      <c r="BSD436" s="120"/>
      <c r="BSE436" s="120"/>
      <c r="BSF436" s="120"/>
      <c r="BSG436" s="120"/>
      <c r="BSH436" s="120"/>
      <c r="BSI436" s="120"/>
      <c r="BSJ436" s="120"/>
      <c r="BSK436" s="120"/>
      <c r="BSL436" s="120"/>
      <c r="BSM436" s="120"/>
      <c r="BSN436" s="120"/>
      <c r="BSO436" s="120"/>
      <c r="BSP436" s="120"/>
      <c r="BSQ436" s="120"/>
      <c r="BSR436" s="120"/>
      <c r="BSS436" s="120"/>
      <c r="BST436" s="120"/>
      <c r="BSU436" s="120"/>
      <c r="BSV436" s="120"/>
      <c r="BSW436" s="120"/>
      <c r="BSX436" s="120"/>
      <c r="BSY436" s="120"/>
      <c r="BSZ436" s="120"/>
      <c r="BTA436" s="120"/>
      <c r="BTB436" s="120"/>
      <c r="BTC436" s="120"/>
      <c r="BTD436" s="120"/>
      <c r="BTE436" s="120"/>
      <c r="BTF436" s="120"/>
      <c r="BTG436" s="120"/>
      <c r="BTH436" s="120"/>
      <c r="BTI436" s="120"/>
      <c r="BTJ436" s="120"/>
      <c r="BTK436" s="120"/>
      <c r="BTL436" s="120"/>
      <c r="BTM436" s="120"/>
      <c r="BTN436" s="120"/>
      <c r="BTO436" s="120"/>
      <c r="BTP436" s="120"/>
      <c r="BTQ436" s="120"/>
      <c r="BTR436" s="120"/>
      <c r="BTS436" s="120"/>
      <c r="BTT436" s="120"/>
      <c r="BTU436" s="120"/>
      <c r="BTV436" s="120"/>
      <c r="BTW436" s="120"/>
      <c r="BTX436" s="120"/>
      <c r="BTY436" s="120"/>
      <c r="BTZ436" s="120"/>
      <c r="BUA436" s="120"/>
      <c r="BUB436" s="120"/>
      <c r="BUC436" s="120"/>
      <c r="BUD436" s="120"/>
      <c r="BUE436" s="120"/>
      <c r="BUF436" s="120"/>
      <c r="BUG436" s="120"/>
      <c r="BUH436" s="120"/>
      <c r="BUI436" s="120"/>
      <c r="BUJ436" s="120"/>
      <c r="BUK436" s="120"/>
      <c r="BUL436" s="120"/>
      <c r="BUM436" s="120"/>
      <c r="BUN436" s="120"/>
      <c r="BUO436" s="120"/>
      <c r="BUP436" s="120"/>
      <c r="BUQ436" s="120"/>
      <c r="BUR436" s="120"/>
      <c r="BUS436" s="120"/>
      <c r="BUT436" s="120"/>
      <c r="BUU436" s="120"/>
      <c r="BUV436" s="120"/>
      <c r="BUW436" s="120"/>
      <c r="BUX436" s="120"/>
      <c r="BUY436" s="120"/>
      <c r="BUZ436" s="120"/>
      <c r="BVA436" s="120"/>
      <c r="BVB436" s="120"/>
      <c r="BVC436" s="120"/>
      <c r="BVD436" s="120"/>
      <c r="BVE436" s="120"/>
      <c r="BVF436" s="120"/>
      <c r="BVG436" s="120"/>
      <c r="BVH436" s="120"/>
      <c r="BVI436" s="120"/>
      <c r="BVJ436" s="120"/>
      <c r="BVK436" s="120"/>
      <c r="BVL436" s="120"/>
      <c r="BVM436" s="120"/>
      <c r="BVN436" s="120"/>
      <c r="BVO436" s="120"/>
      <c r="BVP436" s="120"/>
      <c r="BVQ436" s="120"/>
      <c r="BVR436" s="120"/>
      <c r="BVS436" s="120"/>
      <c r="BVT436" s="120"/>
      <c r="BVU436" s="120"/>
      <c r="BVV436" s="120"/>
      <c r="BVW436" s="120"/>
      <c r="BVX436" s="120"/>
      <c r="BVY436" s="120"/>
      <c r="BVZ436" s="120"/>
      <c r="BWA436" s="120"/>
      <c r="BWB436" s="120"/>
      <c r="BWC436" s="120"/>
      <c r="BWD436" s="120"/>
      <c r="BWE436" s="120"/>
      <c r="BWF436" s="120"/>
      <c r="BWG436" s="120"/>
      <c r="BWH436" s="120"/>
      <c r="BWI436" s="120"/>
      <c r="BWJ436" s="120"/>
      <c r="BWK436" s="120"/>
      <c r="BWL436" s="120"/>
      <c r="BWM436" s="120"/>
      <c r="BWN436" s="120"/>
      <c r="BWO436" s="120"/>
      <c r="BWP436" s="120"/>
      <c r="BWQ436" s="120"/>
      <c r="BWR436" s="120"/>
      <c r="BWS436" s="120"/>
      <c r="BWT436" s="120"/>
      <c r="BWU436" s="120"/>
      <c r="BWV436" s="120"/>
      <c r="BWW436" s="120"/>
      <c r="BWX436" s="120"/>
      <c r="BWY436" s="120"/>
      <c r="BWZ436" s="120"/>
      <c r="BXA436" s="120"/>
      <c r="BXB436" s="120"/>
      <c r="BXC436" s="120"/>
      <c r="BXD436" s="120"/>
      <c r="BXE436" s="120"/>
      <c r="BXF436" s="120"/>
      <c r="BXG436" s="120"/>
      <c r="BXH436" s="120"/>
      <c r="BXI436" s="120"/>
      <c r="BXJ436" s="120"/>
      <c r="BXK436" s="120"/>
      <c r="BXL436" s="120"/>
      <c r="BXM436" s="120"/>
      <c r="BXN436" s="120"/>
      <c r="BXO436" s="120"/>
      <c r="BXP436" s="120"/>
      <c r="BXQ436" s="120"/>
      <c r="BXR436" s="120"/>
      <c r="BXS436" s="120"/>
      <c r="BXT436" s="120"/>
      <c r="BXU436" s="120"/>
      <c r="BXV436" s="120"/>
      <c r="BXW436" s="120"/>
      <c r="BXX436" s="120"/>
      <c r="BXY436" s="120"/>
      <c r="BXZ436" s="120"/>
      <c r="BYA436" s="120"/>
      <c r="BYB436" s="120"/>
      <c r="BYC436" s="120"/>
      <c r="BYD436" s="120"/>
      <c r="BYE436" s="120"/>
      <c r="BYF436" s="120"/>
      <c r="BYG436" s="120"/>
      <c r="BYH436" s="120"/>
      <c r="BYI436" s="120"/>
      <c r="BYJ436" s="120"/>
      <c r="BYK436" s="120"/>
      <c r="BYL436" s="120"/>
      <c r="BYM436" s="120"/>
      <c r="BYN436" s="120"/>
      <c r="BYO436" s="120"/>
      <c r="BYP436" s="120"/>
      <c r="BYQ436" s="120"/>
      <c r="BYR436" s="120"/>
      <c r="BYS436" s="120"/>
      <c r="BYT436" s="120"/>
      <c r="BYU436" s="120"/>
      <c r="BYV436" s="120"/>
      <c r="BYW436" s="120"/>
      <c r="BYX436" s="120"/>
      <c r="BYY436" s="120"/>
      <c r="BYZ436" s="120"/>
      <c r="BZA436" s="120"/>
      <c r="BZB436" s="120"/>
      <c r="BZC436" s="120"/>
      <c r="BZD436" s="120"/>
      <c r="BZE436" s="120"/>
      <c r="BZF436" s="120"/>
      <c r="BZG436" s="120"/>
      <c r="BZH436" s="120"/>
      <c r="BZI436" s="120"/>
      <c r="BZJ436" s="120"/>
      <c r="BZK436" s="120"/>
      <c r="BZL436" s="120"/>
      <c r="BZM436" s="120"/>
      <c r="BZN436" s="120"/>
      <c r="BZO436" s="120"/>
      <c r="BZP436" s="120"/>
      <c r="BZQ436" s="120"/>
      <c r="BZR436" s="120"/>
      <c r="BZS436" s="120"/>
      <c r="BZT436" s="120"/>
      <c r="BZU436" s="120"/>
      <c r="BZV436" s="120"/>
      <c r="BZW436" s="120"/>
      <c r="BZX436" s="120"/>
      <c r="BZY436" s="120"/>
      <c r="BZZ436" s="120"/>
      <c r="CAA436" s="120"/>
      <c r="CAB436" s="120"/>
      <c r="CAC436" s="120"/>
      <c r="CAD436" s="120"/>
      <c r="CAE436" s="120"/>
      <c r="CAF436" s="120"/>
      <c r="CAG436" s="120"/>
      <c r="CAH436" s="120"/>
      <c r="CAI436" s="120"/>
      <c r="CAJ436" s="120"/>
      <c r="CAK436" s="120"/>
      <c r="CAL436" s="120"/>
      <c r="CAM436" s="120"/>
      <c r="CAN436" s="120"/>
      <c r="CAO436" s="120"/>
      <c r="CAP436" s="120"/>
      <c r="CAQ436" s="120"/>
      <c r="CAR436" s="120"/>
      <c r="CAS436" s="120"/>
      <c r="CAT436" s="120"/>
      <c r="CAU436" s="120"/>
      <c r="CAV436" s="120"/>
      <c r="CAW436" s="120"/>
      <c r="CAX436" s="120"/>
      <c r="CAY436" s="120"/>
      <c r="CAZ436" s="120"/>
      <c r="CBA436" s="120"/>
      <c r="CBB436" s="120"/>
      <c r="CBC436" s="120"/>
      <c r="CBD436" s="120"/>
      <c r="CBE436" s="120"/>
      <c r="CBF436" s="120"/>
      <c r="CBG436" s="120"/>
      <c r="CBH436" s="120"/>
      <c r="CBI436" s="120"/>
      <c r="CBJ436" s="120"/>
      <c r="CBK436" s="120"/>
      <c r="CBL436" s="120"/>
      <c r="CBM436" s="120"/>
      <c r="CBN436" s="120"/>
      <c r="CBO436" s="120"/>
      <c r="CBP436" s="120"/>
      <c r="CBQ436" s="120"/>
      <c r="CBR436" s="120"/>
      <c r="CBS436" s="120"/>
      <c r="CBT436" s="120"/>
      <c r="CBU436" s="120"/>
      <c r="CBV436" s="120"/>
      <c r="CBW436" s="120"/>
      <c r="CBX436" s="120"/>
      <c r="CBY436" s="120"/>
      <c r="CBZ436" s="120"/>
      <c r="CCA436" s="120"/>
      <c r="CCB436" s="120"/>
      <c r="CCC436" s="120"/>
      <c r="CCD436" s="120"/>
      <c r="CCE436" s="120"/>
      <c r="CCF436" s="120"/>
      <c r="CCG436" s="120"/>
      <c r="CCH436" s="120"/>
      <c r="CCI436" s="120"/>
      <c r="CCJ436" s="120"/>
      <c r="CCK436" s="120"/>
      <c r="CCL436" s="120"/>
      <c r="CCM436" s="120"/>
      <c r="CCN436" s="120"/>
      <c r="CCO436" s="120"/>
      <c r="CCP436" s="120"/>
      <c r="CCQ436" s="120"/>
      <c r="CCR436" s="120"/>
      <c r="CCS436" s="120"/>
      <c r="CCT436" s="120"/>
      <c r="CCU436" s="120"/>
      <c r="CCV436" s="120"/>
      <c r="CCW436" s="120"/>
      <c r="CCX436" s="120"/>
      <c r="CCY436" s="120"/>
      <c r="CCZ436" s="120"/>
      <c r="CDA436" s="120"/>
      <c r="CDB436" s="120"/>
      <c r="CDC436" s="120"/>
      <c r="CDD436" s="120"/>
      <c r="CDE436" s="120"/>
      <c r="CDF436" s="120"/>
      <c r="CDG436" s="120"/>
      <c r="CDH436" s="120"/>
      <c r="CDI436" s="120"/>
      <c r="CDJ436" s="120"/>
      <c r="CDK436" s="120"/>
      <c r="CDL436" s="120"/>
      <c r="CDM436" s="120"/>
      <c r="CDN436" s="120"/>
      <c r="CDO436" s="120"/>
      <c r="CDP436" s="120"/>
      <c r="CDQ436" s="120"/>
      <c r="CDR436" s="120"/>
      <c r="CDS436" s="120"/>
      <c r="CDT436" s="120"/>
      <c r="CDU436" s="120"/>
      <c r="CDV436" s="120"/>
      <c r="CDW436" s="120"/>
      <c r="CDX436" s="120"/>
      <c r="CDY436" s="120"/>
      <c r="CDZ436" s="120"/>
      <c r="CEA436" s="120"/>
      <c r="CEB436" s="120"/>
      <c r="CEC436" s="120"/>
      <c r="CED436" s="120"/>
      <c r="CEE436" s="120"/>
      <c r="CEF436" s="120"/>
      <c r="CEG436" s="120"/>
      <c r="CEH436" s="120"/>
      <c r="CEI436" s="120"/>
      <c r="CEJ436" s="120"/>
      <c r="CEK436" s="120"/>
      <c r="CEL436" s="120"/>
      <c r="CEM436" s="120"/>
      <c r="CEN436" s="120"/>
      <c r="CEO436" s="120"/>
      <c r="CEP436" s="120"/>
      <c r="CEQ436" s="120"/>
      <c r="CER436" s="120"/>
      <c r="CES436" s="120"/>
      <c r="CET436" s="120"/>
      <c r="CEU436" s="120"/>
      <c r="CEV436" s="120"/>
      <c r="CEW436" s="120"/>
      <c r="CEX436" s="120"/>
      <c r="CEY436" s="120"/>
      <c r="CEZ436" s="120"/>
      <c r="CFA436" s="120"/>
      <c r="CFB436" s="120"/>
      <c r="CFC436" s="120"/>
      <c r="CFD436" s="120"/>
      <c r="CFE436" s="120"/>
      <c r="CFF436" s="120"/>
      <c r="CFG436" s="120"/>
      <c r="CFH436" s="120"/>
      <c r="CFI436" s="120"/>
      <c r="CFJ436" s="120"/>
      <c r="CFK436" s="120"/>
      <c r="CFL436" s="120"/>
      <c r="CFM436" s="120"/>
      <c r="CFN436" s="120"/>
      <c r="CFO436" s="120"/>
      <c r="CFP436" s="120"/>
      <c r="CFQ436" s="120"/>
      <c r="CFR436" s="120"/>
      <c r="CFS436" s="120"/>
      <c r="CFT436" s="120"/>
      <c r="CFU436" s="120"/>
      <c r="CFV436" s="120"/>
      <c r="CFW436" s="120"/>
      <c r="CFX436" s="120"/>
      <c r="CFY436" s="120"/>
      <c r="CFZ436" s="120"/>
      <c r="CGA436" s="120"/>
      <c r="CGB436" s="120"/>
      <c r="CGC436" s="120"/>
      <c r="CGD436" s="120"/>
      <c r="CGE436" s="120"/>
      <c r="CGF436" s="120"/>
      <c r="CGG436" s="120"/>
      <c r="CGH436" s="120"/>
      <c r="CGI436" s="120"/>
      <c r="CGJ436" s="120"/>
      <c r="CGK436" s="120"/>
      <c r="CGL436" s="120"/>
      <c r="CGM436" s="120"/>
      <c r="CGN436" s="120"/>
      <c r="CGO436" s="120"/>
      <c r="CGP436" s="120"/>
      <c r="CGQ436" s="120"/>
      <c r="CGR436" s="120"/>
      <c r="CGS436" s="120"/>
      <c r="CGT436" s="120"/>
      <c r="CGU436" s="120"/>
      <c r="CGV436" s="120"/>
      <c r="CGW436" s="120"/>
      <c r="CGX436" s="120"/>
      <c r="CGY436" s="120"/>
      <c r="CGZ436" s="120"/>
      <c r="CHA436" s="120"/>
      <c r="CHB436" s="120"/>
      <c r="CHC436" s="120"/>
      <c r="CHD436" s="120"/>
      <c r="CHE436" s="120"/>
      <c r="CHF436" s="120"/>
      <c r="CHG436" s="120"/>
      <c r="CHH436" s="120"/>
      <c r="CHI436" s="120"/>
      <c r="CHJ436" s="120"/>
      <c r="CHK436" s="120"/>
      <c r="CHL436" s="120"/>
      <c r="CHM436" s="120"/>
      <c r="CHN436" s="120"/>
      <c r="CHO436" s="120"/>
      <c r="CHP436" s="120"/>
      <c r="CHQ436" s="120"/>
      <c r="CHR436" s="120"/>
      <c r="CHS436" s="120"/>
      <c r="CHT436" s="120"/>
      <c r="CHU436" s="120"/>
      <c r="CHV436" s="120"/>
      <c r="CHW436" s="120"/>
      <c r="CHX436" s="120"/>
      <c r="CHY436" s="120"/>
      <c r="CHZ436" s="120"/>
      <c r="CIA436" s="120"/>
      <c r="CIB436" s="120"/>
      <c r="CIC436" s="120"/>
      <c r="CID436" s="120"/>
      <c r="CIE436" s="120"/>
      <c r="CIF436" s="120"/>
      <c r="CIG436" s="120"/>
      <c r="CIH436" s="120"/>
      <c r="CII436" s="120"/>
      <c r="CIJ436" s="120"/>
      <c r="CIK436" s="120"/>
      <c r="CIL436" s="120"/>
      <c r="CIM436" s="120"/>
      <c r="CIN436" s="120"/>
      <c r="CIO436" s="120"/>
      <c r="CIP436" s="120"/>
      <c r="CIQ436" s="120"/>
      <c r="CIR436" s="120"/>
      <c r="CIS436" s="120"/>
      <c r="CIT436" s="120"/>
      <c r="CIU436" s="120"/>
      <c r="CIV436" s="120"/>
      <c r="CIW436" s="120"/>
      <c r="CIX436" s="120"/>
      <c r="CIY436" s="120"/>
      <c r="CIZ436" s="120"/>
      <c r="CJA436" s="120"/>
      <c r="CJB436" s="120"/>
      <c r="CJC436" s="120"/>
      <c r="CJD436" s="120"/>
      <c r="CJE436" s="120"/>
      <c r="CJF436" s="120"/>
      <c r="CJG436" s="120"/>
      <c r="CJH436" s="120"/>
      <c r="CJI436" s="120"/>
      <c r="CJJ436" s="120"/>
      <c r="CJK436" s="120"/>
      <c r="CJL436" s="120"/>
      <c r="CJM436" s="120"/>
      <c r="CJN436" s="120"/>
      <c r="CJO436" s="120"/>
      <c r="CJP436" s="120"/>
      <c r="CJQ436" s="120"/>
      <c r="CJR436" s="120"/>
      <c r="CJS436" s="120"/>
      <c r="CJT436" s="120"/>
      <c r="CJU436" s="120"/>
      <c r="CJV436" s="120"/>
      <c r="CJW436" s="120"/>
      <c r="CJX436" s="120"/>
      <c r="CJY436" s="120"/>
      <c r="CJZ436" s="120"/>
      <c r="CKA436" s="120"/>
      <c r="CKB436" s="120"/>
      <c r="CKC436" s="120"/>
      <c r="CKD436" s="120"/>
      <c r="CKE436" s="120"/>
      <c r="CKF436" s="120"/>
      <c r="CKG436" s="120"/>
      <c r="CKH436" s="120"/>
      <c r="CKI436" s="120"/>
      <c r="CKJ436" s="120"/>
      <c r="CKK436" s="120"/>
      <c r="CKL436" s="120"/>
      <c r="CKM436" s="120"/>
      <c r="CKN436" s="120"/>
      <c r="CKO436" s="120"/>
      <c r="CKP436" s="120"/>
      <c r="CKQ436" s="120"/>
      <c r="CKR436" s="120"/>
      <c r="CKS436" s="120"/>
      <c r="CKT436" s="120"/>
      <c r="CKU436" s="120"/>
      <c r="CKV436" s="120"/>
      <c r="CKW436" s="120"/>
      <c r="CKX436" s="120"/>
      <c r="CKY436" s="120"/>
      <c r="CKZ436" s="120"/>
      <c r="CLA436" s="120"/>
      <c r="CLB436" s="120"/>
      <c r="CLC436" s="120"/>
      <c r="CLD436" s="120"/>
      <c r="CLE436" s="120"/>
      <c r="CLF436" s="120"/>
      <c r="CLG436" s="120"/>
      <c r="CLH436" s="120"/>
      <c r="CLI436" s="120"/>
      <c r="CLJ436" s="120"/>
      <c r="CLK436" s="120"/>
      <c r="CLL436" s="120"/>
      <c r="CLM436" s="120"/>
      <c r="CLN436" s="120"/>
      <c r="CLO436" s="120"/>
      <c r="CLP436" s="120"/>
      <c r="CLQ436" s="120"/>
      <c r="CLR436" s="120"/>
      <c r="CLS436" s="120"/>
      <c r="CLT436" s="120"/>
      <c r="CLU436" s="120"/>
      <c r="CLV436" s="120"/>
      <c r="CLW436" s="120"/>
      <c r="CLX436" s="120"/>
      <c r="CLY436" s="120"/>
      <c r="CLZ436" s="120"/>
      <c r="CMA436" s="120"/>
      <c r="CMB436" s="120"/>
      <c r="CMC436" s="120"/>
      <c r="CMD436" s="120"/>
      <c r="CME436" s="120"/>
      <c r="CMF436" s="120"/>
      <c r="CMG436" s="120"/>
      <c r="CMH436" s="120"/>
      <c r="CMI436" s="120"/>
      <c r="CMJ436" s="120"/>
      <c r="CMK436" s="120"/>
      <c r="CML436" s="120"/>
      <c r="CMM436" s="120"/>
      <c r="CMN436" s="120"/>
      <c r="CMO436" s="120"/>
      <c r="CMP436" s="120"/>
      <c r="CMQ436" s="120"/>
      <c r="CMR436" s="120"/>
      <c r="CMS436" s="120"/>
      <c r="CMT436" s="120"/>
      <c r="CMU436" s="120"/>
      <c r="CMV436" s="120"/>
      <c r="CMW436" s="120"/>
      <c r="CMX436" s="120"/>
      <c r="CMY436" s="120"/>
      <c r="CMZ436" s="120"/>
      <c r="CNA436" s="120"/>
      <c r="CNB436" s="120"/>
      <c r="CNC436" s="120"/>
      <c r="CND436" s="120"/>
      <c r="CNE436" s="120"/>
      <c r="CNF436" s="120"/>
      <c r="CNG436" s="120"/>
      <c r="CNH436" s="120"/>
      <c r="CNI436" s="120"/>
      <c r="CNJ436" s="120"/>
      <c r="CNK436" s="120"/>
      <c r="CNL436" s="120"/>
      <c r="CNM436" s="120"/>
      <c r="CNN436" s="120"/>
      <c r="CNO436" s="120"/>
      <c r="CNP436" s="120"/>
      <c r="CNQ436" s="120"/>
      <c r="CNR436" s="120"/>
      <c r="CNS436" s="120"/>
      <c r="CNT436" s="120"/>
      <c r="CNU436" s="120"/>
      <c r="CNV436" s="120"/>
      <c r="CNW436" s="120"/>
      <c r="CNX436" s="120"/>
      <c r="CNY436" s="120"/>
      <c r="CNZ436" s="120"/>
      <c r="COA436" s="120"/>
      <c r="COB436" s="120"/>
      <c r="COC436" s="120"/>
      <c r="COD436" s="120"/>
      <c r="COE436" s="120"/>
      <c r="COF436" s="120"/>
      <c r="COG436" s="120"/>
      <c r="COH436" s="120"/>
      <c r="COI436" s="120"/>
      <c r="COJ436" s="120"/>
      <c r="COK436" s="120"/>
      <c r="COL436" s="120"/>
      <c r="COM436" s="120"/>
      <c r="CON436" s="120"/>
      <c r="COO436" s="120"/>
      <c r="COP436" s="120"/>
      <c r="COQ436" s="120"/>
      <c r="COR436" s="120"/>
      <c r="COS436" s="120"/>
      <c r="COT436" s="120"/>
      <c r="COU436" s="120"/>
      <c r="COV436" s="120"/>
      <c r="COW436" s="120"/>
      <c r="COX436" s="120"/>
      <c r="COY436" s="120"/>
      <c r="COZ436" s="120"/>
      <c r="CPA436" s="120"/>
      <c r="CPB436" s="120"/>
      <c r="CPC436" s="120"/>
      <c r="CPD436" s="120"/>
      <c r="CPE436" s="120"/>
      <c r="CPF436" s="120"/>
      <c r="CPG436" s="120"/>
      <c r="CPH436" s="120"/>
      <c r="CPI436" s="120"/>
      <c r="CPJ436" s="120"/>
      <c r="CPK436" s="120"/>
      <c r="CPL436" s="120"/>
      <c r="CPM436" s="120"/>
      <c r="CPN436" s="120"/>
      <c r="CPO436" s="120"/>
      <c r="CPP436" s="120"/>
      <c r="CPQ436" s="120"/>
      <c r="CPR436" s="120"/>
      <c r="CPS436" s="120"/>
      <c r="CPT436" s="120"/>
      <c r="CPU436" s="120"/>
      <c r="CPV436" s="120"/>
      <c r="CPW436" s="120"/>
      <c r="CPX436" s="120"/>
      <c r="CPY436" s="120"/>
      <c r="CPZ436" s="120"/>
      <c r="CQA436" s="120"/>
      <c r="CQB436" s="120"/>
      <c r="CQC436" s="120"/>
      <c r="CQD436" s="120"/>
      <c r="CQE436" s="120"/>
      <c r="CQF436" s="120"/>
      <c r="CQG436" s="120"/>
      <c r="CQH436" s="120"/>
      <c r="CQI436" s="120"/>
      <c r="CQJ436" s="120"/>
      <c r="CQK436" s="120"/>
      <c r="CQL436" s="120"/>
      <c r="CQM436" s="120"/>
      <c r="CQN436" s="120"/>
      <c r="CQO436" s="120"/>
      <c r="CQP436" s="120"/>
      <c r="CQQ436" s="120"/>
      <c r="CQR436" s="120"/>
      <c r="CQS436" s="120"/>
      <c r="CQT436" s="120"/>
      <c r="CQU436" s="120"/>
      <c r="CQV436" s="120"/>
      <c r="CQW436" s="120"/>
      <c r="CQX436" s="120"/>
      <c r="CQY436" s="120"/>
      <c r="CQZ436" s="120"/>
      <c r="CRA436" s="120"/>
      <c r="CRB436" s="120"/>
      <c r="CRC436" s="120"/>
      <c r="CRD436" s="120"/>
      <c r="CRE436" s="120"/>
      <c r="CRF436" s="120"/>
      <c r="CRG436" s="120"/>
      <c r="CRH436" s="120"/>
      <c r="CRI436" s="120"/>
      <c r="CRJ436" s="120"/>
      <c r="CRK436" s="120"/>
      <c r="CRL436" s="120"/>
      <c r="CRM436" s="120"/>
      <c r="CRN436" s="120"/>
      <c r="CRO436" s="120"/>
      <c r="CRP436" s="120"/>
      <c r="CRQ436" s="120"/>
      <c r="CRR436" s="120"/>
      <c r="CRS436" s="120"/>
      <c r="CRT436" s="120"/>
      <c r="CRU436" s="120"/>
      <c r="CRV436" s="120"/>
      <c r="CRW436" s="120"/>
      <c r="CRX436" s="120"/>
      <c r="CRY436" s="120"/>
      <c r="CRZ436" s="120"/>
      <c r="CSA436" s="120"/>
      <c r="CSB436" s="120"/>
      <c r="CSC436" s="120"/>
      <c r="CSD436" s="120"/>
      <c r="CSE436" s="120"/>
      <c r="CSF436" s="120"/>
      <c r="CSG436" s="120"/>
      <c r="CSH436" s="120"/>
      <c r="CSI436" s="120"/>
      <c r="CSJ436" s="120"/>
      <c r="CSK436" s="120"/>
      <c r="CSL436" s="120"/>
      <c r="CSM436" s="120"/>
      <c r="CSN436" s="120"/>
      <c r="CSO436" s="120"/>
      <c r="CSP436" s="120"/>
      <c r="CSQ436" s="120"/>
      <c r="CSR436" s="120"/>
      <c r="CSS436" s="120"/>
      <c r="CST436" s="120"/>
      <c r="CSU436" s="120"/>
      <c r="CSV436" s="120"/>
      <c r="CSW436" s="120"/>
      <c r="CSX436" s="120"/>
      <c r="CSY436" s="120"/>
      <c r="CSZ436" s="120"/>
      <c r="CTA436" s="120"/>
      <c r="CTB436" s="120"/>
      <c r="CTC436" s="120"/>
      <c r="CTD436" s="120"/>
      <c r="CTE436" s="120"/>
      <c r="CTF436" s="120"/>
      <c r="CTG436" s="120"/>
      <c r="CTH436" s="120"/>
      <c r="CTI436" s="120"/>
      <c r="CTJ436" s="120"/>
      <c r="CTK436" s="120"/>
      <c r="CTL436" s="120"/>
      <c r="CTM436" s="120"/>
      <c r="CTN436" s="120"/>
      <c r="CTO436" s="120"/>
      <c r="CTP436" s="120"/>
      <c r="CTQ436" s="120"/>
      <c r="CTR436" s="120"/>
      <c r="CTS436" s="120"/>
      <c r="CTT436" s="120"/>
      <c r="CTU436" s="120"/>
      <c r="CTV436" s="120"/>
      <c r="CTW436" s="120"/>
      <c r="CTX436" s="120"/>
      <c r="CTY436" s="120"/>
      <c r="CTZ436" s="120"/>
      <c r="CUA436" s="120"/>
      <c r="CUB436" s="120"/>
      <c r="CUC436" s="120"/>
      <c r="CUD436" s="120"/>
      <c r="CUE436" s="120"/>
      <c r="CUF436" s="120"/>
      <c r="CUG436" s="120"/>
      <c r="CUH436" s="120"/>
      <c r="CUI436" s="120"/>
      <c r="CUJ436" s="120"/>
      <c r="CUK436" s="120"/>
      <c r="CUL436" s="120"/>
      <c r="CUM436" s="120"/>
      <c r="CUN436" s="120"/>
      <c r="CUO436" s="120"/>
      <c r="CUP436" s="120"/>
      <c r="CUQ436" s="120"/>
      <c r="CUR436" s="120"/>
      <c r="CUS436" s="120"/>
      <c r="CUT436" s="120"/>
      <c r="CUU436" s="120"/>
      <c r="CUV436" s="120"/>
      <c r="CUW436" s="120"/>
      <c r="CUX436" s="120"/>
      <c r="CUY436" s="120"/>
      <c r="CUZ436" s="120"/>
      <c r="CVA436" s="120"/>
      <c r="CVB436" s="120"/>
      <c r="CVC436" s="120"/>
      <c r="CVD436" s="120"/>
      <c r="CVE436" s="120"/>
      <c r="CVF436" s="120"/>
      <c r="CVG436" s="120"/>
      <c r="CVH436" s="120"/>
      <c r="CVI436" s="120"/>
      <c r="CVJ436" s="120"/>
      <c r="CVK436" s="120"/>
      <c r="CVL436" s="120"/>
      <c r="CVM436" s="120"/>
      <c r="CVN436" s="120"/>
      <c r="CVO436" s="120"/>
      <c r="CVP436" s="120"/>
      <c r="CVQ436" s="120"/>
      <c r="CVR436" s="120"/>
      <c r="CVS436" s="120"/>
      <c r="CVT436" s="120"/>
      <c r="CVU436" s="120"/>
      <c r="CVV436" s="120"/>
      <c r="CVW436" s="120"/>
      <c r="CVX436" s="120"/>
      <c r="CVY436" s="120"/>
      <c r="CVZ436" s="120"/>
      <c r="CWA436" s="120"/>
      <c r="CWB436" s="120"/>
      <c r="CWC436" s="120"/>
      <c r="CWD436" s="120"/>
      <c r="CWE436" s="120"/>
      <c r="CWF436" s="120"/>
      <c r="CWG436" s="120"/>
      <c r="CWH436" s="120"/>
      <c r="CWI436" s="120"/>
      <c r="CWJ436" s="120"/>
      <c r="CWK436" s="120"/>
      <c r="CWL436" s="120"/>
      <c r="CWM436" s="120"/>
      <c r="CWN436" s="120"/>
      <c r="CWO436" s="120"/>
      <c r="CWP436" s="120"/>
      <c r="CWQ436" s="120"/>
      <c r="CWR436" s="120"/>
      <c r="CWS436" s="120"/>
      <c r="CWT436" s="120"/>
      <c r="CWU436" s="120"/>
      <c r="CWV436" s="120"/>
      <c r="CWW436" s="120"/>
      <c r="CWX436" s="120"/>
      <c r="CWY436" s="120"/>
      <c r="CWZ436" s="120"/>
      <c r="CXA436" s="120"/>
      <c r="CXB436" s="120"/>
      <c r="CXC436" s="120"/>
      <c r="CXD436" s="120"/>
      <c r="CXE436" s="120"/>
      <c r="CXF436" s="120"/>
      <c r="CXG436" s="120"/>
      <c r="CXH436" s="120"/>
      <c r="CXI436" s="120"/>
      <c r="CXJ436" s="120"/>
      <c r="CXK436" s="120"/>
      <c r="CXL436" s="120"/>
      <c r="CXM436" s="120"/>
      <c r="CXN436" s="120"/>
      <c r="CXO436" s="120"/>
      <c r="CXP436" s="120"/>
      <c r="CXQ436" s="120"/>
      <c r="CXR436" s="120"/>
      <c r="CXS436" s="120"/>
      <c r="CXT436" s="120"/>
      <c r="CXU436" s="120"/>
      <c r="CXV436" s="120"/>
      <c r="CXW436" s="120"/>
      <c r="CXX436" s="120"/>
      <c r="CXY436" s="120"/>
      <c r="CXZ436" s="120"/>
      <c r="CYA436" s="120"/>
      <c r="CYB436" s="120"/>
      <c r="CYC436" s="120"/>
      <c r="CYD436" s="120"/>
      <c r="CYE436" s="120"/>
      <c r="CYF436" s="120"/>
      <c r="CYG436" s="120"/>
      <c r="CYH436" s="120"/>
      <c r="CYI436" s="120"/>
      <c r="CYJ436" s="120"/>
      <c r="CYK436" s="120"/>
      <c r="CYL436" s="120"/>
      <c r="CYM436" s="120"/>
      <c r="CYN436" s="120"/>
      <c r="CYO436" s="120"/>
      <c r="CYP436" s="120"/>
      <c r="CYQ436" s="120"/>
      <c r="CYR436" s="120"/>
      <c r="CYS436" s="120"/>
      <c r="CYT436" s="120"/>
      <c r="CYU436" s="120"/>
      <c r="CYV436" s="120"/>
      <c r="CYW436" s="120"/>
      <c r="CYX436" s="120"/>
      <c r="CYY436" s="120"/>
      <c r="CYZ436" s="120"/>
      <c r="CZA436" s="120"/>
      <c r="CZB436" s="120"/>
      <c r="CZC436" s="120"/>
      <c r="CZD436" s="120"/>
      <c r="CZE436" s="120"/>
      <c r="CZF436" s="120"/>
      <c r="CZG436" s="120"/>
      <c r="CZH436" s="120"/>
      <c r="CZI436" s="120"/>
      <c r="CZJ436" s="120"/>
      <c r="CZK436" s="120"/>
      <c r="CZL436" s="120"/>
      <c r="CZM436" s="120"/>
      <c r="CZN436" s="120"/>
      <c r="CZO436" s="120"/>
      <c r="CZP436" s="120"/>
      <c r="CZQ436" s="120"/>
      <c r="CZR436" s="120"/>
      <c r="CZS436" s="120"/>
      <c r="CZT436" s="120"/>
      <c r="CZU436" s="120"/>
      <c r="CZV436" s="120"/>
      <c r="CZW436" s="120"/>
      <c r="CZX436" s="120"/>
      <c r="CZY436" s="120"/>
      <c r="CZZ436" s="120"/>
      <c r="DAA436" s="120"/>
      <c r="DAB436" s="120"/>
      <c r="DAC436" s="120"/>
      <c r="DAD436" s="120"/>
      <c r="DAE436" s="120"/>
      <c r="DAF436" s="120"/>
      <c r="DAG436" s="120"/>
      <c r="DAH436" s="120"/>
      <c r="DAI436" s="120"/>
      <c r="DAJ436" s="120"/>
      <c r="DAK436" s="120"/>
      <c r="DAL436" s="120"/>
      <c r="DAM436" s="120"/>
      <c r="DAN436" s="120"/>
      <c r="DAO436" s="120"/>
      <c r="DAP436" s="120"/>
      <c r="DAQ436" s="120"/>
      <c r="DAR436" s="120"/>
      <c r="DAS436" s="120"/>
      <c r="DAT436" s="120"/>
      <c r="DAU436" s="120"/>
      <c r="DAV436" s="120"/>
      <c r="DAW436" s="120"/>
      <c r="DAX436" s="120"/>
      <c r="DAY436" s="120"/>
      <c r="DAZ436" s="120"/>
      <c r="DBA436" s="120"/>
      <c r="DBB436" s="120"/>
      <c r="DBC436" s="120"/>
      <c r="DBD436" s="120"/>
      <c r="DBE436" s="120"/>
      <c r="DBF436" s="120"/>
      <c r="DBG436" s="120"/>
      <c r="DBH436" s="120"/>
      <c r="DBI436" s="120"/>
      <c r="DBJ436" s="120"/>
      <c r="DBK436" s="120"/>
      <c r="DBL436" s="120"/>
      <c r="DBM436" s="120"/>
      <c r="DBN436" s="120"/>
      <c r="DBO436" s="120"/>
      <c r="DBP436" s="120"/>
      <c r="DBQ436" s="120"/>
      <c r="DBR436" s="120"/>
      <c r="DBS436" s="120"/>
      <c r="DBT436" s="120"/>
      <c r="DBU436" s="120"/>
      <c r="DBV436" s="120"/>
      <c r="DBW436" s="120"/>
      <c r="DBX436" s="120"/>
      <c r="DBY436" s="120"/>
      <c r="DBZ436" s="120"/>
      <c r="DCA436" s="120"/>
      <c r="DCB436" s="120"/>
      <c r="DCC436" s="120"/>
      <c r="DCD436" s="120"/>
      <c r="DCE436" s="120"/>
      <c r="DCF436" s="120"/>
      <c r="DCG436" s="120"/>
      <c r="DCH436" s="120"/>
      <c r="DCI436" s="120"/>
      <c r="DCJ436" s="120"/>
      <c r="DCK436" s="120"/>
      <c r="DCL436" s="120"/>
      <c r="DCM436" s="120"/>
      <c r="DCN436" s="120"/>
      <c r="DCO436" s="120"/>
      <c r="DCP436" s="120"/>
      <c r="DCQ436" s="120"/>
      <c r="DCR436" s="120"/>
      <c r="DCS436" s="120"/>
      <c r="DCT436" s="120"/>
      <c r="DCU436" s="120"/>
      <c r="DCV436" s="120"/>
      <c r="DCW436" s="120"/>
      <c r="DCX436" s="120"/>
      <c r="DCY436" s="120"/>
      <c r="DCZ436" s="120"/>
      <c r="DDA436" s="120"/>
      <c r="DDB436" s="120"/>
      <c r="DDC436" s="120"/>
      <c r="DDD436" s="120"/>
      <c r="DDE436" s="120"/>
      <c r="DDF436" s="120"/>
      <c r="DDG436" s="120"/>
      <c r="DDH436" s="120"/>
      <c r="DDI436" s="120"/>
      <c r="DDJ436" s="120"/>
      <c r="DDK436" s="120"/>
      <c r="DDL436" s="120"/>
      <c r="DDM436" s="120"/>
      <c r="DDN436" s="120"/>
      <c r="DDO436" s="120"/>
      <c r="DDP436" s="120"/>
      <c r="DDQ436" s="120"/>
      <c r="DDR436" s="120"/>
      <c r="DDS436" s="120"/>
      <c r="DDT436" s="120"/>
      <c r="DDU436" s="120"/>
      <c r="DDV436" s="120"/>
      <c r="DDW436" s="120"/>
      <c r="DDX436" s="120"/>
      <c r="DDY436" s="120"/>
      <c r="DDZ436" s="120"/>
      <c r="DEA436" s="120"/>
      <c r="DEB436" s="120"/>
      <c r="DEC436" s="120"/>
      <c r="DED436" s="120"/>
      <c r="DEE436" s="120"/>
      <c r="DEF436" s="120"/>
      <c r="DEG436" s="120"/>
      <c r="DEH436" s="120"/>
      <c r="DEI436" s="120"/>
      <c r="DEJ436" s="120"/>
      <c r="DEK436" s="120"/>
      <c r="DEL436" s="120"/>
      <c r="DEM436" s="120"/>
      <c r="DEN436" s="120"/>
      <c r="DEO436" s="120"/>
      <c r="DEP436" s="120"/>
      <c r="DEQ436" s="120"/>
      <c r="DER436" s="120"/>
      <c r="DES436" s="120"/>
      <c r="DET436" s="120"/>
      <c r="DEU436" s="120"/>
      <c r="DEV436" s="120"/>
      <c r="DEW436" s="120"/>
      <c r="DEX436" s="120"/>
      <c r="DEY436" s="120"/>
      <c r="DEZ436" s="120"/>
      <c r="DFA436" s="120"/>
      <c r="DFB436" s="120"/>
      <c r="DFC436" s="120"/>
      <c r="DFD436" s="120"/>
      <c r="DFE436" s="120"/>
      <c r="DFF436" s="120"/>
      <c r="DFG436" s="120"/>
      <c r="DFH436" s="120"/>
      <c r="DFI436" s="120"/>
      <c r="DFJ436" s="120"/>
      <c r="DFK436" s="120"/>
      <c r="DFL436" s="120"/>
      <c r="DFM436" s="120"/>
      <c r="DFN436" s="120"/>
      <c r="DFO436" s="120"/>
      <c r="DFP436" s="120"/>
      <c r="DFQ436" s="120"/>
      <c r="DFR436" s="120"/>
      <c r="DFS436" s="120"/>
      <c r="DFT436" s="120"/>
      <c r="DFU436" s="120"/>
      <c r="DFV436" s="120"/>
      <c r="DFW436" s="120"/>
      <c r="DFX436" s="120"/>
      <c r="DFY436" s="120"/>
      <c r="DFZ436" s="120"/>
      <c r="DGA436" s="120"/>
      <c r="DGB436" s="120"/>
      <c r="DGC436" s="120"/>
      <c r="DGD436" s="120"/>
      <c r="DGE436" s="120"/>
      <c r="DGF436" s="120"/>
      <c r="DGG436" s="120"/>
      <c r="DGH436" s="120"/>
      <c r="DGI436" s="120"/>
      <c r="DGJ436" s="120"/>
      <c r="DGK436" s="120"/>
      <c r="DGL436" s="120"/>
      <c r="DGM436" s="120"/>
      <c r="DGN436" s="120"/>
      <c r="DGO436" s="120"/>
      <c r="DGP436" s="120"/>
      <c r="DGQ436" s="120"/>
      <c r="DGR436" s="120"/>
      <c r="DGS436" s="120"/>
      <c r="DGT436" s="120"/>
      <c r="DGU436" s="120"/>
      <c r="DGV436" s="120"/>
      <c r="DGW436" s="120"/>
      <c r="DGX436" s="120"/>
      <c r="DGY436" s="120"/>
      <c r="DGZ436" s="120"/>
      <c r="DHA436" s="120"/>
      <c r="DHB436" s="120"/>
      <c r="DHC436" s="120"/>
      <c r="DHD436" s="120"/>
      <c r="DHE436" s="120"/>
      <c r="DHF436" s="120"/>
      <c r="DHG436" s="120"/>
      <c r="DHH436" s="120"/>
      <c r="DHI436" s="120"/>
      <c r="DHJ436" s="120"/>
      <c r="DHK436" s="120"/>
      <c r="DHL436" s="120"/>
      <c r="DHM436" s="120"/>
      <c r="DHN436" s="120"/>
      <c r="DHO436" s="120"/>
      <c r="DHP436" s="120"/>
      <c r="DHQ436" s="120"/>
      <c r="DHR436" s="120"/>
      <c r="DHS436" s="120"/>
      <c r="DHT436" s="120"/>
      <c r="DHU436" s="120"/>
      <c r="DHV436" s="120"/>
      <c r="DHW436" s="120"/>
      <c r="DHX436" s="120"/>
      <c r="DHY436" s="120"/>
      <c r="DHZ436" s="120"/>
      <c r="DIA436" s="120"/>
      <c r="DIB436" s="120"/>
      <c r="DIC436" s="120"/>
      <c r="DID436" s="120"/>
      <c r="DIE436" s="120"/>
      <c r="DIF436" s="120"/>
      <c r="DIG436" s="120"/>
      <c r="DIH436" s="120"/>
      <c r="DII436" s="120"/>
      <c r="DIJ436" s="120"/>
      <c r="DIK436" s="120"/>
      <c r="DIL436" s="120"/>
      <c r="DIM436" s="120"/>
      <c r="DIN436" s="120"/>
      <c r="DIO436" s="120"/>
      <c r="DIP436" s="120"/>
      <c r="DIQ436" s="120"/>
      <c r="DIR436" s="120"/>
      <c r="DIS436" s="120"/>
      <c r="DIT436" s="120"/>
      <c r="DIU436" s="120"/>
      <c r="DIV436" s="120"/>
      <c r="DIW436" s="120"/>
      <c r="DIX436" s="120"/>
      <c r="DIY436" s="120"/>
      <c r="DIZ436" s="120"/>
      <c r="DJA436" s="120"/>
      <c r="DJB436" s="120"/>
      <c r="DJC436" s="120"/>
      <c r="DJD436" s="120"/>
      <c r="DJE436" s="120"/>
      <c r="DJF436" s="120"/>
      <c r="DJG436" s="120"/>
      <c r="DJH436" s="120"/>
      <c r="DJI436" s="120"/>
      <c r="DJJ436" s="120"/>
      <c r="DJK436" s="120"/>
      <c r="DJL436" s="120"/>
      <c r="DJM436" s="120"/>
      <c r="DJN436" s="120"/>
      <c r="DJO436" s="120"/>
      <c r="DJP436" s="120"/>
      <c r="DJQ436" s="120"/>
      <c r="DJR436" s="120"/>
      <c r="DJS436" s="120"/>
      <c r="DJT436" s="120"/>
      <c r="DJU436" s="120"/>
      <c r="DJV436" s="120"/>
      <c r="DJW436" s="120"/>
      <c r="DJX436" s="120"/>
      <c r="DJY436" s="120"/>
      <c r="DJZ436" s="120"/>
      <c r="DKA436" s="120"/>
      <c r="DKB436" s="120"/>
      <c r="DKC436" s="120"/>
      <c r="DKD436" s="120"/>
      <c r="DKE436" s="120"/>
      <c r="DKF436" s="120"/>
      <c r="DKG436" s="120"/>
      <c r="DKH436" s="120"/>
      <c r="DKI436" s="120"/>
      <c r="DKJ436" s="120"/>
      <c r="DKK436" s="120"/>
      <c r="DKL436" s="120"/>
      <c r="DKM436" s="120"/>
      <c r="DKN436" s="120"/>
      <c r="DKO436" s="120"/>
      <c r="DKP436" s="120"/>
      <c r="DKQ436" s="120"/>
      <c r="DKR436" s="120"/>
      <c r="DKS436" s="120"/>
      <c r="DKT436" s="120"/>
      <c r="DKU436" s="120"/>
      <c r="DKV436" s="120"/>
      <c r="DKW436" s="120"/>
      <c r="DKX436" s="120"/>
      <c r="DKY436" s="120"/>
      <c r="DKZ436" s="120"/>
      <c r="DLA436" s="120"/>
      <c r="DLB436" s="120"/>
      <c r="DLC436" s="120"/>
      <c r="DLD436" s="120"/>
      <c r="DLE436" s="120"/>
      <c r="DLF436" s="120"/>
      <c r="DLG436" s="120"/>
      <c r="DLH436" s="120"/>
      <c r="DLI436" s="120"/>
      <c r="DLJ436" s="120"/>
      <c r="DLK436" s="120"/>
      <c r="DLL436" s="120"/>
      <c r="DLM436" s="120"/>
      <c r="DLN436" s="120"/>
      <c r="DLO436" s="120"/>
      <c r="DLP436" s="120"/>
      <c r="DLQ436" s="120"/>
      <c r="DLR436" s="120"/>
      <c r="DLS436" s="120"/>
      <c r="DLT436" s="120"/>
      <c r="DLU436" s="120"/>
      <c r="DLV436" s="120"/>
      <c r="DLW436" s="120"/>
      <c r="DLX436" s="120"/>
      <c r="DLY436" s="120"/>
      <c r="DLZ436" s="120"/>
      <c r="DMA436" s="120"/>
      <c r="DMB436" s="120"/>
      <c r="DMC436" s="120"/>
      <c r="DMD436" s="120"/>
      <c r="DME436" s="120"/>
      <c r="DMF436" s="120"/>
      <c r="DMG436" s="120"/>
      <c r="DMH436" s="120"/>
      <c r="DMI436" s="120"/>
      <c r="DMJ436" s="120"/>
      <c r="DMK436" s="120"/>
      <c r="DML436" s="120"/>
      <c r="DMM436" s="120"/>
      <c r="DMN436" s="120"/>
      <c r="DMO436" s="120"/>
      <c r="DMP436" s="120"/>
      <c r="DMQ436" s="120"/>
      <c r="DMR436" s="120"/>
      <c r="DMS436" s="120"/>
      <c r="DMT436" s="120"/>
      <c r="DMU436" s="120"/>
      <c r="DMV436" s="120"/>
      <c r="DMW436" s="120"/>
      <c r="DMX436" s="120"/>
      <c r="DMY436" s="120"/>
      <c r="DMZ436" s="120"/>
      <c r="DNA436" s="120"/>
      <c r="DNB436" s="120"/>
      <c r="DNC436" s="120"/>
      <c r="DND436" s="120"/>
      <c r="DNE436" s="120"/>
      <c r="DNF436" s="120"/>
      <c r="DNG436" s="120"/>
      <c r="DNH436" s="120"/>
      <c r="DNI436" s="120"/>
      <c r="DNJ436" s="120"/>
      <c r="DNK436" s="120"/>
      <c r="DNL436" s="120"/>
      <c r="DNM436" s="120"/>
      <c r="DNN436" s="120"/>
      <c r="DNO436" s="120"/>
      <c r="DNP436" s="120"/>
      <c r="DNQ436" s="120"/>
      <c r="DNR436" s="120"/>
      <c r="DNS436" s="120"/>
      <c r="DNT436" s="120"/>
      <c r="DNU436" s="120"/>
      <c r="DNV436" s="120"/>
      <c r="DNW436" s="120"/>
      <c r="DNX436" s="120"/>
      <c r="DNY436" s="120"/>
      <c r="DNZ436" s="120"/>
      <c r="DOA436" s="120"/>
      <c r="DOB436" s="120"/>
      <c r="DOC436" s="120"/>
      <c r="DOD436" s="120"/>
      <c r="DOE436" s="120"/>
      <c r="DOF436" s="120"/>
      <c r="DOG436" s="120"/>
      <c r="DOH436" s="120"/>
      <c r="DOI436" s="120"/>
      <c r="DOJ436" s="120"/>
      <c r="DOK436" s="120"/>
      <c r="DOL436" s="120"/>
      <c r="DOM436" s="120"/>
      <c r="DON436" s="120"/>
      <c r="DOO436" s="120"/>
      <c r="DOP436" s="120"/>
      <c r="DOQ436" s="120"/>
      <c r="DOR436" s="120"/>
      <c r="DOS436" s="120"/>
      <c r="DOT436" s="120"/>
      <c r="DOU436" s="120"/>
      <c r="DOV436" s="120"/>
      <c r="DOW436" s="120"/>
      <c r="DOX436" s="120"/>
      <c r="DOY436" s="120"/>
      <c r="DOZ436" s="120"/>
      <c r="DPA436" s="120"/>
      <c r="DPB436" s="120"/>
      <c r="DPC436" s="120"/>
      <c r="DPD436" s="120"/>
      <c r="DPE436" s="120"/>
      <c r="DPF436" s="120"/>
      <c r="DPG436" s="120"/>
      <c r="DPH436" s="120"/>
      <c r="DPI436" s="120"/>
      <c r="DPJ436" s="120"/>
      <c r="DPK436" s="120"/>
      <c r="DPL436" s="120"/>
      <c r="DPM436" s="120"/>
      <c r="DPN436" s="120"/>
      <c r="DPO436" s="120"/>
      <c r="DPP436" s="120"/>
      <c r="DPQ436" s="120"/>
      <c r="DPR436" s="120"/>
      <c r="DPS436" s="120"/>
      <c r="DPT436" s="120"/>
      <c r="DPU436" s="120"/>
      <c r="DPV436" s="120"/>
      <c r="DPW436" s="120"/>
      <c r="DPX436" s="120"/>
      <c r="DPY436" s="120"/>
      <c r="DPZ436" s="120"/>
      <c r="DQA436" s="120"/>
      <c r="DQB436" s="120"/>
      <c r="DQC436" s="120"/>
      <c r="DQD436" s="120"/>
      <c r="DQE436" s="120"/>
      <c r="DQF436" s="120"/>
      <c r="DQG436" s="120"/>
      <c r="DQH436" s="120"/>
      <c r="DQI436" s="120"/>
      <c r="DQJ436" s="120"/>
      <c r="DQK436" s="120"/>
      <c r="DQL436" s="120"/>
      <c r="DQM436" s="120"/>
      <c r="DQN436" s="120"/>
      <c r="DQO436" s="120"/>
      <c r="DQP436" s="120"/>
      <c r="DQQ436" s="120"/>
      <c r="DQR436" s="120"/>
      <c r="DQS436" s="120"/>
      <c r="DQT436" s="120"/>
      <c r="DQU436" s="120"/>
      <c r="DQV436" s="120"/>
      <c r="DQW436" s="120"/>
      <c r="DQX436" s="120"/>
      <c r="DQY436" s="120"/>
      <c r="DQZ436" s="120"/>
      <c r="DRA436" s="120"/>
      <c r="DRB436" s="120"/>
      <c r="DRC436" s="120"/>
      <c r="DRD436" s="120"/>
      <c r="DRE436" s="120"/>
      <c r="DRF436" s="120"/>
      <c r="DRG436" s="120"/>
      <c r="DRH436" s="120"/>
      <c r="DRI436" s="120"/>
      <c r="DRJ436" s="120"/>
      <c r="DRK436" s="120"/>
      <c r="DRL436" s="120"/>
      <c r="DRM436" s="120"/>
      <c r="DRN436" s="120"/>
      <c r="DRO436" s="120"/>
      <c r="DRP436" s="120"/>
      <c r="DRQ436" s="120"/>
      <c r="DRR436" s="120"/>
      <c r="DRS436" s="120"/>
      <c r="DRT436" s="120"/>
      <c r="DRU436" s="120"/>
      <c r="DRV436" s="120"/>
      <c r="DRW436" s="120"/>
      <c r="DRX436" s="120"/>
      <c r="DRY436" s="120"/>
      <c r="DRZ436" s="120"/>
      <c r="DSA436" s="120"/>
      <c r="DSB436" s="120"/>
      <c r="DSC436" s="120"/>
      <c r="DSD436" s="120"/>
      <c r="DSE436" s="120"/>
      <c r="DSF436" s="120"/>
      <c r="DSG436" s="120"/>
      <c r="DSH436" s="120"/>
      <c r="DSI436" s="120"/>
      <c r="DSJ436" s="120"/>
      <c r="DSK436" s="120"/>
      <c r="DSL436" s="120"/>
      <c r="DSM436" s="120"/>
      <c r="DSN436" s="120"/>
      <c r="DSO436" s="120"/>
      <c r="DSP436" s="120"/>
      <c r="DSQ436" s="120"/>
      <c r="DSR436" s="120"/>
      <c r="DSS436" s="120"/>
      <c r="DST436" s="120"/>
      <c r="DSU436" s="120"/>
      <c r="DSV436" s="120"/>
      <c r="DSW436" s="120"/>
      <c r="DSX436" s="120"/>
      <c r="DSY436" s="120"/>
      <c r="DSZ436" s="120"/>
      <c r="DTA436" s="120"/>
      <c r="DTB436" s="120"/>
      <c r="DTC436" s="120"/>
      <c r="DTD436" s="120"/>
      <c r="DTE436" s="120"/>
      <c r="DTF436" s="120"/>
      <c r="DTG436" s="120"/>
      <c r="DTH436" s="120"/>
      <c r="DTI436" s="120"/>
      <c r="DTJ436" s="120"/>
      <c r="DTK436" s="120"/>
      <c r="DTL436" s="120"/>
      <c r="DTM436" s="120"/>
      <c r="DTN436" s="120"/>
      <c r="DTO436" s="120"/>
      <c r="DTP436" s="120"/>
      <c r="DTQ436" s="120"/>
      <c r="DTR436" s="120"/>
      <c r="DTS436" s="120"/>
      <c r="DTT436" s="120"/>
      <c r="DTU436" s="120"/>
      <c r="DTV436" s="120"/>
      <c r="DTW436" s="120"/>
      <c r="DTX436" s="120"/>
      <c r="DTY436" s="120"/>
      <c r="DTZ436" s="120"/>
      <c r="DUA436" s="120"/>
      <c r="DUB436" s="120"/>
      <c r="DUC436" s="120"/>
      <c r="DUD436" s="120"/>
      <c r="DUE436" s="120"/>
      <c r="DUF436" s="120"/>
      <c r="DUG436" s="120"/>
      <c r="DUH436" s="120"/>
      <c r="DUI436" s="120"/>
      <c r="DUJ436" s="120"/>
      <c r="DUK436" s="120"/>
      <c r="DUL436" s="120"/>
      <c r="DUM436" s="120"/>
      <c r="DUN436" s="120"/>
      <c r="DUO436" s="120"/>
      <c r="DUP436" s="120"/>
      <c r="DUQ436" s="120"/>
      <c r="DUR436" s="120"/>
      <c r="DUS436" s="120"/>
      <c r="DUT436" s="120"/>
      <c r="DUU436" s="120"/>
      <c r="DUV436" s="120"/>
      <c r="DUW436" s="120"/>
      <c r="DUX436" s="120"/>
      <c r="DUY436" s="120"/>
      <c r="DUZ436" s="120"/>
      <c r="DVA436" s="120"/>
      <c r="DVB436" s="120"/>
      <c r="DVC436" s="120"/>
      <c r="DVD436" s="120"/>
      <c r="DVE436" s="120"/>
      <c r="DVF436" s="120"/>
      <c r="DVG436" s="120"/>
      <c r="DVH436" s="120"/>
      <c r="DVI436" s="120"/>
      <c r="DVJ436" s="120"/>
      <c r="DVK436" s="120"/>
      <c r="DVL436" s="120"/>
      <c r="DVM436" s="120"/>
      <c r="DVN436" s="120"/>
      <c r="DVO436" s="120"/>
      <c r="DVP436" s="120"/>
      <c r="DVQ436" s="120"/>
      <c r="DVR436" s="120"/>
      <c r="DVS436" s="120"/>
      <c r="DVT436" s="120"/>
      <c r="DVU436" s="120"/>
      <c r="DVV436" s="120"/>
      <c r="DVW436" s="120"/>
      <c r="DVX436" s="120"/>
      <c r="DVY436" s="120"/>
      <c r="DVZ436" s="120"/>
      <c r="DWA436" s="120"/>
      <c r="DWB436" s="120"/>
      <c r="DWC436" s="120"/>
      <c r="DWD436" s="120"/>
      <c r="DWE436" s="120"/>
      <c r="DWF436" s="120"/>
      <c r="DWG436" s="120"/>
      <c r="DWH436" s="120"/>
      <c r="DWI436" s="120"/>
      <c r="DWJ436" s="120"/>
      <c r="DWK436" s="120"/>
      <c r="DWL436" s="120"/>
      <c r="DWM436" s="120"/>
      <c r="DWN436" s="120"/>
      <c r="DWO436" s="120"/>
      <c r="DWP436" s="120"/>
      <c r="DWQ436" s="120"/>
      <c r="DWR436" s="120"/>
      <c r="DWS436" s="120"/>
      <c r="DWT436" s="120"/>
      <c r="DWU436" s="120"/>
      <c r="DWV436" s="120"/>
      <c r="DWW436" s="120"/>
      <c r="DWX436" s="120"/>
      <c r="DWY436" s="120"/>
      <c r="DWZ436" s="120"/>
      <c r="DXA436" s="120"/>
      <c r="DXB436" s="120"/>
      <c r="DXC436" s="120"/>
      <c r="DXD436" s="120"/>
      <c r="DXE436" s="120"/>
      <c r="DXF436" s="120"/>
      <c r="DXG436" s="120"/>
      <c r="DXH436" s="120"/>
      <c r="DXI436" s="120"/>
      <c r="DXJ436" s="120"/>
      <c r="DXK436" s="120"/>
      <c r="DXL436" s="120"/>
      <c r="DXM436" s="120"/>
      <c r="DXN436" s="120"/>
      <c r="DXO436" s="120"/>
      <c r="DXP436" s="120"/>
      <c r="DXQ436" s="120"/>
      <c r="DXR436" s="120"/>
      <c r="DXS436" s="120"/>
      <c r="DXT436" s="120"/>
      <c r="DXU436" s="120"/>
      <c r="DXV436" s="120"/>
      <c r="DXW436" s="120"/>
      <c r="DXX436" s="120"/>
      <c r="DXY436" s="120"/>
      <c r="DXZ436" s="120"/>
      <c r="DYA436" s="120"/>
      <c r="DYB436" s="120"/>
      <c r="DYC436" s="120"/>
      <c r="DYD436" s="120"/>
      <c r="DYE436" s="120"/>
      <c r="DYF436" s="120"/>
      <c r="DYG436" s="120"/>
      <c r="DYH436" s="120"/>
      <c r="DYI436" s="120"/>
      <c r="DYJ436" s="120"/>
      <c r="DYK436" s="120"/>
      <c r="DYL436" s="120"/>
      <c r="DYM436" s="120"/>
      <c r="DYN436" s="120"/>
      <c r="DYO436" s="120"/>
      <c r="DYP436" s="120"/>
      <c r="DYQ436" s="120"/>
      <c r="DYR436" s="120"/>
      <c r="DYS436" s="120"/>
      <c r="DYT436" s="120"/>
      <c r="DYU436" s="120"/>
      <c r="DYV436" s="120"/>
      <c r="DYW436" s="120"/>
      <c r="DYX436" s="120"/>
      <c r="DYY436" s="120"/>
      <c r="DYZ436" s="120"/>
      <c r="DZA436" s="120"/>
      <c r="DZB436" s="120"/>
      <c r="DZC436" s="120"/>
      <c r="DZD436" s="120"/>
      <c r="DZE436" s="120"/>
      <c r="DZF436" s="120"/>
      <c r="DZG436" s="120"/>
      <c r="DZH436" s="120"/>
      <c r="DZI436" s="120"/>
      <c r="DZJ436" s="120"/>
      <c r="DZK436" s="120"/>
      <c r="DZL436" s="120"/>
      <c r="DZM436" s="120"/>
      <c r="DZN436" s="120"/>
      <c r="DZO436" s="120"/>
      <c r="DZP436" s="120"/>
      <c r="DZQ436" s="120"/>
      <c r="DZR436" s="120"/>
      <c r="DZS436" s="120"/>
      <c r="DZT436" s="120"/>
      <c r="DZU436" s="120"/>
      <c r="DZV436" s="120"/>
      <c r="DZW436" s="120"/>
      <c r="DZX436" s="120"/>
      <c r="DZY436" s="120"/>
      <c r="DZZ436" s="120"/>
      <c r="EAA436" s="120"/>
      <c r="EAB436" s="120"/>
      <c r="EAC436" s="120"/>
      <c r="EAD436" s="120"/>
      <c r="EAE436" s="120"/>
      <c r="EAF436" s="120"/>
      <c r="EAG436" s="120"/>
      <c r="EAH436" s="120"/>
      <c r="EAI436" s="120"/>
      <c r="EAJ436" s="120"/>
      <c r="EAK436" s="120"/>
      <c r="EAL436" s="120"/>
      <c r="EAM436" s="120"/>
      <c r="EAN436" s="120"/>
      <c r="EAO436" s="120"/>
      <c r="EAP436" s="120"/>
      <c r="EAQ436" s="120"/>
      <c r="EAR436" s="120"/>
      <c r="EAS436" s="120"/>
      <c r="EAT436" s="120"/>
      <c r="EAU436" s="120"/>
      <c r="EAV436" s="120"/>
      <c r="EAW436" s="120"/>
      <c r="EAX436" s="120"/>
      <c r="EAY436" s="120"/>
      <c r="EAZ436" s="120"/>
      <c r="EBA436" s="120"/>
      <c r="EBB436" s="120"/>
      <c r="EBC436" s="120"/>
      <c r="EBD436" s="120"/>
      <c r="EBE436" s="120"/>
      <c r="EBF436" s="120"/>
      <c r="EBG436" s="120"/>
      <c r="EBH436" s="120"/>
      <c r="EBI436" s="120"/>
      <c r="EBJ436" s="120"/>
      <c r="EBK436" s="120"/>
      <c r="EBL436" s="120"/>
      <c r="EBM436" s="120"/>
      <c r="EBN436" s="120"/>
      <c r="EBO436" s="120"/>
      <c r="EBP436" s="120"/>
      <c r="EBQ436" s="120"/>
      <c r="EBR436" s="120"/>
      <c r="EBS436" s="120"/>
      <c r="EBT436" s="120"/>
      <c r="EBU436" s="120"/>
      <c r="EBV436" s="120"/>
      <c r="EBW436" s="120"/>
      <c r="EBX436" s="120"/>
      <c r="EBY436" s="120"/>
      <c r="EBZ436" s="120"/>
      <c r="ECA436" s="120"/>
      <c r="ECB436" s="120"/>
      <c r="ECC436" s="120"/>
      <c r="ECD436" s="120"/>
      <c r="ECE436" s="120"/>
      <c r="ECF436" s="120"/>
      <c r="ECG436" s="120"/>
      <c r="ECH436" s="120"/>
      <c r="ECI436" s="120"/>
      <c r="ECJ436" s="120"/>
      <c r="ECK436" s="120"/>
      <c r="ECL436" s="120"/>
      <c r="ECM436" s="120"/>
      <c r="ECN436" s="120"/>
      <c r="ECO436" s="120"/>
      <c r="ECP436" s="120"/>
      <c r="ECQ436" s="120"/>
      <c r="ECR436" s="120"/>
      <c r="ECS436" s="120"/>
      <c r="ECT436" s="120"/>
      <c r="ECU436" s="120"/>
      <c r="ECV436" s="120"/>
      <c r="ECW436" s="120"/>
      <c r="ECX436" s="120"/>
      <c r="ECY436" s="120"/>
      <c r="ECZ436" s="120"/>
      <c r="EDA436" s="120"/>
      <c r="EDB436" s="120"/>
      <c r="EDC436" s="120"/>
      <c r="EDD436" s="120"/>
      <c r="EDE436" s="120"/>
      <c r="EDF436" s="120"/>
      <c r="EDG436" s="120"/>
      <c r="EDH436" s="120"/>
      <c r="EDI436" s="120"/>
      <c r="EDJ436" s="120"/>
      <c r="EDK436" s="120"/>
      <c r="EDL436" s="120"/>
      <c r="EDM436" s="120"/>
      <c r="EDN436" s="120"/>
      <c r="EDO436" s="120"/>
      <c r="EDP436" s="120"/>
      <c r="EDQ436" s="120"/>
      <c r="EDR436" s="120"/>
      <c r="EDS436" s="120"/>
      <c r="EDT436" s="120"/>
      <c r="EDU436" s="120"/>
      <c r="EDV436" s="120"/>
      <c r="EDW436" s="120"/>
      <c r="EDX436" s="120"/>
      <c r="EDY436" s="120"/>
      <c r="EDZ436" s="120"/>
      <c r="EEA436" s="120"/>
      <c r="EEB436" s="120"/>
      <c r="EEC436" s="120"/>
      <c r="EED436" s="120"/>
      <c r="EEE436" s="120"/>
      <c r="EEF436" s="120"/>
      <c r="EEG436" s="120"/>
      <c r="EEH436" s="120"/>
      <c r="EEI436" s="120"/>
      <c r="EEJ436" s="120"/>
      <c r="EEK436" s="120"/>
      <c r="EEL436" s="120"/>
      <c r="EEM436" s="120"/>
      <c r="EEN436" s="120"/>
      <c r="EEO436" s="120"/>
      <c r="EEP436" s="120"/>
      <c r="EEQ436" s="120"/>
      <c r="EER436" s="120"/>
      <c r="EES436" s="120"/>
      <c r="EET436" s="120"/>
      <c r="EEU436" s="120"/>
      <c r="EEV436" s="120"/>
      <c r="EEW436" s="120"/>
      <c r="EEX436" s="120"/>
      <c r="EEY436" s="120"/>
      <c r="EEZ436" s="120"/>
      <c r="EFA436" s="120"/>
      <c r="EFB436" s="120"/>
      <c r="EFC436" s="120"/>
      <c r="EFD436" s="120"/>
      <c r="EFE436" s="120"/>
      <c r="EFF436" s="120"/>
      <c r="EFG436" s="120"/>
      <c r="EFH436" s="120"/>
      <c r="EFI436" s="120"/>
      <c r="EFJ436" s="120"/>
      <c r="EFK436" s="120"/>
      <c r="EFL436" s="120"/>
      <c r="EFM436" s="120"/>
      <c r="EFN436" s="120"/>
      <c r="EFO436" s="120"/>
      <c r="EFP436" s="120"/>
      <c r="EFQ436" s="120"/>
      <c r="EFR436" s="120"/>
      <c r="EFS436" s="120"/>
      <c r="EFT436" s="120"/>
      <c r="EFU436" s="120"/>
      <c r="EFV436" s="120"/>
      <c r="EFW436" s="120"/>
      <c r="EFX436" s="120"/>
      <c r="EFY436" s="120"/>
      <c r="EFZ436" s="120"/>
      <c r="EGA436" s="120"/>
      <c r="EGB436" s="120"/>
      <c r="EGC436" s="120"/>
      <c r="EGD436" s="120"/>
      <c r="EGE436" s="120"/>
      <c r="EGF436" s="120"/>
      <c r="EGG436" s="120"/>
      <c r="EGH436" s="120"/>
      <c r="EGI436" s="120"/>
      <c r="EGJ436" s="120"/>
      <c r="EGK436" s="120"/>
      <c r="EGL436" s="120"/>
      <c r="EGM436" s="120"/>
      <c r="EGN436" s="120"/>
      <c r="EGO436" s="120"/>
      <c r="EGP436" s="120"/>
      <c r="EGQ436" s="120"/>
      <c r="EGR436" s="120"/>
      <c r="EGS436" s="120"/>
      <c r="EGT436" s="120"/>
      <c r="EGU436" s="120"/>
      <c r="EGV436" s="120"/>
      <c r="EGW436" s="120"/>
      <c r="EGX436" s="120"/>
      <c r="EGY436" s="120"/>
      <c r="EGZ436" s="120"/>
      <c r="EHA436" s="120"/>
      <c r="EHB436" s="120"/>
      <c r="EHC436" s="120"/>
      <c r="EHD436" s="120"/>
      <c r="EHE436" s="120"/>
      <c r="EHF436" s="120"/>
      <c r="EHG436" s="120"/>
      <c r="EHH436" s="120"/>
      <c r="EHI436" s="120"/>
      <c r="EHJ436" s="120"/>
      <c r="EHK436" s="120"/>
      <c r="EHL436" s="120"/>
      <c r="EHM436" s="120"/>
      <c r="EHN436" s="120"/>
      <c r="EHO436" s="120"/>
      <c r="EHP436" s="120"/>
      <c r="EHQ436" s="120"/>
      <c r="EHR436" s="120"/>
      <c r="EHS436" s="120"/>
      <c r="EHT436" s="120"/>
      <c r="EHU436" s="120"/>
      <c r="EHV436" s="120"/>
      <c r="EHW436" s="120"/>
      <c r="EHX436" s="120"/>
      <c r="EHY436" s="120"/>
      <c r="EHZ436" s="120"/>
      <c r="EIA436" s="120"/>
      <c r="EIB436" s="120"/>
      <c r="EIC436" s="120"/>
      <c r="EID436" s="120"/>
      <c r="EIE436" s="120"/>
      <c r="EIF436" s="120"/>
      <c r="EIG436" s="120"/>
      <c r="EIH436" s="120"/>
      <c r="EII436" s="120"/>
      <c r="EIJ436" s="120"/>
      <c r="EIK436" s="120"/>
      <c r="EIL436" s="120"/>
      <c r="EIM436" s="120"/>
      <c r="EIN436" s="120"/>
      <c r="EIO436" s="120"/>
      <c r="EIP436" s="120"/>
      <c r="EIQ436" s="120"/>
      <c r="EIR436" s="120"/>
      <c r="EIS436" s="120"/>
      <c r="EIT436" s="120"/>
      <c r="EIU436" s="120"/>
      <c r="EIV436" s="120"/>
      <c r="EIW436" s="120"/>
      <c r="EIX436" s="120"/>
      <c r="EIY436" s="120"/>
      <c r="EIZ436" s="120"/>
      <c r="EJA436" s="120"/>
      <c r="EJB436" s="120"/>
      <c r="EJC436" s="120"/>
      <c r="EJD436" s="120"/>
      <c r="EJE436" s="120"/>
      <c r="EJF436" s="120"/>
      <c r="EJG436" s="120"/>
      <c r="EJH436" s="120"/>
      <c r="EJI436" s="120"/>
      <c r="EJJ436" s="120"/>
      <c r="EJK436" s="120"/>
      <c r="EJL436" s="120"/>
      <c r="EJM436" s="120"/>
      <c r="EJN436" s="120"/>
      <c r="EJO436" s="120"/>
      <c r="EJP436" s="120"/>
      <c r="EJQ436" s="120"/>
      <c r="EJR436" s="120"/>
      <c r="EJS436" s="120"/>
      <c r="EJT436" s="120"/>
      <c r="EJU436" s="120"/>
      <c r="EJV436" s="120"/>
      <c r="EJW436" s="120"/>
      <c r="EJX436" s="120"/>
      <c r="EJY436" s="120"/>
      <c r="EJZ436" s="120"/>
      <c r="EKA436" s="120"/>
      <c r="EKB436" s="120"/>
      <c r="EKC436" s="120"/>
      <c r="EKD436" s="120"/>
      <c r="EKE436" s="120"/>
      <c r="EKF436" s="120"/>
      <c r="EKG436" s="120"/>
      <c r="EKH436" s="120"/>
      <c r="EKI436" s="120"/>
      <c r="EKJ436" s="120"/>
      <c r="EKK436" s="120"/>
      <c r="EKL436" s="120"/>
      <c r="EKM436" s="120"/>
      <c r="EKN436" s="120"/>
      <c r="EKO436" s="120"/>
      <c r="EKP436" s="120"/>
      <c r="EKQ436" s="120"/>
      <c r="EKR436" s="120"/>
      <c r="EKS436" s="120"/>
      <c r="EKT436" s="120"/>
      <c r="EKU436" s="120"/>
      <c r="EKV436" s="120"/>
      <c r="EKW436" s="120"/>
      <c r="EKX436" s="120"/>
      <c r="EKY436" s="120"/>
      <c r="EKZ436" s="120"/>
      <c r="ELA436" s="120"/>
      <c r="ELB436" s="120"/>
      <c r="ELC436" s="120"/>
      <c r="ELD436" s="120"/>
      <c r="ELE436" s="120"/>
      <c r="ELF436" s="120"/>
      <c r="ELG436" s="120"/>
      <c r="ELH436" s="120"/>
      <c r="ELI436" s="120"/>
      <c r="ELJ436" s="120"/>
      <c r="ELK436" s="120"/>
      <c r="ELL436" s="120"/>
      <c r="ELM436" s="120"/>
      <c r="ELN436" s="120"/>
      <c r="ELO436" s="120"/>
      <c r="ELP436" s="120"/>
      <c r="ELQ436" s="120"/>
      <c r="ELR436" s="120"/>
      <c r="ELS436" s="120"/>
      <c r="ELT436" s="120"/>
      <c r="ELU436" s="120"/>
      <c r="ELV436" s="120"/>
      <c r="ELW436" s="120"/>
      <c r="ELX436" s="120"/>
      <c r="ELY436" s="120"/>
      <c r="ELZ436" s="120"/>
      <c r="EMA436" s="120"/>
      <c r="EMB436" s="120"/>
      <c r="EMC436" s="120"/>
      <c r="EMD436" s="120"/>
      <c r="EME436" s="120"/>
      <c r="EMF436" s="120"/>
      <c r="EMG436" s="120"/>
      <c r="EMH436" s="120"/>
      <c r="EMI436" s="120"/>
      <c r="EMJ436" s="120"/>
      <c r="EMK436" s="120"/>
      <c r="EML436" s="120"/>
      <c r="EMM436" s="120"/>
      <c r="EMN436" s="120"/>
      <c r="EMO436" s="120"/>
      <c r="EMP436" s="120"/>
      <c r="EMQ436" s="120"/>
      <c r="EMR436" s="120"/>
      <c r="EMS436" s="120"/>
      <c r="EMT436" s="120"/>
      <c r="EMU436" s="120"/>
      <c r="EMV436" s="120"/>
      <c r="EMW436" s="120"/>
      <c r="EMX436" s="120"/>
      <c r="EMY436" s="120"/>
      <c r="EMZ436" s="120"/>
      <c r="ENA436" s="120"/>
      <c r="ENB436" s="120"/>
      <c r="ENC436" s="120"/>
      <c r="END436" s="120"/>
      <c r="ENE436" s="120"/>
      <c r="ENF436" s="120"/>
      <c r="ENG436" s="120"/>
      <c r="ENH436" s="120"/>
      <c r="ENI436" s="120"/>
      <c r="ENJ436" s="120"/>
      <c r="ENK436" s="120"/>
      <c r="ENL436" s="120"/>
      <c r="ENM436" s="120"/>
      <c r="ENN436" s="120"/>
      <c r="ENO436" s="120"/>
      <c r="ENP436" s="120"/>
      <c r="ENQ436" s="120"/>
      <c r="ENR436" s="120"/>
      <c r="ENS436" s="120"/>
      <c r="ENT436" s="120"/>
      <c r="ENU436" s="120"/>
      <c r="ENV436" s="120"/>
      <c r="ENW436" s="120"/>
      <c r="ENX436" s="120"/>
      <c r="ENY436" s="120"/>
      <c r="ENZ436" s="120"/>
      <c r="EOA436" s="120"/>
      <c r="EOB436" s="120"/>
      <c r="EOC436" s="120"/>
      <c r="EOD436" s="120"/>
      <c r="EOE436" s="120"/>
      <c r="EOF436" s="120"/>
      <c r="EOG436" s="120"/>
      <c r="EOH436" s="120"/>
      <c r="EOI436" s="120"/>
      <c r="EOJ436" s="120"/>
      <c r="EOK436" s="120"/>
      <c r="EOL436" s="120"/>
      <c r="EOM436" s="120"/>
      <c r="EON436" s="120"/>
      <c r="EOO436" s="120"/>
      <c r="EOP436" s="120"/>
      <c r="EOQ436" s="120"/>
      <c r="EOR436" s="120"/>
      <c r="EOS436" s="120"/>
      <c r="EOT436" s="120"/>
      <c r="EOU436" s="120"/>
      <c r="EOV436" s="120"/>
      <c r="EOW436" s="120"/>
      <c r="EOX436" s="120"/>
      <c r="EOY436" s="120"/>
      <c r="EOZ436" s="120"/>
      <c r="EPA436" s="120"/>
      <c r="EPB436" s="120"/>
      <c r="EPC436" s="120"/>
      <c r="EPD436" s="120"/>
      <c r="EPE436" s="120"/>
      <c r="EPF436" s="120"/>
      <c r="EPG436" s="120"/>
      <c r="EPH436" s="120"/>
      <c r="EPI436" s="120"/>
      <c r="EPJ436" s="120"/>
      <c r="EPK436" s="120"/>
      <c r="EPL436" s="120"/>
      <c r="EPM436" s="120"/>
      <c r="EPN436" s="120"/>
      <c r="EPO436" s="120"/>
      <c r="EPP436" s="120"/>
      <c r="EPQ436" s="120"/>
      <c r="EPR436" s="120"/>
      <c r="EPS436" s="120"/>
      <c r="EPT436" s="120"/>
      <c r="EPU436" s="120"/>
      <c r="EPV436" s="120"/>
      <c r="EPW436" s="120"/>
      <c r="EPX436" s="120"/>
      <c r="EPY436" s="120"/>
      <c r="EPZ436" s="120"/>
      <c r="EQA436" s="120"/>
      <c r="EQB436" s="120"/>
      <c r="EQC436" s="120"/>
      <c r="EQD436" s="120"/>
      <c r="EQE436" s="120"/>
      <c r="EQF436" s="120"/>
      <c r="EQG436" s="120"/>
      <c r="EQH436" s="120"/>
      <c r="EQI436" s="120"/>
      <c r="EQJ436" s="120"/>
      <c r="EQK436" s="120"/>
      <c r="EQL436" s="120"/>
      <c r="EQM436" s="120"/>
      <c r="EQN436" s="120"/>
      <c r="EQO436" s="120"/>
      <c r="EQP436" s="120"/>
      <c r="EQQ436" s="120"/>
      <c r="EQR436" s="120"/>
      <c r="EQS436" s="120"/>
      <c r="EQT436" s="120"/>
      <c r="EQU436" s="120"/>
      <c r="EQV436" s="120"/>
      <c r="EQW436" s="120"/>
      <c r="EQX436" s="120"/>
      <c r="EQY436" s="120"/>
      <c r="EQZ436" s="120"/>
      <c r="ERA436" s="120"/>
      <c r="ERB436" s="120"/>
      <c r="ERC436" s="120"/>
      <c r="ERD436" s="120"/>
      <c r="ERE436" s="120"/>
      <c r="ERF436" s="120"/>
      <c r="ERG436" s="120"/>
      <c r="ERH436" s="120"/>
      <c r="ERI436" s="120"/>
      <c r="ERJ436" s="120"/>
      <c r="ERK436" s="120"/>
      <c r="ERL436" s="120"/>
      <c r="ERM436" s="120"/>
      <c r="ERN436" s="120"/>
      <c r="ERO436" s="120"/>
      <c r="ERP436" s="120"/>
      <c r="ERQ436" s="120"/>
      <c r="ERR436" s="120"/>
      <c r="ERS436" s="120"/>
      <c r="ERT436" s="120"/>
      <c r="ERU436" s="120"/>
      <c r="ERV436" s="120"/>
      <c r="ERW436" s="120"/>
      <c r="ERX436" s="120"/>
      <c r="ERY436" s="120"/>
      <c r="ERZ436" s="120"/>
      <c r="ESA436" s="120"/>
      <c r="ESB436" s="120"/>
      <c r="ESC436" s="120"/>
      <c r="ESD436" s="120"/>
      <c r="ESE436" s="120"/>
      <c r="ESF436" s="120"/>
      <c r="ESG436" s="120"/>
      <c r="ESH436" s="120"/>
      <c r="ESI436" s="120"/>
      <c r="ESJ436" s="120"/>
      <c r="ESK436" s="120"/>
      <c r="ESL436" s="120"/>
      <c r="ESM436" s="120"/>
      <c r="ESN436" s="120"/>
      <c r="ESO436" s="120"/>
      <c r="ESP436" s="120"/>
      <c r="ESQ436" s="120"/>
      <c r="ESR436" s="120"/>
      <c r="ESS436" s="120"/>
      <c r="EST436" s="120"/>
      <c r="ESU436" s="120"/>
      <c r="ESV436" s="120"/>
      <c r="ESW436" s="120"/>
      <c r="ESX436" s="120"/>
      <c r="ESY436" s="120"/>
      <c r="ESZ436" s="120"/>
      <c r="ETA436" s="120"/>
      <c r="ETB436" s="120"/>
      <c r="ETC436" s="120"/>
      <c r="ETD436" s="120"/>
      <c r="ETE436" s="120"/>
      <c r="ETF436" s="120"/>
      <c r="ETG436" s="120"/>
      <c r="ETH436" s="120"/>
      <c r="ETI436" s="120"/>
      <c r="ETJ436" s="120"/>
      <c r="ETK436" s="120"/>
      <c r="ETL436" s="120"/>
      <c r="ETM436" s="120"/>
      <c r="ETN436" s="120"/>
      <c r="ETO436" s="120"/>
      <c r="ETP436" s="120"/>
      <c r="ETQ436" s="120"/>
      <c r="ETR436" s="120"/>
      <c r="ETS436" s="120"/>
      <c r="ETT436" s="120"/>
      <c r="ETU436" s="120"/>
      <c r="ETV436" s="120"/>
      <c r="ETW436" s="120"/>
      <c r="ETX436" s="120"/>
      <c r="ETY436" s="120"/>
      <c r="ETZ436" s="120"/>
      <c r="EUA436" s="120"/>
      <c r="EUB436" s="120"/>
      <c r="EUC436" s="120"/>
      <c r="EUD436" s="120"/>
      <c r="EUE436" s="120"/>
      <c r="EUF436" s="120"/>
      <c r="EUG436" s="120"/>
      <c r="EUH436" s="120"/>
      <c r="EUI436" s="120"/>
      <c r="EUJ436" s="120"/>
      <c r="EUK436" s="120"/>
      <c r="EUL436" s="120"/>
      <c r="EUM436" s="120"/>
      <c r="EUN436" s="120"/>
      <c r="EUO436" s="120"/>
      <c r="EUP436" s="120"/>
      <c r="EUQ436" s="120"/>
      <c r="EUR436" s="120"/>
      <c r="EUS436" s="120"/>
      <c r="EUT436" s="120"/>
      <c r="EUU436" s="120"/>
      <c r="EUV436" s="120"/>
      <c r="EUW436" s="120"/>
      <c r="EUX436" s="120"/>
      <c r="EUY436" s="120"/>
      <c r="EUZ436" s="120"/>
      <c r="EVA436" s="120"/>
      <c r="EVB436" s="120"/>
      <c r="EVC436" s="120"/>
      <c r="EVD436" s="120"/>
      <c r="EVE436" s="120"/>
      <c r="EVF436" s="120"/>
      <c r="EVG436" s="120"/>
      <c r="EVH436" s="120"/>
      <c r="EVI436" s="120"/>
      <c r="EVJ436" s="120"/>
      <c r="EVK436" s="120"/>
      <c r="EVL436" s="120"/>
      <c r="EVM436" s="120"/>
      <c r="EVN436" s="120"/>
      <c r="EVO436" s="120"/>
      <c r="EVP436" s="120"/>
      <c r="EVQ436" s="120"/>
      <c r="EVR436" s="120"/>
      <c r="EVS436" s="120"/>
      <c r="EVT436" s="120"/>
      <c r="EVU436" s="120"/>
      <c r="EVV436" s="120"/>
      <c r="EVW436" s="120"/>
      <c r="EVX436" s="120"/>
      <c r="EVY436" s="120"/>
      <c r="EVZ436" s="120"/>
      <c r="EWA436" s="120"/>
      <c r="EWB436" s="120"/>
      <c r="EWC436" s="120"/>
      <c r="EWD436" s="120"/>
      <c r="EWE436" s="120"/>
      <c r="EWF436" s="120"/>
      <c r="EWG436" s="120"/>
      <c r="EWH436" s="120"/>
      <c r="EWI436" s="120"/>
      <c r="EWJ436" s="120"/>
      <c r="EWK436" s="120"/>
      <c r="EWL436" s="120"/>
      <c r="EWM436" s="120"/>
      <c r="EWN436" s="120"/>
      <c r="EWO436" s="120"/>
      <c r="EWP436" s="120"/>
      <c r="EWQ436" s="120"/>
      <c r="EWR436" s="120"/>
      <c r="EWS436" s="120"/>
      <c r="EWT436" s="120"/>
      <c r="EWU436" s="120"/>
      <c r="EWV436" s="120"/>
      <c r="EWW436" s="120"/>
      <c r="EWX436" s="120"/>
      <c r="EWY436" s="120"/>
      <c r="EWZ436" s="120"/>
      <c r="EXA436" s="120"/>
      <c r="EXB436" s="120"/>
      <c r="EXC436" s="120"/>
      <c r="EXD436" s="120"/>
      <c r="EXE436" s="120"/>
      <c r="EXF436" s="120"/>
      <c r="EXG436" s="120"/>
      <c r="EXH436" s="120"/>
      <c r="EXI436" s="120"/>
      <c r="EXJ436" s="120"/>
      <c r="EXK436" s="120"/>
      <c r="EXL436" s="120"/>
      <c r="EXM436" s="120"/>
      <c r="EXN436" s="120"/>
      <c r="EXO436" s="120"/>
      <c r="EXP436" s="120"/>
      <c r="EXQ436" s="120"/>
      <c r="EXR436" s="120"/>
      <c r="EXS436" s="120"/>
      <c r="EXT436" s="120"/>
      <c r="EXU436" s="120"/>
      <c r="EXV436" s="120"/>
      <c r="EXW436" s="120"/>
      <c r="EXX436" s="120"/>
      <c r="EXY436" s="120"/>
      <c r="EXZ436" s="120"/>
      <c r="EYA436" s="120"/>
      <c r="EYB436" s="120"/>
      <c r="EYC436" s="120"/>
      <c r="EYD436" s="120"/>
      <c r="EYE436" s="120"/>
      <c r="EYF436" s="120"/>
      <c r="EYG436" s="120"/>
      <c r="EYH436" s="120"/>
      <c r="EYI436" s="120"/>
      <c r="EYJ436" s="120"/>
      <c r="EYK436" s="120"/>
      <c r="EYL436" s="120"/>
      <c r="EYM436" s="120"/>
      <c r="EYN436" s="120"/>
      <c r="EYO436" s="120"/>
      <c r="EYP436" s="120"/>
      <c r="EYQ436" s="120"/>
      <c r="EYR436" s="120"/>
      <c r="EYS436" s="120"/>
      <c r="EYT436" s="120"/>
      <c r="EYU436" s="120"/>
      <c r="EYV436" s="120"/>
      <c r="EYW436" s="120"/>
      <c r="EYX436" s="120"/>
      <c r="EYY436" s="120"/>
      <c r="EYZ436" s="120"/>
      <c r="EZA436" s="120"/>
      <c r="EZB436" s="120"/>
      <c r="EZC436" s="120"/>
      <c r="EZD436" s="120"/>
      <c r="EZE436" s="120"/>
      <c r="EZF436" s="120"/>
      <c r="EZG436" s="120"/>
      <c r="EZH436" s="120"/>
      <c r="EZI436" s="120"/>
      <c r="EZJ436" s="120"/>
      <c r="EZK436" s="120"/>
      <c r="EZL436" s="120"/>
      <c r="EZM436" s="120"/>
      <c r="EZN436" s="120"/>
      <c r="EZO436" s="120"/>
      <c r="EZP436" s="120"/>
      <c r="EZQ436" s="120"/>
      <c r="EZR436" s="120"/>
      <c r="EZS436" s="120"/>
      <c r="EZT436" s="120"/>
      <c r="EZU436" s="120"/>
      <c r="EZV436" s="120"/>
      <c r="EZW436" s="120"/>
      <c r="EZX436" s="120"/>
      <c r="EZY436" s="120"/>
      <c r="EZZ436" s="120"/>
      <c r="FAA436" s="120"/>
      <c r="FAB436" s="120"/>
      <c r="FAC436" s="120"/>
      <c r="FAD436" s="120"/>
      <c r="FAE436" s="120"/>
      <c r="FAF436" s="120"/>
      <c r="FAG436" s="120"/>
      <c r="FAH436" s="120"/>
      <c r="FAI436" s="120"/>
      <c r="FAJ436" s="120"/>
      <c r="FAK436" s="120"/>
      <c r="FAL436" s="120"/>
      <c r="FAM436" s="120"/>
      <c r="FAN436" s="120"/>
      <c r="FAO436" s="120"/>
      <c r="FAP436" s="120"/>
      <c r="FAQ436" s="120"/>
      <c r="FAR436" s="120"/>
      <c r="FAS436" s="120"/>
      <c r="FAT436" s="120"/>
      <c r="FAU436" s="120"/>
      <c r="FAV436" s="120"/>
      <c r="FAW436" s="120"/>
      <c r="FAX436" s="120"/>
      <c r="FAY436" s="120"/>
      <c r="FAZ436" s="120"/>
      <c r="FBA436" s="120"/>
      <c r="FBB436" s="120"/>
      <c r="FBC436" s="120"/>
      <c r="FBD436" s="120"/>
      <c r="FBE436" s="120"/>
      <c r="FBF436" s="120"/>
      <c r="FBG436" s="120"/>
      <c r="FBH436" s="120"/>
      <c r="FBI436" s="120"/>
      <c r="FBJ436" s="120"/>
      <c r="FBK436" s="120"/>
      <c r="FBL436" s="120"/>
      <c r="FBM436" s="120"/>
      <c r="FBN436" s="120"/>
      <c r="FBO436" s="120"/>
      <c r="FBP436" s="120"/>
      <c r="FBQ436" s="120"/>
      <c r="FBR436" s="120"/>
      <c r="FBS436" s="120"/>
      <c r="FBT436" s="120"/>
      <c r="FBU436" s="120"/>
      <c r="FBV436" s="120"/>
      <c r="FBW436" s="120"/>
      <c r="FBX436" s="120"/>
      <c r="FBY436" s="120"/>
      <c r="FBZ436" s="120"/>
      <c r="FCA436" s="120"/>
      <c r="FCB436" s="120"/>
      <c r="FCC436" s="120"/>
      <c r="FCD436" s="120"/>
      <c r="FCE436" s="120"/>
      <c r="FCF436" s="120"/>
      <c r="FCG436" s="120"/>
      <c r="FCH436" s="120"/>
      <c r="FCI436" s="120"/>
      <c r="FCJ436" s="120"/>
      <c r="FCK436" s="120"/>
      <c r="FCL436" s="120"/>
      <c r="FCM436" s="120"/>
      <c r="FCN436" s="120"/>
      <c r="FCO436" s="120"/>
      <c r="FCP436" s="120"/>
      <c r="FCQ436" s="120"/>
      <c r="FCR436" s="120"/>
      <c r="FCS436" s="120"/>
      <c r="FCT436" s="120"/>
      <c r="FCU436" s="120"/>
      <c r="FCV436" s="120"/>
      <c r="FCW436" s="120"/>
      <c r="FCX436" s="120"/>
      <c r="FCY436" s="120"/>
      <c r="FCZ436" s="120"/>
      <c r="FDA436" s="120"/>
      <c r="FDB436" s="120"/>
      <c r="FDC436" s="120"/>
      <c r="FDD436" s="120"/>
      <c r="FDE436" s="120"/>
      <c r="FDF436" s="120"/>
      <c r="FDG436" s="120"/>
      <c r="FDH436" s="120"/>
      <c r="FDI436" s="120"/>
      <c r="FDJ436" s="120"/>
      <c r="FDK436" s="120"/>
      <c r="FDL436" s="120"/>
      <c r="FDM436" s="120"/>
      <c r="FDN436" s="120"/>
      <c r="FDO436" s="120"/>
      <c r="FDP436" s="120"/>
      <c r="FDQ436" s="120"/>
      <c r="FDR436" s="120"/>
      <c r="FDS436" s="120"/>
      <c r="FDT436" s="120"/>
      <c r="FDU436" s="120"/>
      <c r="FDV436" s="120"/>
      <c r="FDW436" s="120"/>
      <c r="FDX436" s="120"/>
      <c r="FDY436" s="120"/>
      <c r="FDZ436" s="120"/>
      <c r="FEA436" s="120"/>
      <c r="FEB436" s="120"/>
      <c r="FEC436" s="120"/>
      <c r="FED436" s="120"/>
      <c r="FEE436" s="120"/>
      <c r="FEF436" s="120"/>
      <c r="FEG436" s="120"/>
      <c r="FEH436" s="120"/>
      <c r="FEI436" s="120"/>
      <c r="FEJ436" s="120"/>
      <c r="FEK436" s="120"/>
      <c r="FEL436" s="120"/>
      <c r="FEM436" s="120"/>
      <c r="FEN436" s="120"/>
      <c r="FEO436" s="120"/>
      <c r="FEP436" s="120"/>
      <c r="FEQ436" s="120"/>
      <c r="FER436" s="120"/>
      <c r="FES436" s="120"/>
      <c r="FET436" s="120"/>
      <c r="FEU436" s="120"/>
      <c r="FEV436" s="120"/>
      <c r="FEW436" s="120"/>
      <c r="FEX436" s="120"/>
      <c r="FEY436" s="120"/>
      <c r="FEZ436" s="120"/>
      <c r="FFA436" s="120"/>
      <c r="FFB436" s="120"/>
      <c r="FFC436" s="120"/>
      <c r="FFD436" s="120"/>
      <c r="FFE436" s="120"/>
      <c r="FFF436" s="120"/>
      <c r="FFG436" s="120"/>
      <c r="FFH436" s="120"/>
      <c r="FFI436" s="120"/>
      <c r="FFJ436" s="120"/>
      <c r="FFK436" s="120"/>
      <c r="FFL436" s="120"/>
      <c r="FFM436" s="120"/>
      <c r="FFN436" s="120"/>
      <c r="FFO436" s="120"/>
      <c r="FFP436" s="120"/>
      <c r="FFQ436" s="120"/>
      <c r="FFR436" s="120"/>
      <c r="FFS436" s="120"/>
      <c r="FFT436" s="120"/>
      <c r="FFU436" s="120"/>
      <c r="FFV436" s="120"/>
      <c r="FFW436" s="120"/>
      <c r="FFX436" s="120"/>
      <c r="FFY436" s="120"/>
      <c r="FFZ436" s="120"/>
      <c r="FGA436" s="120"/>
      <c r="FGB436" s="120"/>
      <c r="FGC436" s="120"/>
      <c r="FGD436" s="120"/>
      <c r="FGE436" s="120"/>
      <c r="FGF436" s="120"/>
      <c r="FGG436" s="120"/>
      <c r="FGH436" s="120"/>
      <c r="FGI436" s="120"/>
      <c r="FGJ436" s="120"/>
      <c r="FGK436" s="120"/>
      <c r="FGL436" s="120"/>
      <c r="FGM436" s="120"/>
      <c r="FGN436" s="120"/>
      <c r="FGO436" s="120"/>
      <c r="FGP436" s="120"/>
      <c r="FGQ436" s="120"/>
      <c r="FGR436" s="120"/>
      <c r="FGS436" s="120"/>
      <c r="FGT436" s="120"/>
      <c r="FGU436" s="120"/>
      <c r="FGV436" s="120"/>
      <c r="FGW436" s="120"/>
      <c r="FGX436" s="120"/>
      <c r="FGY436" s="120"/>
      <c r="FGZ436" s="120"/>
      <c r="FHA436" s="120"/>
      <c r="FHB436" s="120"/>
      <c r="FHC436" s="120"/>
      <c r="FHD436" s="120"/>
      <c r="FHE436" s="120"/>
      <c r="FHF436" s="120"/>
      <c r="FHG436" s="120"/>
      <c r="FHH436" s="120"/>
      <c r="FHI436" s="120"/>
      <c r="FHJ436" s="120"/>
      <c r="FHK436" s="120"/>
      <c r="FHL436" s="120"/>
      <c r="FHM436" s="120"/>
      <c r="FHN436" s="120"/>
      <c r="FHO436" s="120"/>
      <c r="FHP436" s="120"/>
      <c r="FHQ436" s="120"/>
      <c r="FHR436" s="120"/>
      <c r="FHS436" s="120"/>
      <c r="FHT436" s="120"/>
      <c r="FHU436" s="120"/>
      <c r="FHV436" s="120"/>
      <c r="FHW436" s="120"/>
      <c r="FHX436" s="120"/>
      <c r="FHY436" s="120"/>
      <c r="FHZ436" s="120"/>
      <c r="FIA436" s="120"/>
      <c r="FIB436" s="120"/>
      <c r="FIC436" s="120"/>
      <c r="FID436" s="120"/>
      <c r="FIE436" s="120"/>
      <c r="FIF436" s="120"/>
      <c r="FIG436" s="120"/>
      <c r="FIH436" s="120"/>
      <c r="FII436" s="120"/>
      <c r="FIJ436" s="120"/>
      <c r="FIK436" s="120"/>
      <c r="FIL436" s="120"/>
      <c r="FIM436" s="120"/>
      <c r="FIN436" s="120"/>
      <c r="FIO436" s="120"/>
      <c r="FIP436" s="120"/>
      <c r="FIQ436" s="120"/>
      <c r="FIR436" s="120"/>
      <c r="FIS436" s="120"/>
      <c r="FIT436" s="120"/>
      <c r="FIU436" s="120"/>
      <c r="FIV436" s="120"/>
      <c r="FIW436" s="120"/>
      <c r="FIX436" s="120"/>
      <c r="FIY436" s="120"/>
      <c r="FIZ436" s="120"/>
      <c r="FJA436" s="120"/>
      <c r="FJB436" s="120"/>
      <c r="FJC436" s="120"/>
      <c r="FJD436" s="120"/>
      <c r="FJE436" s="120"/>
      <c r="FJF436" s="120"/>
      <c r="FJG436" s="120"/>
      <c r="FJH436" s="120"/>
      <c r="FJI436" s="120"/>
      <c r="FJJ436" s="120"/>
      <c r="FJK436" s="120"/>
      <c r="FJL436" s="120"/>
      <c r="FJM436" s="120"/>
      <c r="FJN436" s="120"/>
      <c r="FJO436" s="120"/>
      <c r="FJP436" s="120"/>
      <c r="FJQ436" s="120"/>
      <c r="FJR436" s="120"/>
      <c r="FJS436" s="120"/>
      <c r="FJT436" s="120"/>
      <c r="FJU436" s="120"/>
      <c r="FJV436" s="120"/>
      <c r="FJW436" s="120"/>
      <c r="FJX436" s="120"/>
      <c r="FJY436" s="120"/>
      <c r="FJZ436" s="120"/>
      <c r="FKA436" s="120"/>
      <c r="FKB436" s="120"/>
      <c r="FKC436" s="120"/>
      <c r="FKD436" s="120"/>
      <c r="FKE436" s="120"/>
      <c r="FKF436" s="120"/>
      <c r="FKG436" s="120"/>
      <c r="FKH436" s="120"/>
      <c r="FKI436" s="120"/>
      <c r="FKJ436" s="120"/>
      <c r="FKK436" s="120"/>
      <c r="FKL436" s="120"/>
      <c r="FKM436" s="120"/>
      <c r="FKN436" s="120"/>
      <c r="FKO436" s="120"/>
      <c r="FKP436" s="120"/>
      <c r="FKQ436" s="120"/>
      <c r="FKR436" s="120"/>
      <c r="FKS436" s="120"/>
      <c r="FKT436" s="120"/>
      <c r="FKU436" s="120"/>
      <c r="FKV436" s="120"/>
      <c r="FKW436" s="120"/>
      <c r="FKX436" s="120"/>
      <c r="FKY436" s="120"/>
      <c r="FKZ436" s="120"/>
      <c r="FLA436" s="120"/>
      <c r="FLB436" s="120"/>
      <c r="FLC436" s="120"/>
      <c r="FLD436" s="120"/>
      <c r="FLE436" s="120"/>
      <c r="FLF436" s="120"/>
      <c r="FLG436" s="120"/>
      <c r="FLH436" s="120"/>
      <c r="FLI436" s="120"/>
      <c r="FLJ436" s="120"/>
      <c r="FLK436" s="120"/>
      <c r="FLL436" s="120"/>
      <c r="FLM436" s="120"/>
      <c r="FLN436" s="120"/>
      <c r="FLO436" s="120"/>
      <c r="FLP436" s="120"/>
      <c r="FLQ436" s="120"/>
      <c r="FLR436" s="120"/>
      <c r="FLS436" s="120"/>
      <c r="FLT436" s="120"/>
      <c r="FLU436" s="120"/>
      <c r="FLV436" s="120"/>
      <c r="FLW436" s="120"/>
      <c r="FLX436" s="120"/>
      <c r="FLY436" s="120"/>
      <c r="FLZ436" s="120"/>
      <c r="FMA436" s="120"/>
      <c r="FMB436" s="120"/>
      <c r="FMC436" s="120"/>
      <c r="FMD436" s="120"/>
      <c r="FME436" s="120"/>
      <c r="FMF436" s="120"/>
      <c r="FMG436" s="120"/>
      <c r="FMH436" s="120"/>
      <c r="FMI436" s="120"/>
      <c r="FMJ436" s="120"/>
      <c r="FMK436" s="120"/>
      <c r="FML436" s="120"/>
      <c r="FMM436" s="120"/>
      <c r="FMN436" s="120"/>
      <c r="FMO436" s="120"/>
      <c r="FMP436" s="120"/>
      <c r="FMQ436" s="120"/>
      <c r="FMR436" s="120"/>
      <c r="FMS436" s="120"/>
      <c r="FMT436" s="120"/>
      <c r="FMU436" s="120"/>
      <c r="FMV436" s="120"/>
      <c r="FMW436" s="120"/>
      <c r="FMX436" s="120"/>
      <c r="FMY436" s="120"/>
      <c r="FMZ436" s="120"/>
      <c r="FNA436" s="120"/>
      <c r="FNB436" s="120"/>
      <c r="FNC436" s="120"/>
      <c r="FND436" s="120"/>
      <c r="FNE436" s="120"/>
      <c r="FNF436" s="120"/>
      <c r="FNG436" s="120"/>
      <c r="FNH436" s="120"/>
      <c r="FNI436" s="120"/>
      <c r="FNJ436" s="120"/>
      <c r="FNK436" s="120"/>
      <c r="FNL436" s="120"/>
      <c r="FNM436" s="120"/>
      <c r="FNN436" s="120"/>
      <c r="FNO436" s="120"/>
      <c r="FNP436" s="120"/>
      <c r="FNQ436" s="120"/>
      <c r="FNR436" s="120"/>
      <c r="FNS436" s="120"/>
      <c r="FNT436" s="120"/>
      <c r="FNU436" s="120"/>
      <c r="FNV436" s="120"/>
      <c r="FNW436" s="120"/>
      <c r="FNX436" s="120"/>
      <c r="FNY436" s="120"/>
      <c r="FNZ436" s="120"/>
      <c r="FOA436" s="120"/>
      <c r="FOB436" s="120"/>
      <c r="FOC436" s="120"/>
      <c r="FOD436" s="120"/>
      <c r="FOE436" s="120"/>
      <c r="FOF436" s="120"/>
      <c r="FOG436" s="120"/>
      <c r="FOH436" s="120"/>
      <c r="FOI436" s="120"/>
      <c r="FOJ436" s="120"/>
      <c r="FOK436" s="120"/>
      <c r="FOL436" s="120"/>
      <c r="FOM436" s="120"/>
      <c r="FON436" s="120"/>
      <c r="FOO436" s="120"/>
      <c r="FOP436" s="120"/>
      <c r="FOQ436" s="120"/>
      <c r="FOR436" s="120"/>
      <c r="FOS436" s="120"/>
      <c r="FOT436" s="120"/>
      <c r="FOU436" s="120"/>
      <c r="FOV436" s="120"/>
      <c r="FOW436" s="120"/>
      <c r="FOX436" s="120"/>
      <c r="FOY436" s="120"/>
      <c r="FOZ436" s="120"/>
      <c r="FPA436" s="120"/>
      <c r="FPB436" s="120"/>
      <c r="FPC436" s="120"/>
      <c r="FPD436" s="120"/>
      <c r="FPE436" s="120"/>
      <c r="FPF436" s="120"/>
      <c r="FPG436" s="120"/>
      <c r="FPH436" s="120"/>
      <c r="FPI436" s="120"/>
      <c r="FPJ436" s="120"/>
      <c r="FPK436" s="120"/>
      <c r="FPL436" s="120"/>
      <c r="FPM436" s="120"/>
      <c r="FPN436" s="120"/>
      <c r="FPO436" s="120"/>
      <c r="FPP436" s="120"/>
      <c r="FPQ436" s="120"/>
      <c r="FPR436" s="120"/>
      <c r="FPS436" s="120"/>
      <c r="FPT436" s="120"/>
      <c r="FPU436" s="120"/>
      <c r="FPV436" s="120"/>
      <c r="FPW436" s="120"/>
      <c r="FPX436" s="120"/>
      <c r="FPY436" s="120"/>
      <c r="FPZ436" s="120"/>
      <c r="FQA436" s="120"/>
      <c r="FQB436" s="120"/>
      <c r="FQC436" s="120"/>
      <c r="FQD436" s="120"/>
      <c r="FQE436" s="120"/>
      <c r="FQF436" s="120"/>
      <c r="FQG436" s="120"/>
      <c r="FQH436" s="120"/>
      <c r="FQI436" s="120"/>
      <c r="FQJ436" s="120"/>
      <c r="FQK436" s="120"/>
      <c r="FQL436" s="120"/>
      <c r="FQM436" s="120"/>
      <c r="FQN436" s="120"/>
      <c r="FQO436" s="120"/>
      <c r="FQP436" s="120"/>
      <c r="FQQ436" s="120"/>
      <c r="FQR436" s="120"/>
      <c r="FQS436" s="120"/>
      <c r="FQT436" s="120"/>
      <c r="FQU436" s="120"/>
      <c r="FQV436" s="120"/>
      <c r="FQW436" s="120"/>
      <c r="FQX436" s="120"/>
      <c r="FQY436" s="120"/>
      <c r="FQZ436" s="120"/>
      <c r="FRA436" s="120"/>
      <c r="FRB436" s="120"/>
      <c r="FRC436" s="120"/>
      <c r="FRD436" s="120"/>
      <c r="FRE436" s="120"/>
      <c r="FRF436" s="120"/>
      <c r="FRG436" s="120"/>
      <c r="FRH436" s="120"/>
      <c r="FRI436" s="120"/>
      <c r="FRJ436" s="120"/>
      <c r="FRK436" s="120"/>
      <c r="FRL436" s="120"/>
      <c r="FRM436" s="120"/>
      <c r="FRN436" s="120"/>
      <c r="FRO436" s="120"/>
      <c r="FRP436" s="120"/>
      <c r="FRQ436" s="120"/>
      <c r="FRR436" s="120"/>
      <c r="FRS436" s="120"/>
      <c r="FRT436" s="120"/>
      <c r="FRU436" s="120"/>
      <c r="FRV436" s="120"/>
      <c r="FRW436" s="120"/>
      <c r="FRX436" s="120"/>
      <c r="FRY436" s="120"/>
      <c r="FRZ436" s="120"/>
      <c r="FSA436" s="120"/>
      <c r="FSB436" s="120"/>
      <c r="FSC436" s="120"/>
      <c r="FSD436" s="120"/>
      <c r="FSE436" s="120"/>
      <c r="FSF436" s="120"/>
      <c r="FSG436" s="120"/>
      <c r="FSH436" s="120"/>
      <c r="FSI436" s="120"/>
      <c r="FSJ436" s="120"/>
      <c r="FSK436" s="120"/>
      <c r="FSL436" s="120"/>
      <c r="FSM436" s="120"/>
      <c r="FSN436" s="120"/>
      <c r="FSO436" s="120"/>
      <c r="FSP436" s="120"/>
      <c r="FSQ436" s="120"/>
      <c r="FSR436" s="120"/>
      <c r="FSS436" s="120"/>
      <c r="FST436" s="120"/>
      <c r="FSU436" s="120"/>
      <c r="FSV436" s="120"/>
      <c r="FSW436" s="120"/>
      <c r="FSX436" s="120"/>
      <c r="FSY436" s="120"/>
      <c r="FSZ436" s="120"/>
      <c r="FTA436" s="120"/>
      <c r="FTB436" s="120"/>
      <c r="FTC436" s="120"/>
      <c r="FTD436" s="120"/>
      <c r="FTE436" s="120"/>
      <c r="FTF436" s="120"/>
      <c r="FTG436" s="120"/>
      <c r="FTH436" s="120"/>
      <c r="FTI436" s="120"/>
      <c r="FTJ436" s="120"/>
      <c r="FTK436" s="120"/>
      <c r="FTL436" s="120"/>
      <c r="FTM436" s="120"/>
      <c r="FTN436" s="120"/>
      <c r="FTO436" s="120"/>
      <c r="FTP436" s="120"/>
      <c r="FTQ436" s="120"/>
      <c r="FTR436" s="120"/>
      <c r="FTS436" s="120"/>
      <c r="FTT436" s="120"/>
      <c r="FTU436" s="120"/>
      <c r="FTV436" s="120"/>
      <c r="FTW436" s="120"/>
      <c r="FTX436" s="120"/>
      <c r="FTY436" s="120"/>
      <c r="FTZ436" s="120"/>
      <c r="FUA436" s="120"/>
      <c r="FUB436" s="120"/>
      <c r="FUC436" s="120"/>
      <c r="FUD436" s="120"/>
      <c r="FUE436" s="120"/>
      <c r="FUF436" s="120"/>
      <c r="FUG436" s="120"/>
      <c r="FUH436" s="120"/>
      <c r="FUI436" s="120"/>
      <c r="FUJ436" s="120"/>
      <c r="FUK436" s="120"/>
      <c r="FUL436" s="120"/>
      <c r="FUM436" s="120"/>
      <c r="FUN436" s="120"/>
      <c r="FUO436" s="120"/>
      <c r="FUP436" s="120"/>
      <c r="FUQ436" s="120"/>
      <c r="FUR436" s="120"/>
      <c r="FUS436" s="120"/>
      <c r="FUT436" s="120"/>
      <c r="FUU436" s="120"/>
      <c r="FUV436" s="120"/>
      <c r="FUW436" s="120"/>
      <c r="FUX436" s="120"/>
      <c r="FUY436" s="120"/>
      <c r="FUZ436" s="120"/>
      <c r="FVA436" s="120"/>
      <c r="FVB436" s="120"/>
      <c r="FVC436" s="120"/>
      <c r="FVD436" s="120"/>
      <c r="FVE436" s="120"/>
      <c r="FVF436" s="120"/>
      <c r="FVG436" s="120"/>
      <c r="FVH436" s="120"/>
      <c r="FVI436" s="120"/>
      <c r="FVJ436" s="120"/>
      <c r="FVK436" s="120"/>
      <c r="FVL436" s="120"/>
      <c r="FVM436" s="120"/>
      <c r="FVN436" s="120"/>
      <c r="FVO436" s="120"/>
      <c r="FVP436" s="120"/>
      <c r="FVQ436" s="120"/>
      <c r="FVR436" s="120"/>
      <c r="FVS436" s="120"/>
      <c r="FVT436" s="120"/>
      <c r="FVU436" s="120"/>
      <c r="FVV436" s="120"/>
      <c r="FVW436" s="120"/>
      <c r="FVX436" s="120"/>
      <c r="FVY436" s="120"/>
      <c r="FVZ436" s="120"/>
      <c r="FWA436" s="120"/>
      <c r="FWB436" s="120"/>
      <c r="FWC436" s="120"/>
      <c r="FWD436" s="120"/>
      <c r="FWE436" s="120"/>
      <c r="FWF436" s="120"/>
      <c r="FWG436" s="120"/>
      <c r="FWH436" s="120"/>
      <c r="FWI436" s="120"/>
      <c r="FWJ436" s="120"/>
      <c r="FWK436" s="120"/>
      <c r="FWL436" s="120"/>
      <c r="FWM436" s="120"/>
      <c r="FWN436" s="120"/>
      <c r="FWO436" s="120"/>
      <c r="FWP436" s="120"/>
      <c r="FWQ436" s="120"/>
      <c r="FWR436" s="120"/>
      <c r="FWS436" s="120"/>
      <c r="FWT436" s="120"/>
      <c r="FWU436" s="120"/>
      <c r="FWV436" s="120"/>
      <c r="FWW436" s="120"/>
      <c r="FWX436" s="120"/>
      <c r="FWY436" s="120"/>
      <c r="FWZ436" s="120"/>
      <c r="FXA436" s="120"/>
      <c r="FXB436" s="120"/>
      <c r="FXC436" s="120"/>
      <c r="FXD436" s="120"/>
      <c r="FXE436" s="120"/>
      <c r="FXF436" s="120"/>
      <c r="FXG436" s="120"/>
      <c r="FXH436" s="120"/>
      <c r="FXI436" s="120"/>
      <c r="FXJ436" s="120"/>
      <c r="FXK436" s="120"/>
      <c r="FXL436" s="120"/>
      <c r="FXM436" s="120"/>
      <c r="FXN436" s="120"/>
      <c r="FXO436" s="120"/>
      <c r="FXP436" s="120"/>
      <c r="FXQ436" s="120"/>
      <c r="FXR436" s="120"/>
      <c r="FXS436" s="120"/>
      <c r="FXT436" s="120"/>
      <c r="FXU436" s="120"/>
      <c r="FXV436" s="120"/>
      <c r="FXW436" s="120"/>
      <c r="FXX436" s="120"/>
      <c r="FXY436" s="120"/>
      <c r="FXZ436" s="120"/>
      <c r="FYA436" s="120"/>
      <c r="FYB436" s="120"/>
      <c r="FYC436" s="120"/>
      <c r="FYD436" s="120"/>
      <c r="FYE436" s="120"/>
      <c r="FYF436" s="120"/>
      <c r="FYG436" s="120"/>
      <c r="FYH436" s="120"/>
      <c r="FYI436" s="120"/>
      <c r="FYJ436" s="120"/>
      <c r="FYK436" s="120"/>
      <c r="FYL436" s="120"/>
      <c r="FYM436" s="120"/>
      <c r="FYN436" s="120"/>
      <c r="FYO436" s="120"/>
      <c r="FYP436" s="120"/>
      <c r="FYQ436" s="120"/>
      <c r="FYR436" s="120"/>
      <c r="FYS436" s="120"/>
      <c r="FYT436" s="120"/>
      <c r="FYU436" s="120"/>
      <c r="FYV436" s="120"/>
      <c r="FYW436" s="120"/>
      <c r="FYX436" s="120"/>
      <c r="FYY436" s="120"/>
      <c r="FYZ436" s="120"/>
      <c r="FZA436" s="120"/>
      <c r="FZB436" s="120"/>
      <c r="FZC436" s="120"/>
      <c r="FZD436" s="120"/>
      <c r="FZE436" s="120"/>
      <c r="FZF436" s="120"/>
      <c r="FZG436" s="120"/>
      <c r="FZH436" s="120"/>
      <c r="FZI436" s="120"/>
      <c r="FZJ436" s="120"/>
      <c r="FZK436" s="120"/>
      <c r="FZL436" s="120"/>
      <c r="FZM436" s="120"/>
      <c r="FZN436" s="120"/>
      <c r="FZO436" s="120"/>
      <c r="FZP436" s="120"/>
      <c r="FZQ436" s="120"/>
      <c r="FZR436" s="120"/>
      <c r="FZS436" s="120"/>
      <c r="FZT436" s="120"/>
      <c r="FZU436" s="120"/>
      <c r="FZV436" s="120"/>
      <c r="FZW436" s="120"/>
      <c r="FZX436" s="120"/>
      <c r="FZY436" s="120"/>
      <c r="FZZ436" s="120"/>
      <c r="GAA436" s="120"/>
      <c r="GAB436" s="120"/>
      <c r="GAC436" s="120"/>
      <c r="GAD436" s="120"/>
      <c r="GAE436" s="120"/>
      <c r="GAF436" s="120"/>
      <c r="GAG436" s="120"/>
      <c r="GAH436" s="120"/>
      <c r="GAI436" s="120"/>
      <c r="GAJ436" s="120"/>
      <c r="GAK436" s="120"/>
      <c r="GAL436" s="120"/>
      <c r="GAM436" s="120"/>
      <c r="GAN436" s="120"/>
      <c r="GAO436" s="120"/>
      <c r="GAP436" s="120"/>
      <c r="GAQ436" s="120"/>
      <c r="GAR436" s="120"/>
      <c r="GAS436" s="120"/>
      <c r="GAT436" s="120"/>
      <c r="GAU436" s="120"/>
      <c r="GAV436" s="120"/>
      <c r="GAW436" s="120"/>
      <c r="GAX436" s="120"/>
      <c r="GAY436" s="120"/>
      <c r="GAZ436" s="120"/>
      <c r="GBA436" s="120"/>
      <c r="GBB436" s="120"/>
      <c r="GBC436" s="120"/>
      <c r="GBD436" s="120"/>
      <c r="GBE436" s="120"/>
      <c r="GBF436" s="120"/>
      <c r="GBG436" s="120"/>
      <c r="GBH436" s="120"/>
      <c r="GBI436" s="120"/>
      <c r="GBJ436" s="120"/>
      <c r="GBK436" s="120"/>
      <c r="GBL436" s="120"/>
      <c r="GBM436" s="120"/>
      <c r="GBN436" s="120"/>
      <c r="GBO436" s="120"/>
      <c r="GBP436" s="120"/>
      <c r="GBQ436" s="120"/>
      <c r="GBR436" s="120"/>
      <c r="GBS436" s="120"/>
      <c r="GBT436" s="120"/>
      <c r="GBU436" s="120"/>
      <c r="GBV436" s="120"/>
      <c r="GBW436" s="120"/>
      <c r="GBX436" s="120"/>
      <c r="GBY436" s="120"/>
      <c r="GBZ436" s="120"/>
      <c r="GCA436" s="120"/>
      <c r="GCB436" s="120"/>
      <c r="GCC436" s="120"/>
      <c r="GCD436" s="120"/>
      <c r="GCE436" s="120"/>
      <c r="GCF436" s="120"/>
      <c r="GCG436" s="120"/>
      <c r="GCH436" s="120"/>
      <c r="GCI436" s="120"/>
      <c r="GCJ436" s="120"/>
      <c r="GCK436" s="120"/>
      <c r="GCL436" s="120"/>
      <c r="GCM436" s="120"/>
      <c r="GCN436" s="120"/>
      <c r="GCO436" s="120"/>
      <c r="GCP436" s="120"/>
      <c r="GCQ436" s="120"/>
      <c r="GCR436" s="120"/>
      <c r="GCS436" s="120"/>
      <c r="GCT436" s="120"/>
      <c r="GCU436" s="120"/>
      <c r="GCV436" s="120"/>
      <c r="GCW436" s="120"/>
      <c r="GCX436" s="120"/>
      <c r="GCY436" s="120"/>
      <c r="GCZ436" s="120"/>
      <c r="GDA436" s="120"/>
      <c r="GDB436" s="120"/>
      <c r="GDC436" s="120"/>
      <c r="GDD436" s="120"/>
      <c r="GDE436" s="120"/>
      <c r="GDF436" s="120"/>
      <c r="GDG436" s="120"/>
      <c r="GDH436" s="120"/>
      <c r="GDI436" s="120"/>
      <c r="GDJ436" s="120"/>
      <c r="GDK436" s="120"/>
      <c r="GDL436" s="120"/>
      <c r="GDM436" s="120"/>
      <c r="GDN436" s="120"/>
      <c r="GDO436" s="120"/>
      <c r="GDP436" s="120"/>
      <c r="GDQ436" s="120"/>
      <c r="GDR436" s="120"/>
      <c r="GDS436" s="120"/>
      <c r="GDT436" s="120"/>
      <c r="GDU436" s="120"/>
      <c r="GDV436" s="120"/>
      <c r="GDW436" s="120"/>
      <c r="GDX436" s="120"/>
      <c r="GDY436" s="120"/>
      <c r="GDZ436" s="120"/>
      <c r="GEA436" s="120"/>
      <c r="GEB436" s="120"/>
      <c r="GEC436" s="120"/>
      <c r="GED436" s="120"/>
      <c r="GEE436" s="120"/>
      <c r="GEF436" s="120"/>
      <c r="GEG436" s="120"/>
      <c r="GEH436" s="120"/>
      <c r="GEI436" s="120"/>
      <c r="GEJ436" s="120"/>
      <c r="GEK436" s="120"/>
      <c r="GEL436" s="120"/>
      <c r="GEM436" s="120"/>
      <c r="GEN436" s="120"/>
      <c r="GEO436" s="120"/>
      <c r="GEP436" s="120"/>
      <c r="GEQ436" s="120"/>
      <c r="GER436" s="120"/>
      <c r="GES436" s="120"/>
      <c r="GET436" s="120"/>
      <c r="GEU436" s="120"/>
      <c r="GEV436" s="120"/>
      <c r="GEW436" s="120"/>
      <c r="GEX436" s="120"/>
      <c r="GEY436" s="120"/>
      <c r="GEZ436" s="120"/>
      <c r="GFA436" s="120"/>
      <c r="GFB436" s="120"/>
      <c r="GFC436" s="120"/>
      <c r="GFD436" s="120"/>
      <c r="GFE436" s="120"/>
      <c r="GFF436" s="120"/>
      <c r="GFG436" s="120"/>
      <c r="GFH436" s="120"/>
      <c r="GFI436" s="120"/>
      <c r="GFJ436" s="120"/>
      <c r="GFK436" s="120"/>
      <c r="GFL436" s="120"/>
      <c r="GFM436" s="120"/>
      <c r="GFN436" s="120"/>
      <c r="GFO436" s="120"/>
      <c r="GFP436" s="120"/>
      <c r="GFQ436" s="120"/>
      <c r="GFR436" s="120"/>
      <c r="GFS436" s="120"/>
      <c r="GFT436" s="120"/>
      <c r="GFU436" s="120"/>
      <c r="GFV436" s="120"/>
      <c r="GFW436" s="120"/>
      <c r="GFX436" s="120"/>
      <c r="GFY436" s="120"/>
      <c r="GFZ436" s="120"/>
      <c r="GGA436" s="120"/>
      <c r="GGB436" s="120"/>
      <c r="GGC436" s="120"/>
      <c r="GGD436" s="120"/>
      <c r="GGE436" s="120"/>
      <c r="GGF436" s="120"/>
      <c r="GGG436" s="120"/>
      <c r="GGH436" s="120"/>
      <c r="GGI436" s="120"/>
      <c r="GGJ436" s="120"/>
      <c r="GGK436" s="120"/>
      <c r="GGL436" s="120"/>
      <c r="GGM436" s="120"/>
      <c r="GGN436" s="120"/>
      <c r="GGO436" s="120"/>
      <c r="GGP436" s="120"/>
      <c r="GGQ436" s="120"/>
      <c r="GGR436" s="120"/>
      <c r="GGS436" s="120"/>
      <c r="GGT436" s="120"/>
      <c r="GGU436" s="120"/>
      <c r="GGV436" s="120"/>
      <c r="GGW436" s="120"/>
      <c r="GGX436" s="120"/>
      <c r="GGY436" s="120"/>
      <c r="GGZ436" s="120"/>
      <c r="GHA436" s="120"/>
      <c r="GHB436" s="120"/>
      <c r="GHC436" s="120"/>
      <c r="GHD436" s="120"/>
      <c r="GHE436" s="120"/>
      <c r="GHF436" s="120"/>
      <c r="GHG436" s="120"/>
      <c r="GHH436" s="120"/>
      <c r="GHI436" s="120"/>
      <c r="GHJ436" s="120"/>
      <c r="GHK436" s="120"/>
      <c r="GHL436" s="120"/>
      <c r="GHM436" s="120"/>
      <c r="GHN436" s="120"/>
      <c r="GHO436" s="120"/>
      <c r="GHP436" s="120"/>
      <c r="GHQ436" s="120"/>
      <c r="GHR436" s="120"/>
      <c r="GHS436" s="120"/>
      <c r="GHT436" s="120"/>
      <c r="GHU436" s="120"/>
      <c r="GHV436" s="120"/>
      <c r="GHW436" s="120"/>
      <c r="GHX436" s="120"/>
      <c r="GHY436" s="120"/>
      <c r="GHZ436" s="120"/>
      <c r="GIA436" s="120"/>
      <c r="GIB436" s="120"/>
      <c r="GIC436" s="120"/>
      <c r="GID436" s="120"/>
      <c r="GIE436" s="120"/>
      <c r="GIF436" s="120"/>
      <c r="GIG436" s="120"/>
      <c r="GIH436" s="120"/>
      <c r="GII436" s="120"/>
      <c r="GIJ436" s="120"/>
      <c r="GIK436" s="120"/>
      <c r="GIL436" s="120"/>
      <c r="GIM436" s="120"/>
      <c r="GIN436" s="120"/>
      <c r="GIO436" s="120"/>
      <c r="GIP436" s="120"/>
      <c r="GIQ436" s="120"/>
      <c r="GIR436" s="120"/>
      <c r="GIS436" s="120"/>
      <c r="GIT436" s="120"/>
      <c r="GIU436" s="120"/>
      <c r="GIV436" s="120"/>
      <c r="GIW436" s="120"/>
      <c r="GIX436" s="120"/>
      <c r="GIY436" s="120"/>
      <c r="GIZ436" s="120"/>
      <c r="GJA436" s="120"/>
      <c r="GJB436" s="120"/>
      <c r="GJC436" s="120"/>
      <c r="GJD436" s="120"/>
      <c r="GJE436" s="120"/>
      <c r="GJF436" s="120"/>
      <c r="GJG436" s="120"/>
      <c r="GJH436" s="120"/>
      <c r="GJI436" s="120"/>
      <c r="GJJ436" s="120"/>
      <c r="GJK436" s="120"/>
      <c r="GJL436" s="120"/>
      <c r="GJM436" s="120"/>
      <c r="GJN436" s="120"/>
      <c r="GJO436" s="120"/>
      <c r="GJP436" s="120"/>
      <c r="GJQ436" s="120"/>
      <c r="GJR436" s="120"/>
      <c r="GJS436" s="120"/>
      <c r="GJT436" s="120"/>
      <c r="GJU436" s="120"/>
      <c r="GJV436" s="120"/>
      <c r="GJW436" s="120"/>
      <c r="GJX436" s="120"/>
      <c r="GJY436" s="120"/>
      <c r="GJZ436" s="120"/>
      <c r="GKA436" s="120"/>
      <c r="GKB436" s="120"/>
      <c r="GKC436" s="120"/>
      <c r="GKD436" s="120"/>
      <c r="GKE436" s="120"/>
      <c r="GKF436" s="120"/>
      <c r="GKG436" s="120"/>
      <c r="GKH436" s="120"/>
      <c r="GKI436" s="120"/>
      <c r="GKJ436" s="120"/>
      <c r="GKK436" s="120"/>
      <c r="GKL436" s="120"/>
      <c r="GKM436" s="120"/>
      <c r="GKN436" s="120"/>
      <c r="GKO436" s="120"/>
      <c r="GKP436" s="120"/>
      <c r="GKQ436" s="120"/>
      <c r="GKR436" s="120"/>
      <c r="GKS436" s="120"/>
      <c r="GKT436" s="120"/>
      <c r="GKU436" s="120"/>
      <c r="GKV436" s="120"/>
      <c r="GKW436" s="120"/>
      <c r="GKX436" s="120"/>
      <c r="GKY436" s="120"/>
      <c r="GKZ436" s="120"/>
      <c r="GLA436" s="120"/>
      <c r="GLB436" s="120"/>
      <c r="GLC436" s="120"/>
      <c r="GLD436" s="120"/>
      <c r="GLE436" s="120"/>
      <c r="GLF436" s="120"/>
      <c r="GLG436" s="120"/>
      <c r="GLH436" s="120"/>
      <c r="GLI436" s="120"/>
      <c r="GLJ436" s="120"/>
      <c r="GLK436" s="120"/>
      <c r="GLL436" s="120"/>
      <c r="GLM436" s="120"/>
      <c r="GLN436" s="120"/>
      <c r="GLO436" s="120"/>
      <c r="GLP436" s="120"/>
      <c r="GLQ436" s="120"/>
      <c r="GLR436" s="120"/>
      <c r="GLS436" s="120"/>
      <c r="GLT436" s="120"/>
      <c r="GLU436" s="120"/>
      <c r="GLV436" s="120"/>
      <c r="GLW436" s="120"/>
      <c r="GLX436" s="120"/>
      <c r="GLY436" s="120"/>
      <c r="GLZ436" s="120"/>
      <c r="GMA436" s="120"/>
      <c r="GMB436" s="120"/>
      <c r="GMC436" s="120"/>
      <c r="GMD436" s="120"/>
      <c r="GME436" s="120"/>
      <c r="GMF436" s="120"/>
      <c r="GMG436" s="120"/>
      <c r="GMH436" s="120"/>
      <c r="GMI436" s="120"/>
      <c r="GMJ436" s="120"/>
      <c r="GMK436" s="120"/>
      <c r="GML436" s="120"/>
      <c r="GMM436" s="120"/>
      <c r="GMN436" s="120"/>
      <c r="GMO436" s="120"/>
      <c r="GMP436" s="120"/>
      <c r="GMQ436" s="120"/>
      <c r="GMR436" s="120"/>
      <c r="GMS436" s="120"/>
      <c r="GMT436" s="120"/>
      <c r="GMU436" s="120"/>
      <c r="GMV436" s="120"/>
      <c r="GMW436" s="120"/>
      <c r="GMX436" s="120"/>
      <c r="GMY436" s="120"/>
      <c r="GMZ436" s="120"/>
      <c r="GNA436" s="120"/>
      <c r="GNB436" s="120"/>
      <c r="GNC436" s="120"/>
      <c r="GND436" s="120"/>
      <c r="GNE436" s="120"/>
      <c r="GNF436" s="120"/>
      <c r="GNG436" s="120"/>
      <c r="GNH436" s="120"/>
      <c r="GNI436" s="120"/>
      <c r="GNJ436" s="120"/>
      <c r="GNK436" s="120"/>
      <c r="GNL436" s="120"/>
      <c r="GNM436" s="120"/>
      <c r="GNN436" s="120"/>
      <c r="GNO436" s="120"/>
      <c r="GNP436" s="120"/>
      <c r="GNQ436" s="120"/>
      <c r="GNR436" s="120"/>
      <c r="GNS436" s="120"/>
      <c r="GNT436" s="120"/>
      <c r="GNU436" s="120"/>
      <c r="GNV436" s="120"/>
      <c r="GNW436" s="120"/>
      <c r="GNX436" s="120"/>
      <c r="GNY436" s="120"/>
      <c r="GNZ436" s="120"/>
      <c r="GOA436" s="120"/>
      <c r="GOB436" s="120"/>
      <c r="GOC436" s="120"/>
      <c r="GOD436" s="120"/>
      <c r="GOE436" s="120"/>
      <c r="GOF436" s="120"/>
      <c r="GOG436" s="120"/>
      <c r="GOH436" s="120"/>
      <c r="GOI436" s="120"/>
      <c r="GOJ436" s="120"/>
      <c r="GOK436" s="120"/>
      <c r="GOL436" s="120"/>
      <c r="GOM436" s="120"/>
      <c r="GON436" s="120"/>
      <c r="GOO436" s="120"/>
      <c r="GOP436" s="120"/>
      <c r="GOQ436" s="120"/>
      <c r="GOR436" s="120"/>
      <c r="GOS436" s="120"/>
      <c r="GOT436" s="120"/>
      <c r="GOU436" s="120"/>
      <c r="GOV436" s="120"/>
      <c r="GOW436" s="120"/>
      <c r="GOX436" s="120"/>
      <c r="GOY436" s="120"/>
      <c r="GOZ436" s="120"/>
      <c r="GPA436" s="120"/>
      <c r="GPB436" s="120"/>
      <c r="GPC436" s="120"/>
      <c r="GPD436" s="120"/>
      <c r="GPE436" s="120"/>
      <c r="GPF436" s="120"/>
      <c r="GPG436" s="120"/>
      <c r="GPH436" s="120"/>
      <c r="GPI436" s="120"/>
      <c r="GPJ436" s="120"/>
      <c r="GPK436" s="120"/>
      <c r="GPL436" s="120"/>
      <c r="GPM436" s="120"/>
      <c r="GPN436" s="120"/>
      <c r="GPO436" s="120"/>
      <c r="GPP436" s="120"/>
      <c r="GPQ436" s="120"/>
      <c r="GPR436" s="120"/>
      <c r="GPS436" s="120"/>
      <c r="GPT436" s="120"/>
      <c r="GPU436" s="120"/>
      <c r="GPV436" s="120"/>
      <c r="GPW436" s="120"/>
      <c r="GPX436" s="120"/>
      <c r="GPY436" s="120"/>
      <c r="GPZ436" s="120"/>
      <c r="GQA436" s="120"/>
      <c r="GQB436" s="120"/>
      <c r="GQC436" s="120"/>
      <c r="GQD436" s="120"/>
      <c r="GQE436" s="120"/>
      <c r="GQF436" s="120"/>
      <c r="GQG436" s="120"/>
      <c r="GQH436" s="120"/>
      <c r="GQI436" s="120"/>
      <c r="GQJ436" s="120"/>
      <c r="GQK436" s="120"/>
      <c r="GQL436" s="120"/>
      <c r="GQM436" s="120"/>
      <c r="GQN436" s="120"/>
      <c r="GQO436" s="120"/>
      <c r="GQP436" s="120"/>
      <c r="GQQ436" s="120"/>
      <c r="GQR436" s="120"/>
      <c r="GQS436" s="120"/>
      <c r="GQT436" s="120"/>
      <c r="GQU436" s="120"/>
      <c r="GQV436" s="120"/>
      <c r="GQW436" s="120"/>
      <c r="GQX436" s="120"/>
      <c r="GQY436" s="120"/>
      <c r="GQZ436" s="120"/>
      <c r="GRA436" s="120"/>
      <c r="GRB436" s="120"/>
      <c r="GRC436" s="120"/>
      <c r="GRD436" s="120"/>
      <c r="GRE436" s="120"/>
      <c r="GRF436" s="120"/>
      <c r="GRG436" s="120"/>
      <c r="GRH436" s="120"/>
      <c r="GRI436" s="120"/>
      <c r="GRJ436" s="120"/>
      <c r="GRK436" s="120"/>
      <c r="GRL436" s="120"/>
      <c r="GRM436" s="120"/>
      <c r="GRN436" s="120"/>
      <c r="GRO436" s="120"/>
      <c r="GRP436" s="120"/>
      <c r="GRQ436" s="120"/>
      <c r="GRR436" s="120"/>
      <c r="GRS436" s="120"/>
      <c r="GRT436" s="120"/>
      <c r="GRU436" s="120"/>
      <c r="GRV436" s="120"/>
      <c r="GRW436" s="120"/>
      <c r="GRX436" s="120"/>
      <c r="GRY436" s="120"/>
      <c r="GRZ436" s="120"/>
      <c r="GSA436" s="120"/>
      <c r="GSB436" s="120"/>
      <c r="GSC436" s="120"/>
      <c r="GSD436" s="120"/>
      <c r="GSE436" s="120"/>
      <c r="GSF436" s="120"/>
      <c r="GSG436" s="120"/>
      <c r="GSH436" s="120"/>
      <c r="GSI436" s="120"/>
      <c r="GSJ436" s="120"/>
      <c r="GSK436" s="120"/>
      <c r="GSL436" s="120"/>
      <c r="GSM436" s="120"/>
      <c r="GSN436" s="120"/>
      <c r="GSO436" s="120"/>
      <c r="GSP436" s="120"/>
      <c r="GSQ436" s="120"/>
      <c r="GSR436" s="120"/>
      <c r="GSS436" s="120"/>
      <c r="GST436" s="120"/>
      <c r="GSU436" s="120"/>
      <c r="GSV436" s="120"/>
      <c r="GSW436" s="120"/>
      <c r="GSX436" s="120"/>
      <c r="GSY436" s="120"/>
      <c r="GSZ436" s="120"/>
      <c r="GTA436" s="120"/>
      <c r="GTB436" s="120"/>
      <c r="GTC436" s="120"/>
      <c r="GTD436" s="120"/>
      <c r="GTE436" s="120"/>
      <c r="GTF436" s="120"/>
      <c r="GTG436" s="120"/>
      <c r="GTH436" s="120"/>
      <c r="GTI436" s="120"/>
      <c r="GTJ436" s="120"/>
      <c r="GTK436" s="120"/>
      <c r="GTL436" s="120"/>
      <c r="GTM436" s="120"/>
      <c r="GTN436" s="120"/>
      <c r="GTO436" s="120"/>
      <c r="GTP436" s="120"/>
      <c r="GTQ436" s="120"/>
      <c r="GTR436" s="120"/>
      <c r="GTS436" s="120"/>
      <c r="GTT436" s="120"/>
      <c r="GTU436" s="120"/>
      <c r="GTV436" s="120"/>
      <c r="GTW436" s="120"/>
      <c r="GTX436" s="120"/>
      <c r="GTY436" s="120"/>
      <c r="GTZ436" s="120"/>
      <c r="GUA436" s="120"/>
      <c r="GUB436" s="120"/>
      <c r="GUC436" s="120"/>
      <c r="GUD436" s="120"/>
      <c r="GUE436" s="120"/>
      <c r="GUF436" s="120"/>
      <c r="GUG436" s="120"/>
      <c r="GUH436" s="120"/>
      <c r="GUI436" s="120"/>
      <c r="GUJ436" s="120"/>
      <c r="GUK436" s="120"/>
      <c r="GUL436" s="120"/>
      <c r="GUM436" s="120"/>
      <c r="GUN436" s="120"/>
      <c r="GUO436" s="120"/>
      <c r="GUP436" s="120"/>
      <c r="GUQ436" s="120"/>
      <c r="GUR436" s="120"/>
      <c r="GUS436" s="120"/>
      <c r="GUT436" s="120"/>
      <c r="GUU436" s="120"/>
      <c r="GUV436" s="120"/>
      <c r="GUW436" s="120"/>
      <c r="GUX436" s="120"/>
      <c r="GUY436" s="120"/>
      <c r="GUZ436" s="120"/>
      <c r="GVA436" s="120"/>
      <c r="GVB436" s="120"/>
      <c r="GVC436" s="120"/>
      <c r="GVD436" s="120"/>
      <c r="GVE436" s="120"/>
      <c r="GVF436" s="120"/>
      <c r="GVG436" s="120"/>
      <c r="GVH436" s="120"/>
      <c r="GVI436" s="120"/>
      <c r="GVJ436" s="120"/>
      <c r="GVK436" s="120"/>
      <c r="GVL436" s="120"/>
      <c r="GVM436" s="120"/>
      <c r="GVN436" s="120"/>
      <c r="GVO436" s="120"/>
      <c r="GVP436" s="120"/>
      <c r="GVQ436" s="120"/>
      <c r="GVR436" s="120"/>
      <c r="GVS436" s="120"/>
      <c r="GVT436" s="120"/>
      <c r="GVU436" s="120"/>
      <c r="GVV436" s="120"/>
      <c r="GVW436" s="120"/>
      <c r="GVX436" s="120"/>
      <c r="GVY436" s="120"/>
      <c r="GVZ436" s="120"/>
      <c r="GWA436" s="120"/>
      <c r="GWB436" s="120"/>
      <c r="GWC436" s="120"/>
      <c r="GWD436" s="120"/>
      <c r="GWE436" s="120"/>
      <c r="GWF436" s="120"/>
      <c r="GWG436" s="120"/>
      <c r="GWH436" s="120"/>
      <c r="GWI436" s="120"/>
      <c r="GWJ436" s="120"/>
      <c r="GWK436" s="120"/>
      <c r="GWL436" s="120"/>
      <c r="GWM436" s="120"/>
      <c r="GWN436" s="120"/>
      <c r="GWO436" s="120"/>
      <c r="GWP436" s="120"/>
      <c r="GWQ436" s="120"/>
      <c r="GWR436" s="120"/>
      <c r="GWS436" s="120"/>
      <c r="GWT436" s="120"/>
      <c r="GWU436" s="120"/>
      <c r="GWV436" s="120"/>
      <c r="GWW436" s="120"/>
      <c r="GWX436" s="120"/>
      <c r="GWY436" s="120"/>
      <c r="GWZ436" s="120"/>
      <c r="GXA436" s="120"/>
      <c r="GXB436" s="120"/>
      <c r="GXC436" s="120"/>
      <c r="GXD436" s="120"/>
      <c r="GXE436" s="120"/>
      <c r="GXF436" s="120"/>
      <c r="GXG436" s="120"/>
      <c r="GXH436" s="120"/>
      <c r="GXI436" s="120"/>
      <c r="GXJ436" s="120"/>
      <c r="GXK436" s="120"/>
      <c r="GXL436" s="120"/>
      <c r="GXM436" s="120"/>
      <c r="GXN436" s="120"/>
      <c r="GXO436" s="120"/>
      <c r="GXP436" s="120"/>
      <c r="GXQ436" s="120"/>
      <c r="GXR436" s="120"/>
      <c r="GXS436" s="120"/>
      <c r="GXT436" s="120"/>
      <c r="GXU436" s="120"/>
      <c r="GXV436" s="120"/>
      <c r="GXW436" s="120"/>
      <c r="GXX436" s="120"/>
      <c r="GXY436" s="120"/>
      <c r="GXZ436" s="120"/>
      <c r="GYA436" s="120"/>
      <c r="GYB436" s="120"/>
      <c r="GYC436" s="120"/>
      <c r="GYD436" s="120"/>
      <c r="GYE436" s="120"/>
      <c r="GYF436" s="120"/>
      <c r="GYG436" s="120"/>
      <c r="GYH436" s="120"/>
      <c r="GYI436" s="120"/>
      <c r="GYJ436" s="120"/>
      <c r="GYK436" s="120"/>
      <c r="GYL436" s="120"/>
      <c r="GYM436" s="120"/>
      <c r="GYN436" s="120"/>
      <c r="GYO436" s="120"/>
      <c r="GYP436" s="120"/>
      <c r="GYQ436" s="120"/>
      <c r="GYR436" s="120"/>
      <c r="GYS436" s="120"/>
      <c r="GYT436" s="120"/>
      <c r="GYU436" s="120"/>
      <c r="GYV436" s="120"/>
      <c r="GYW436" s="120"/>
      <c r="GYX436" s="120"/>
      <c r="GYY436" s="120"/>
      <c r="GYZ436" s="120"/>
      <c r="GZA436" s="120"/>
      <c r="GZB436" s="120"/>
      <c r="GZC436" s="120"/>
      <c r="GZD436" s="120"/>
      <c r="GZE436" s="120"/>
      <c r="GZF436" s="120"/>
      <c r="GZG436" s="120"/>
      <c r="GZH436" s="120"/>
      <c r="GZI436" s="120"/>
      <c r="GZJ436" s="120"/>
      <c r="GZK436" s="120"/>
      <c r="GZL436" s="120"/>
      <c r="GZM436" s="120"/>
      <c r="GZN436" s="120"/>
      <c r="GZO436" s="120"/>
      <c r="GZP436" s="120"/>
      <c r="GZQ436" s="120"/>
      <c r="GZR436" s="120"/>
      <c r="GZS436" s="120"/>
      <c r="GZT436" s="120"/>
      <c r="GZU436" s="120"/>
      <c r="GZV436" s="120"/>
      <c r="GZW436" s="120"/>
      <c r="GZX436" s="120"/>
      <c r="GZY436" s="120"/>
      <c r="GZZ436" s="120"/>
      <c r="HAA436" s="120"/>
      <c r="HAB436" s="120"/>
      <c r="HAC436" s="120"/>
      <c r="HAD436" s="120"/>
      <c r="HAE436" s="120"/>
      <c r="HAF436" s="120"/>
      <c r="HAG436" s="120"/>
      <c r="HAH436" s="120"/>
      <c r="HAI436" s="120"/>
      <c r="HAJ436" s="120"/>
      <c r="HAK436" s="120"/>
      <c r="HAL436" s="120"/>
      <c r="HAM436" s="120"/>
      <c r="HAN436" s="120"/>
      <c r="HAO436" s="120"/>
      <c r="HAP436" s="120"/>
      <c r="HAQ436" s="120"/>
      <c r="HAR436" s="120"/>
      <c r="HAS436" s="120"/>
      <c r="HAT436" s="120"/>
      <c r="HAU436" s="120"/>
      <c r="HAV436" s="120"/>
      <c r="HAW436" s="120"/>
      <c r="HAX436" s="120"/>
      <c r="HAY436" s="120"/>
      <c r="HAZ436" s="120"/>
      <c r="HBA436" s="120"/>
      <c r="HBB436" s="120"/>
      <c r="HBC436" s="120"/>
      <c r="HBD436" s="120"/>
      <c r="HBE436" s="120"/>
      <c r="HBF436" s="120"/>
      <c r="HBG436" s="120"/>
      <c r="HBH436" s="120"/>
      <c r="HBI436" s="120"/>
      <c r="HBJ436" s="120"/>
      <c r="HBK436" s="120"/>
      <c r="HBL436" s="120"/>
      <c r="HBM436" s="120"/>
      <c r="HBN436" s="120"/>
      <c r="HBO436" s="120"/>
      <c r="HBP436" s="120"/>
      <c r="HBQ436" s="120"/>
      <c r="HBR436" s="120"/>
      <c r="HBS436" s="120"/>
      <c r="HBT436" s="120"/>
      <c r="HBU436" s="120"/>
      <c r="HBV436" s="120"/>
      <c r="HBW436" s="120"/>
      <c r="HBX436" s="120"/>
      <c r="HBY436" s="120"/>
      <c r="HBZ436" s="120"/>
      <c r="HCA436" s="120"/>
      <c r="HCB436" s="120"/>
      <c r="HCC436" s="120"/>
      <c r="HCD436" s="120"/>
      <c r="HCE436" s="120"/>
      <c r="HCF436" s="120"/>
      <c r="HCG436" s="120"/>
      <c r="HCH436" s="120"/>
      <c r="HCI436" s="120"/>
      <c r="HCJ436" s="120"/>
      <c r="HCK436" s="120"/>
      <c r="HCL436" s="120"/>
      <c r="HCM436" s="120"/>
      <c r="HCN436" s="120"/>
      <c r="HCO436" s="120"/>
      <c r="HCP436" s="120"/>
      <c r="HCQ436" s="120"/>
      <c r="HCR436" s="120"/>
      <c r="HCS436" s="120"/>
      <c r="HCT436" s="120"/>
      <c r="HCU436" s="120"/>
      <c r="HCV436" s="120"/>
      <c r="HCW436" s="120"/>
      <c r="HCX436" s="120"/>
      <c r="HCY436" s="120"/>
      <c r="HCZ436" s="120"/>
      <c r="HDA436" s="120"/>
      <c r="HDB436" s="120"/>
      <c r="HDC436" s="120"/>
      <c r="HDD436" s="120"/>
      <c r="HDE436" s="120"/>
      <c r="HDF436" s="120"/>
      <c r="HDG436" s="120"/>
      <c r="HDH436" s="120"/>
      <c r="HDI436" s="120"/>
      <c r="HDJ436" s="120"/>
      <c r="HDK436" s="120"/>
      <c r="HDL436" s="120"/>
      <c r="HDM436" s="120"/>
      <c r="HDN436" s="120"/>
      <c r="HDO436" s="120"/>
      <c r="HDP436" s="120"/>
      <c r="HDQ436" s="120"/>
      <c r="HDR436" s="120"/>
      <c r="HDS436" s="120"/>
      <c r="HDT436" s="120"/>
      <c r="HDU436" s="120"/>
      <c r="HDV436" s="120"/>
      <c r="HDW436" s="120"/>
      <c r="HDX436" s="120"/>
      <c r="HDY436" s="120"/>
      <c r="HDZ436" s="120"/>
      <c r="HEA436" s="120"/>
      <c r="HEB436" s="120"/>
      <c r="HEC436" s="120"/>
      <c r="HED436" s="120"/>
      <c r="HEE436" s="120"/>
      <c r="HEF436" s="120"/>
      <c r="HEG436" s="120"/>
      <c r="HEH436" s="120"/>
      <c r="HEI436" s="120"/>
      <c r="HEJ436" s="120"/>
      <c r="HEK436" s="120"/>
      <c r="HEL436" s="120"/>
      <c r="HEM436" s="120"/>
      <c r="HEN436" s="120"/>
      <c r="HEO436" s="120"/>
      <c r="HEP436" s="120"/>
      <c r="HEQ436" s="120"/>
      <c r="HER436" s="120"/>
      <c r="HES436" s="120"/>
      <c r="HET436" s="120"/>
      <c r="HEU436" s="120"/>
      <c r="HEV436" s="120"/>
      <c r="HEW436" s="120"/>
      <c r="HEX436" s="120"/>
      <c r="HEY436" s="120"/>
      <c r="HEZ436" s="120"/>
      <c r="HFA436" s="120"/>
      <c r="HFB436" s="120"/>
      <c r="HFC436" s="120"/>
      <c r="HFD436" s="120"/>
      <c r="HFE436" s="120"/>
      <c r="HFF436" s="120"/>
      <c r="HFG436" s="120"/>
      <c r="HFH436" s="120"/>
      <c r="HFI436" s="120"/>
      <c r="HFJ436" s="120"/>
      <c r="HFK436" s="120"/>
      <c r="HFL436" s="120"/>
      <c r="HFM436" s="120"/>
      <c r="HFN436" s="120"/>
      <c r="HFO436" s="120"/>
      <c r="HFP436" s="120"/>
      <c r="HFQ436" s="120"/>
      <c r="HFR436" s="120"/>
      <c r="HFS436" s="120"/>
      <c r="HFT436" s="120"/>
      <c r="HFU436" s="120"/>
      <c r="HFV436" s="120"/>
      <c r="HFW436" s="120"/>
      <c r="HFX436" s="120"/>
      <c r="HFY436" s="120"/>
      <c r="HFZ436" s="120"/>
      <c r="HGA436" s="120"/>
      <c r="HGB436" s="120"/>
      <c r="HGC436" s="120"/>
      <c r="HGD436" s="120"/>
      <c r="HGE436" s="120"/>
      <c r="HGF436" s="120"/>
      <c r="HGG436" s="120"/>
      <c r="HGH436" s="120"/>
      <c r="HGI436" s="120"/>
      <c r="HGJ436" s="120"/>
      <c r="HGK436" s="120"/>
      <c r="HGL436" s="120"/>
      <c r="HGM436" s="120"/>
      <c r="HGN436" s="120"/>
      <c r="HGO436" s="120"/>
      <c r="HGP436" s="120"/>
      <c r="HGQ436" s="120"/>
      <c r="HGR436" s="120"/>
      <c r="HGS436" s="120"/>
      <c r="HGT436" s="120"/>
      <c r="HGU436" s="120"/>
      <c r="HGV436" s="120"/>
      <c r="HGW436" s="120"/>
      <c r="HGX436" s="120"/>
      <c r="HGY436" s="120"/>
      <c r="HGZ436" s="120"/>
      <c r="HHA436" s="120"/>
      <c r="HHB436" s="120"/>
      <c r="HHC436" s="120"/>
      <c r="HHD436" s="120"/>
      <c r="HHE436" s="120"/>
      <c r="HHF436" s="120"/>
      <c r="HHG436" s="120"/>
      <c r="HHH436" s="120"/>
      <c r="HHI436" s="120"/>
      <c r="HHJ436" s="120"/>
      <c r="HHK436" s="120"/>
      <c r="HHL436" s="120"/>
      <c r="HHM436" s="120"/>
      <c r="HHN436" s="120"/>
      <c r="HHO436" s="120"/>
      <c r="HHP436" s="120"/>
      <c r="HHQ436" s="120"/>
      <c r="HHR436" s="120"/>
      <c r="HHS436" s="120"/>
      <c r="HHT436" s="120"/>
      <c r="HHU436" s="120"/>
      <c r="HHV436" s="120"/>
      <c r="HHW436" s="120"/>
      <c r="HHX436" s="120"/>
      <c r="HHY436" s="120"/>
      <c r="HHZ436" s="120"/>
      <c r="HIA436" s="120"/>
      <c r="HIB436" s="120"/>
      <c r="HIC436" s="120"/>
      <c r="HID436" s="120"/>
      <c r="HIE436" s="120"/>
      <c r="HIF436" s="120"/>
      <c r="HIG436" s="120"/>
      <c r="HIH436" s="120"/>
      <c r="HII436" s="120"/>
      <c r="HIJ436" s="120"/>
      <c r="HIK436" s="120"/>
      <c r="HIL436" s="120"/>
      <c r="HIM436" s="120"/>
      <c r="HIN436" s="120"/>
      <c r="HIO436" s="120"/>
      <c r="HIP436" s="120"/>
      <c r="HIQ436" s="120"/>
      <c r="HIR436" s="120"/>
      <c r="HIS436" s="120"/>
      <c r="HIT436" s="120"/>
      <c r="HIU436" s="120"/>
      <c r="HIV436" s="120"/>
      <c r="HIW436" s="120"/>
      <c r="HIX436" s="120"/>
      <c r="HIY436" s="120"/>
      <c r="HIZ436" s="120"/>
      <c r="HJA436" s="120"/>
      <c r="HJB436" s="120"/>
      <c r="HJC436" s="120"/>
      <c r="HJD436" s="120"/>
      <c r="HJE436" s="120"/>
      <c r="HJF436" s="120"/>
      <c r="HJG436" s="120"/>
      <c r="HJH436" s="120"/>
      <c r="HJI436" s="120"/>
      <c r="HJJ436" s="120"/>
      <c r="HJK436" s="120"/>
      <c r="HJL436" s="120"/>
      <c r="HJM436" s="120"/>
      <c r="HJN436" s="120"/>
      <c r="HJO436" s="120"/>
      <c r="HJP436" s="120"/>
      <c r="HJQ436" s="120"/>
      <c r="HJR436" s="120"/>
      <c r="HJS436" s="120"/>
      <c r="HJT436" s="120"/>
      <c r="HJU436" s="120"/>
      <c r="HJV436" s="120"/>
      <c r="HJW436" s="120"/>
      <c r="HJX436" s="120"/>
      <c r="HJY436" s="120"/>
      <c r="HJZ436" s="120"/>
      <c r="HKA436" s="120"/>
      <c r="HKB436" s="120"/>
      <c r="HKC436" s="120"/>
      <c r="HKD436" s="120"/>
      <c r="HKE436" s="120"/>
      <c r="HKF436" s="120"/>
      <c r="HKG436" s="120"/>
      <c r="HKH436" s="120"/>
      <c r="HKI436" s="120"/>
      <c r="HKJ436" s="120"/>
      <c r="HKK436" s="120"/>
      <c r="HKL436" s="120"/>
      <c r="HKM436" s="120"/>
      <c r="HKN436" s="120"/>
      <c r="HKO436" s="120"/>
      <c r="HKP436" s="120"/>
      <c r="HKQ436" s="120"/>
      <c r="HKR436" s="120"/>
      <c r="HKS436" s="120"/>
      <c r="HKT436" s="120"/>
      <c r="HKU436" s="120"/>
      <c r="HKV436" s="120"/>
      <c r="HKW436" s="120"/>
      <c r="HKX436" s="120"/>
      <c r="HKY436" s="120"/>
      <c r="HKZ436" s="120"/>
      <c r="HLA436" s="120"/>
      <c r="HLB436" s="120"/>
      <c r="HLC436" s="120"/>
      <c r="HLD436" s="120"/>
      <c r="HLE436" s="120"/>
      <c r="HLF436" s="120"/>
      <c r="HLG436" s="120"/>
      <c r="HLH436" s="120"/>
      <c r="HLI436" s="120"/>
      <c r="HLJ436" s="120"/>
      <c r="HLK436" s="120"/>
      <c r="HLL436" s="120"/>
      <c r="HLM436" s="120"/>
      <c r="HLN436" s="120"/>
      <c r="HLO436" s="120"/>
      <c r="HLP436" s="120"/>
      <c r="HLQ436" s="120"/>
      <c r="HLR436" s="120"/>
      <c r="HLS436" s="120"/>
      <c r="HLT436" s="120"/>
      <c r="HLU436" s="120"/>
      <c r="HLV436" s="120"/>
      <c r="HLW436" s="120"/>
      <c r="HLX436" s="120"/>
      <c r="HLY436" s="120"/>
      <c r="HLZ436" s="120"/>
      <c r="HMA436" s="120"/>
      <c r="HMB436" s="120"/>
      <c r="HMC436" s="120"/>
      <c r="HMD436" s="120"/>
      <c r="HME436" s="120"/>
      <c r="HMF436" s="120"/>
      <c r="HMG436" s="120"/>
      <c r="HMH436" s="120"/>
      <c r="HMI436" s="120"/>
      <c r="HMJ436" s="120"/>
      <c r="HMK436" s="120"/>
      <c r="HML436" s="120"/>
      <c r="HMM436" s="120"/>
      <c r="HMN436" s="120"/>
      <c r="HMO436" s="120"/>
      <c r="HMP436" s="120"/>
      <c r="HMQ436" s="120"/>
      <c r="HMR436" s="120"/>
      <c r="HMS436" s="120"/>
      <c r="HMT436" s="120"/>
      <c r="HMU436" s="120"/>
      <c r="HMV436" s="120"/>
      <c r="HMW436" s="120"/>
      <c r="HMX436" s="120"/>
      <c r="HMY436" s="120"/>
      <c r="HMZ436" s="120"/>
      <c r="HNA436" s="120"/>
      <c r="HNB436" s="120"/>
      <c r="HNC436" s="120"/>
      <c r="HND436" s="120"/>
      <c r="HNE436" s="120"/>
      <c r="HNF436" s="120"/>
      <c r="HNG436" s="120"/>
      <c r="HNH436" s="120"/>
      <c r="HNI436" s="120"/>
      <c r="HNJ436" s="120"/>
      <c r="HNK436" s="120"/>
      <c r="HNL436" s="120"/>
      <c r="HNM436" s="120"/>
      <c r="HNN436" s="120"/>
      <c r="HNO436" s="120"/>
      <c r="HNP436" s="120"/>
      <c r="HNQ436" s="120"/>
      <c r="HNR436" s="120"/>
      <c r="HNS436" s="120"/>
      <c r="HNT436" s="120"/>
      <c r="HNU436" s="120"/>
      <c r="HNV436" s="120"/>
      <c r="HNW436" s="120"/>
      <c r="HNX436" s="120"/>
      <c r="HNY436" s="120"/>
      <c r="HNZ436" s="120"/>
      <c r="HOA436" s="120"/>
      <c r="HOB436" s="120"/>
      <c r="HOC436" s="120"/>
      <c r="HOD436" s="120"/>
      <c r="HOE436" s="120"/>
      <c r="HOF436" s="120"/>
      <c r="HOG436" s="120"/>
      <c r="HOH436" s="120"/>
      <c r="HOI436" s="120"/>
      <c r="HOJ436" s="120"/>
      <c r="HOK436" s="120"/>
      <c r="HOL436" s="120"/>
      <c r="HOM436" s="120"/>
      <c r="HON436" s="120"/>
      <c r="HOO436" s="120"/>
      <c r="HOP436" s="120"/>
      <c r="HOQ436" s="120"/>
      <c r="HOR436" s="120"/>
      <c r="HOS436" s="120"/>
      <c r="HOT436" s="120"/>
      <c r="HOU436" s="120"/>
      <c r="HOV436" s="120"/>
      <c r="HOW436" s="120"/>
      <c r="HOX436" s="120"/>
      <c r="HOY436" s="120"/>
      <c r="HOZ436" s="120"/>
      <c r="HPA436" s="120"/>
      <c r="HPB436" s="120"/>
      <c r="HPC436" s="120"/>
      <c r="HPD436" s="120"/>
      <c r="HPE436" s="120"/>
      <c r="HPF436" s="120"/>
      <c r="HPG436" s="120"/>
      <c r="HPH436" s="120"/>
      <c r="HPI436" s="120"/>
      <c r="HPJ436" s="120"/>
      <c r="HPK436" s="120"/>
      <c r="HPL436" s="120"/>
      <c r="HPM436" s="120"/>
      <c r="HPN436" s="120"/>
      <c r="HPO436" s="120"/>
      <c r="HPP436" s="120"/>
      <c r="HPQ436" s="120"/>
      <c r="HPR436" s="120"/>
      <c r="HPS436" s="120"/>
      <c r="HPT436" s="120"/>
      <c r="HPU436" s="120"/>
      <c r="HPV436" s="120"/>
      <c r="HPW436" s="120"/>
      <c r="HPX436" s="120"/>
      <c r="HPY436" s="120"/>
      <c r="HPZ436" s="120"/>
      <c r="HQA436" s="120"/>
      <c r="HQB436" s="120"/>
      <c r="HQC436" s="120"/>
      <c r="HQD436" s="120"/>
      <c r="HQE436" s="120"/>
      <c r="HQF436" s="120"/>
      <c r="HQG436" s="120"/>
      <c r="HQH436" s="120"/>
      <c r="HQI436" s="120"/>
      <c r="HQJ436" s="120"/>
      <c r="HQK436" s="120"/>
      <c r="HQL436" s="120"/>
      <c r="HQM436" s="120"/>
      <c r="HQN436" s="120"/>
      <c r="HQO436" s="120"/>
      <c r="HQP436" s="120"/>
      <c r="HQQ436" s="120"/>
      <c r="HQR436" s="120"/>
      <c r="HQS436" s="120"/>
      <c r="HQT436" s="120"/>
      <c r="HQU436" s="120"/>
      <c r="HQV436" s="120"/>
      <c r="HQW436" s="120"/>
      <c r="HQX436" s="120"/>
      <c r="HQY436" s="120"/>
      <c r="HQZ436" s="120"/>
      <c r="HRA436" s="120"/>
      <c r="HRB436" s="120"/>
      <c r="HRC436" s="120"/>
      <c r="HRD436" s="120"/>
      <c r="HRE436" s="120"/>
      <c r="HRF436" s="120"/>
      <c r="HRG436" s="120"/>
      <c r="HRH436" s="120"/>
      <c r="HRI436" s="120"/>
      <c r="HRJ436" s="120"/>
      <c r="HRK436" s="120"/>
      <c r="HRL436" s="120"/>
      <c r="HRM436" s="120"/>
      <c r="HRN436" s="120"/>
      <c r="HRO436" s="120"/>
      <c r="HRP436" s="120"/>
      <c r="HRQ436" s="120"/>
      <c r="HRR436" s="120"/>
      <c r="HRS436" s="120"/>
      <c r="HRT436" s="120"/>
      <c r="HRU436" s="120"/>
      <c r="HRV436" s="120"/>
      <c r="HRW436" s="120"/>
      <c r="HRX436" s="120"/>
      <c r="HRY436" s="120"/>
      <c r="HRZ436" s="120"/>
      <c r="HSA436" s="120"/>
      <c r="HSB436" s="120"/>
      <c r="HSC436" s="120"/>
      <c r="HSD436" s="120"/>
      <c r="HSE436" s="120"/>
      <c r="HSF436" s="120"/>
      <c r="HSG436" s="120"/>
      <c r="HSH436" s="120"/>
      <c r="HSI436" s="120"/>
      <c r="HSJ436" s="120"/>
      <c r="HSK436" s="120"/>
      <c r="HSL436" s="120"/>
      <c r="HSM436" s="120"/>
      <c r="HSN436" s="120"/>
      <c r="HSO436" s="120"/>
      <c r="HSP436" s="120"/>
      <c r="HSQ436" s="120"/>
      <c r="HSR436" s="120"/>
      <c r="HSS436" s="120"/>
      <c r="HST436" s="120"/>
      <c r="HSU436" s="120"/>
      <c r="HSV436" s="120"/>
      <c r="HSW436" s="120"/>
      <c r="HSX436" s="120"/>
      <c r="HSY436" s="120"/>
      <c r="HSZ436" s="120"/>
      <c r="HTA436" s="120"/>
      <c r="HTB436" s="120"/>
      <c r="HTC436" s="120"/>
      <c r="HTD436" s="120"/>
      <c r="HTE436" s="120"/>
      <c r="HTF436" s="120"/>
      <c r="HTG436" s="120"/>
      <c r="HTH436" s="120"/>
      <c r="HTI436" s="120"/>
      <c r="HTJ436" s="120"/>
      <c r="HTK436" s="120"/>
      <c r="HTL436" s="120"/>
      <c r="HTM436" s="120"/>
      <c r="HTN436" s="120"/>
      <c r="HTO436" s="120"/>
      <c r="HTP436" s="120"/>
      <c r="HTQ436" s="120"/>
      <c r="HTR436" s="120"/>
      <c r="HTS436" s="120"/>
      <c r="HTT436" s="120"/>
      <c r="HTU436" s="120"/>
      <c r="HTV436" s="120"/>
      <c r="HTW436" s="120"/>
      <c r="HTX436" s="120"/>
      <c r="HTY436" s="120"/>
      <c r="HTZ436" s="120"/>
      <c r="HUA436" s="120"/>
      <c r="HUB436" s="120"/>
      <c r="HUC436" s="120"/>
      <c r="HUD436" s="120"/>
      <c r="HUE436" s="120"/>
      <c r="HUF436" s="120"/>
      <c r="HUG436" s="120"/>
      <c r="HUH436" s="120"/>
      <c r="HUI436" s="120"/>
      <c r="HUJ436" s="120"/>
      <c r="HUK436" s="120"/>
      <c r="HUL436" s="120"/>
      <c r="HUM436" s="120"/>
      <c r="HUN436" s="120"/>
      <c r="HUO436" s="120"/>
      <c r="HUP436" s="120"/>
      <c r="HUQ436" s="120"/>
      <c r="HUR436" s="120"/>
      <c r="HUS436" s="120"/>
      <c r="HUT436" s="120"/>
      <c r="HUU436" s="120"/>
      <c r="HUV436" s="120"/>
      <c r="HUW436" s="120"/>
      <c r="HUX436" s="120"/>
      <c r="HUY436" s="120"/>
      <c r="HUZ436" s="120"/>
      <c r="HVA436" s="120"/>
      <c r="HVB436" s="120"/>
      <c r="HVC436" s="120"/>
      <c r="HVD436" s="120"/>
      <c r="HVE436" s="120"/>
      <c r="HVF436" s="120"/>
      <c r="HVG436" s="120"/>
      <c r="HVH436" s="120"/>
      <c r="HVI436" s="120"/>
      <c r="HVJ436" s="120"/>
      <c r="HVK436" s="120"/>
      <c r="HVL436" s="120"/>
      <c r="HVM436" s="120"/>
      <c r="HVN436" s="120"/>
      <c r="HVO436" s="120"/>
      <c r="HVP436" s="120"/>
      <c r="HVQ436" s="120"/>
      <c r="HVR436" s="120"/>
      <c r="HVS436" s="120"/>
      <c r="HVT436" s="120"/>
      <c r="HVU436" s="120"/>
      <c r="HVV436" s="120"/>
      <c r="HVW436" s="120"/>
      <c r="HVX436" s="120"/>
      <c r="HVY436" s="120"/>
      <c r="HVZ436" s="120"/>
      <c r="HWA436" s="120"/>
      <c r="HWB436" s="120"/>
      <c r="HWC436" s="120"/>
      <c r="HWD436" s="120"/>
      <c r="HWE436" s="120"/>
      <c r="HWF436" s="120"/>
      <c r="HWG436" s="120"/>
      <c r="HWH436" s="120"/>
      <c r="HWI436" s="120"/>
      <c r="HWJ436" s="120"/>
      <c r="HWK436" s="120"/>
      <c r="HWL436" s="120"/>
      <c r="HWM436" s="120"/>
      <c r="HWN436" s="120"/>
      <c r="HWO436" s="120"/>
      <c r="HWP436" s="120"/>
      <c r="HWQ436" s="120"/>
      <c r="HWR436" s="120"/>
      <c r="HWS436" s="120"/>
      <c r="HWT436" s="120"/>
      <c r="HWU436" s="120"/>
      <c r="HWV436" s="120"/>
      <c r="HWW436" s="120"/>
      <c r="HWX436" s="120"/>
      <c r="HWY436" s="120"/>
      <c r="HWZ436" s="120"/>
      <c r="HXA436" s="120"/>
      <c r="HXB436" s="120"/>
      <c r="HXC436" s="120"/>
      <c r="HXD436" s="120"/>
      <c r="HXE436" s="120"/>
      <c r="HXF436" s="120"/>
      <c r="HXG436" s="120"/>
      <c r="HXH436" s="120"/>
      <c r="HXI436" s="120"/>
      <c r="HXJ436" s="120"/>
      <c r="HXK436" s="120"/>
      <c r="HXL436" s="120"/>
      <c r="HXM436" s="120"/>
      <c r="HXN436" s="120"/>
      <c r="HXO436" s="120"/>
      <c r="HXP436" s="120"/>
      <c r="HXQ436" s="120"/>
      <c r="HXR436" s="120"/>
      <c r="HXS436" s="120"/>
      <c r="HXT436" s="120"/>
      <c r="HXU436" s="120"/>
      <c r="HXV436" s="120"/>
      <c r="HXW436" s="120"/>
      <c r="HXX436" s="120"/>
      <c r="HXY436" s="120"/>
      <c r="HXZ436" s="120"/>
      <c r="HYA436" s="120"/>
      <c r="HYB436" s="120"/>
      <c r="HYC436" s="120"/>
      <c r="HYD436" s="120"/>
      <c r="HYE436" s="120"/>
      <c r="HYF436" s="120"/>
      <c r="HYG436" s="120"/>
      <c r="HYH436" s="120"/>
      <c r="HYI436" s="120"/>
      <c r="HYJ436" s="120"/>
      <c r="HYK436" s="120"/>
      <c r="HYL436" s="120"/>
      <c r="HYM436" s="120"/>
      <c r="HYN436" s="120"/>
      <c r="HYO436" s="120"/>
      <c r="HYP436" s="120"/>
      <c r="HYQ436" s="120"/>
      <c r="HYR436" s="120"/>
      <c r="HYS436" s="120"/>
      <c r="HYT436" s="120"/>
      <c r="HYU436" s="120"/>
      <c r="HYV436" s="120"/>
      <c r="HYW436" s="120"/>
      <c r="HYX436" s="120"/>
      <c r="HYY436" s="120"/>
      <c r="HYZ436" s="120"/>
      <c r="HZA436" s="120"/>
      <c r="HZB436" s="120"/>
      <c r="HZC436" s="120"/>
      <c r="HZD436" s="120"/>
      <c r="HZE436" s="120"/>
      <c r="HZF436" s="120"/>
      <c r="HZG436" s="120"/>
      <c r="HZH436" s="120"/>
      <c r="HZI436" s="120"/>
      <c r="HZJ436" s="120"/>
      <c r="HZK436" s="120"/>
      <c r="HZL436" s="120"/>
      <c r="HZM436" s="120"/>
      <c r="HZN436" s="120"/>
      <c r="HZO436" s="120"/>
      <c r="HZP436" s="120"/>
      <c r="HZQ436" s="120"/>
      <c r="HZR436" s="120"/>
      <c r="HZS436" s="120"/>
      <c r="HZT436" s="120"/>
      <c r="HZU436" s="120"/>
      <c r="HZV436" s="120"/>
      <c r="HZW436" s="120"/>
      <c r="HZX436" s="120"/>
      <c r="HZY436" s="120"/>
      <c r="HZZ436" s="120"/>
      <c r="IAA436" s="120"/>
      <c r="IAB436" s="120"/>
      <c r="IAC436" s="120"/>
      <c r="IAD436" s="120"/>
      <c r="IAE436" s="120"/>
      <c r="IAF436" s="120"/>
      <c r="IAG436" s="120"/>
      <c r="IAH436" s="120"/>
      <c r="IAI436" s="120"/>
      <c r="IAJ436" s="120"/>
      <c r="IAK436" s="120"/>
      <c r="IAL436" s="120"/>
      <c r="IAM436" s="120"/>
      <c r="IAN436" s="120"/>
      <c r="IAO436" s="120"/>
      <c r="IAP436" s="120"/>
      <c r="IAQ436" s="120"/>
      <c r="IAR436" s="120"/>
      <c r="IAS436" s="120"/>
      <c r="IAT436" s="120"/>
      <c r="IAU436" s="120"/>
      <c r="IAV436" s="120"/>
      <c r="IAW436" s="120"/>
      <c r="IAX436" s="120"/>
      <c r="IAY436" s="120"/>
      <c r="IAZ436" s="120"/>
      <c r="IBA436" s="120"/>
      <c r="IBB436" s="120"/>
      <c r="IBC436" s="120"/>
      <c r="IBD436" s="120"/>
      <c r="IBE436" s="120"/>
      <c r="IBF436" s="120"/>
      <c r="IBG436" s="120"/>
      <c r="IBH436" s="120"/>
      <c r="IBI436" s="120"/>
      <c r="IBJ436" s="120"/>
      <c r="IBK436" s="120"/>
      <c r="IBL436" s="120"/>
      <c r="IBM436" s="120"/>
      <c r="IBN436" s="120"/>
      <c r="IBO436" s="120"/>
      <c r="IBP436" s="120"/>
      <c r="IBQ436" s="120"/>
      <c r="IBR436" s="120"/>
      <c r="IBS436" s="120"/>
      <c r="IBT436" s="120"/>
      <c r="IBU436" s="120"/>
      <c r="IBV436" s="120"/>
      <c r="IBW436" s="120"/>
      <c r="IBX436" s="120"/>
      <c r="IBY436" s="120"/>
      <c r="IBZ436" s="120"/>
      <c r="ICA436" s="120"/>
      <c r="ICB436" s="120"/>
      <c r="ICC436" s="120"/>
      <c r="ICD436" s="120"/>
      <c r="ICE436" s="120"/>
      <c r="ICF436" s="120"/>
      <c r="ICG436" s="120"/>
      <c r="ICH436" s="120"/>
      <c r="ICI436" s="120"/>
      <c r="ICJ436" s="120"/>
      <c r="ICK436" s="120"/>
      <c r="ICL436" s="120"/>
      <c r="ICM436" s="120"/>
      <c r="ICN436" s="120"/>
      <c r="ICO436" s="120"/>
      <c r="ICP436" s="120"/>
      <c r="ICQ436" s="120"/>
      <c r="ICR436" s="120"/>
      <c r="ICS436" s="120"/>
      <c r="ICT436" s="120"/>
      <c r="ICU436" s="120"/>
      <c r="ICV436" s="120"/>
      <c r="ICW436" s="120"/>
      <c r="ICX436" s="120"/>
      <c r="ICY436" s="120"/>
      <c r="ICZ436" s="120"/>
      <c r="IDA436" s="120"/>
      <c r="IDB436" s="120"/>
      <c r="IDC436" s="120"/>
      <c r="IDD436" s="120"/>
      <c r="IDE436" s="120"/>
      <c r="IDF436" s="120"/>
      <c r="IDG436" s="120"/>
      <c r="IDH436" s="120"/>
      <c r="IDI436" s="120"/>
      <c r="IDJ436" s="120"/>
      <c r="IDK436" s="120"/>
      <c r="IDL436" s="120"/>
      <c r="IDM436" s="120"/>
      <c r="IDN436" s="120"/>
      <c r="IDO436" s="120"/>
      <c r="IDP436" s="120"/>
      <c r="IDQ436" s="120"/>
      <c r="IDR436" s="120"/>
      <c r="IDS436" s="120"/>
      <c r="IDT436" s="120"/>
      <c r="IDU436" s="120"/>
      <c r="IDV436" s="120"/>
      <c r="IDW436" s="120"/>
      <c r="IDX436" s="120"/>
      <c r="IDY436" s="120"/>
      <c r="IDZ436" s="120"/>
      <c r="IEA436" s="120"/>
      <c r="IEB436" s="120"/>
      <c r="IEC436" s="120"/>
      <c r="IED436" s="120"/>
      <c r="IEE436" s="120"/>
      <c r="IEF436" s="120"/>
      <c r="IEG436" s="120"/>
      <c r="IEH436" s="120"/>
      <c r="IEI436" s="120"/>
      <c r="IEJ436" s="120"/>
      <c r="IEK436" s="120"/>
      <c r="IEL436" s="120"/>
      <c r="IEM436" s="120"/>
      <c r="IEN436" s="120"/>
      <c r="IEO436" s="120"/>
      <c r="IEP436" s="120"/>
      <c r="IEQ436" s="120"/>
      <c r="IER436" s="120"/>
      <c r="IES436" s="120"/>
      <c r="IET436" s="120"/>
      <c r="IEU436" s="120"/>
      <c r="IEV436" s="120"/>
      <c r="IEW436" s="120"/>
      <c r="IEX436" s="120"/>
      <c r="IEY436" s="120"/>
      <c r="IEZ436" s="120"/>
      <c r="IFA436" s="120"/>
      <c r="IFB436" s="120"/>
      <c r="IFC436" s="120"/>
      <c r="IFD436" s="120"/>
      <c r="IFE436" s="120"/>
      <c r="IFF436" s="120"/>
      <c r="IFG436" s="120"/>
      <c r="IFH436" s="120"/>
      <c r="IFI436" s="120"/>
      <c r="IFJ436" s="120"/>
      <c r="IFK436" s="120"/>
      <c r="IFL436" s="120"/>
      <c r="IFM436" s="120"/>
      <c r="IFN436" s="120"/>
      <c r="IFO436" s="120"/>
      <c r="IFP436" s="120"/>
      <c r="IFQ436" s="120"/>
      <c r="IFR436" s="120"/>
      <c r="IFS436" s="120"/>
      <c r="IFT436" s="120"/>
      <c r="IFU436" s="120"/>
      <c r="IFV436" s="120"/>
      <c r="IFW436" s="120"/>
      <c r="IFX436" s="120"/>
      <c r="IFY436" s="120"/>
      <c r="IFZ436" s="120"/>
      <c r="IGA436" s="120"/>
      <c r="IGB436" s="120"/>
      <c r="IGC436" s="120"/>
      <c r="IGD436" s="120"/>
      <c r="IGE436" s="120"/>
      <c r="IGF436" s="120"/>
      <c r="IGG436" s="120"/>
      <c r="IGH436" s="120"/>
      <c r="IGI436" s="120"/>
      <c r="IGJ436" s="120"/>
      <c r="IGK436" s="120"/>
      <c r="IGL436" s="120"/>
      <c r="IGM436" s="120"/>
      <c r="IGN436" s="120"/>
      <c r="IGO436" s="120"/>
      <c r="IGP436" s="120"/>
      <c r="IGQ436" s="120"/>
      <c r="IGR436" s="120"/>
      <c r="IGS436" s="120"/>
      <c r="IGT436" s="120"/>
      <c r="IGU436" s="120"/>
      <c r="IGV436" s="120"/>
      <c r="IGW436" s="120"/>
      <c r="IGX436" s="120"/>
      <c r="IGY436" s="120"/>
      <c r="IGZ436" s="120"/>
      <c r="IHA436" s="120"/>
      <c r="IHB436" s="120"/>
      <c r="IHC436" s="120"/>
      <c r="IHD436" s="120"/>
      <c r="IHE436" s="120"/>
      <c r="IHF436" s="120"/>
      <c r="IHG436" s="120"/>
      <c r="IHH436" s="120"/>
      <c r="IHI436" s="120"/>
      <c r="IHJ436" s="120"/>
      <c r="IHK436" s="120"/>
      <c r="IHL436" s="120"/>
      <c r="IHM436" s="120"/>
      <c r="IHN436" s="120"/>
      <c r="IHO436" s="120"/>
      <c r="IHP436" s="120"/>
      <c r="IHQ436" s="120"/>
      <c r="IHR436" s="120"/>
      <c r="IHS436" s="120"/>
      <c r="IHT436" s="120"/>
      <c r="IHU436" s="120"/>
      <c r="IHV436" s="120"/>
      <c r="IHW436" s="120"/>
      <c r="IHX436" s="120"/>
      <c r="IHY436" s="120"/>
      <c r="IHZ436" s="120"/>
      <c r="IIA436" s="120"/>
      <c r="IIB436" s="120"/>
      <c r="IIC436" s="120"/>
      <c r="IID436" s="120"/>
      <c r="IIE436" s="120"/>
      <c r="IIF436" s="120"/>
      <c r="IIG436" s="120"/>
      <c r="IIH436" s="120"/>
      <c r="III436" s="120"/>
      <c r="IIJ436" s="120"/>
      <c r="IIK436" s="120"/>
      <c r="IIL436" s="120"/>
      <c r="IIM436" s="120"/>
      <c r="IIN436" s="120"/>
      <c r="IIO436" s="120"/>
      <c r="IIP436" s="120"/>
      <c r="IIQ436" s="120"/>
      <c r="IIR436" s="120"/>
      <c r="IIS436" s="120"/>
      <c r="IIT436" s="120"/>
      <c r="IIU436" s="120"/>
      <c r="IIV436" s="120"/>
      <c r="IIW436" s="120"/>
      <c r="IIX436" s="120"/>
      <c r="IIY436" s="120"/>
      <c r="IIZ436" s="120"/>
      <c r="IJA436" s="120"/>
      <c r="IJB436" s="120"/>
      <c r="IJC436" s="120"/>
      <c r="IJD436" s="120"/>
      <c r="IJE436" s="120"/>
      <c r="IJF436" s="120"/>
      <c r="IJG436" s="120"/>
      <c r="IJH436" s="120"/>
      <c r="IJI436" s="120"/>
      <c r="IJJ436" s="120"/>
      <c r="IJK436" s="120"/>
      <c r="IJL436" s="120"/>
      <c r="IJM436" s="120"/>
      <c r="IJN436" s="120"/>
      <c r="IJO436" s="120"/>
      <c r="IJP436" s="120"/>
      <c r="IJQ436" s="120"/>
      <c r="IJR436" s="120"/>
      <c r="IJS436" s="120"/>
      <c r="IJT436" s="120"/>
      <c r="IJU436" s="120"/>
      <c r="IJV436" s="120"/>
      <c r="IJW436" s="120"/>
      <c r="IJX436" s="120"/>
      <c r="IJY436" s="120"/>
      <c r="IJZ436" s="120"/>
      <c r="IKA436" s="120"/>
      <c r="IKB436" s="120"/>
      <c r="IKC436" s="120"/>
      <c r="IKD436" s="120"/>
      <c r="IKE436" s="120"/>
      <c r="IKF436" s="120"/>
      <c r="IKG436" s="120"/>
      <c r="IKH436" s="120"/>
      <c r="IKI436" s="120"/>
      <c r="IKJ436" s="120"/>
      <c r="IKK436" s="120"/>
      <c r="IKL436" s="120"/>
      <c r="IKM436" s="120"/>
      <c r="IKN436" s="120"/>
      <c r="IKO436" s="120"/>
      <c r="IKP436" s="120"/>
      <c r="IKQ436" s="120"/>
      <c r="IKR436" s="120"/>
      <c r="IKS436" s="120"/>
      <c r="IKT436" s="120"/>
      <c r="IKU436" s="120"/>
      <c r="IKV436" s="120"/>
      <c r="IKW436" s="120"/>
      <c r="IKX436" s="120"/>
      <c r="IKY436" s="120"/>
      <c r="IKZ436" s="120"/>
      <c r="ILA436" s="120"/>
      <c r="ILB436" s="120"/>
      <c r="ILC436" s="120"/>
      <c r="ILD436" s="120"/>
      <c r="ILE436" s="120"/>
      <c r="ILF436" s="120"/>
      <c r="ILG436" s="120"/>
      <c r="ILH436" s="120"/>
      <c r="ILI436" s="120"/>
      <c r="ILJ436" s="120"/>
      <c r="ILK436" s="120"/>
      <c r="ILL436" s="120"/>
      <c r="ILM436" s="120"/>
      <c r="ILN436" s="120"/>
      <c r="ILO436" s="120"/>
      <c r="ILP436" s="120"/>
      <c r="ILQ436" s="120"/>
      <c r="ILR436" s="120"/>
      <c r="ILS436" s="120"/>
      <c r="ILT436" s="120"/>
      <c r="ILU436" s="120"/>
      <c r="ILV436" s="120"/>
      <c r="ILW436" s="120"/>
      <c r="ILX436" s="120"/>
      <c r="ILY436" s="120"/>
      <c r="ILZ436" s="120"/>
      <c r="IMA436" s="120"/>
      <c r="IMB436" s="120"/>
      <c r="IMC436" s="120"/>
      <c r="IMD436" s="120"/>
      <c r="IME436" s="120"/>
      <c r="IMF436" s="120"/>
      <c r="IMG436" s="120"/>
      <c r="IMH436" s="120"/>
      <c r="IMI436" s="120"/>
      <c r="IMJ436" s="120"/>
      <c r="IMK436" s="120"/>
      <c r="IML436" s="120"/>
      <c r="IMM436" s="120"/>
      <c r="IMN436" s="120"/>
      <c r="IMO436" s="120"/>
      <c r="IMP436" s="120"/>
      <c r="IMQ436" s="120"/>
      <c r="IMR436" s="120"/>
      <c r="IMS436" s="120"/>
      <c r="IMT436" s="120"/>
      <c r="IMU436" s="120"/>
      <c r="IMV436" s="120"/>
      <c r="IMW436" s="120"/>
      <c r="IMX436" s="120"/>
      <c r="IMY436" s="120"/>
      <c r="IMZ436" s="120"/>
      <c r="INA436" s="120"/>
      <c r="INB436" s="120"/>
      <c r="INC436" s="120"/>
      <c r="IND436" s="120"/>
      <c r="INE436" s="120"/>
      <c r="INF436" s="120"/>
      <c r="ING436" s="120"/>
      <c r="INH436" s="120"/>
      <c r="INI436" s="120"/>
      <c r="INJ436" s="120"/>
      <c r="INK436" s="120"/>
      <c r="INL436" s="120"/>
      <c r="INM436" s="120"/>
      <c r="INN436" s="120"/>
      <c r="INO436" s="120"/>
      <c r="INP436" s="120"/>
      <c r="INQ436" s="120"/>
      <c r="INR436" s="120"/>
      <c r="INS436" s="120"/>
      <c r="INT436" s="120"/>
      <c r="INU436" s="120"/>
      <c r="INV436" s="120"/>
      <c r="INW436" s="120"/>
      <c r="INX436" s="120"/>
      <c r="INY436" s="120"/>
      <c r="INZ436" s="120"/>
      <c r="IOA436" s="120"/>
      <c r="IOB436" s="120"/>
      <c r="IOC436" s="120"/>
      <c r="IOD436" s="120"/>
      <c r="IOE436" s="120"/>
      <c r="IOF436" s="120"/>
      <c r="IOG436" s="120"/>
      <c r="IOH436" s="120"/>
      <c r="IOI436" s="120"/>
      <c r="IOJ436" s="120"/>
      <c r="IOK436" s="120"/>
      <c r="IOL436" s="120"/>
      <c r="IOM436" s="120"/>
      <c r="ION436" s="120"/>
      <c r="IOO436" s="120"/>
      <c r="IOP436" s="120"/>
      <c r="IOQ436" s="120"/>
      <c r="IOR436" s="120"/>
      <c r="IOS436" s="120"/>
      <c r="IOT436" s="120"/>
      <c r="IOU436" s="120"/>
      <c r="IOV436" s="120"/>
      <c r="IOW436" s="120"/>
      <c r="IOX436" s="120"/>
      <c r="IOY436" s="120"/>
      <c r="IOZ436" s="120"/>
      <c r="IPA436" s="120"/>
      <c r="IPB436" s="120"/>
      <c r="IPC436" s="120"/>
      <c r="IPD436" s="120"/>
      <c r="IPE436" s="120"/>
      <c r="IPF436" s="120"/>
      <c r="IPG436" s="120"/>
      <c r="IPH436" s="120"/>
      <c r="IPI436" s="120"/>
      <c r="IPJ436" s="120"/>
      <c r="IPK436" s="120"/>
      <c r="IPL436" s="120"/>
      <c r="IPM436" s="120"/>
      <c r="IPN436" s="120"/>
      <c r="IPO436" s="120"/>
      <c r="IPP436" s="120"/>
      <c r="IPQ436" s="120"/>
      <c r="IPR436" s="120"/>
      <c r="IPS436" s="120"/>
      <c r="IPT436" s="120"/>
      <c r="IPU436" s="120"/>
      <c r="IPV436" s="120"/>
      <c r="IPW436" s="120"/>
      <c r="IPX436" s="120"/>
      <c r="IPY436" s="120"/>
      <c r="IPZ436" s="120"/>
      <c r="IQA436" s="120"/>
      <c r="IQB436" s="120"/>
      <c r="IQC436" s="120"/>
      <c r="IQD436" s="120"/>
      <c r="IQE436" s="120"/>
      <c r="IQF436" s="120"/>
      <c r="IQG436" s="120"/>
      <c r="IQH436" s="120"/>
      <c r="IQI436" s="120"/>
      <c r="IQJ436" s="120"/>
      <c r="IQK436" s="120"/>
      <c r="IQL436" s="120"/>
      <c r="IQM436" s="120"/>
      <c r="IQN436" s="120"/>
      <c r="IQO436" s="120"/>
      <c r="IQP436" s="120"/>
      <c r="IQQ436" s="120"/>
      <c r="IQR436" s="120"/>
      <c r="IQS436" s="120"/>
      <c r="IQT436" s="120"/>
      <c r="IQU436" s="120"/>
      <c r="IQV436" s="120"/>
      <c r="IQW436" s="120"/>
      <c r="IQX436" s="120"/>
      <c r="IQY436" s="120"/>
      <c r="IQZ436" s="120"/>
      <c r="IRA436" s="120"/>
      <c r="IRB436" s="120"/>
      <c r="IRC436" s="120"/>
      <c r="IRD436" s="120"/>
      <c r="IRE436" s="120"/>
      <c r="IRF436" s="120"/>
      <c r="IRG436" s="120"/>
      <c r="IRH436" s="120"/>
      <c r="IRI436" s="120"/>
      <c r="IRJ436" s="120"/>
      <c r="IRK436" s="120"/>
      <c r="IRL436" s="120"/>
      <c r="IRM436" s="120"/>
      <c r="IRN436" s="120"/>
      <c r="IRO436" s="120"/>
      <c r="IRP436" s="120"/>
      <c r="IRQ436" s="120"/>
      <c r="IRR436" s="120"/>
      <c r="IRS436" s="120"/>
      <c r="IRT436" s="120"/>
      <c r="IRU436" s="120"/>
      <c r="IRV436" s="120"/>
      <c r="IRW436" s="120"/>
      <c r="IRX436" s="120"/>
      <c r="IRY436" s="120"/>
      <c r="IRZ436" s="120"/>
      <c r="ISA436" s="120"/>
      <c r="ISB436" s="120"/>
      <c r="ISC436" s="120"/>
      <c r="ISD436" s="120"/>
      <c r="ISE436" s="120"/>
      <c r="ISF436" s="120"/>
      <c r="ISG436" s="120"/>
      <c r="ISH436" s="120"/>
      <c r="ISI436" s="120"/>
      <c r="ISJ436" s="120"/>
      <c r="ISK436" s="120"/>
      <c r="ISL436" s="120"/>
      <c r="ISM436" s="120"/>
      <c r="ISN436" s="120"/>
      <c r="ISO436" s="120"/>
      <c r="ISP436" s="120"/>
      <c r="ISQ436" s="120"/>
      <c r="ISR436" s="120"/>
      <c r="ISS436" s="120"/>
      <c r="IST436" s="120"/>
      <c r="ISU436" s="120"/>
      <c r="ISV436" s="120"/>
      <c r="ISW436" s="120"/>
      <c r="ISX436" s="120"/>
      <c r="ISY436" s="120"/>
      <c r="ISZ436" s="120"/>
      <c r="ITA436" s="120"/>
      <c r="ITB436" s="120"/>
      <c r="ITC436" s="120"/>
      <c r="ITD436" s="120"/>
      <c r="ITE436" s="120"/>
      <c r="ITF436" s="120"/>
      <c r="ITG436" s="120"/>
      <c r="ITH436" s="120"/>
      <c r="ITI436" s="120"/>
      <c r="ITJ436" s="120"/>
      <c r="ITK436" s="120"/>
      <c r="ITL436" s="120"/>
      <c r="ITM436" s="120"/>
      <c r="ITN436" s="120"/>
      <c r="ITO436" s="120"/>
      <c r="ITP436" s="120"/>
      <c r="ITQ436" s="120"/>
      <c r="ITR436" s="120"/>
      <c r="ITS436" s="120"/>
      <c r="ITT436" s="120"/>
      <c r="ITU436" s="120"/>
      <c r="ITV436" s="120"/>
      <c r="ITW436" s="120"/>
      <c r="ITX436" s="120"/>
      <c r="ITY436" s="120"/>
      <c r="ITZ436" s="120"/>
      <c r="IUA436" s="120"/>
      <c r="IUB436" s="120"/>
      <c r="IUC436" s="120"/>
      <c r="IUD436" s="120"/>
      <c r="IUE436" s="120"/>
      <c r="IUF436" s="120"/>
      <c r="IUG436" s="120"/>
      <c r="IUH436" s="120"/>
      <c r="IUI436" s="120"/>
      <c r="IUJ436" s="120"/>
      <c r="IUK436" s="120"/>
      <c r="IUL436" s="120"/>
      <c r="IUM436" s="120"/>
      <c r="IUN436" s="120"/>
      <c r="IUO436" s="120"/>
      <c r="IUP436" s="120"/>
      <c r="IUQ436" s="120"/>
      <c r="IUR436" s="120"/>
      <c r="IUS436" s="120"/>
      <c r="IUT436" s="120"/>
      <c r="IUU436" s="120"/>
      <c r="IUV436" s="120"/>
      <c r="IUW436" s="120"/>
      <c r="IUX436" s="120"/>
      <c r="IUY436" s="120"/>
      <c r="IUZ436" s="120"/>
      <c r="IVA436" s="120"/>
      <c r="IVB436" s="120"/>
      <c r="IVC436" s="120"/>
      <c r="IVD436" s="120"/>
      <c r="IVE436" s="120"/>
      <c r="IVF436" s="120"/>
      <c r="IVG436" s="120"/>
      <c r="IVH436" s="120"/>
      <c r="IVI436" s="120"/>
      <c r="IVJ436" s="120"/>
      <c r="IVK436" s="120"/>
      <c r="IVL436" s="120"/>
      <c r="IVM436" s="120"/>
      <c r="IVN436" s="120"/>
      <c r="IVO436" s="120"/>
      <c r="IVP436" s="120"/>
      <c r="IVQ436" s="120"/>
      <c r="IVR436" s="120"/>
      <c r="IVS436" s="120"/>
      <c r="IVT436" s="120"/>
      <c r="IVU436" s="120"/>
      <c r="IVV436" s="120"/>
      <c r="IVW436" s="120"/>
      <c r="IVX436" s="120"/>
      <c r="IVY436" s="120"/>
      <c r="IVZ436" s="120"/>
      <c r="IWA436" s="120"/>
      <c r="IWB436" s="120"/>
      <c r="IWC436" s="120"/>
      <c r="IWD436" s="120"/>
      <c r="IWE436" s="120"/>
      <c r="IWF436" s="120"/>
      <c r="IWG436" s="120"/>
      <c r="IWH436" s="120"/>
      <c r="IWI436" s="120"/>
      <c r="IWJ436" s="120"/>
      <c r="IWK436" s="120"/>
      <c r="IWL436" s="120"/>
      <c r="IWM436" s="120"/>
      <c r="IWN436" s="120"/>
      <c r="IWO436" s="120"/>
      <c r="IWP436" s="120"/>
      <c r="IWQ436" s="120"/>
      <c r="IWR436" s="120"/>
      <c r="IWS436" s="120"/>
      <c r="IWT436" s="120"/>
      <c r="IWU436" s="120"/>
      <c r="IWV436" s="120"/>
      <c r="IWW436" s="120"/>
      <c r="IWX436" s="120"/>
      <c r="IWY436" s="120"/>
      <c r="IWZ436" s="120"/>
      <c r="IXA436" s="120"/>
      <c r="IXB436" s="120"/>
      <c r="IXC436" s="120"/>
      <c r="IXD436" s="120"/>
      <c r="IXE436" s="120"/>
      <c r="IXF436" s="120"/>
      <c r="IXG436" s="120"/>
      <c r="IXH436" s="120"/>
      <c r="IXI436" s="120"/>
      <c r="IXJ436" s="120"/>
      <c r="IXK436" s="120"/>
      <c r="IXL436" s="120"/>
      <c r="IXM436" s="120"/>
      <c r="IXN436" s="120"/>
      <c r="IXO436" s="120"/>
      <c r="IXP436" s="120"/>
      <c r="IXQ436" s="120"/>
      <c r="IXR436" s="120"/>
      <c r="IXS436" s="120"/>
      <c r="IXT436" s="120"/>
      <c r="IXU436" s="120"/>
      <c r="IXV436" s="120"/>
      <c r="IXW436" s="120"/>
      <c r="IXX436" s="120"/>
      <c r="IXY436" s="120"/>
      <c r="IXZ436" s="120"/>
      <c r="IYA436" s="120"/>
      <c r="IYB436" s="120"/>
      <c r="IYC436" s="120"/>
      <c r="IYD436" s="120"/>
      <c r="IYE436" s="120"/>
      <c r="IYF436" s="120"/>
      <c r="IYG436" s="120"/>
      <c r="IYH436" s="120"/>
      <c r="IYI436" s="120"/>
      <c r="IYJ436" s="120"/>
      <c r="IYK436" s="120"/>
      <c r="IYL436" s="120"/>
      <c r="IYM436" s="120"/>
      <c r="IYN436" s="120"/>
      <c r="IYO436" s="120"/>
      <c r="IYP436" s="120"/>
      <c r="IYQ436" s="120"/>
      <c r="IYR436" s="120"/>
      <c r="IYS436" s="120"/>
      <c r="IYT436" s="120"/>
      <c r="IYU436" s="120"/>
      <c r="IYV436" s="120"/>
      <c r="IYW436" s="120"/>
      <c r="IYX436" s="120"/>
      <c r="IYY436" s="120"/>
      <c r="IYZ436" s="120"/>
      <c r="IZA436" s="120"/>
      <c r="IZB436" s="120"/>
      <c r="IZC436" s="120"/>
      <c r="IZD436" s="120"/>
      <c r="IZE436" s="120"/>
      <c r="IZF436" s="120"/>
      <c r="IZG436" s="120"/>
      <c r="IZH436" s="120"/>
      <c r="IZI436" s="120"/>
      <c r="IZJ436" s="120"/>
      <c r="IZK436" s="120"/>
      <c r="IZL436" s="120"/>
      <c r="IZM436" s="120"/>
      <c r="IZN436" s="120"/>
      <c r="IZO436" s="120"/>
      <c r="IZP436" s="120"/>
      <c r="IZQ436" s="120"/>
      <c r="IZR436" s="120"/>
      <c r="IZS436" s="120"/>
      <c r="IZT436" s="120"/>
      <c r="IZU436" s="120"/>
      <c r="IZV436" s="120"/>
      <c r="IZW436" s="120"/>
      <c r="IZX436" s="120"/>
      <c r="IZY436" s="120"/>
      <c r="IZZ436" s="120"/>
      <c r="JAA436" s="120"/>
      <c r="JAB436" s="120"/>
      <c r="JAC436" s="120"/>
      <c r="JAD436" s="120"/>
      <c r="JAE436" s="120"/>
      <c r="JAF436" s="120"/>
      <c r="JAG436" s="120"/>
      <c r="JAH436" s="120"/>
      <c r="JAI436" s="120"/>
      <c r="JAJ436" s="120"/>
      <c r="JAK436" s="120"/>
      <c r="JAL436" s="120"/>
      <c r="JAM436" s="120"/>
      <c r="JAN436" s="120"/>
      <c r="JAO436" s="120"/>
      <c r="JAP436" s="120"/>
      <c r="JAQ436" s="120"/>
      <c r="JAR436" s="120"/>
      <c r="JAS436" s="120"/>
      <c r="JAT436" s="120"/>
      <c r="JAU436" s="120"/>
      <c r="JAV436" s="120"/>
      <c r="JAW436" s="120"/>
      <c r="JAX436" s="120"/>
      <c r="JAY436" s="120"/>
      <c r="JAZ436" s="120"/>
      <c r="JBA436" s="120"/>
      <c r="JBB436" s="120"/>
      <c r="JBC436" s="120"/>
      <c r="JBD436" s="120"/>
      <c r="JBE436" s="120"/>
      <c r="JBF436" s="120"/>
      <c r="JBG436" s="120"/>
      <c r="JBH436" s="120"/>
      <c r="JBI436" s="120"/>
      <c r="JBJ436" s="120"/>
      <c r="JBK436" s="120"/>
      <c r="JBL436" s="120"/>
      <c r="JBM436" s="120"/>
      <c r="JBN436" s="120"/>
      <c r="JBO436" s="120"/>
      <c r="JBP436" s="120"/>
      <c r="JBQ436" s="120"/>
      <c r="JBR436" s="120"/>
      <c r="JBS436" s="120"/>
      <c r="JBT436" s="120"/>
      <c r="JBU436" s="120"/>
      <c r="JBV436" s="120"/>
      <c r="JBW436" s="120"/>
      <c r="JBX436" s="120"/>
      <c r="JBY436" s="120"/>
      <c r="JBZ436" s="120"/>
      <c r="JCA436" s="120"/>
      <c r="JCB436" s="120"/>
      <c r="JCC436" s="120"/>
      <c r="JCD436" s="120"/>
      <c r="JCE436" s="120"/>
      <c r="JCF436" s="120"/>
      <c r="JCG436" s="120"/>
      <c r="JCH436" s="120"/>
      <c r="JCI436" s="120"/>
      <c r="JCJ436" s="120"/>
      <c r="JCK436" s="120"/>
      <c r="JCL436" s="120"/>
      <c r="JCM436" s="120"/>
      <c r="JCN436" s="120"/>
      <c r="JCO436" s="120"/>
      <c r="JCP436" s="120"/>
      <c r="JCQ436" s="120"/>
      <c r="JCR436" s="120"/>
      <c r="JCS436" s="120"/>
      <c r="JCT436" s="120"/>
      <c r="JCU436" s="120"/>
      <c r="JCV436" s="120"/>
      <c r="JCW436" s="120"/>
      <c r="JCX436" s="120"/>
      <c r="JCY436" s="120"/>
      <c r="JCZ436" s="120"/>
      <c r="JDA436" s="120"/>
      <c r="JDB436" s="120"/>
      <c r="JDC436" s="120"/>
      <c r="JDD436" s="120"/>
      <c r="JDE436" s="120"/>
      <c r="JDF436" s="120"/>
      <c r="JDG436" s="120"/>
      <c r="JDH436" s="120"/>
      <c r="JDI436" s="120"/>
      <c r="JDJ436" s="120"/>
      <c r="JDK436" s="120"/>
      <c r="JDL436" s="120"/>
      <c r="JDM436" s="120"/>
      <c r="JDN436" s="120"/>
      <c r="JDO436" s="120"/>
      <c r="JDP436" s="120"/>
      <c r="JDQ436" s="120"/>
      <c r="JDR436" s="120"/>
      <c r="JDS436" s="120"/>
      <c r="JDT436" s="120"/>
      <c r="JDU436" s="120"/>
      <c r="JDV436" s="120"/>
      <c r="JDW436" s="120"/>
      <c r="JDX436" s="120"/>
      <c r="JDY436" s="120"/>
      <c r="JDZ436" s="120"/>
      <c r="JEA436" s="120"/>
      <c r="JEB436" s="120"/>
      <c r="JEC436" s="120"/>
      <c r="JED436" s="120"/>
      <c r="JEE436" s="120"/>
      <c r="JEF436" s="120"/>
      <c r="JEG436" s="120"/>
      <c r="JEH436" s="120"/>
      <c r="JEI436" s="120"/>
      <c r="JEJ436" s="120"/>
      <c r="JEK436" s="120"/>
      <c r="JEL436" s="120"/>
      <c r="JEM436" s="120"/>
      <c r="JEN436" s="120"/>
      <c r="JEO436" s="120"/>
      <c r="JEP436" s="120"/>
      <c r="JEQ436" s="120"/>
      <c r="JER436" s="120"/>
      <c r="JES436" s="120"/>
      <c r="JET436" s="120"/>
      <c r="JEU436" s="120"/>
      <c r="JEV436" s="120"/>
      <c r="JEW436" s="120"/>
      <c r="JEX436" s="120"/>
      <c r="JEY436" s="120"/>
      <c r="JEZ436" s="120"/>
      <c r="JFA436" s="120"/>
      <c r="JFB436" s="120"/>
      <c r="JFC436" s="120"/>
      <c r="JFD436" s="120"/>
      <c r="JFE436" s="120"/>
      <c r="JFF436" s="120"/>
      <c r="JFG436" s="120"/>
      <c r="JFH436" s="120"/>
      <c r="JFI436" s="120"/>
      <c r="JFJ436" s="120"/>
      <c r="JFK436" s="120"/>
      <c r="JFL436" s="120"/>
      <c r="JFM436" s="120"/>
      <c r="JFN436" s="120"/>
      <c r="JFO436" s="120"/>
      <c r="JFP436" s="120"/>
      <c r="JFQ436" s="120"/>
      <c r="JFR436" s="120"/>
      <c r="JFS436" s="120"/>
      <c r="JFT436" s="120"/>
      <c r="JFU436" s="120"/>
      <c r="JFV436" s="120"/>
      <c r="JFW436" s="120"/>
      <c r="JFX436" s="120"/>
      <c r="JFY436" s="120"/>
      <c r="JFZ436" s="120"/>
      <c r="JGA436" s="120"/>
      <c r="JGB436" s="120"/>
      <c r="JGC436" s="120"/>
      <c r="JGD436" s="120"/>
      <c r="JGE436" s="120"/>
      <c r="JGF436" s="120"/>
      <c r="JGG436" s="120"/>
      <c r="JGH436" s="120"/>
      <c r="JGI436" s="120"/>
      <c r="JGJ436" s="120"/>
      <c r="JGK436" s="120"/>
      <c r="JGL436" s="120"/>
      <c r="JGM436" s="120"/>
      <c r="JGN436" s="120"/>
      <c r="JGO436" s="120"/>
      <c r="JGP436" s="120"/>
      <c r="JGQ436" s="120"/>
      <c r="JGR436" s="120"/>
      <c r="JGS436" s="120"/>
      <c r="JGT436" s="120"/>
      <c r="JGU436" s="120"/>
      <c r="JGV436" s="120"/>
      <c r="JGW436" s="120"/>
      <c r="JGX436" s="120"/>
      <c r="JGY436" s="120"/>
      <c r="JGZ436" s="120"/>
      <c r="JHA436" s="120"/>
      <c r="JHB436" s="120"/>
      <c r="JHC436" s="120"/>
      <c r="JHD436" s="120"/>
      <c r="JHE436" s="120"/>
      <c r="JHF436" s="120"/>
      <c r="JHG436" s="120"/>
      <c r="JHH436" s="120"/>
      <c r="JHI436" s="120"/>
      <c r="JHJ436" s="120"/>
      <c r="JHK436" s="120"/>
      <c r="JHL436" s="120"/>
      <c r="JHM436" s="120"/>
      <c r="JHN436" s="120"/>
      <c r="JHO436" s="120"/>
      <c r="JHP436" s="120"/>
      <c r="JHQ436" s="120"/>
      <c r="JHR436" s="120"/>
      <c r="JHS436" s="120"/>
      <c r="JHT436" s="120"/>
      <c r="JHU436" s="120"/>
      <c r="JHV436" s="120"/>
      <c r="JHW436" s="120"/>
      <c r="JHX436" s="120"/>
      <c r="JHY436" s="120"/>
      <c r="JHZ436" s="120"/>
      <c r="JIA436" s="120"/>
      <c r="JIB436" s="120"/>
      <c r="JIC436" s="120"/>
      <c r="JID436" s="120"/>
      <c r="JIE436" s="120"/>
      <c r="JIF436" s="120"/>
      <c r="JIG436" s="120"/>
      <c r="JIH436" s="120"/>
      <c r="JII436" s="120"/>
      <c r="JIJ436" s="120"/>
      <c r="JIK436" s="120"/>
      <c r="JIL436" s="120"/>
      <c r="JIM436" s="120"/>
      <c r="JIN436" s="120"/>
      <c r="JIO436" s="120"/>
      <c r="JIP436" s="120"/>
      <c r="JIQ436" s="120"/>
      <c r="JIR436" s="120"/>
      <c r="JIS436" s="120"/>
      <c r="JIT436" s="120"/>
      <c r="JIU436" s="120"/>
      <c r="JIV436" s="120"/>
      <c r="JIW436" s="120"/>
      <c r="JIX436" s="120"/>
      <c r="JIY436" s="120"/>
      <c r="JIZ436" s="120"/>
      <c r="JJA436" s="120"/>
      <c r="JJB436" s="120"/>
      <c r="JJC436" s="120"/>
      <c r="JJD436" s="120"/>
      <c r="JJE436" s="120"/>
      <c r="JJF436" s="120"/>
      <c r="JJG436" s="120"/>
      <c r="JJH436" s="120"/>
      <c r="JJI436" s="120"/>
      <c r="JJJ436" s="120"/>
      <c r="JJK436" s="120"/>
      <c r="JJL436" s="120"/>
      <c r="JJM436" s="120"/>
      <c r="JJN436" s="120"/>
      <c r="JJO436" s="120"/>
      <c r="JJP436" s="120"/>
      <c r="JJQ436" s="120"/>
      <c r="JJR436" s="120"/>
      <c r="JJS436" s="120"/>
      <c r="JJT436" s="120"/>
      <c r="JJU436" s="120"/>
      <c r="JJV436" s="120"/>
      <c r="JJW436" s="120"/>
      <c r="JJX436" s="120"/>
      <c r="JJY436" s="120"/>
      <c r="JJZ436" s="120"/>
      <c r="JKA436" s="120"/>
      <c r="JKB436" s="120"/>
      <c r="JKC436" s="120"/>
      <c r="JKD436" s="120"/>
      <c r="JKE436" s="120"/>
      <c r="JKF436" s="120"/>
      <c r="JKG436" s="120"/>
      <c r="JKH436" s="120"/>
      <c r="JKI436" s="120"/>
      <c r="JKJ436" s="120"/>
      <c r="JKK436" s="120"/>
      <c r="JKL436" s="120"/>
      <c r="JKM436" s="120"/>
      <c r="JKN436" s="120"/>
      <c r="JKO436" s="120"/>
      <c r="JKP436" s="120"/>
      <c r="JKQ436" s="120"/>
      <c r="JKR436" s="120"/>
      <c r="JKS436" s="120"/>
      <c r="JKT436" s="120"/>
      <c r="JKU436" s="120"/>
      <c r="JKV436" s="120"/>
      <c r="JKW436" s="120"/>
      <c r="JKX436" s="120"/>
      <c r="JKY436" s="120"/>
      <c r="JKZ436" s="120"/>
      <c r="JLA436" s="120"/>
      <c r="JLB436" s="120"/>
      <c r="JLC436" s="120"/>
      <c r="JLD436" s="120"/>
      <c r="JLE436" s="120"/>
      <c r="JLF436" s="120"/>
      <c r="JLG436" s="120"/>
      <c r="JLH436" s="120"/>
      <c r="JLI436" s="120"/>
      <c r="JLJ436" s="120"/>
      <c r="JLK436" s="120"/>
      <c r="JLL436" s="120"/>
      <c r="JLM436" s="120"/>
      <c r="JLN436" s="120"/>
      <c r="JLO436" s="120"/>
      <c r="JLP436" s="120"/>
      <c r="JLQ436" s="120"/>
      <c r="JLR436" s="120"/>
      <c r="JLS436" s="120"/>
      <c r="JLT436" s="120"/>
      <c r="JLU436" s="120"/>
      <c r="JLV436" s="120"/>
      <c r="JLW436" s="120"/>
      <c r="JLX436" s="120"/>
      <c r="JLY436" s="120"/>
      <c r="JLZ436" s="120"/>
      <c r="JMA436" s="120"/>
      <c r="JMB436" s="120"/>
      <c r="JMC436" s="120"/>
      <c r="JMD436" s="120"/>
      <c r="JME436" s="120"/>
      <c r="JMF436" s="120"/>
      <c r="JMG436" s="120"/>
      <c r="JMH436" s="120"/>
      <c r="JMI436" s="120"/>
      <c r="JMJ436" s="120"/>
      <c r="JMK436" s="120"/>
      <c r="JML436" s="120"/>
      <c r="JMM436" s="120"/>
      <c r="JMN436" s="120"/>
      <c r="JMO436" s="120"/>
      <c r="JMP436" s="120"/>
      <c r="JMQ436" s="120"/>
      <c r="JMR436" s="120"/>
      <c r="JMS436" s="120"/>
      <c r="JMT436" s="120"/>
      <c r="JMU436" s="120"/>
      <c r="JMV436" s="120"/>
      <c r="JMW436" s="120"/>
      <c r="JMX436" s="120"/>
      <c r="JMY436" s="120"/>
      <c r="JMZ436" s="120"/>
      <c r="JNA436" s="120"/>
      <c r="JNB436" s="120"/>
      <c r="JNC436" s="120"/>
      <c r="JND436" s="120"/>
      <c r="JNE436" s="120"/>
      <c r="JNF436" s="120"/>
      <c r="JNG436" s="120"/>
      <c r="JNH436" s="120"/>
      <c r="JNI436" s="120"/>
      <c r="JNJ436" s="120"/>
      <c r="JNK436" s="120"/>
      <c r="JNL436" s="120"/>
      <c r="JNM436" s="120"/>
      <c r="JNN436" s="120"/>
      <c r="JNO436" s="120"/>
      <c r="JNP436" s="120"/>
      <c r="JNQ436" s="120"/>
      <c r="JNR436" s="120"/>
      <c r="JNS436" s="120"/>
      <c r="JNT436" s="120"/>
      <c r="JNU436" s="120"/>
      <c r="JNV436" s="120"/>
      <c r="JNW436" s="120"/>
      <c r="JNX436" s="120"/>
      <c r="JNY436" s="120"/>
      <c r="JNZ436" s="120"/>
      <c r="JOA436" s="120"/>
      <c r="JOB436" s="120"/>
      <c r="JOC436" s="120"/>
      <c r="JOD436" s="120"/>
      <c r="JOE436" s="120"/>
      <c r="JOF436" s="120"/>
      <c r="JOG436" s="120"/>
      <c r="JOH436" s="120"/>
      <c r="JOI436" s="120"/>
      <c r="JOJ436" s="120"/>
      <c r="JOK436" s="120"/>
      <c r="JOL436" s="120"/>
      <c r="JOM436" s="120"/>
      <c r="JON436" s="120"/>
      <c r="JOO436" s="120"/>
      <c r="JOP436" s="120"/>
      <c r="JOQ436" s="120"/>
      <c r="JOR436" s="120"/>
      <c r="JOS436" s="120"/>
      <c r="JOT436" s="120"/>
      <c r="JOU436" s="120"/>
      <c r="JOV436" s="120"/>
      <c r="JOW436" s="120"/>
      <c r="JOX436" s="120"/>
      <c r="JOY436" s="120"/>
      <c r="JOZ436" s="120"/>
      <c r="JPA436" s="120"/>
      <c r="JPB436" s="120"/>
      <c r="JPC436" s="120"/>
      <c r="JPD436" s="120"/>
      <c r="JPE436" s="120"/>
      <c r="JPF436" s="120"/>
      <c r="JPG436" s="120"/>
      <c r="JPH436" s="120"/>
      <c r="JPI436" s="120"/>
      <c r="JPJ436" s="120"/>
      <c r="JPK436" s="120"/>
      <c r="JPL436" s="120"/>
      <c r="JPM436" s="120"/>
      <c r="JPN436" s="120"/>
      <c r="JPO436" s="120"/>
      <c r="JPP436" s="120"/>
      <c r="JPQ436" s="120"/>
      <c r="JPR436" s="120"/>
      <c r="JPS436" s="120"/>
      <c r="JPT436" s="120"/>
      <c r="JPU436" s="120"/>
      <c r="JPV436" s="120"/>
      <c r="JPW436" s="120"/>
      <c r="JPX436" s="120"/>
      <c r="JPY436" s="120"/>
      <c r="JPZ436" s="120"/>
      <c r="JQA436" s="120"/>
      <c r="JQB436" s="120"/>
      <c r="JQC436" s="120"/>
      <c r="JQD436" s="120"/>
      <c r="JQE436" s="120"/>
      <c r="JQF436" s="120"/>
      <c r="JQG436" s="120"/>
      <c r="JQH436" s="120"/>
      <c r="JQI436" s="120"/>
      <c r="JQJ436" s="120"/>
      <c r="JQK436" s="120"/>
      <c r="JQL436" s="120"/>
      <c r="JQM436" s="120"/>
      <c r="JQN436" s="120"/>
      <c r="JQO436" s="120"/>
      <c r="JQP436" s="120"/>
      <c r="JQQ436" s="120"/>
      <c r="JQR436" s="120"/>
      <c r="JQS436" s="120"/>
      <c r="JQT436" s="120"/>
      <c r="JQU436" s="120"/>
      <c r="JQV436" s="120"/>
      <c r="JQW436" s="120"/>
      <c r="JQX436" s="120"/>
      <c r="JQY436" s="120"/>
      <c r="JQZ436" s="120"/>
      <c r="JRA436" s="120"/>
      <c r="JRB436" s="120"/>
      <c r="JRC436" s="120"/>
      <c r="JRD436" s="120"/>
      <c r="JRE436" s="120"/>
      <c r="JRF436" s="120"/>
      <c r="JRG436" s="120"/>
      <c r="JRH436" s="120"/>
      <c r="JRI436" s="120"/>
      <c r="JRJ436" s="120"/>
      <c r="JRK436" s="120"/>
      <c r="JRL436" s="120"/>
      <c r="JRM436" s="120"/>
      <c r="JRN436" s="120"/>
      <c r="JRO436" s="120"/>
      <c r="JRP436" s="120"/>
      <c r="JRQ436" s="120"/>
      <c r="JRR436" s="120"/>
      <c r="JRS436" s="120"/>
      <c r="JRT436" s="120"/>
      <c r="JRU436" s="120"/>
      <c r="JRV436" s="120"/>
      <c r="JRW436" s="120"/>
      <c r="JRX436" s="120"/>
      <c r="JRY436" s="120"/>
      <c r="JRZ436" s="120"/>
      <c r="JSA436" s="120"/>
      <c r="JSB436" s="120"/>
      <c r="JSC436" s="120"/>
      <c r="JSD436" s="120"/>
      <c r="JSE436" s="120"/>
      <c r="JSF436" s="120"/>
      <c r="JSG436" s="120"/>
      <c r="JSH436" s="120"/>
      <c r="JSI436" s="120"/>
      <c r="JSJ436" s="120"/>
      <c r="JSK436" s="120"/>
      <c r="JSL436" s="120"/>
      <c r="JSM436" s="120"/>
      <c r="JSN436" s="120"/>
      <c r="JSO436" s="120"/>
      <c r="JSP436" s="120"/>
      <c r="JSQ436" s="120"/>
      <c r="JSR436" s="120"/>
      <c r="JSS436" s="120"/>
      <c r="JST436" s="120"/>
      <c r="JSU436" s="120"/>
      <c r="JSV436" s="120"/>
      <c r="JSW436" s="120"/>
      <c r="JSX436" s="120"/>
      <c r="JSY436" s="120"/>
      <c r="JSZ436" s="120"/>
      <c r="JTA436" s="120"/>
      <c r="JTB436" s="120"/>
      <c r="JTC436" s="120"/>
      <c r="JTD436" s="120"/>
      <c r="JTE436" s="120"/>
      <c r="JTF436" s="120"/>
      <c r="JTG436" s="120"/>
      <c r="JTH436" s="120"/>
      <c r="JTI436" s="120"/>
      <c r="JTJ436" s="120"/>
      <c r="JTK436" s="120"/>
      <c r="JTL436" s="120"/>
      <c r="JTM436" s="120"/>
      <c r="JTN436" s="120"/>
      <c r="JTO436" s="120"/>
      <c r="JTP436" s="120"/>
      <c r="JTQ436" s="120"/>
      <c r="JTR436" s="120"/>
      <c r="JTS436" s="120"/>
      <c r="JTT436" s="120"/>
      <c r="JTU436" s="120"/>
      <c r="JTV436" s="120"/>
      <c r="JTW436" s="120"/>
      <c r="JTX436" s="120"/>
      <c r="JTY436" s="120"/>
      <c r="JTZ436" s="120"/>
      <c r="JUA436" s="120"/>
      <c r="JUB436" s="120"/>
      <c r="JUC436" s="120"/>
      <c r="JUD436" s="120"/>
      <c r="JUE436" s="120"/>
      <c r="JUF436" s="120"/>
      <c r="JUG436" s="120"/>
      <c r="JUH436" s="120"/>
      <c r="JUI436" s="120"/>
      <c r="JUJ436" s="120"/>
      <c r="JUK436" s="120"/>
      <c r="JUL436" s="120"/>
      <c r="JUM436" s="120"/>
      <c r="JUN436" s="120"/>
      <c r="JUO436" s="120"/>
      <c r="JUP436" s="120"/>
      <c r="JUQ436" s="120"/>
      <c r="JUR436" s="120"/>
      <c r="JUS436" s="120"/>
      <c r="JUT436" s="120"/>
      <c r="JUU436" s="120"/>
      <c r="JUV436" s="120"/>
      <c r="JUW436" s="120"/>
      <c r="JUX436" s="120"/>
      <c r="JUY436" s="120"/>
      <c r="JUZ436" s="120"/>
      <c r="JVA436" s="120"/>
      <c r="JVB436" s="120"/>
      <c r="JVC436" s="120"/>
      <c r="JVD436" s="120"/>
      <c r="JVE436" s="120"/>
      <c r="JVF436" s="120"/>
      <c r="JVG436" s="120"/>
      <c r="JVH436" s="120"/>
      <c r="JVI436" s="120"/>
      <c r="JVJ436" s="120"/>
      <c r="JVK436" s="120"/>
      <c r="JVL436" s="120"/>
      <c r="JVM436" s="120"/>
      <c r="JVN436" s="120"/>
      <c r="JVO436" s="120"/>
      <c r="JVP436" s="120"/>
      <c r="JVQ436" s="120"/>
      <c r="JVR436" s="120"/>
      <c r="JVS436" s="120"/>
      <c r="JVT436" s="120"/>
      <c r="JVU436" s="120"/>
      <c r="JVV436" s="120"/>
      <c r="JVW436" s="120"/>
      <c r="JVX436" s="120"/>
      <c r="JVY436" s="120"/>
      <c r="JVZ436" s="120"/>
      <c r="JWA436" s="120"/>
      <c r="JWB436" s="120"/>
      <c r="JWC436" s="120"/>
      <c r="JWD436" s="120"/>
      <c r="JWE436" s="120"/>
      <c r="JWF436" s="120"/>
      <c r="JWG436" s="120"/>
      <c r="JWH436" s="120"/>
      <c r="JWI436" s="120"/>
      <c r="JWJ436" s="120"/>
      <c r="JWK436" s="120"/>
      <c r="JWL436" s="120"/>
      <c r="JWM436" s="120"/>
      <c r="JWN436" s="120"/>
      <c r="JWO436" s="120"/>
      <c r="JWP436" s="120"/>
      <c r="JWQ436" s="120"/>
      <c r="JWR436" s="120"/>
      <c r="JWS436" s="120"/>
      <c r="JWT436" s="120"/>
      <c r="JWU436" s="120"/>
      <c r="JWV436" s="120"/>
      <c r="JWW436" s="120"/>
      <c r="JWX436" s="120"/>
      <c r="JWY436" s="120"/>
      <c r="JWZ436" s="120"/>
      <c r="JXA436" s="120"/>
      <c r="JXB436" s="120"/>
      <c r="JXC436" s="120"/>
      <c r="JXD436" s="120"/>
      <c r="JXE436" s="120"/>
      <c r="JXF436" s="120"/>
      <c r="JXG436" s="120"/>
      <c r="JXH436" s="120"/>
      <c r="JXI436" s="120"/>
      <c r="JXJ436" s="120"/>
      <c r="JXK436" s="120"/>
      <c r="JXL436" s="120"/>
      <c r="JXM436" s="120"/>
      <c r="JXN436" s="120"/>
      <c r="JXO436" s="120"/>
      <c r="JXP436" s="120"/>
      <c r="JXQ436" s="120"/>
      <c r="JXR436" s="120"/>
      <c r="JXS436" s="120"/>
      <c r="JXT436" s="120"/>
      <c r="JXU436" s="120"/>
      <c r="JXV436" s="120"/>
      <c r="JXW436" s="120"/>
      <c r="JXX436" s="120"/>
      <c r="JXY436" s="120"/>
      <c r="JXZ436" s="120"/>
      <c r="JYA436" s="120"/>
      <c r="JYB436" s="120"/>
      <c r="JYC436" s="120"/>
      <c r="JYD436" s="120"/>
      <c r="JYE436" s="120"/>
      <c r="JYF436" s="120"/>
      <c r="JYG436" s="120"/>
      <c r="JYH436" s="120"/>
      <c r="JYI436" s="120"/>
      <c r="JYJ436" s="120"/>
      <c r="JYK436" s="120"/>
      <c r="JYL436" s="120"/>
      <c r="JYM436" s="120"/>
      <c r="JYN436" s="120"/>
      <c r="JYO436" s="120"/>
      <c r="JYP436" s="120"/>
      <c r="JYQ436" s="120"/>
      <c r="JYR436" s="120"/>
      <c r="JYS436" s="120"/>
      <c r="JYT436" s="120"/>
      <c r="JYU436" s="120"/>
      <c r="JYV436" s="120"/>
      <c r="JYW436" s="120"/>
      <c r="JYX436" s="120"/>
      <c r="JYY436" s="120"/>
      <c r="JYZ436" s="120"/>
      <c r="JZA436" s="120"/>
      <c r="JZB436" s="120"/>
      <c r="JZC436" s="120"/>
      <c r="JZD436" s="120"/>
      <c r="JZE436" s="120"/>
      <c r="JZF436" s="120"/>
      <c r="JZG436" s="120"/>
      <c r="JZH436" s="120"/>
      <c r="JZI436" s="120"/>
      <c r="JZJ436" s="120"/>
      <c r="JZK436" s="120"/>
      <c r="JZL436" s="120"/>
      <c r="JZM436" s="120"/>
      <c r="JZN436" s="120"/>
      <c r="JZO436" s="120"/>
      <c r="JZP436" s="120"/>
      <c r="JZQ436" s="120"/>
      <c r="JZR436" s="120"/>
      <c r="JZS436" s="120"/>
      <c r="JZT436" s="120"/>
      <c r="JZU436" s="120"/>
      <c r="JZV436" s="120"/>
      <c r="JZW436" s="120"/>
      <c r="JZX436" s="120"/>
      <c r="JZY436" s="120"/>
      <c r="JZZ436" s="120"/>
      <c r="KAA436" s="120"/>
      <c r="KAB436" s="120"/>
      <c r="KAC436" s="120"/>
      <c r="KAD436" s="120"/>
      <c r="KAE436" s="120"/>
      <c r="KAF436" s="120"/>
      <c r="KAG436" s="120"/>
      <c r="KAH436" s="120"/>
      <c r="KAI436" s="120"/>
      <c r="KAJ436" s="120"/>
      <c r="KAK436" s="120"/>
      <c r="KAL436" s="120"/>
      <c r="KAM436" s="120"/>
      <c r="KAN436" s="120"/>
      <c r="KAO436" s="120"/>
      <c r="KAP436" s="120"/>
      <c r="KAQ436" s="120"/>
      <c r="KAR436" s="120"/>
      <c r="KAS436" s="120"/>
      <c r="KAT436" s="120"/>
      <c r="KAU436" s="120"/>
      <c r="KAV436" s="120"/>
      <c r="KAW436" s="120"/>
      <c r="KAX436" s="120"/>
      <c r="KAY436" s="120"/>
      <c r="KAZ436" s="120"/>
      <c r="KBA436" s="120"/>
      <c r="KBB436" s="120"/>
      <c r="KBC436" s="120"/>
      <c r="KBD436" s="120"/>
      <c r="KBE436" s="120"/>
      <c r="KBF436" s="120"/>
      <c r="KBG436" s="120"/>
      <c r="KBH436" s="120"/>
      <c r="KBI436" s="120"/>
      <c r="KBJ436" s="120"/>
      <c r="KBK436" s="120"/>
      <c r="KBL436" s="120"/>
      <c r="KBM436" s="120"/>
      <c r="KBN436" s="120"/>
      <c r="KBO436" s="120"/>
      <c r="KBP436" s="120"/>
      <c r="KBQ436" s="120"/>
      <c r="KBR436" s="120"/>
      <c r="KBS436" s="120"/>
      <c r="KBT436" s="120"/>
      <c r="KBU436" s="120"/>
      <c r="KBV436" s="120"/>
      <c r="KBW436" s="120"/>
      <c r="KBX436" s="120"/>
      <c r="KBY436" s="120"/>
      <c r="KBZ436" s="120"/>
      <c r="KCA436" s="120"/>
      <c r="KCB436" s="120"/>
      <c r="KCC436" s="120"/>
      <c r="KCD436" s="120"/>
      <c r="KCE436" s="120"/>
      <c r="KCF436" s="120"/>
      <c r="KCG436" s="120"/>
      <c r="KCH436" s="120"/>
      <c r="KCI436" s="120"/>
      <c r="KCJ436" s="120"/>
      <c r="KCK436" s="120"/>
      <c r="KCL436" s="120"/>
      <c r="KCM436" s="120"/>
      <c r="KCN436" s="120"/>
      <c r="KCO436" s="120"/>
      <c r="KCP436" s="120"/>
      <c r="KCQ436" s="120"/>
      <c r="KCR436" s="120"/>
      <c r="KCS436" s="120"/>
      <c r="KCT436" s="120"/>
      <c r="KCU436" s="120"/>
      <c r="KCV436" s="120"/>
      <c r="KCW436" s="120"/>
      <c r="KCX436" s="120"/>
      <c r="KCY436" s="120"/>
      <c r="KCZ436" s="120"/>
      <c r="KDA436" s="120"/>
      <c r="KDB436" s="120"/>
      <c r="KDC436" s="120"/>
      <c r="KDD436" s="120"/>
      <c r="KDE436" s="120"/>
      <c r="KDF436" s="120"/>
      <c r="KDG436" s="120"/>
      <c r="KDH436" s="120"/>
      <c r="KDI436" s="120"/>
      <c r="KDJ436" s="120"/>
      <c r="KDK436" s="120"/>
      <c r="KDL436" s="120"/>
      <c r="KDM436" s="120"/>
      <c r="KDN436" s="120"/>
      <c r="KDO436" s="120"/>
      <c r="KDP436" s="120"/>
      <c r="KDQ436" s="120"/>
      <c r="KDR436" s="120"/>
      <c r="KDS436" s="120"/>
      <c r="KDT436" s="120"/>
      <c r="KDU436" s="120"/>
      <c r="KDV436" s="120"/>
      <c r="KDW436" s="120"/>
      <c r="KDX436" s="120"/>
      <c r="KDY436" s="120"/>
      <c r="KDZ436" s="120"/>
      <c r="KEA436" s="120"/>
      <c r="KEB436" s="120"/>
      <c r="KEC436" s="120"/>
      <c r="KED436" s="120"/>
      <c r="KEE436" s="120"/>
      <c r="KEF436" s="120"/>
      <c r="KEG436" s="120"/>
      <c r="KEH436" s="120"/>
      <c r="KEI436" s="120"/>
      <c r="KEJ436" s="120"/>
      <c r="KEK436" s="120"/>
      <c r="KEL436" s="120"/>
      <c r="KEM436" s="120"/>
      <c r="KEN436" s="120"/>
      <c r="KEO436" s="120"/>
      <c r="KEP436" s="120"/>
      <c r="KEQ436" s="120"/>
      <c r="KER436" s="120"/>
      <c r="KES436" s="120"/>
      <c r="KET436" s="120"/>
      <c r="KEU436" s="120"/>
      <c r="KEV436" s="120"/>
      <c r="KEW436" s="120"/>
      <c r="KEX436" s="120"/>
      <c r="KEY436" s="120"/>
      <c r="KEZ436" s="120"/>
      <c r="KFA436" s="120"/>
      <c r="KFB436" s="120"/>
      <c r="KFC436" s="120"/>
      <c r="KFD436" s="120"/>
      <c r="KFE436" s="120"/>
      <c r="KFF436" s="120"/>
      <c r="KFG436" s="120"/>
      <c r="KFH436" s="120"/>
      <c r="KFI436" s="120"/>
      <c r="KFJ436" s="120"/>
      <c r="KFK436" s="120"/>
      <c r="KFL436" s="120"/>
      <c r="KFM436" s="120"/>
      <c r="KFN436" s="120"/>
      <c r="KFO436" s="120"/>
      <c r="KFP436" s="120"/>
      <c r="KFQ436" s="120"/>
      <c r="KFR436" s="120"/>
      <c r="KFS436" s="120"/>
      <c r="KFT436" s="120"/>
      <c r="KFU436" s="120"/>
      <c r="KFV436" s="120"/>
      <c r="KFW436" s="120"/>
      <c r="KFX436" s="120"/>
      <c r="KFY436" s="120"/>
      <c r="KFZ436" s="120"/>
      <c r="KGA436" s="120"/>
      <c r="KGB436" s="120"/>
      <c r="KGC436" s="120"/>
      <c r="KGD436" s="120"/>
      <c r="KGE436" s="120"/>
      <c r="KGF436" s="120"/>
      <c r="KGG436" s="120"/>
      <c r="KGH436" s="120"/>
      <c r="KGI436" s="120"/>
      <c r="KGJ436" s="120"/>
      <c r="KGK436" s="120"/>
      <c r="KGL436" s="120"/>
      <c r="KGM436" s="120"/>
      <c r="KGN436" s="120"/>
      <c r="KGO436" s="120"/>
      <c r="KGP436" s="120"/>
      <c r="KGQ436" s="120"/>
      <c r="KGR436" s="120"/>
      <c r="KGS436" s="120"/>
      <c r="KGT436" s="120"/>
      <c r="KGU436" s="120"/>
      <c r="KGV436" s="120"/>
      <c r="KGW436" s="120"/>
      <c r="KGX436" s="120"/>
      <c r="KGY436" s="120"/>
      <c r="KGZ436" s="120"/>
      <c r="KHA436" s="120"/>
      <c r="KHB436" s="120"/>
      <c r="KHC436" s="120"/>
      <c r="KHD436" s="120"/>
      <c r="KHE436" s="120"/>
      <c r="KHF436" s="120"/>
      <c r="KHG436" s="120"/>
      <c r="KHH436" s="120"/>
      <c r="KHI436" s="120"/>
      <c r="KHJ436" s="120"/>
      <c r="KHK436" s="120"/>
      <c r="KHL436" s="120"/>
      <c r="KHM436" s="120"/>
      <c r="KHN436" s="120"/>
      <c r="KHO436" s="120"/>
      <c r="KHP436" s="120"/>
      <c r="KHQ436" s="120"/>
      <c r="KHR436" s="120"/>
      <c r="KHS436" s="120"/>
      <c r="KHT436" s="120"/>
      <c r="KHU436" s="120"/>
      <c r="KHV436" s="120"/>
      <c r="KHW436" s="120"/>
      <c r="KHX436" s="120"/>
      <c r="KHY436" s="120"/>
      <c r="KHZ436" s="120"/>
      <c r="KIA436" s="120"/>
      <c r="KIB436" s="120"/>
      <c r="KIC436" s="120"/>
      <c r="KID436" s="120"/>
      <c r="KIE436" s="120"/>
      <c r="KIF436" s="120"/>
      <c r="KIG436" s="120"/>
      <c r="KIH436" s="120"/>
      <c r="KII436" s="120"/>
      <c r="KIJ436" s="120"/>
      <c r="KIK436" s="120"/>
      <c r="KIL436" s="120"/>
      <c r="KIM436" s="120"/>
      <c r="KIN436" s="120"/>
      <c r="KIO436" s="120"/>
      <c r="KIP436" s="120"/>
      <c r="KIQ436" s="120"/>
      <c r="KIR436" s="120"/>
      <c r="KIS436" s="120"/>
      <c r="KIT436" s="120"/>
      <c r="KIU436" s="120"/>
      <c r="KIV436" s="120"/>
      <c r="KIW436" s="120"/>
      <c r="KIX436" s="120"/>
      <c r="KIY436" s="120"/>
      <c r="KIZ436" s="120"/>
      <c r="KJA436" s="120"/>
      <c r="KJB436" s="120"/>
      <c r="KJC436" s="120"/>
      <c r="KJD436" s="120"/>
      <c r="KJE436" s="120"/>
      <c r="KJF436" s="120"/>
      <c r="KJG436" s="120"/>
      <c r="KJH436" s="120"/>
      <c r="KJI436" s="120"/>
      <c r="KJJ436" s="120"/>
      <c r="KJK436" s="120"/>
      <c r="KJL436" s="120"/>
      <c r="KJM436" s="120"/>
      <c r="KJN436" s="120"/>
      <c r="KJO436" s="120"/>
      <c r="KJP436" s="120"/>
      <c r="KJQ436" s="120"/>
      <c r="KJR436" s="120"/>
      <c r="KJS436" s="120"/>
      <c r="KJT436" s="120"/>
      <c r="KJU436" s="120"/>
      <c r="KJV436" s="120"/>
      <c r="KJW436" s="120"/>
      <c r="KJX436" s="120"/>
      <c r="KJY436" s="120"/>
      <c r="KJZ436" s="120"/>
      <c r="KKA436" s="120"/>
      <c r="KKB436" s="120"/>
      <c r="KKC436" s="120"/>
      <c r="KKD436" s="120"/>
      <c r="KKE436" s="120"/>
      <c r="KKF436" s="120"/>
      <c r="KKG436" s="120"/>
      <c r="KKH436" s="120"/>
      <c r="KKI436" s="120"/>
      <c r="KKJ436" s="120"/>
      <c r="KKK436" s="120"/>
      <c r="KKL436" s="120"/>
      <c r="KKM436" s="120"/>
      <c r="KKN436" s="120"/>
      <c r="KKO436" s="120"/>
      <c r="KKP436" s="120"/>
      <c r="KKQ436" s="120"/>
      <c r="KKR436" s="120"/>
      <c r="KKS436" s="120"/>
      <c r="KKT436" s="120"/>
      <c r="KKU436" s="120"/>
      <c r="KKV436" s="120"/>
      <c r="KKW436" s="120"/>
      <c r="KKX436" s="120"/>
      <c r="KKY436" s="120"/>
      <c r="KKZ436" s="120"/>
      <c r="KLA436" s="120"/>
      <c r="KLB436" s="120"/>
      <c r="KLC436" s="120"/>
      <c r="KLD436" s="120"/>
      <c r="KLE436" s="120"/>
      <c r="KLF436" s="120"/>
      <c r="KLG436" s="120"/>
      <c r="KLH436" s="120"/>
      <c r="KLI436" s="120"/>
      <c r="KLJ436" s="120"/>
      <c r="KLK436" s="120"/>
      <c r="KLL436" s="120"/>
      <c r="KLM436" s="120"/>
      <c r="KLN436" s="120"/>
      <c r="KLO436" s="120"/>
      <c r="KLP436" s="120"/>
      <c r="KLQ436" s="120"/>
      <c r="KLR436" s="120"/>
      <c r="KLS436" s="120"/>
      <c r="KLT436" s="120"/>
      <c r="KLU436" s="120"/>
      <c r="KLV436" s="120"/>
      <c r="KLW436" s="120"/>
      <c r="KLX436" s="120"/>
      <c r="KLY436" s="120"/>
      <c r="KLZ436" s="120"/>
      <c r="KMA436" s="120"/>
      <c r="KMB436" s="120"/>
      <c r="KMC436" s="120"/>
      <c r="KMD436" s="120"/>
      <c r="KME436" s="120"/>
      <c r="KMF436" s="120"/>
      <c r="KMG436" s="120"/>
      <c r="KMH436" s="120"/>
      <c r="KMI436" s="120"/>
      <c r="KMJ436" s="120"/>
      <c r="KMK436" s="120"/>
      <c r="KML436" s="120"/>
      <c r="KMM436" s="120"/>
      <c r="KMN436" s="120"/>
      <c r="KMO436" s="120"/>
      <c r="KMP436" s="120"/>
      <c r="KMQ436" s="120"/>
      <c r="KMR436" s="120"/>
      <c r="KMS436" s="120"/>
      <c r="KMT436" s="120"/>
      <c r="KMU436" s="120"/>
      <c r="KMV436" s="120"/>
      <c r="KMW436" s="120"/>
      <c r="KMX436" s="120"/>
      <c r="KMY436" s="120"/>
      <c r="KMZ436" s="120"/>
      <c r="KNA436" s="120"/>
      <c r="KNB436" s="120"/>
      <c r="KNC436" s="120"/>
      <c r="KND436" s="120"/>
      <c r="KNE436" s="120"/>
      <c r="KNF436" s="120"/>
      <c r="KNG436" s="120"/>
      <c r="KNH436" s="120"/>
      <c r="KNI436" s="120"/>
      <c r="KNJ436" s="120"/>
      <c r="KNK436" s="120"/>
      <c r="KNL436" s="120"/>
      <c r="KNM436" s="120"/>
      <c r="KNN436" s="120"/>
      <c r="KNO436" s="120"/>
      <c r="KNP436" s="120"/>
      <c r="KNQ436" s="120"/>
      <c r="KNR436" s="120"/>
      <c r="KNS436" s="120"/>
      <c r="KNT436" s="120"/>
      <c r="KNU436" s="120"/>
      <c r="KNV436" s="120"/>
      <c r="KNW436" s="120"/>
      <c r="KNX436" s="120"/>
      <c r="KNY436" s="120"/>
      <c r="KNZ436" s="120"/>
      <c r="KOA436" s="120"/>
      <c r="KOB436" s="120"/>
      <c r="KOC436" s="120"/>
      <c r="KOD436" s="120"/>
      <c r="KOE436" s="120"/>
      <c r="KOF436" s="120"/>
      <c r="KOG436" s="120"/>
      <c r="KOH436" s="120"/>
      <c r="KOI436" s="120"/>
      <c r="KOJ436" s="120"/>
      <c r="KOK436" s="120"/>
      <c r="KOL436" s="120"/>
      <c r="KOM436" s="120"/>
      <c r="KON436" s="120"/>
      <c r="KOO436" s="120"/>
      <c r="KOP436" s="120"/>
      <c r="KOQ436" s="120"/>
      <c r="KOR436" s="120"/>
      <c r="KOS436" s="120"/>
      <c r="KOT436" s="120"/>
      <c r="KOU436" s="120"/>
      <c r="KOV436" s="120"/>
      <c r="KOW436" s="120"/>
      <c r="KOX436" s="120"/>
      <c r="KOY436" s="120"/>
      <c r="KOZ436" s="120"/>
      <c r="KPA436" s="120"/>
      <c r="KPB436" s="120"/>
      <c r="KPC436" s="120"/>
      <c r="KPD436" s="120"/>
      <c r="KPE436" s="120"/>
      <c r="KPF436" s="120"/>
      <c r="KPG436" s="120"/>
      <c r="KPH436" s="120"/>
      <c r="KPI436" s="120"/>
      <c r="KPJ436" s="120"/>
      <c r="KPK436" s="120"/>
      <c r="KPL436" s="120"/>
      <c r="KPM436" s="120"/>
      <c r="KPN436" s="120"/>
      <c r="KPO436" s="120"/>
      <c r="KPP436" s="120"/>
      <c r="KPQ436" s="120"/>
      <c r="KPR436" s="120"/>
      <c r="KPS436" s="120"/>
      <c r="KPT436" s="120"/>
      <c r="KPU436" s="120"/>
      <c r="KPV436" s="120"/>
      <c r="KPW436" s="120"/>
      <c r="KPX436" s="120"/>
      <c r="KPY436" s="120"/>
      <c r="KPZ436" s="120"/>
      <c r="KQA436" s="120"/>
      <c r="KQB436" s="120"/>
      <c r="KQC436" s="120"/>
      <c r="KQD436" s="120"/>
      <c r="KQE436" s="120"/>
      <c r="KQF436" s="120"/>
      <c r="KQG436" s="120"/>
      <c r="KQH436" s="120"/>
      <c r="KQI436" s="120"/>
      <c r="KQJ436" s="120"/>
      <c r="KQK436" s="120"/>
      <c r="KQL436" s="120"/>
      <c r="KQM436" s="120"/>
      <c r="KQN436" s="120"/>
      <c r="KQO436" s="120"/>
      <c r="KQP436" s="120"/>
      <c r="KQQ436" s="120"/>
      <c r="KQR436" s="120"/>
      <c r="KQS436" s="120"/>
      <c r="KQT436" s="120"/>
      <c r="KQU436" s="120"/>
      <c r="KQV436" s="120"/>
      <c r="KQW436" s="120"/>
      <c r="KQX436" s="120"/>
      <c r="KQY436" s="120"/>
      <c r="KQZ436" s="120"/>
      <c r="KRA436" s="120"/>
      <c r="KRB436" s="120"/>
      <c r="KRC436" s="120"/>
      <c r="KRD436" s="120"/>
      <c r="KRE436" s="120"/>
      <c r="KRF436" s="120"/>
      <c r="KRG436" s="120"/>
      <c r="KRH436" s="120"/>
      <c r="KRI436" s="120"/>
      <c r="KRJ436" s="120"/>
      <c r="KRK436" s="120"/>
      <c r="KRL436" s="120"/>
      <c r="KRM436" s="120"/>
      <c r="KRN436" s="120"/>
      <c r="KRO436" s="120"/>
      <c r="KRP436" s="120"/>
      <c r="KRQ436" s="120"/>
      <c r="KRR436" s="120"/>
      <c r="KRS436" s="120"/>
      <c r="KRT436" s="120"/>
      <c r="KRU436" s="120"/>
      <c r="KRV436" s="120"/>
      <c r="KRW436" s="120"/>
      <c r="KRX436" s="120"/>
      <c r="KRY436" s="120"/>
      <c r="KRZ436" s="120"/>
      <c r="KSA436" s="120"/>
      <c r="KSB436" s="120"/>
      <c r="KSC436" s="120"/>
      <c r="KSD436" s="120"/>
      <c r="KSE436" s="120"/>
      <c r="KSF436" s="120"/>
      <c r="KSG436" s="120"/>
      <c r="KSH436" s="120"/>
      <c r="KSI436" s="120"/>
      <c r="KSJ436" s="120"/>
      <c r="KSK436" s="120"/>
      <c r="KSL436" s="120"/>
      <c r="KSM436" s="120"/>
      <c r="KSN436" s="120"/>
      <c r="KSO436" s="120"/>
      <c r="KSP436" s="120"/>
      <c r="KSQ436" s="120"/>
      <c r="KSR436" s="120"/>
      <c r="KSS436" s="120"/>
      <c r="KST436" s="120"/>
      <c r="KSU436" s="120"/>
      <c r="KSV436" s="120"/>
      <c r="KSW436" s="120"/>
      <c r="KSX436" s="120"/>
      <c r="KSY436" s="120"/>
      <c r="KSZ436" s="120"/>
      <c r="KTA436" s="120"/>
      <c r="KTB436" s="120"/>
      <c r="KTC436" s="120"/>
      <c r="KTD436" s="120"/>
      <c r="KTE436" s="120"/>
      <c r="KTF436" s="120"/>
      <c r="KTG436" s="120"/>
      <c r="KTH436" s="120"/>
      <c r="KTI436" s="120"/>
      <c r="KTJ436" s="120"/>
      <c r="KTK436" s="120"/>
      <c r="KTL436" s="120"/>
      <c r="KTM436" s="120"/>
      <c r="KTN436" s="120"/>
      <c r="KTO436" s="120"/>
      <c r="KTP436" s="120"/>
      <c r="KTQ436" s="120"/>
      <c r="KTR436" s="120"/>
      <c r="KTS436" s="120"/>
      <c r="KTT436" s="120"/>
      <c r="KTU436" s="120"/>
      <c r="KTV436" s="120"/>
      <c r="KTW436" s="120"/>
      <c r="KTX436" s="120"/>
      <c r="KTY436" s="120"/>
      <c r="KTZ436" s="120"/>
      <c r="KUA436" s="120"/>
      <c r="KUB436" s="120"/>
      <c r="KUC436" s="120"/>
      <c r="KUD436" s="120"/>
      <c r="KUE436" s="120"/>
      <c r="KUF436" s="120"/>
      <c r="KUG436" s="120"/>
      <c r="KUH436" s="120"/>
      <c r="KUI436" s="120"/>
      <c r="KUJ436" s="120"/>
      <c r="KUK436" s="120"/>
      <c r="KUL436" s="120"/>
      <c r="KUM436" s="120"/>
      <c r="KUN436" s="120"/>
      <c r="KUO436" s="120"/>
      <c r="KUP436" s="120"/>
      <c r="KUQ436" s="120"/>
      <c r="KUR436" s="120"/>
      <c r="KUS436" s="120"/>
      <c r="KUT436" s="120"/>
      <c r="KUU436" s="120"/>
      <c r="KUV436" s="120"/>
      <c r="KUW436" s="120"/>
      <c r="KUX436" s="120"/>
      <c r="KUY436" s="120"/>
      <c r="KUZ436" s="120"/>
      <c r="KVA436" s="120"/>
      <c r="KVB436" s="120"/>
      <c r="KVC436" s="120"/>
      <c r="KVD436" s="120"/>
      <c r="KVE436" s="120"/>
      <c r="KVF436" s="120"/>
      <c r="KVG436" s="120"/>
      <c r="KVH436" s="120"/>
      <c r="KVI436" s="120"/>
      <c r="KVJ436" s="120"/>
      <c r="KVK436" s="120"/>
      <c r="KVL436" s="120"/>
      <c r="KVM436" s="120"/>
      <c r="KVN436" s="120"/>
      <c r="KVO436" s="120"/>
      <c r="KVP436" s="120"/>
      <c r="KVQ436" s="120"/>
      <c r="KVR436" s="120"/>
      <c r="KVS436" s="120"/>
      <c r="KVT436" s="120"/>
      <c r="KVU436" s="120"/>
      <c r="KVV436" s="120"/>
      <c r="KVW436" s="120"/>
      <c r="KVX436" s="120"/>
      <c r="KVY436" s="120"/>
      <c r="KVZ436" s="120"/>
      <c r="KWA436" s="120"/>
      <c r="KWB436" s="120"/>
      <c r="KWC436" s="120"/>
      <c r="KWD436" s="120"/>
      <c r="KWE436" s="120"/>
      <c r="KWF436" s="120"/>
      <c r="KWG436" s="120"/>
      <c r="KWH436" s="120"/>
      <c r="KWI436" s="120"/>
      <c r="KWJ436" s="120"/>
      <c r="KWK436" s="120"/>
      <c r="KWL436" s="120"/>
      <c r="KWM436" s="120"/>
      <c r="KWN436" s="120"/>
      <c r="KWO436" s="120"/>
      <c r="KWP436" s="120"/>
      <c r="KWQ436" s="120"/>
      <c r="KWR436" s="120"/>
      <c r="KWS436" s="120"/>
      <c r="KWT436" s="120"/>
      <c r="KWU436" s="120"/>
      <c r="KWV436" s="120"/>
      <c r="KWW436" s="120"/>
      <c r="KWX436" s="120"/>
      <c r="KWY436" s="120"/>
      <c r="KWZ436" s="120"/>
      <c r="KXA436" s="120"/>
      <c r="KXB436" s="120"/>
      <c r="KXC436" s="120"/>
      <c r="KXD436" s="120"/>
      <c r="KXE436" s="120"/>
      <c r="KXF436" s="120"/>
      <c r="KXG436" s="120"/>
      <c r="KXH436" s="120"/>
      <c r="KXI436" s="120"/>
      <c r="KXJ436" s="120"/>
      <c r="KXK436" s="120"/>
      <c r="KXL436" s="120"/>
      <c r="KXM436" s="120"/>
      <c r="KXN436" s="120"/>
      <c r="KXO436" s="120"/>
      <c r="KXP436" s="120"/>
      <c r="KXQ436" s="120"/>
      <c r="KXR436" s="120"/>
      <c r="KXS436" s="120"/>
      <c r="KXT436" s="120"/>
      <c r="KXU436" s="120"/>
      <c r="KXV436" s="120"/>
      <c r="KXW436" s="120"/>
      <c r="KXX436" s="120"/>
      <c r="KXY436" s="120"/>
      <c r="KXZ436" s="120"/>
      <c r="KYA436" s="120"/>
      <c r="KYB436" s="120"/>
      <c r="KYC436" s="120"/>
      <c r="KYD436" s="120"/>
      <c r="KYE436" s="120"/>
      <c r="KYF436" s="120"/>
      <c r="KYG436" s="120"/>
      <c r="KYH436" s="120"/>
      <c r="KYI436" s="120"/>
      <c r="KYJ436" s="120"/>
      <c r="KYK436" s="120"/>
      <c r="KYL436" s="120"/>
      <c r="KYM436" s="120"/>
      <c r="KYN436" s="120"/>
      <c r="KYO436" s="120"/>
      <c r="KYP436" s="120"/>
      <c r="KYQ436" s="120"/>
      <c r="KYR436" s="120"/>
      <c r="KYS436" s="120"/>
      <c r="KYT436" s="120"/>
      <c r="KYU436" s="120"/>
      <c r="KYV436" s="120"/>
      <c r="KYW436" s="120"/>
      <c r="KYX436" s="120"/>
      <c r="KYY436" s="120"/>
      <c r="KYZ436" s="120"/>
      <c r="KZA436" s="120"/>
      <c r="KZB436" s="120"/>
      <c r="KZC436" s="120"/>
      <c r="KZD436" s="120"/>
      <c r="KZE436" s="120"/>
      <c r="KZF436" s="120"/>
      <c r="KZG436" s="120"/>
      <c r="KZH436" s="120"/>
      <c r="KZI436" s="120"/>
      <c r="KZJ436" s="120"/>
      <c r="KZK436" s="120"/>
      <c r="KZL436" s="120"/>
      <c r="KZM436" s="120"/>
      <c r="KZN436" s="120"/>
      <c r="KZO436" s="120"/>
      <c r="KZP436" s="120"/>
      <c r="KZQ436" s="120"/>
      <c r="KZR436" s="120"/>
      <c r="KZS436" s="120"/>
      <c r="KZT436" s="120"/>
      <c r="KZU436" s="120"/>
      <c r="KZV436" s="120"/>
      <c r="KZW436" s="120"/>
      <c r="KZX436" s="120"/>
      <c r="KZY436" s="120"/>
      <c r="KZZ436" s="120"/>
      <c r="LAA436" s="120"/>
      <c r="LAB436" s="120"/>
      <c r="LAC436" s="120"/>
      <c r="LAD436" s="120"/>
      <c r="LAE436" s="120"/>
      <c r="LAF436" s="120"/>
      <c r="LAG436" s="120"/>
      <c r="LAH436" s="120"/>
      <c r="LAI436" s="120"/>
      <c r="LAJ436" s="120"/>
      <c r="LAK436" s="120"/>
      <c r="LAL436" s="120"/>
      <c r="LAM436" s="120"/>
      <c r="LAN436" s="120"/>
      <c r="LAO436" s="120"/>
      <c r="LAP436" s="120"/>
      <c r="LAQ436" s="120"/>
      <c r="LAR436" s="120"/>
      <c r="LAS436" s="120"/>
      <c r="LAT436" s="120"/>
      <c r="LAU436" s="120"/>
      <c r="LAV436" s="120"/>
      <c r="LAW436" s="120"/>
      <c r="LAX436" s="120"/>
      <c r="LAY436" s="120"/>
      <c r="LAZ436" s="120"/>
      <c r="LBA436" s="120"/>
      <c r="LBB436" s="120"/>
      <c r="LBC436" s="120"/>
      <c r="LBD436" s="120"/>
      <c r="LBE436" s="120"/>
      <c r="LBF436" s="120"/>
      <c r="LBG436" s="120"/>
      <c r="LBH436" s="120"/>
      <c r="LBI436" s="120"/>
      <c r="LBJ436" s="120"/>
      <c r="LBK436" s="120"/>
      <c r="LBL436" s="120"/>
      <c r="LBM436" s="120"/>
      <c r="LBN436" s="120"/>
      <c r="LBO436" s="120"/>
      <c r="LBP436" s="120"/>
      <c r="LBQ436" s="120"/>
      <c r="LBR436" s="120"/>
      <c r="LBS436" s="120"/>
      <c r="LBT436" s="120"/>
      <c r="LBU436" s="120"/>
      <c r="LBV436" s="120"/>
      <c r="LBW436" s="120"/>
      <c r="LBX436" s="120"/>
      <c r="LBY436" s="120"/>
      <c r="LBZ436" s="120"/>
      <c r="LCA436" s="120"/>
      <c r="LCB436" s="120"/>
      <c r="LCC436" s="120"/>
      <c r="LCD436" s="120"/>
      <c r="LCE436" s="120"/>
      <c r="LCF436" s="120"/>
      <c r="LCG436" s="120"/>
      <c r="LCH436" s="120"/>
      <c r="LCI436" s="120"/>
      <c r="LCJ436" s="120"/>
      <c r="LCK436" s="120"/>
      <c r="LCL436" s="120"/>
      <c r="LCM436" s="120"/>
      <c r="LCN436" s="120"/>
      <c r="LCO436" s="120"/>
      <c r="LCP436" s="120"/>
      <c r="LCQ436" s="120"/>
      <c r="LCR436" s="120"/>
      <c r="LCS436" s="120"/>
      <c r="LCT436" s="120"/>
      <c r="LCU436" s="120"/>
      <c r="LCV436" s="120"/>
      <c r="LCW436" s="120"/>
      <c r="LCX436" s="120"/>
      <c r="LCY436" s="120"/>
      <c r="LCZ436" s="120"/>
      <c r="LDA436" s="120"/>
      <c r="LDB436" s="120"/>
      <c r="LDC436" s="120"/>
      <c r="LDD436" s="120"/>
      <c r="LDE436" s="120"/>
      <c r="LDF436" s="120"/>
      <c r="LDG436" s="120"/>
      <c r="LDH436" s="120"/>
      <c r="LDI436" s="120"/>
      <c r="LDJ436" s="120"/>
      <c r="LDK436" s="120"/>
      <c r="LDL436" s="120"/>
      <c r="LDM436" s="120"/>
      <c r="LDN436" s="120"/>
      <c r="LDO436" s="120"/>
      <c r="LDP436" s="120"/>
      <c r="LDQ436" s="120"/>
      <c r="LDR436" s="120"/>
      <c r="LDS436" s="120"/>
      <c r="LDT436" s="120"/>
      <c r="LDU436" s="120"/>
      <c r="LDV436" s="120"/>
      <c r="LDW436" s="120"/>
      <c r="LDX436" s="120"/>
      <c r="LDY436" s="120"/>
      <c r="LDZ436" s="120"/>
      <c r="LEA436" s="120"/>
      <c r="LEB436" s="120"/>
      <c r="LEC436" s="120"/>
      <c r="LED436" s="120"/>
      <c r="LEE436" s="120"/>
      <c r="LEF436" s="120"/>
      <c r="LEG436" s="120"/>
      <c r="LEH436" s="120"/>
      <c r="LEI436" s="120"/>
      <c r="LEJ436" s="120"/>
      <c r="LEK436" s="120"/>
      <c r="LEL436" s="120"/>
      <c r="LEM436" s="120"/>
      <c r="LEN436" s="120"/>
      <c r="LEO436" s="120"/>
      <c r="LEP436" s="120"/>
      <c r="LEQ436" s="120"/>
      <c r="LER436" s="120"/>
      <c r="LES436" s="120"/>
      <c r="LET436" s="120"/>
      <c r="LEU436" s="120"/>
      <c r="LEV436" s="120"/>
      <c r="LEW436" s="120"/>
      <c r="LEX436" s="120"/>
      <c r="LEY436" s="120"/>
      <c r="LEZ436" s="120"/>
      <c r="LFA436" s="120"/>
      <c r="LFB436" s="120"/>
      <c r="LFC436" s="120"/>
      <c r="LFD436" s="120"/>
      <c r="LFE436" s="120"/>
      <c r="LFF436" s="120"/>
      <c r="LFG436" s="120"/>
      <c r="LFH436" s="120"/>
      <c r="LFI436" s="120"/>
      <c r="LFJ436" s="120"/>
      <c r="LFK436" s="120"/>
      <c r="LFL436" s="120"/>
      <c r="LFM436" s="120"/>
      <c r="LFN436" s="120"/>
      <c r="LFO436" s="120"/>
      <c r="LFP436" s="120"/>
      <c r="LFQ436" s="120"/>
      <c r="LFR436" s="120"/>
      <c r="LFS436" s="120"/>
      <c r="LFT436" s="120"/>
      <c r="LFU436" s="120"/>
      <c r="LFV436" s="120"/>
      <c r="LFW436" s="120"/>
      <c r="LFX436" s="120"/>
      <c r="LFY436" s="120"/>
      <c r="LFZ436" s="120"/>
      <c r="LGA436" s="120"/>
      <c r="LGB436" s="120"/>
      <c r="LGC436" s="120"/>
      <c r="LGD436" s="120"/>
      <c r="LGE436" s="120"/>
      <c r="LGF436" s="120"/>
      <c r="LGG436" s="120"/>
      <c r="LGH436" s="120"/>
      <c r="LGI436" s="120"/>
      <c r="LGJ436" s="120"/>
      <c r="LGK436" s="120"/>
      <c r="LGL436" s="120"/>
      <c r="LGM436" s="120"/>
      <c r="LGN436" s="120"/>
      <c r="LGO436" s="120"/>
      <c r="LGP436" s="120"/>
      <c r="LGQ436" s="120"/>
      <c r="LGR436" s="120"/>
      <c r="LGS436" s="120"/>
      <c r="LGT436" s="120"/>
      <c r="LGU436" s="120"/>
      <c r="LGV436" s="120"/>
      <c r="LGW436" s="120"/>
      <c r="LGX436" s="120"/>
      <c r="LGY436" s="120"/>
      <c r="LGZ436" s="120"/>
      <c r="LHA436" s="120"/>
      <c r="LHB436" s="120"/>
      <c r="LHC436" s="120"/>
      <c r="LHD436" s="120"/>
      <c r="LHE436" s="120"/>
      <c r="LHF436" s="120"/>
      <c r="LHG436" s="120"/>
      <c r="LHH436" s="120"/>
      <c r="LHI436" s="120"/>
      <c r="LHJ436" s="120"/>
      <c r="LHK436" s="120"/>
      <c r="LHL436" s="120"/>
      <c r="LHM436" s="120"/>
      <c r="LHN436" s="120"/>
      <c r="LHO436" s="120"/>
      <c r="LHP436" s="120"/>
      <c r="LHQ436" s="120"/>
      <c r="LHR436" s="120"/>
      <c r="LHS436" s="120"/>
      <c r="LHT436" s="120"/>
      <c r="LHU436" s="120"/>
      <c r="LHV436" s="120"/>
      <c r="LHW436" s="120"/>
      <c r="LHX436" s="120"/>
      <c r="LHY436" s="120"/>
      <c r="LHZ436" s="120"/>
      <c r="LIA436" s="120"/>
      <c r="LIB436" s="120"/>
      <c r="LIC436" s="120"/>
      <c r="LID436" s="120"/>
      <c r="LIE436" s="120"/>
      <c r="LIF436" s="120"/>
      <c r="LIG436" s="120"/>
      <c r="LIH436" s="120"/>
      <c r="LII436" s="120"/>
      <c r="LIJ436" s="120"/>
      <c r="LIK436" s="120"/>
      <c r="LIL436" s="120"/>
      <c r="LIM436" s="120"/>
      <c r="LIN436" s="120"/>
      <c r="LIO436" s="120"/>
      <c r="LIP436" s="120"/>
      <c r="LIQ436" s="120"/>
      <c r="LIR436" s="120"/>
      <c r="LIS436" s="120"/>
      <c r="LIT436" s="120"/>
      <c r="LIU436" s="120"/>
      <c r="LIV436" s="120"/>
      <c r="LIW436" s="120"/>
      <c r="LIX436" s="120"/>
      <c r="LIY436" s="120"/>
      <c r="LIZ436" s="120"/>
      <c r="LJA436" s="120"/>
      <c r="LJB436" s="120"/>
      <c r="LJC436" s="120"/>
      <c r="LJD436" s="120"/>
      <c r="LJE436" s="120"/>
      <c r="LJF436" s="120"/>
      <c r="LJG436" s="120"/>
      <c r="LJH436" s="120"/>
      <c r="LJI436" s="120"/>
      <c r="LJJ436" s="120"/>
      <c r="LJK436" s="120"/>
      <c r="LJL436" s="120"/>
      <c r="LJM436" s="120"/>
      <c r="LJN436" s="120"/>
      <c r="LJO436" s="120"/>
      <c r="LJP436" s="120"/>
      <c r="LJQ436" s="120"/>
      <c r="LJR436" s="120"/>
      <c r="LJS436" s="120"/>
      <c r="LJT436" s="120"/>
      <c r="LJU436" s="120"/>
      <c r="LJV436" s="120"/>
      <c r="LJW436" s="120"/>
      <c r="LJX436" s="120"/>
      <c r="LJY436" s="120"/>
      <c r="LJZ436" s="120"/>
      <c r="LKA436" s="120"/>
      <c r="LKB436" s="120"/>
      <c r="LKC436" s="120"/>
      <c r="LKD436" s="120"/>
      <c r="LKE436" s="120"/>
      <c r="LKF436" s="120"/>
      <c r="LKG436" s="120"/>
      <c r="LKH436" s="120"/>
      <c r="LKI436" s="120"/>
      <c r="LKJ436" s="120"/>
      <c r="LKK436" s="120"/>
      <c r="LKL436" s="120"/>
      <c r="LKM436" s="120"/>
      <c r="LKN436" s="120"/>
      <c r="LKO436" s="120"/>
      <c r="LKP436" s="120"/>
      <c r="LKQ436" s="120"/>
      <c r="LKR436" s="120"/>
      <c r="LKS436" s="120"/>
      <c r="LKT436" s="120"/>
      <c r="LKU436" s="120"/>
      <c r="LKV436" s="120"/>
      <c r="LKW436" s="120"/>
      <c r="LKX436" s="120"/>
      <c r="LKY436" s="120"/>
      <c r="LKZ436" s="120"/>
      <c r="LLA436" s="120"/>
      <c r="LLB436" s="120"/>
      <c r="LLC436" s="120"/>
      <c r="LLD436" s="120"/>
      <c r="LLE436" s="120"/>
      <c r="LLF436" s="120"/>
      <c r="LLG436" s="120"/>
      <c r="LLH436" s="120"/>
      <c r="LLI436" s="120"/>
      <c r="LLJ436" s="120"/>
      <c r="LLK436" s="120"/>
      <c r="LLL436" s="120"/>
      <c r="LLM436" s="120"/>
      <c r="LLN436" s="120"/>
      <c r="LLO436" s="120"/>
      <c r="LLP436" s="120"/>
      <c r="LLQ436" s="120"/>
      <c r="LLR436" s="120"/>
      <c r="LLS436" s="120"/>
      <c r="LLT436" s="120"/>
      <c r="LLU436" s="120"/>
      <c r="LLV436" s="120"/>
      <c r="LLW436" s="120"/>
      <c r="LLX436" s="120"/>
      <c r="LLY436" s="120"/>
      <c r="LLZ436" s="120"/>
      <c r="LMA436" s="120"/>
      <c r="LMB436" s="120"/>
      <c r="LMC436" s="120"/>
      <c r="LMD436" s="120"/>
      <c r="LME436" s="120"/>
      <c r="LMF436" s="120"/>
      <c r="LMG436" s="120"/>
      <c r="LMH436" s="120"/>
      <c r="LMI436" s="120"/>
      <c r="LMJ436" s="120"/>
      <c r="LMK436" s="120"/>
      <c r="LML436" s="120"/>
      <c r="LMM436" s="120"/>
      <c r="LMN436" s="120"/>
      <c r="LMO436" s="120"/>
      <c r="LMP436" s="120"/>
      <c r="LMQ436" s="120"/>
      <c r="LMR436" s="120"/>
      <c r="LMS436" s="120"/>
      <c r="LMT436" s="120"/>
      <c r="LMU436" s="120"/>
      <c r="LMV436" s="120"/>
      <c r="LMW436" s="120"/>
      <c r="LMX436" s="120"/>
      <c r="LMY436" s="120"/>
      <c r="LMZ436" s="120"/>
      <c r="LNA436" s="120"/>
      <c r="LNB436" s="120"/>
      <c r="LNC436" s="120"/>
      <c r="LND436" s="120"/>
      <c r="LNE436" s="120"/>
      <c r="LNF436" s="120"/>
      <c r="LNG436" s="120"/>
      <c r="LNH436" s="120"/>
      <c r="LNI436" s="120"/>
      <c r="LNJ436" s="120"/>
      <c r="LNK436" s="120"/>
      <c r="LNL436" s="120"/>
      <c r="LNM436" s="120"/>
      <c r="LNN436" s="120"/>
      <c r="LNO436" s="120"/>
      <c r="LNP436" s="120"/>
      <c r="LNQ436" s="120"/>
      <c r="LNR436" s="120"/>
      <c r="LNS436" s="120"/>
      <c r="LNT436" s="120"/>
      <c r="LNU436" s="120"/>
      <c r="LNV436" s="120"/>
      <c r="LNW436" s="120"/>
      <c r="LNX436" s="120"/>
      <c r="LNY436" s="120"/>
      <c r="LNZ436" s="120"/>
      <c r="LOA436" s="120"/>
      <c r="LOB436" s="120"/>
      <c r="LOC436" s="120"/>
      <c r="LOD436" s="120"/>
      <c r="LOE436" s="120"/>
      <c r="LOF436" s="120"/>
      <c r="LOG436" s="120"/>
      <c r="LOH436" s="120"/>
      <c r="LOI436" s="120"/>
      <c r="LOJ436" s="120"/>
      <c r="LOK436" s="120"/>
      <c r="LOL436" s="120"/>
      <c r="LOM436" s="120"/>
      <c r="LON436" s="120"/>
      <c r="LOO436" s="120"/>
      <c r="LOP436" s="120"/>
      <c r="LOQ436" s="120"/>
      <c r="LOR436" s="120"/>
      <c r="LOS436" s="120"/>
      <c r="LOT436" s="120"/>
      <c r="LOU436" s="120"/>
      <c r="LOV436" s="120"/>
      <c r="LOW436" s="120"/>
      <c r="LOX436" s="120"/>
      <c r="LOY436" s="120"/>
      <c r="LOZ436" s="120"/>
      <c r="LPA436" s="120"/>
      <c r="LPB436" s="120"/>
      <c r="LPC436" s="120"/>
      <c r="LPD436" s="120"/>
      <c r="LPE436" s="120"/>
      <c r="LPF436" s="120"/>
      <c r="LPG436" s="120"/>
      <c r="LPH436" s="120"/>
      <c r="LPI436" s="120"/>
      <c r="LPJ436" s="120"/>
      <c r="LPK436" s="120"/>
      <c r="LPL436" s="120"/>
      <c r="LPM436" s="120"/>
      <c r="LPN436" s="120"/>
      <c r="LPO436" s="120"/>
      <c r="LPP436" s="120"/>
      <c r="LPQ436" s="120"/>
      <c r="LPR436" s="120"/>
      <c r="LPS436" s="120"/>
      <c r="LPT436" s="120"/>
      <c r="LPU436" s="120"/>
      <c r="LPV436" s="120"/>
      <c r="LPW436" s="120"/>
      <c r="LPX436" s="120"/>
      <c r="LPY436" s="120"/>
      <c r="LPZ436" s="120"/>
      <c r="LQA436" s="120"/>
      <c r="LQB436" s="120"/>
      <c r="LQC436" s="120"/>
      <c r="LQD436" s="120"/>
      <c r="LQE436" s="120"/>
      <c r="LQF436" s="120"/>
      <c r="LQG436" s="120"/>
      <c r="LQH436" s="120"/>
      <c r="LQI436" s="120"/>
      <c r="LQJ436" s="120"/>
      <c r="LQK436" s="120"/>
      <c r="LQL436" s="120"/>
      <c r="LQM436" s="120"/>
      <c r="LQN436" s="120"/>
      <c r="LQO436" s="120"/>
      <c r="LQP436" s="120"/>
      <c r="LQQ436" s="120"/>
      <c r="LQR436" s="120"/>
      <c r="LQS436" s="120"/>
      <c r="LQT436" s="120"/>
      <c r="LQU436" s="120"/>
      <c r="LQV436" s="120"/>
      <c r="LQW436" s="120"/>
      <c r="LQX436" s="120"/>
      <c r="LQY436" s="120"/>
      <c r="LQZ436" s="120"/>
      <c r="LRA436" s="120"/>
      <c r="LRB436" s="120"/>
      <c r="LRC436" s="120"/>
      <c r="LRD436" s="120"/>
      <c r="LRE436" s="120"/>
      <c r="LRF436" s="120"/>
      <c r="LRG436" s="120"/>
      <c r="LRH436" s="120"/>
      <c r="LRI436" s="120"/>
      <c r="LRJ436" s="120"/>
      <c r="LRK436" s="120"/>
      <c r="LRL436" s="120"/>
      <c r="LRM436" s="120"/>
      <c r="LRN436" s="120"/>
      <c r="LRO436" s="120"/>
      <c r="LRP436" s="120"/>
      <c r="LRQ436" s="120"/>
      <c r="LRR436" s="120"/>
      <c r="LRS436" s="120"/>
      <c r="LRT436" s="120"/>
      <c r="LRU436" s="120"/>
      <c r="LRV436" s="120"/>
      <c r="LRW436" s="120"/>
      <c r="LRX436" s="120"/>
      <c r="LRY436" s="120"/>
      <c r="LRZ436" s="120"/>
      <c r="LSA436" s="120"/>
      <c r="LSB436" s="120"/>
      <c r="LSC436" s="120"/>
      <c r="LSD436" s="120"/>
      <c r="LSE436" s="120"/>
      <c r="LSF436" s="120"/>
      <c r="LSG436" s="120"/>
      <c r="LSH436" s="120"/>
      <c r="LSI436" s="120"/>
      <c r="LSJ436" s="120"/>
      <c r="LSK436" s="120"/>
      <c r="LSL436" s="120"/>
      <c r="LSM436" s="120"/>
      <c r="LSN436" s="120"/>
      <c r="LSO436" s="120"/>
      <c r="LSP436" s="120"/>
      <c r="LSQ436" s="120"/>
      <c r="LSR436" s="120"/>
      <c r="LSS436" s="120"/>
      <c r="LST436" s="120"/>
      <c r="LSU436" s="120"/>
      <c r="LSV436" s="120"/>
      <c r="LSW436" s="120"/>
      <c r="LSX436" s="120"/>
      <c r="LSY436" s="120"/>
      <c r="LSZ436" s="120"/>
      <c r="LTA436" s="120"/>
      <c r="LTB436" s="120"/>
      <c r="LTC436" s="120"/>
      <c r="LTD436" s="120"/>
      <c r="LTE436" s="120"/>
      <c r="LTF436" s="120"/>
      <c r="LTG436" s="120"/>
      <c r="LTH436" s="120"/>
      <c r="LTI436" s="120"/>
      <c r="LTJ436" s="120"/>
      <c r="LTK436" s="120"/>
      <c r="LTL436" s="120"/>
      <c r="LTM436" s="120"/>
      <c r="LTN436" s="120"/>
      <c r="LTO436" s="120"/>
      <c r="LTP436" s="120"/>
      <c r="LTQ436" s="120"/>
      <c r="LTR436" s="120"/>
      <c r="LTS436" s="120"/>
      <c r="LTT436" s="120"/>
      <c r="LTU436" s="120"/>
      <c r="LTV436" s="120"/>
      <c r="LTW436" s="120"/>
      <c r="LTX436" s="120"/>
      <c r="LTY436" s="120"/>
      <c r="LTZ436" s="120"/>
      <c r="LUA436" s="120"/>
      <c r="LUB436" s="120"/>
      <c r="LUC436" s="120"/>
      <c r="LUD436" s="120"/>
      <c r="LUE436" s="120"/>
      <c r="LUF436" s="120"/>
      <c r="LUG436" s="120"/>
      <c r="LUH436" s="120"/>
      <c r="LUI436" s="120"/>
      <c r="LUJ436" s="120"/>
      <c r="LUK436" s="120"/>
      <c r="LUL436" s="120"/>
      <c r="LUM436" s="120"/>
      <c r="LUN436" s="120"/>
      <c r="LUO436" s="120"/>
      <c r="LUP436" s="120"/>
      <c r="LUQ436" s="120"/>
      <c r="LUR436" s="120"/>
      <c r="LUS436" s="120"/>
      <c r="LUT436" s="120"/>
      <c r="LUU436" s="120"/>
      <c r="LUV436" s="120"/>
      <c r="LUW436" s="120"/>
      <c r="LUX436" s="120"/>
      <c r="LUY436" s="120"/>
      <c r="LUZ436" s="120"/>
      <c r="LVA436" s="120"/>
      <c r="LVB436" s="120"/>
      <c r="LVC436" s="120"/>
      <c r="LVD436" s="120"/>
      <c r="LVE436" s="120"/>
      <c r="LVF436" s="120"/>
      <c r="LVG436" s="120"/>
      <c r="LVH436" s="120"/>
      <c r="LVI436" s="120"/>
      <c r="LVJ436" s="120"/>
      <c r="LVK436" s="120"/>
      <c r="LVL436" s="120"/>
      <c r="LVM436" s="120"/>
      <c r="LVN436" s="120"/>
      <c r="LVO436" s="120"/>
      <c r="LVP436" s="120"/>
      <c r="LVQ436" s="120"/>
      <c r="LVR436" s="120"/>
      <c r="LVS436" s="120"/>
      <c r="LVT436" s="120"/>
      <c r="LVU436" s="120"/>
      <c r="LVV436" s="120"/>
      <c r="LVW436" s="120"/>
      <c r="LVX436" s="120"/>
      <c r="LVY436" s="120"/>
      <c r="LVZ436" s="120"/>
      <c r="LWA436" s="120"/>
      <c r="LWB436" s="120"/>
      <c r="LWC436" s="120"/>
      <c r="LWD436" s="120"/>
      <c r="LWE436" s="120"/>
      <c r="LWF436" s="120"/>
      <c r="LWG436" s="120"/>
      <c r="LWH436" s="120"/>
      <c r="LWI436" s="120"/>
      <c r="LWJ436" s="120"/>
      <c r="LWK436" s="120"/>
      <c r="LWL436" s="120"/>
      <c r="LWM436" s="120"/>
      <c r="LWN436" s="120"/>
      <c r="LWO436" s="120"/>
      <c r="LWP436" s="120"/>
      <c r="LWQ436" s="120"/>
      <c r="LWR436" s="120"/>
      <c r="LWS436" s="120"/>
      <c r="LWT436" s="120"/>
      <c r="LWU436" s="120"/>
      <c r="LWV436" s="120"/>
      <c r="LWW436" s="120"/>
      <c r="LWX436" s="120"/>
      <c r="LWY436" s="120"/>
      <c r="LWZ436" s="120"/>
      <c r="LXA436" s="120"/>
      <c r="LXB436" s="120"/>
      <c r="LXC436" s="120"/>
      <c r="LXD436" s="120"/>
      <c r="LXE436" s="120"/>
      <c r="LXF436" s="120"/>
      <c r="LXG436" s="120"/>
      <c r="LXH436" s="120"/>
      <c r="LXI436" s="120"/>
      <c r="LXJ436" s="120"/>
      <c r="LXK436" s="120"/>
      <c r="LXL436" s="120"/>
      <c r="LXM436" s="120"/>
      <c r="LXN436" s="120"/>
      <c r="LXO436" s="120"/>
      <c r="LXP436" s="120"/>
      <c r="LXQ436" s="120"/>
      <c r="LXR436" s="120"/>
      <c r="LXS436" s="120"/>
      <c r="LXT436" s="120"/>
      <c r="LXU436" s="120"/>
      <c r="LXV436" s="120"/>
      <c r="LXW436" s="120"/>
      <c r="LXX436" s="120"/>
      <c r="LXY436" s="120"/>
      <c r="LXZ436" s="120"/>
      <c r="LYA436" s="120"/>
      <c r="LYB436" s="120"/>
      <c r="LYC436" s="120"/>
      <c r="LYD436" s="120"/>
      <c r="LYE436" s="120"/>
      <c r="LYF436" s="120"/>
      <c r="LYG436" s="120"/>
      <c r="LYH436" s="120"/>
      <c r="LYI436" s="120"/>
      <c r="LYJ436" s="120"/>
      <c r="LYK436" s="120"/>
      <c r="LYL436" s="120"/>
      <c r="LYM436" s="120"/>
      <c r="LYN436" s="120"/>
      <c r="LYO436" s="120"/>
      <c r="LYP436" s="120"/>
      <c r="LYQ436" s="120"/>
      <c r="LYR436" s="120"/>
      <c r="LYS436" s="120"/>
      <c r="LYT436" s="120"/>
      <c r="LYU436" s="120"/>
      <c r="LYV436" s="120"/>
      <c r="LYW436" s="120"/>
      <c r="LYX436" s="120"/>
      <c r="LYY436" s="120"/>
      <c r="LYZ436" s="120"/>
      <c r="LZA436" s="120"/>
      <c r="LZB436" s="120"/>
      <c r="LZC436" s="120"/>
      <c r="LZD436" s="120"/>
      <c r="LZE436" s="120"/>
      <c r="LZF436" s="120"/>
      <c r="LZG436" s="120"/>
      <c r="LZH436" s="120"/>
      <c r="LZI436" s="120"/>
      <c r="LZJ436" s="120"/>
      <c r="LZK436" s="120"/>
      <c r="LZL436" s="120"/>
      <c r="LZM436" s="120"/>
      <c r="LZN436" s="120"/>
      <c r="LZO436" s="120"/>
      <c r="LZP436" s="120"/>
      <c r="LZQ436" s="120"/>
      <c r="LZR436" s="120"/>
      <c r="LZS436" s="120"/>
      <c r="LZT436" s="120"/>
      <c r="LZU436" s="120"/>
      <c r="LZV436" s="120"/>
      <c r="LZW436" s="120"/>
      <c r="LZX436" s="120"/>
      <c r="LZY436" s="120"/>
      <c r="LZZ436" s="120"/>
      <c r="MAA436" s="120"/>
      <c r="MAB436" s="120"/>
      <c r="MAC436" s="120"/>
      <c r="MAD436" s="120"/>
      <c r="MAE436" s="120"/>
      <c r="MAF436" s="120"/>
      <c r="MAG436" s="120"/>
      <c r="MAH436" s="120"/>
      <c r="MAI436" s="120"/>
      <c r="MAJ436" s="120"/>
      <c r="MAK436" s="120"/>
      <c r="MAL436" s="120"/>
      <c r="MAM436" s="120"/>
      <c r="MAN436" s="120"/>
      <c r="MAO436" s="120"/>
      <c r="MAP436" s="120"/>
      <c r="MAQ436" s="120"/>
      <c r="MAR436" s="120"/>
      <c r="MAS436" s="120"/>
      <c r="MAT436" s="120"/>
      <c r="MAU436" s="120"/>
      <c r="MAV436" s="120"/>
      <c r="MAW436" s="120"/>
      <c r="MAX436" s="120"/>
      <c r="MAY436" s="120"/>
      <c r="MAZ436" s="120"/>
      <c r="MBA436" s="120"/>
      <c r="MBB436" s="120"/>
      <c r="MBC436" s="120"/>
      <c r="MBD436" s="120"/>
      <c r="MBE436" s="120"/>
      <c r="MBF436" s="120"/>
      <c r="MBG436" s="120"/>
      <c r="MBH436" s="120"/>
      <c r="MBI436" s="120"/>
      <c r="MBJ436" s="120"/>
      <c r="MBK436" s="120"/>
      <c r="MBL436" s="120"/>
      <c r="MBM436" s="120"/>
      <c r="MBN436" s="120"/>
      <c r="MBO436" s="120"/>
      <c r="MBP436" s="120"/>
      <c r="MBQ436" s="120"/>
      <c r="MBR436" s="120"/>
      <c r="MBS436" s="120"/>
      <c r="MBT436" s="120"/>
      <c r="MBU436" s="120"/>
      <c r="MBV436" s="120"/>
      <c r="MBW436" s="120"/>
      <c r="MBX436" s="120"/>
      <c r="MBY436" s="120"/>
      <c r="MBZ436" s="120"/>
      <c r="MCA436" s="120"/>
      <c r="MCB436" s="120"/>
      <c r="MCC436" s="120"/>
      <c r="MCD436" s="120"/>
      <c r="MCE436" s="120"/>
      <c r="MCF436" s="120"/>
      <c r="MCG436" s="120"/>
      <c r="MCH436" s="120"/>
      <c r="MCI436" s="120"/>
      <c r="MCJ436" s="120"/>
      <c r="MCK436" s="120"/>
      <c r="MCL436" s="120"/>
      <c r="MCM436" s="120"/>
      <c r="MCN436" s="120"/>
      <c r="MCO436" s="120"/>
      <c r="MCP436" s="120"/>
      <c r="MCQ436" s="120"/>
      <c r="MCR436" s="120"/>
      <c r="MCS436" s="120"/>
      <c r="MCT436" s="120"/>
      <c r="MCU436" s="120"/>
      <c r="MCV436" s="120"/>
      <c r="MCW436" s="120"/>
      <c r="MCX436" s="120"/>
      <c r="MCY436" s="120"/>
      <c r="MCZ436" s="120"/>
      <c r="MDA436" s="120"/>
      <c r="MDB436" s="120"/>
      <c r="MDC436" s="120"/>
      <c r="MDD436" s="120"/>
      <c r="MDE436" s="120"/>
      <c r="MDF436" s="120"/>
      <c r="MDG436" s="120"/>
      <c r="MDH436" s="120"/>
      <c r="MDI436" s="120"/>
      <c r="MDJ436" s="120"/>
      <c r="MDK436" s="120"/>
      <c r="MDL436" s="120"/>
      <c r="MDM436" s="120"/>
      <c r="MDN436" s="120"/>
      <c r="MDO436" s="120"/>
      <c r="MDP436" s="120"/>
      <c r="MDQ436" s="120"/>
      <c r="MDR436" s="120"/>
      <c r="MDS436" s="120"/>
      <c r="MDT436" s="120"/>
      <c r="MDU436" s="120"/>
      <c r="MDV436" s="120"/>
      <c r="MDW436" s="120"/>
      <c r="MDX436" s="120"/>
      <c r="MDY436" s="120"/>
      <c r="MDZ436" s="120"/>
      <c r="MEA436" s="120"/>
      <c r="MEB436" s="120"/>
      <c r="MEC436" s="120"/>
      <c r="MED436" s="120"/>
      <c r="MEE436" s="120"/>
      <c r="MEF436" s="120"/>
      <c r="MEG436" s="120"/>
      <c r="MEH436" s="120"/>
      <c r="MEI436" s="120"/>
      <c r="MEJ436" s="120"/>
      <c r="MEK436" s="120"/>
      <c r="MEL436" s="120"/>
      <c r="MEM436" s="120"/>
      <c r="MEN436" s="120"/>
      <c r="MEO436" s="120"/>
      <c r="MEP436" s="120"/>
      <c r="MEQ436" s="120"/>
      <c r="MER436" s="120"/>
      <c r="MES436" s="120"/>
      <c r="MET436" s="120"/>
      <c r="MEU436" s="120"/>
      <c r="MEV436" s="120"/>
      <c r="MEW436" s="120"/>
      <c r="MEX436" s="120"/>
      <c r="MEY436" s="120"/>
      <c r="MEZ436" s="120"/>
      <c r="MFA436" s="120"/>
      <c r="MFB436" s="120"/>
      <c r="MFC436" s="120"/>
      <c r="MFD436" s="120"/>
      <c r="MFE436" s="120"/>
      <c r="MFF436" s="120"/>
      <c r="MFG436" s="120"/>
      <c r="MFH436" s="120"/>
      <c r="MFI436" s="120"/>
      <c r="MFJ436" s="120"/>
      <c r="MFK436" s="120"/>
      <c r="MFL436" s="120"/>
      <c r="MFM436" s="120"/>
      <c r="MFN436" s="120"/>
      <c r="MFO436" s="120"/>
      <c r="MFP436" s="120"/>
      <c r="MFQ436" s="120"/>
      <c r="MFR436" s="120"/>
      <c r="MFS436" s="120"/>
      <c r="MFT436" s="120"/>
      <c r="MFU436" s="120"/>
      <c r="MFV436" s="120"/>
      <c r="MFW436" s="120"/>
      <c r="MFX436" s="120"/>
      <c r="MFY436" s="120"/>
      <c r="MFZ436" s="120"/>
      <c r="MGA436" s="120"/>
      <c r="MGB436" s="120"/>
      <c r="MGC436" s="120"/>
      <c r="MGD436" s="120"/>
      <c r="MGE436" s="120"/>
      <c r="MGF436" s="120"/>
      <c r="MGG436" s="120"/>
      <c r="MGH436" s="120"/>
      <c r="MGI436" s="120"/>
      <c r="MGJ436" s="120"/>
      <c r="MGK436" s="120"/>
      <c r="MGL436" s="120"/>
      <c r="MGM436" s="120"/>
      <c r="MGN436" s="120"/>
      <c r="MGO436" s="120"/>
      <c r="MGP436" s="120"/>
      <c r="MGQ436" s="120"/>
      <c r="MGR436" s="120"/>
      <c r="MGS436" s="120"/>
      <c r="MGT436" s="120"/>
      <c r="MGU436" s="120"/>
      <c r="MGV436" s="120"/>
      <c r="MGW436" s="120"/>
      <c r="MGX436" s="120"/>
      <c r="MGY436" s="120"/>
      <c r="MGZ436" s="120"/>
      <c r="MHA436" s="120"/>
      <c r="MHB436" s="120"/>
      <c r="MHC436" s="120"/>
      <c r="MHD436" s="120"/>
      <c r="MHE436" s="120"/>
      <c r="MHF436" s="120"/>
      <c r="MHG436" s="120"/>
      <c r="MHH436" s="120"/>
      <c r="MHI436" s="120"/>
      <c r="MHJ436" s="120"/>
      <c r="MHK436" s="120"/>
      <c r="MHL436" s="120"/>
      <c r="MHM436" s="120"/>
      <c r="MHN436" s="120"/>
      <c r="MHO436" s="120"/>
      <c r="MHP436" s="120"/>
      <c r="MHQ436" s="120"/>
      <c r="MHR436" s="120"/>
      <c r="MHS436" s="120"/>
      <c r="MHT436" s="120"/>
      <c r="MHU436" s="120"/>
      <c r="MHV436" s="120"/>
      <c r="MHW436" s="120"/>
      <c r="MHX436" s="120"/>
      <c r="MHY436" s="120"/>
      <c r="MHZ436" s="120"/>
      <c r="MIA436" s="120"/>
      <c r="MIB436" s="120"/>
      <c r="MIC436" s="120"/>
      <c r="MID436" s="120"/>
      <c r="MIE436" s="120"/>
      <c r="MIF436" s="120"/>
      <c r="MIG436" s="120"/>
      <c r="MIH436" s="120"/>
      <c r="MII436" s="120"/>
      <c r="MIJ436" s="120"/>
      <c r="MIK436" s="120"/>
      <c r="MIL436" s="120"/>
      <c r="MIM436" s="120"/>
      <c r="MIN436" s="120"/>
      <c r="MIO436" s="120"/>
      <c r="MIP436" s="120"/>
      <c r="MIQ436" s="120"/>
      <c r="MIR436" s="120"/>
      <c r="MIS436" s="120"/>
      <c r="MIT436" s="120"/>
      <c r="MIU436" s="120"/>
      <c r="MIV436" s="120"/>
      <c r="MIW436" s="120"/>
      <c r="MIX436" s="120"/>
      <c r="MIY436" s="120"/>
      <c r="MIZ436" s="120"/>
      <c r="MJA436" s="120"/>
      <c r="MJB436" s="120"/>
      <c r="MJC436" s="120"/>
      <c r="MJD436" s="120"/>
      <c r="MJE436" s="120"/>
      <c r="MJF436" s="120"/>
      <c r="MJG436" s="120"/>
      <c r="MJH436" s="120"/>
      <c r="MJI436" s="120"/>
      <c r="MJJ436" s="120"/>
      <c r="MJK436" s="120"/>
      <c r="MJL436" s="120"/>
      <c r="MJM436" s="120"/>
      <c r="MJN436" s="120"/>
      <c r="MJO436" s="120"/>
      <c r="MJP436" s="120"/>
      <c r="MJQ436" s="120"/>
      <c r="MJR436" s="120"/>
      <c r="MJS436" s="120"/>
      <c r="MJT436" s="120"/>
      <c r="MJU436" s="120"/>
      <c r="MJV436" s="120"/>
      <c r="MJW436" s="120"/>
      <c r="MJX436" s="120"/>
      <c r="MJY436" s="120"/>
      <c r="MJZ436" s="120"/>
      <c r="MKA436" s="120"/>
      <c r="MKB436" s="120"/>
      <c r="MKC436" s="120"/>
      <c r="MKD436" s="120"/>
      <c r="MKE436" s="120"/>
      <c r="MKF436" s="120"/>
      <c r="MKG436" s="120"/>
      <c r="MKH436" s="120"/>
      <c r="MKI436" s="120"/>
      <c r="MKJ436" s="120"/>
      <c r="MKK436" s="120"/>
      <c r="MKL436" s="120"/>
      <c r="MKM436" s="120"/>
      <c r="MKN436" s="120"/>
      <c r="MKO436" s="120"/>
      <c r="MKP436" s="120"/>
      <c r="MKQ436" s="120"/>
      <c r="MKR436" s="120"/>
      <c r="MKS436" s="120"/>
      <c r="MKT436" s="120"/>
      <c r="MKU436" s="120"/>
      <c r="MKV436" s="120"/>
      <c r="MKW436" s="120"/>
      <c r="MKX436" s="120"/>
      <c r="MKY436" s="120"/>
      <c r="MKZ436" s="120"/>
      <c r="MLA436" s="120"/>
      <c r="MLB436" s="120"/>
      <c r="MLC436" s="120"/>
      <c r="MLD436" s="120"/>
      <c r="MLE436" s="120"/>
      <c r="MLF436" s="120"/>
      <c r="MLG436" s="120"/>
      <c r="MLH436" s="120"/>
      <c r="MLI436" s="120"/>
      <c r="MLJ436" s="120"/>
      <c r="MLK436" s="120"/>
      <c r="MLL436" s="120"/>
      <c r="MLM436" s="120"/>
      <c r="MLN436" s="120"/>
      <c r="MLO436" s="120"/>
      <c r="MLP436" s="120"/>
      <c r="MLQ436" s="120"/>
      <c r="MLR436" s="120"/>
      <c r="MLS436" s="120"/>
      <c r="MLT436" s="120"/>
      <c r="MLU436" s="120"/>
      <c r="MLV436" s="120"/>
      <c r="MLW436" s="120"/>
      <c r="MLX436" s="120"/>
      <c r="MLY436" s="120"/>
      <c r="MLZ436" s="120"/>
      <c r="MMA436" s="120"/>
      <c r="MMB436" s="120"/>
      <c r="MMC436" s="120"/>
      <c r="MMD436" s="120"/>
      <c r="MME436" s="120"/>
      <c r="MMF436" s="120"/>
      <c r="MMG436" s="120"/>
      <c r="MMH436" s="120"/>
      <c r="MMI436" s="120"/>
      <c r="MMJ436" s="120"/>
      <c r="MMK436" s="120"/>
      <c r="MML436" s="120"/>
      <c r="MMM436" s="120"/>
      <c r="MMN436" s="120"/>
      <c r="MMO436" s="120"/>
      <c r="MMP436" s="120"/>
      <c r="MMQ436" s="120"/>
      <c r="MMR436" s="120"/>
      <c r="MMS436" s="120"/>
      <c r="MMT436" s="120"/>
      <c r="MMU436" s="120"/>
      <c r="MMV436" s="120"/>
      <c r="MMW436" s="120"/>
      <c r="MMX436" s="120"/>
      <c r="MMY436" s="120"/>
      <c r="MMZ436" s="120"/>
      <c r="MNA436" s="120"/>
      <c r="MNB436" s="120"/>
      <c r="MNC436" s="120"/>
      <c r="MND436" s="120"/>
      <c r="MNE436" s="120"/>
      <c r="MNF436" s="120"/>
      <c r="MNG436" s="120"/>
      <c r="MNH436" s="120"/>
      <c r="MNI436" s="120"/>
      <c r="MNJ436" s="120"/>
      <c r="MNK436" s="120"/>
      <c r="MNL436" s="120"/>
      <c r="MNM436" s="120"/>
      <c r="MNN436" s="120"/>
      <c r="MNO436" s="120"/>
      <c r="MNP436" s="120"/>
      <c r="MNQ436" s="120"/>
      <c r="MNR436" s="120"/>
      <c r="MNS436" s="120"/>
      <c r="MNT436" s="120"/>
      <c r="MNU436" s="120"/>
      <c r="MNV436" s="120"/>
      <c r="MNW436" s="120"/>
      <c r="MNX436" s="120"/>
      <c r="MNY436" s="120"/>
      <c r="MNZ436" s="120"/>
      <c r="MOA436" s="120"/>
      <c r="MOB436" s="120"/>
      <c r="MOC436" s="120"/>
      <c r="MOD436" s="120"/>
      <c r="MOE436" s="120"/>
      <c r="MOF436" s="120"/>
      <c r="MOG436" s="120"/>
      <c r="MOH436" s="120"/>
      <c r="MOI436" s="120"/>
      <c r="MOJ436" s="120"/>
      <c r="MOK436" s="120"/>
      <c r="MOL436" s="120"/>
      <c r="MOM436" s="120"/>
      <c r="MON436" s="120"/>
      <c r="MOO436" s="120"/>
      <c r="MOP436" s="120"/>
      <c r="MOQ436" s="120"/>
      <c r="MOR436" s="120"/>
      <c r="MOS436" s="120"/>
      <c r="MOT436" s="120"/>
      <c r="MOU436" s="120"/>
      <c r="MOV436" s="120"/>
      <c r="MOW436" s="120"/>
      <c r="MOX436" s="120"/>
      <c r="MOY436" s="120"/>
      <c r="MOZ436" s="120"/>
      <c r="MPA436" s="120"/>
      <c r="MPB436" s="120"/>
      <c r="MPC436" s="120"/>
      <c r="MPD436" s="120"/>
      <c r="MPE436" s="120"/>
      <c r="MPF436" s="120"/>
      <c r="MPG436" s="120"/>
      <c r="MPH436" s="120"/>
      <c r="MPI436" s="120"/>
      <c r="MPJ436" s="120"/>
      <c r="MPK436" s="120"/>
      <c r="MPL436" s="120"/>
      <c r="MPM436" s="120"/>
      <c r="MPN436" s="120"/>
      <c r="MPO436" s="120"/>
      <c r="MPP436" s="120"/>
      <c r="MPQ436" s="120"/>
      <c r="MPR436" s="120"/>
      <c r="MPS436" s="120"/>
      <c r="MPT436" s="120"/>
      <c r="MPU436" s="120"/>
      <c r="MPV436" s="120"/>
      <c r="MPW436" s="120"/>
      <c r="MPX436" s="120"/>
      <c r="MPY436" s="120"/>
      <c r="MPZ436" s="120"/>
      <c r="MQA436" s="120"/>
      <c r="MQB436" s="120"/>
      <c r="MQC436" s="120"/>
      <c r="MQD436" s="120"/>
      <c r="MQE436" s="120"/>
      <c r="MQF436" s="120"/>
      <c r="MQG436" s="120"/>
      <c r="MQH436" s="120"/>
      <c r="MQI436" s="120"/>
      <c r="MQJ436" s="120"/>
      <c r="MQK436" s="120"/>
      <c r="MQL436" s="120"/>
      <c r="MQM436" s="120"/>
      <c r="MQN436" s="120"/>
      <c r="MQO436" s="120"/>
      <c r="MQP436" s="120"/>
      <c r="MQQ436" s="120"/>
      <c r="MQR436" s="120"/>
      <c r="MQS436" s="120"/>
      <c r="MQT436" s="120"/>
      <c r="MQU436" s="120"/>
      <c r="MQV436" s="120"/>
      <c r="MQW436" s="120"/>
      <c r="MQX436" s="120"/>
      <c r="MQY436" s="120"/>
      <c r="MQZ436" s="120"/>
      <c r="MRA436" s="120"/>
      <c r="MRB436" s="120"/>
      <c r="MRC436" s="120"/>
      <c r="MRD436" s="120"/>
      <c r="MRE436" s="120"/>
      <c r="MRF436" s="120"/>
      <c r="MRG436" s="120"/>
      <c r="MRH436" s="120"/>
      <c r="MRI436" s="120"/>
      <c r="MRJ436" s="120"/>
      <c r="MRK436" s="120"/>
      <c r="MRL436" s="120"/>
      <c r="MRM436" s="120"/>
      <c r="MRN436" s="120"/>
      <c r="MRO436" s="120"/>
      <c r="MRP436" s="120"/>
      <c r="MRQ436" s="120"/>
      <c r="MRR436" s="120"/>
      <c r="MRS436" s="120"/>
      <c r="MRT436" s="120"/>
      <c r="MRU436" s="120"/>
      <c r="MRV436" s="120"/>
      <c r="MRW436" s="120"/>
      <c r="MRX436" s="120"/>
      <c r="MRY436" s="120"/>
      <c r="MRZ436" s="120"/>
      <c r="MSA436" s="120"/>
      <c r="MSB436" s="120"/>
      <c r="MSC436" s="120"/>
      <c r="MSD436" s="120"/>
      <c r="MSE436" s="120"/>
      <c r="MSF436" s="120"/>
      <c r="MSG436" s="120"/>
      <c r="MSH436" s="120"/>
      <c r="MSI436" s="120"/>
      <c r="MSJ436" s="120"/>
      <c r="MSK436" s="120"/>
      <c r="MSL436" s="120"/>
      <c r="MSM436" s="120"/>
      <c r="MSN436" s="120"/>
      <c r="MSO436" s="120"/>
      <c r="MSP436" s="120"/>
      <c r="MSQ436" s="120"/>
      <c r="MSR436" s="120"/>
      <c r="MSS436" s="120"/>
      <c r="MST436" s="120"/>
      <c r="MSU436" s="120"/>
      <c r="MSV436" s="120"/>
      <c r="MSW436" s="120"/>
      <c r="MSX436" s="120"/>
      <c r="MSY436" s="120"/>
      <c r="MSZ436" s="120"/>
      <c r="MTA436" s="120"/>
      <c r="MTB436" s="120"/>
      <c r="MTC436" s="120"/>
      <c r="MTD436" s="120"/>
      <c r="MTE436" s="120"/>
      <c r="MTF436" s="120"/>
      <c r="MTG436" s="120"/>
      <c r="MTH436" s="120"/>
      <c r="MTI436" s="120"/>
      <c r="MTJ436" s="120"/>
      <c r="MTK436" s="120"/>
      <c r="MTL436" s="120"/>
      <c r="MTM436" s="120"/>
      <c r="MTN436" s="120"/>
      <c r="MTO436" s="120"/>
      <c r="MTP436" s="120"/>
      <c r="MTQ436" s="120"/>
      <c r="MTR436" s="120"/>
      <c r="MTS436" s="120"/>
      <c r="MTT436" s="120"/>
      <c r="MTU436" s="120"/>
      <c r="MTV436" s="120"/>
      <c r="MTW436" s="120"/>
      <c r="MTX436" s="120"/>
      <c r="MTY436" s="120"/>
      <c r="MTZ436" s="120"/>
      <c r="MUA436" s="120"/>
      <c r="MUB436" s="120"/>
      <c r="MUC436" s="120"/>
      <c r="MUD436" s="120"/>
      <c r="MUE436" s="120"/>
      <c r="MUF436" s="120"/>
      <c r="MUG436" s="120"/>
      <c r="MUH436" s="120"/>
      <c r="MUI436" s="120"/>
      <c r="MUJ436" s="120"/>
      <c r="MUK436" s="120"/>
      <c r="MUL436" s="120"/>
      <c r="MUM436" s="120"/>
      <c r="MUN436" s="120"/>
      <c r="MUO436" s="120"/>
      <c r="MUP436" s="120"/>
      <c r="MUQ436" s="120"/>
      <c r="MUR436" s="120"/>
      <c r="MUS436" s="120"/>
      <c r="MUT436" s="120"/>
      <c r="MUU436" s="120"/>
      <c r="MUV436" s="120"/>
      <c r="MUW436" s="120"/>
      <c r="MUX436" s="120"/>
      <c r="MUY436" s="120"/>
      <c r="MUZ436" s="120"/>
      <c r="MVA436" s="120"/>
      <c r="MVB436" s="120"/>
      <c r="MVC436" s="120"/>
      <c r="MVD436" s="120"/>
      <c r="MVE436" s="120"/>
      <c r="MVF436" s="120"/>
      <c r="MVG436" s="120"/>
      <c r="MVH436" s="120"/>
      <c r="MVI436" s="120"/>
      <c r="MVJ436" s="120"/>
      <c r="MVK436" s="120"/>
      <c r="MVL436" s="120"/>
      <c r="MVM436" s="120"/>
      <c r="MVN436" s="120"/>
      <c r="MVO436" s="120"/>
      <c r="MVP436" s="120"/>
      <c r="MVQ436" s="120"/>
      <c r="MVR436" s="120"/>
      <c r="MVS436" s="120"/>
      <c r="MVT436" s="120"/>
      <c r="MVU436" s="120"/>
      <c r="MVV436" s="120"/>
      <c r="MVW436" s="120"/>
      <c r="MVX436" s="120"/>
      <c r="MVY436" s="120"/>
      <c r="MVZ436" s="120"/>
      <c r="MWA436" s="120"/>
      <c r="MWB436" s="120"/>
      <c r="MWC436" s="120"/>
      <c r="MWD436" s="120"/>
      <c r="MWE436" s="120"/>
      <c r="MWF436" s="120"/>
      <c r="MWG436" s="120"/>
      <c r="MWH436" s="120"/>
      <c r="MWI436" s="120"/>
      <c r="MWJ436" s="120"/>
      <c r="MWK436" s="120"/>
      <c r="MWL436" s="120"/>
      <c r="MWM436" s="120"/>
      <c r="MWN436" s="120"/>
      <c r="MWO436" s="120"/>
      <c r="MWP436" s="120"/>
      <c r="MWQ436" s="120"/>
      <c r="MWR436" s="120"/>
      <c r="MWS436" s="120"/>
      <c r="MWT436" s="120"/>
      <c r="MWU436" s="120"/>
      <c r="MWV436" s="120"/>
      <c r="MWW436" s="120"/>
      <c r="MWX436" s="120"/>
      <c r="MWY436" s="120"/>
      <c r="MWZ436" s="120"/>
      <c r="MXA436" s="120"/>
      <c r="MXB436" s="120"/>
      <c r="MXC436" s="120"/>
      <c r="MXD436" s="120"/>
      <c r="MXE436" s="120"/>
      <c r="MXF436" s="120"/>
      <c r="MXG436" s="120"/>
      <c r="MXH436" s="120"/>
      <c r="MXI436" s="120"/>
      <c r="MXJ436" s="120"/>
      <c r="MXK436" s="120"/>
      <c r="MXL436" s="120"/>
      <c r="MXM436" s="120"/>
      <c r="MXN436" s="120"/>
      <c r="MXO436" s="120"/>
      <c r="MXP436" s="120"/>
      <c r="MXQ436" s="120"/>
      <c r="MXR436" s="120"/>
      <c r="MXS436" s="120"/>
      <c r="MXT436" s="120"/>
      <c r="MXU436" s="120"/>
      <c r="MXV436" s="120"/>
      <c r="MXW436" s="120"/>
      <c r="MXX436" s="120"/>
      <c r="MXY436" s="120"/>
      <c r="MXZ436" s="120"/>
      <c r="MYA436" s="120"/>
      <c r="MYB436" s="120"/>
      <c r="MYC436" s="120"/>
      <c r="MYD436" s="120"/>
      <c r="MYE436" s="120"/>
      <c r="MYF436" s="120"/>
      <c r="MYG436" s="120"/>
      <c r="MYH436" s="120"/>
      <c r="MYI436" s="120"/>
      <c r="MYJ436" s="120"/>
      <c r="MYK436" s="120"/>
      <c r="MYL436" s="120"/>
      <c r="MYM436" s="120"/>
      <c r="MYN436" s="120"/>
      <c r="MYO436" s="120"/>
      <c r="MYP436" s="120"/>
      <c r="MYQ436" s="120"/>
      <c r="MYR436" s="120"/>
      <c r="MYS436" s="120"/>
      <c r="MYT436" s="120"/>
      <c r="MYU436" s="120"/>
      <c r="MYV436" s="120"/>
      <c r="MYW436" s="120"/>
      <c r="MYX436" s="120"/>
      <c r="MYY436" s="120"/>
      <c r="MYZ436" s="120"/>
      <c r="MZA436" s="120"/>
      <c r="MZB436" s="120"/>
      <c r="MZC436" s="120"/>
      <c r="MZD436" s="120"/>
      <c r="MZE436" s="120"/>
      <c r="MZF436" s="120"/>
      <c r="MZG436" s="120"/>
      <c r="MZH436" s="120"/>
      <c r="MZI436" s="120"/>
      <c r="MZJ436" s="120"/>
      <c r="MZK436" s="120"/>
      <c r="MZL436" s="120"/>
      <c r="MZM436" s="120"/>
      <c r="MZN436" s="120"/>
      <c r="MZO436" s="120"/>
      <c r="MZP436" s="120"/>
      <c r="MZQ436" s="120"/>
      <c r="MZR436" s="120"/>
      <c r="MZS436" s="120"/>
      <c r="MZT436" s="120"/>
      <c r="MZU436" s="120"/>
      <c r="MZV436" s="120"/>
      <c r="MZW436" s="120"/>
      <c r="MZX436" s="120"/>
      <c r="MZY436" s="120"/>
      <c r="MZZ436" s="120"/>
      <c r="NAA436" s="120"/>
      <c r="NAB436" s="120"/>
      <c r="NAC436" s="120"/>
      <c r="NAD436" s="120"/>
      <c r="NAE436" s="120"/>
      <c r="NAF436" s="120"/>
      <c r="NAG436" s="120"/>
      <c r="NAH436" s="120"/>
      <c r="NAI436" s="120"/>
      <c r="NAJ436" s="120"/>
      <c r="NAK436" s="120"/>
      <c r="NAL436" s="120"/>
      <c r="NAM436" s="120"/>
      <c r="NAN436" s="120"/>
      <c r="NAO436" s="120"/>
      <c r="NAP436" s="120"/>
      <c r="NAQ436" s="120"/>
      <c r="NAR436" s="120"/>
      <c r="NAS436" s="120"/>
      <c r="NAT436" s="120"/>
      <c r="NAU436" s="120"/>
      <c r="NAV436" s="120"/>
      <c r="NAW436" s="120"/>
      <c r="NAX436" s="120"/>
      <c r="NAY436" s="120"/>
      <c r="NAZ436" s="120"/>
      <c r="NBA436" s="120"/>
      <c r="NBB436" s="120"/>
      <c r="NBC436" s="120"/>
      <c r="NBD436" s="120"/>
      <c r="NBE436" s="120"/>
      <c r="NBF436" s="120"/>
      <c r="NBG436" s="120"/>
      <c r="NBH436" s="120"/>
      <c r="NBI436" s="120"/>
      <c r="NBJ436" s="120"/>
      <c r="NBK436" s="120"/>
      <c r="NBL436" s="120"/>
      <c r="NBM436" s="120"/>
      <c r="NBN436" s="120"/>
      <c r="NBO436" s="120"/>
      <c r="NBP436" s="120"/>
      <c r="NBQ436" s="120"/>
      <c r="NBR436" s="120"/>
      <c r="NBS436" s="120"/>
      <c r="NBT436" s="120"/>
      <c r="NBU436" s="120"/>
      <c r="NBV436" s="120"/>
      <c r="NBW436" s="120"/>
      <c r="NBX436" s="120"/>
      <c r="NBY436" s="120"/>
      <c r="NBZ436" s="120"/>
      <c r="NCA436" s="120"/>
      <c r="NCB436" s="120"/>
      <c r="NCC436" s="120"/>
      <c r="NCD436" s="120"/>
      <c r="NCE436" s="120"/>
      <c r="NCF436" s="120"/>
      <c r="NCG436" s="120"/>
      <c r="NCH436" s="120"/>
      <c r="NCI436" s="120"/>
      <c r="NCJ436" s="120"/>
      <c r="NCK436" s="120"/>
      <c r="NCL436" s="120"/>
      <c r="NCM436" s="120"/>
      <c r="NCN436" s="120"/>
      <c r="NCO436" s="120"/>
      <c r="NCP436" s="120"/>
      <c r="NCQ436" s="120"/>
      <c r="NCR436" s="120"/>
      <c r="NCS436" s="120"/>
      <c r="NCT436" s="120"/>
      <c r="NCU436" s="120"/>
      <c r="NCV436" s="120"/>
      <c r="NCW436" s="120"/>
      <c r="NCX436" s="120"/>
      <c r="NCY436" s="120"/>
      <c r="NCZ436" s="120"/>
      <c r="NDA436" s="120"/>
      <c r="NDB436" s="120"/>
      <c r="NDC436" s="120"/>
      <c r="NDD436" s="120"/>
      <c r="NDE436" s="120"/>
      <c r="NDF436" s="120"/>
      <c r="NDG436" s="120"/>
      <c r="NDH436" s="120"/>
      <c r="NDI436" s="120"/>
      <c r="NDJ436" s="120"/>
      <c r="NDK436" s="120"/>
      <c r="NDL436" s="120"/>
      <c r="NDM436" s="120"/>
      <c r="NDN436" s="120"/>
      <c r="NDO436" s="120"/>
      <c r="NDP436" s="120"/>
      <c r="NDQ436" s="120"/>
      <c r="NDR436" s="120"/>
      <c r="NDS436" s="120"/>
      <c r="NDT436" s="120"/>
      <c r="NDU436" s="120"/>
      <c r="NDV436" s="120"/>
      <c r="NDW436" s="120"/>
      <c r="NDX436" s="120"/>
      <c r="NDY436" s="120"/>
      <c r="NDZ436" s="120"/>
      <c r="NEA436" s="120"/>
      <c r="NEB436" s="120"/>
      <c r="NEC436" s="120"/>
      <c r="NED436" s="120"/>
      <c r="NEE436" s="120"/>
      <c r="NEF436" s="120"/>
      <c r="NEG436" s="120"/>
      <c r="NEH436" s="120"/>
      <c r="NEI436" s="120"/>
      <c r="NEJ436" s="120"/>
      <c r="NEK436" s="120"/>
      <c r="NEL436" s="120"/>
      <c r="NEM436" s="120"/>
      <c r="NEN436" s="120"/>
      <c r="NEO436" s="120"/>
      <c r="NEP436" s="120"/>
      <c r="NEQ436" s="120"/>
      <c r="NER436" s="120"/>
      <c r="NES436" s="120"/>
      <c r="NET436" s="120"/>
      <c r="NEU436" s="120"/>
      <c r="NEV436" s="120"/>
      <c r="NEW436" s="120"/>
      <c r="NEX436" s="120"/>
      <c r="NEY436" s="120"/>
      <c r="NEZ436" s="120"/>
      <c r="NFA436" s="120"/>
      <c r="NFB436" s="120"/>
      <c r="NFC436" s="120"/>
      <c r="NFD436" s="120"/>
      <c r="NFE436" s="120"/>
      <c r="NFF436" s="120"/>
      <c r="NFG436" s="120"/>
      <c r="NFH436" s="120"/>
      <c r="NFI436" s="120"/>
      <c r="NFJ436" s="120"/>
      <c r="NFK436" s="120"/>
      <c r="NFL436" s="120"/>
      <c r="NFM436" s="120"/>
      <c r="NFN436" s="120"/>
      <c r="NFO436" s="120"/>
      <c r="NFP436" s="120"/>
      <c r="NFQ436" s="120"/>
      <c r="NFR436" s="120"/>
      <c r="NFS436" s="120"/>
      <c r="NFT436" s="120"/>
      <c r="NFU436" s="120"/>
      <c r="NFV436" s="120"/>
      <c r="NFW436" s="120"/>
      <c r="NFX436" s="120"/>
      <c r="NFY436" s="120"/>
      <c r="NFZ436" s="120"/>
      <c r="NGA436" s="120"/>
      <c r="NGB436" s="120"/>
      <c r="NGC436" s="120"/>
      <c r="NGD436" s="120"/>
      <c r="NGE436" s="120"/>
      <c r="NGF436" s="120"/>
      <c r="NGG436" s="120"/>
      <c r="NGH436" s="120"/>
      <c r="NGI436" s="120"/>
      <c r="NGJ436" s="120"/>
      <c r="NGK436" s="120"/>
      <c r="NGL436" s="120"/>
      <c r="NGM436" s="120"/>
      <c r="NGN436" s="120"/>
      <c r="NGO436" s="120"/>
      <c r="NGP436" s="120"/>
      <c r="NGQ436" s="120"/>
      <c r="NGR436" s="120"/>
      <c r="NGS436" s="120"/>
      <c r="NGT436" s="120"/>
      <c r="NGU436" s="120"/>
      <c r="NGV436" s="120"/>
      <c r="NGW436" s="120"/>
      <c r="NGX436" s="120"/>
      <c r="NGY436" s="120"/>
      <c r="NGZ436" s="120"/>
      <c r="NHA436" s="120"/>
      <c r="NHB436" s="120"/>
      <c r="NHC436" s="120"/>
      <c r="NHD436" s="120"/>
      <c r="NHE436" s="120"/>
      <c r="NHF436" s="120"/>
      <c r="NHG436" s="120"/>
      <c r="NHH436" s="120"/>
      <c r="NHI436" s="120"/>
      <c r="NHJ436" s="120"/>
      <c r="NHK436" s="120"/>
      <c r="NHL436" s="120"/>
      <c r="NHM436" s="120"/>
      <c r="NHN436" s="120"/>
      <c r="NHO436" s="120"/>
      <c r="NHP436" s="120"/>
      <c r="NHQ436" s="120"/>
      <c r="NHR436" s="120"/>
      <c r="NHS436" s="120"/>
      <c r="NHT436" s="120"/>
      <c r="NHU436" s="120"/>
      <c r="NHV436" s="120"/>
      <c r="NHW436" s="120"/>
      <c r="NHX436" s="120"/>
      <c r="NHY436" s="120"/>
      <c r="NHZ436" s="120"/>
      <c r="NIA436" s="120"/>
      <c r="NIB436" s="120"/>
      <c r="NIC436" s="120"/>
      <c r="NID436" s="120"/>
      <c r="NIE436" s="120"/>
      <c r="NIF436" s="120"/>
      <c r="NIG436" s="120"/>
      <c r="NIH436" s="120"/>
      <c r="NII436" s="120"/>
      <c r="NIJ436" s="120"/>
      <c r="NIK436" s="120"/>
      <c r="NIL436" s="120"/>
      <c r="NIM436" s="120"/>
      <c r="NIN436" s="120"/>
      <c r="NIO436" s="120"/>
      <c r="NIP436" s="120"/>
      <c r="NIQ436" s="120"/>
      <c r="NIR436" s="120"/>
      <c r="NIS436" s="120"/>
      <c r="NIT436" s="120"/>
      <c r="NIU436" s="120"/>
      <c r="NIV436" s="120"/>
      <c r="NIW436" s="120"/>
      <c r="NIX436" s="120"/>
      <c r="NIY436" s="120"/>
      <c r="NIZ436" s="120"/>
      <c r="NJA436" s="120"/>
      <c r="NJB436" s="120"/>
      <c r="NJC436" s="120"/>
      <c r="NJD436" s="120"/>
      <c r="NJE436" s="120"/>
      <c r="NJF436" s="120"/>
      <c r="NJG436" s="120"/>
      <c r="NJH436" s="120"/>
      <c r="NJI436" s="120"/>
      <c r="NJJ436" s="120"/>
      <c r="NJK436" s="120"/>
      <c r="NJL436" s="120"/>
      <c r="NJM436" s="120"/>
      <c r="NJN436" s="120"/>
      <c r="NJO436" s="120"/>
      <c r="NJP436" s="120"/>
      <c r="NJQ436" s="120"/>
      <c r="NJR436" s="120"/>
      <c r="NJS436" s="120"/>
      <c r="NJT436" s="120"/>
      <c r="NJU436" s="120"/>
      <c r="NJV436" s="120"/>
      <c r="NJW436" s="120"/>
      <c r="NJX436" s="120"/>
      <c r="NJY436" s="120"/>
      <c r="NJZ436" s="120"/>
      <c r="NKA436" s="120"/>
      <c r="NKB436" s="120"/>
      <c r="NKC436" s="120"/>
      <c r="NKD436" s="120"/>
      <c r="NKE436" s="120"/>
      <c r="NKF436" s="120"/>
      <c r="NKG436" s="120"/>
      <c r="NKH436" s="120"/>
      <c r="NKI436" s="120"/>
      <c r="NKJ436" s="120"/>
      <c r="NKK436" s="120"/>
      <c r="NKL436" s="120"/>
      <c r="NKM436" s="120"/>
      <c r="NKN436" s="120"/>
      <c r="NKO436" s="120"/>
      <c r="NKP436" s="120"/>
      <c r="NKQ436" s="120"/>
      <c r="NKR436" s="120"/>
      <c r="NKS436" s="120"/>
      <c r="NKT436" s="120"/>
      <c r="NKU436" s="120"/>
      <c r="NKV436" s="120"/>
      <c r="NKW436" s="120"/>
      <c r="NKX436" s="120"/>
      <c r="NKY436" s="120"/>
      <c r="NKZ436" s="120"/>
      <c r="NLA436" s="120"/>
      <c r="NLB436" s="120"/>
      <c r="NLC436" s="120"/>
      <c r="NLD436" s="120"/>
      <c r="NLE436" s="120"/>
      <c r="NLF436" s="120"/>
      <c r="NLG436" s="120"/>
      <c r="NLH436" s="120"/>
      <c r="NLI436" s="120"/>
      <c r="NLJ436" s="120"/>
      <c r="NLK436" s="120"/>
      <c r="NLL436" s="120"/>
      <c r="NLM436" s="120"/>
      <c r="NLN436" s="120"/>
      <c r="NLO436" s="120"/>
      <c r="NLP436" s="120"/>
      <c r="NLQ436" s="120"/>
      <c r="NLR436" s="120"/>
      <c r="NLS436" s="120"/>
      <c r="NLT436" s="120"/>
      <c r="NLU436" s="120"/>
      <c r="NLV436" s="120"/>
      <c r="NLW436" s="120"/>
      <c r="NLX436" s="120"/>
      <c r="NLY436" s="120"/>
      <c r="NLZ436" s="120"/>
      <c r="NMA436" s="120"/>
      <c r="NMB436" s="120"/>
      <c r="NMC436" s="120"/>
      <c r="NMD436" s="120"/>
      <c r="NME436" s="120"/>
      <c r="NMF436" s="120"/>
      <c r="NMG436" s="120"/>
      <c r="NMH436" s="120"/>
      <c r="NMI436" s="120"/>
      <c r="NMJ436" s="120"/>
      <c r="NMK436" s="120"/>
      <c r="NML436" s="120"/>
      <c r="NMM436" s="120"/>
      <c r="NMN436" s="120"/>
      <c r="NMO436" s="120"/>
      <c r="NMP436" s="120"/>
      <c r="NMQ436" s="120"/>
      <c r="NMR436" s="120"/>
      <c r="NMS436" s="120"/>
      <c r="NMT436" s="120"/>
      <c r="NMU436" s="120"/>
      <c r="NMV436" s="120"/>
      <c r="NMW436" s="120"/>
      <c r="NMX436" s="120"/>
      <c r="NMY436" s="120"/>
      <c r="NMZ436" s="120"/>
      <c r="NNA436" s="120"/>
      <c r="NNB436" s="120"/>
      <c r="NNC436" s="120"/>
      <c r="NND436" s="120"/>
      <c r="NNE436" s="120"/>
      <c r="NNF436" s="120"/>
      <c r="NNG436" s="120"/>
      <c r="NNH436" s="120"/>
      <c r="NNI436" s="120"/>
      <c r="NNJ436" s="120"/>
      <c r="NNK436" s="120"/>
      <c r="NNL436" s="120"/>
      <c r="NNM436" s="120"/>
      <c r="NNN436" s="120"/>
      <c r="NNO436" s="120"/>
      <c r="NNP436" s="120"/>
      <c r="NNQ436" s="120"/>
      <c r="NNR436" s="120"/>
      <c r="NNS436" s="120"/>
      <c r="NNT436" s="120"/>
      <c r="NNU436" s="120"/>
      <c r="NNV436" s="120"/>
      <c r="NNW436" s="120"/>
      <c r="NNX436" s="120"/>
      <c r="NNY436" s="120"/>
      <c r="NNZ436" s="120"/>
      <c r="NOA436" s="120"/>
      <c r="NOB436" s="120"/>
      <c r="NOC436" s="120"/>
      <c r="NOD436" s="120"/>
      <c r="NOE436" s="120"/>
      <c r="NOF436" s="120"/>
      <c r="NOG436" s="120"/>
      <c r="NOH436" s="120"/>
      <c r="NOI436" s="120"/>
      <c r="NOJ436" s="120"/>
      <c r="NOK436" s="120"/>
      <c r="NOL436" s="120"/>
      <c r="NOM436" s="120"/>
      <c r="NON436" s="120"/>
      <c r="NOO436" s="120"/>
      <c r="NOP436" s="120"/>
      <c r="NOQ436" s="120"/>
      <c r="NOR436" s="120"/>
      <c r="NOS436" s="120"/>
      <c r="NOT436" s="120"/>
      <c r="NOU436" s="120"/>
      <c r="NOV436" s="120"/>
      <c r="NOW436" s="120"/>
      <c r="NOX436" s="120"/>
      <c r="NOY436" s="120"/>
      <c r="NOZ436" s="120"/>
      <c r="NPA436" s="120"/>
      <c r="NPB436" s="120"/>
      <c r="NPC436" s="120"/>
      <c r="NPD436" s="120"/>
      <c r="NPE436" s="120"/>
      <c r="NPF436" s="120"/>
      <c r="NPG436" s="120"/>
      <c r="NPH436" s="120"/>
      <c r="NPI436" s="120"/>
      <c r="NPJ436" s="120"/>
      <c r="NPK436" s="120"/>
      <c r="NPL436" s="120"/>
      <c r="NPM436" s="120"/>
      <c r="NPN436" s="120"/>
      <c r="NPO436" s="120"/>
      <c r="NPP436" s="120"/>
      <c r="NPQ436" s="120"/>
      <c r="NPR436" s="120"/>
      <c r="NPS436" s="120"/>
      <c r="NPT436" s="120"/>
      <c r="NPU436" s="120"/>
      <c r="NPV436" s="120"/>
      <c r="NPW436" s="120"/>
      <c r="NPX436" s="120"/>
      <c r="NPY436" s="120"/>
      <c r="NPZ436" s="120"/>
      <c r="NQA436" s="120"/>
      <c r="NQB436" s="120"/>
      <c r="NQC436" s="120"/>
      <c r="NQD436" s="120"/>
      <c r="NQE436" s="120"/>
      <c r="NQF436" s="120"/>
      <c r="NQG436" s="120"/>
      <c r="NQH436" s="120"/>
      <c r="NQI436" s="120"/>
      <c r="NQJ436" s="120"/>
      <c r="NQK436" s="120"/>
      <c r="NQL436" s="120"/>
      <c r="NQM436" s="120"/>
      <c r="NQN436" s="120"/>
      <c r="NQO436" s="120"/>
      <c r="NQP436" s="120"/>
      <c r="NQQ436" s="120"/>
      <c r="NQR436" s="120"/>
      <c r="NQS436" s="120"/>
      <c r="NQT436" s="120"/>
      <c r="NQU436" s="120"/>
      <c r="NQV436" s="120"/>
      <c r="NQW436" s="120"/>
      <c r="NQX436" s="120"/>
      <c r="NQY436" s="120"/>
      <c r="NQZ436" s="120"/>
      <c r="NRA436" s="120"/>
      <c r="NRB436" s="120"/>
      <c r="NRC436" s="120"/>
      <c r="NRD436" s="120"/>
      <c r="NRE436" s="120"/>
      <c r="NRF436" s="120"/>
      <c r="NRG436" s="120"/>
      <c r="NRH436" s="120"/>
      <c r="NRI436" s="120"/>
      <c r="NRJ436" s="120"/>
      <c r="NRK436" s="120"/>
      <c r="NRL436" s="120"/>
      <c r="NRM436" s="120"/>
      <c r="NRN436" s="120"/>
      <c r="NRO436" s="120"/>
      <c r="NRP436" s="120"/>
      <c r="NRQ436" s="120"/>
      <c r="NRR436" s="120"/>
      <c r="NRS436" s="120"/>
      <c r="NRT436" s="120"/>
      <c r="NRU436" s="120"/>
      <c r="NRV436" s="120"/>
      <c r="NRW436" s="120"/>
      <c r="NRX436" s="120"/>
      <c r="NRY436" s="120"/>
      <c r="NRZ436" s="120"/>
      <c r="NSA436" s="120"/>
      <c r="NSB436" s="120"/>
      <c r="NSC436" s="120"/>
      <c r="NSD436" s="120"/>
      <c r="NSE436" s="120"/>
      <c r="NSF436" s="120"/>
      <c r="NSG436" s="120"/>
      <c r="NSH436" s="120"/>
      <c r="NSI436" s="120"/>
      <c r="NSJ436" s="120"/>
      <c r="NSK436" s="120"/>
      <c r="NSL436" s="120"/>
      <c r="NSM436" s="120"/>
      <c r="NSN436" s="120"/>
      <c r="NSO436" s="120"/>
      <c r="NSP436" s="120"/>
      <c r="NSQ436" s="120"/>
      <c r="NSR436" s="120"/>
      <c r="NSS436" s="120"/>
      <c r="NST436" s="120"/>
      <c r="NSU436" s="120"/>
      <c r="NSV436" s="120"/>
      <c r="NSW436" s="120"/>
      <c r="NSX436" s="120"/>
      <c r="NSY436" s="120"/>
      <c r="NSZ436" s="120"/>
      <c r="NTA436" s="120"/>
      <c r="NTB436" s="120"/>
      <c r="NTC436" s="120"/>
      <c r="NTD436" s="120"/>
      <c r="NTE436" s="120"/>
      <c r="NTF436" s="120"/>
      <c r="NTG436" s="120"/>
      <c r="NTH436" s="120"/>
      <c r="NTI436" s="120"/>
      <c r="NTJ436" s="120"/>
      <c r="NTK436" s="120"/>
      <c r="NTL436" s="120"/>
      <c r="NTM436" s="120"/>
      <c r="NTN436" s="120"/>
      <c r="NTO436" s="120"/>
      <c r="NTP436" s="120"/>
      <c r="NTQ436" s="120"/>
      <c r="NTR436" s="120"/>
      <c r="NTS436" s="120"/>
      <c r="NTT436" s="120"/>
      <c r="NTU436" s="120"/>
      <c r="NTV436" s="120"/>
      <c r="NTW436" s="120"/>
      <c r="NTX436" s="120"/>
      <c r="NTY436" s="120"/>
      <c r="NTZ436" s="120"/>
      <c r="NUA436" s="120"/>
      <c r="NUB436" s="120"/>
      <c r="NUC436" s="120"/>
      <c r="NUD436" s="120"/>
      <c r="NUE436" s="120"/>
      <c r="NUF436" s="120"/>
      <c r="NUG436" s="120"/>
      <c r="NUH436" s="120"/>
      <c r="NUI436" s="120"/>
      <c r="NUJ436" s="120"/>
      <c r="NUK436" s="120"/>
      <c r="NUL436" s="120"/>
      <c r="NUM436" s="120"/>
      <c r="NUN436" s="120"/>
      <c r="NUO436" s="120"/>
      <c r="NUP436" s="120"/>
      <c r="NUQ436" s="120"/>
      <c r="NUR436" s="120"/>
      <c r="NUS436" s="120"/>
      <c r="NUT436" s="120"/>
      <c r="NUU436" s="120"/>
      <c r="NUV436" s="120"/>
      <c r="NUW436" s="120"/>
      <c r="NUX436" s="120"/>
      <c r="NUY436" s="120"/>
      <c r="NUZ436" s="120"/>
      <c r="NVA436" s="120"/>
      <c r="NVB436" s="120"/>
      <c r="NVC436" s="120"/>
      <c r="NVD436" s="120"/>
      <c r="NVE436" s="120"/>
      <c r="NVF436" s="120"/>
      <c r="NVG436" s="120"/>
      <c r="NVH436" s="120"/>
      <c r="NVI436" s="120"/>
      <c r="NVJ436" s="120"/>
      <c r="NVK436" s="120"/>
      <c r="NVL436" s="120"/>
      <c r="NVM436" s="120"/>
      <c r="NVN436" s="120"/>
      <c r="NVO436" s="120"/>
      <c r="NVP436" s="120"/>
      <c r="NVQ436" s="120"/>
      <c r="NVR436" s="120"/>
      <c r="NVS436" s="120"/>
      <c r="NVT436" s="120"/>
      <c r="NVU436" s="120"/>
      <c r="NVV436" s="120"/>
      <c r="NVW436" s="120"/>
      <c r="NVX436" s="120"/>
      <c r="NVY436" s="120"/>
      <c r="NVZ436" s="120"/>
      <c r="NWA436" s="120"/>
      <c r="NWB436" s="120"/>
      <c r="NWC436" s="120"/>
      <c r="NWD436" s="120"/>
      <c r="NWE436" s="120"/>
      <c r="NWF436" s="120"/>
      <c r="NWG436" s="120"/>
      <c r="NWH436" s="120"/>
      <c r="NWI436" s="120"/>
      <c r="NWJ436" s="120"/>
      <c r="NWK436" s="120"/>
      <c r="NWL436" s="120"/>
      <c r="NWM436" s="120"/>
      <c r="NWN436" s="120"/>
      <c r="NWO436" s="120"/>
      <c r="NWP436" s="120"/>
      <c r="NWQ436" s="120"/>
      <c r="NWR436" s="120"/>
      <c r="NWS436" s="120"/>
      <c r="NWT436" s="120"/>
      <c r="NWU436" s="120"/>
      <c r="NWV436" s="120"/>
      <c r="NWW436" s="120"/>
      <c r="NWX436" s="120"/>
      <c r="NWY436" s="120"/>
      <c r="NWZ436" s="120"/>
      <c r="NXA436" s="120"/>
      <c r="NXB436" s="120"/>
      <c r="NXC436" s="120"/>
      <c r="NXD436" s="120"/>
      <c r="NXE436" s="120"/>
      <c r="NXF436" s="120"/>
      <c r="NXG436" s="120"/>
      <c r="NXH436" s="120"/>
      <c r="NXI436" s="120"/>
      <c r="NXJ436" s="120"/>
      <c r="NXK436" s="120"/>
      <c r="NXL436" s="120"/>
      <c r="NXM436" s="120"/>
      <c r="NXN436" s="120"/>
      <c r="NXO436" s="120"/>
      <c r="NXP436" s="120"/>
      <c r="NXQ436" s="120"/>
      <c r="NXR436" s="120"/>
      <c r="NXS436" s="120"/>
      <c r="NXT436" s="120"/>
      <c r="NXU436" s="120"/>
      <c r="NXV436" s="120"/>
      <c r="NXW436" s="120"/>
      <c r="NXX436" s="120"/>
      <c r="NXY436" s="120"/>
      <c r="NXZ436" s="120"/>
      <c r="NYA436" s="120"/>
      <c r="NYB436" s="120"/>
      <c r="NYC436" s="120"/>
      <c r="NYD436" s="120"/>
      <c r="NYE436" s="120"/>
      <c r="NYF436" s="120"/>
      <c r="NYG436" s="120"/>
      <c r="NYH436" s="120"/>
      <c r="NYI436" s="120"/>
      <c r="NYJ436" s="120"/>
      <c r="NYK436" s="120"/>
      <c r="NYL436" s="120"/>
      <c r="NYM436" s="120"/>
      <c r="NYN436" s="120"/>
      <c r="NYO436" s="120"/>
      <c r="NYP436" s="120"/>
      <c r="NYQ436" s="120"/>
      <c r="NYR436" s="120"/>
      <c r="NYS436" s="120"/>
      <c r="NYT436" s="120"/>
      <c r="NYU436" s="120"/>
      <c r="NYV436" s="120"/>
      <c r="NYW436" s="120"/>
      <c r="NYX436" s="120"/>
      <c r="NYY436" s="120"/>
      <c r="NYZ436" s="120"/>
      <c r="NZA436" s="120"/>
      <c r="NZB436" s="120"/>
      <c r="NZC436" s="120"/>
      <c r="NZD436" s="120"/>
      <c r="NZE436" s="120"/>
      <c r="NZF436" s="120"/>
      <c r="NZG436" s="120"/>
      <c r="NZH436" s="120"/>
      <c r="NZI436" s="120"/>
      <c r="NZJ436" s="120"/>
      <c r="NZK436" s="120"/>
      <c r="NZL436" s="120"/>
      <c r="NZM436" s="120"/>
      <c r="NZN436" s="120"/>
      <c r="NZO436" s="120"/>
      <c r="NZP436" s="120"/>
      <c r="NZQ436" s="120"/>
      <c r="NZR436" s="120"/>
      <c r="NZS436" s="120"/>
      <c r="NZT436" s="120"/>
      <c r="NZU436" s="120"/>
      <c r="NZV436" s="120"/>
      <c r="NZW436" s="120"/>
      <c r="NZX436" s="120"/>
      <c r="NZY436" s="120"/>
      <c r="NZZ436" s="120"/>
      <c r="OAA436" s="120"/>
      <c r="OAB436" s="120"/>
      <c r="OAC436" s="120"/>
      <c r="OAD436" s="120"/>
      <c r="OAE436" s="120"/>
      <c r="OAF436" s="120"/>
      <c r="OAG436" s="120"/>
      <c r="OAH436" s="120"/>
      <c r="OAI436" s="120"/>
      <c r="OAJ436" s="120"/>
      <c r="OAK436" s="120"/>
      <c r="OAL436" s="120"/>
      <c r="OAM436" s="120"/>
      <c r="OAN436" s="120"/>
      <c r="OAO436" s="120"/>
      <c r="OAP436" s="120"/>
      <c r="OAQ436" s="120"/>
      <c r="OAR436" s="120"/>
      <c r="OAS436" s="120"/>
      <c r="OAT436" s="120"/>
      <c r="OAU436" s="120"/>
      <c r="OAV436" s="120"/>
      <c r="OAW436" s="120"/>
      <c r="OAX436" s="120"/>
      <c r="OAY436" s="120"/>
      <c r="OAZ436" s="120"/>
      <c r="OBA436" s="120"/>
      <c r="OBB436" s="120"/>
      <c r="OBC436" s="120"/>
      <c r="OBD436" s="120"/>
      <c r="OBE436" s="120"/>
      <c r="OBF436" s="120"/>
      <c r="OBG436" s="120"/>
      <c r="OBH436" s="120"/>
      <c r="OBI436" s="120"/>
      <c r="OBJ436" s="120"/>
      <c r="OBK436" s="120"/>
      <c r="OBL436" s="120"/>
      <c r="OBM436" s="120"/>
      <c r="OBN436" s="120"/>
      <c r="OBO436" s="120"/>
      <c r="OBP436" s="120"/>
      <c r="OBQ436" s="120"/>
      <c r="OBR436" s="120"/>
      <c r="OBS436" s="120"/>
      <c r="OBT436" s="120"/>
      <c r="OBU436" s="120"/>
      <c r="OBV436" s="120"/>
      <c r="OBW436" s="120"/>
      <c r="OBX436" s="120"/>
      <c r="OBY436" s="120"/>
      <c r="OBZ436" s="120"/>
      <c r="OCA436" s="120"/>
      <c r="OCB436" s="120"/>
      <c r="OCC436" s="120"/>
      <c r="OCD436" s="120"/>
      <c r="OCE436" s="120"/>
      <c r="OCF436" s="120"/>
      <c r="OCG436" s="120"/>
      <c r="OCH436" s="120"/>
      <c r="OCI436" s="120"/>
      <c r="OCJ436" s="120"/>
      <c r="OCK436" s="120"/>
      <c r="OCL436" s="120"/>
      <c r="OCM436" s="120"/>
      <c r="OCN436" s="120"/>
      <c r="OCO436" s="120"/>
      <c r="OCP436" s="120"/>
      <c r="OCQ436" s="120"/>
      <c r="OCR436" s="120"/>
      <c r="OCS436" s="120"/>
      <c r="OCT436" s="120"/>
      <c r="OCU436" s="120"/>
      <c r="OCV436" s="120"/>
      <c r="OCW436" s="120"/>
      <c r="OCX436" s="120"/>
      <c r="OCY436" s="120"/>
      <c r="OCZ436" s="120"/>
      <c r="ODA436" s="120"/>
      <c r="ODB436" s="120"/>
      <c r="ODC436" s="120"/>
      <c r="ODD436" s="120"/>
      <c r="ODE436" s="120"/>
      <c r="ODF436" s="120"/>
      <c r="ODG436" s="120"/>
      <c r="ODH436" s="120"/>
      <c r="ODI436" s="120"/>
      <c r="ODJ436" s="120"/>
      <c r="ODK436" s="120"/>
      <c r="ODL436" s="120"/>
      <c r="ODM436" s="120"/>
      <c r="ODN436" s="120"/>
      <c r="ODO436" s="120"/>
      <c r="ODP436" s="120"/>
      <c r="ODQ436" s="120"/>
      <c r="ODR436" s="120"/>
      <c r="ODS436" s="120"/>
      <c r="ODT436" s="120"/>
      <c r="ODU436" s="120"/>
      <c r="ODV436" s="120"/>
      <c r="ODW436" s="120"/>
      <c r="ODX436" s="120"/>
      <c r="ODY436" s="120"/>
      <c r="ODZ436" s="120"/>
      <c r="OEA436" s="120"/>
      <c r="OEB436" s="120"/>
      <c r="OEC436" s="120"/>
      <c r="OED436" s="120"/>
      <c r="OEE436" s="120"/>
      <c r="OEF436" s="120"/>
      <c r="OEG436" s="120"/>
      <c r="OEH436" s="120"/>
      <c r="OEI436" s="120"/>
      <c r="OEJ436" s="120"/>
      <c r="OEK436" s="120"/>
      <c r="OEL436" s="120"/>
      <c r="OEM436" s="120"/>
      <c r="OEN436" s="120"/>
      <c r="OEO436" s="120"/>
      <c r="OEP436" s="120"/>
      <c r="OEQ436" s="120"/>
      <c r="OER436" s="120"/>
      <c r="OES436" s="120"/>
      <c r="OET436" s="120"/>
      <c r="OEU436" s="120"/>
      <c r="OEV436" s="120"/>
      <c r="OEW436" s="120"/>
      <c r="OEX436" s="120"/>
      <c r="OEY436" s="120"/>
      <c r="OEZ436" s="120"/>
      <c r="OFA436" s="120"/>
      <c r="OFB436" s="120"/>
      <c r="OFC436" s="120"/>
      <c r="OFD436" s="120"/>
      <c r="OFE436" s="120"/>
      <c r="OFF436" s="120"/>
      <c r="OFG436" s="120"/>
      <c r="OFH436" s="120"/>
      <c r="OFI436" s="120"/>
      <c r="OFJ436" s="120"/>
      <c r="OFK436" s="120"/>
      <c r="OFL436" s="120"/>
      <c r="OFM436" s="120"/>
      <c r="OFN436" s="120"/>
      <c r="OFO436" s="120"/>
      <c r="OFP436" s="120"/>
      <c r="OFQ436" s="120"/>
      <c r="OFR436" s="120"/>
      <c r="OFS436" s="120"/>
      <c r="OFT436" s="120"/>
      <c r="OFU436" s="120"/>
      <c r="OFV436" s="120"/>
      <c r="OFW436" s="120"/>
      <c r="OFX436" s="120"/>
      <c r="OFY436" s="120"/>
      <c r="OFZ436" s="120"/>
      <c r="OGA436" s="120"/>
      <c r="OGB436" s="120"/>
      <c r="OGC436" s="120"/>
      <c r="OGD436" s="120"/>
      <c r="OGE436" s="120"/>
      <c r="OGF436" s="120"/>
      <c r="OGG436" s="120"/>
      <c r="OGH436" s="120"/>
      <c r="OGI436" s="120"/>
      <c r="OGJ436" s="120"/>
      <c r="OGK436" s="120"/>
      <c r="OGL436" s="120"/>
      <c r="OGM436" s="120"/>
      <c r="OGN436" s="120"/>
      <c r="OGO436" s="120"/>
      <c r="OGP436" s="120"/>
      <c r="OGQ436" s="120"/>
      <c r="OGR436" s="120"/>
      <c r="OGS436" s="120"/>
      <c r="OGT436" s="120"/>
      <c r="OGU436" s="120"/>
      <c r="OGV436" s="120"/>
      <c r="OGW436" s="120"/>
      <c r="OGX436" s="120"/>
      <c r="OGY436" s="120"/>
      <c r="OGZ436" s="120"/>
      <c r="OHA436" s="120"/>
      <c r="OHB436" s="120"/>
      <c r="OHC436" s="120"/>
      <c r="OHD436" s="120"/>
      <c r="OHE436" s="120"/>
      <c r="OHF436" s="120"/>
      <c r="OHG436" s="120"/>
      <c r="OHH436" s="120"/>
      <c r="OHI436" s="120"/>
      <c r="OHJ436" s="120"/>
      <c r="OHK436" s="120"/>
      <c r="OHL436" s="120"/>
      <c r="OHM436" s="120"/>
      <c r="OHN436" s="120"/>
      <c r="OHO436" s="120"/>
      <c r="OHP436" s="120"/>
      <c r="OHQ436" s="120"/>
      <c r="OHR436" s="120"/>
      <c r="OHS436" s="120"/>
      <c r="OHT436" s="120"/>
      <c r="OHU436" s="120"/>
      <c r="OHV436" s="120"/>
      <c r="OHW436" s="120"/>
      <c r="OHX436" s="120"/>
      <c r="OHY436" s="120"/>
      <c r="OHZ436" s="120"/>
      <c r="OIA436" s="120"/>
      <c r="OIB436" s="120"/>
      <c r="OIC436" s="120"/>
      <c r="OID436" s="120"/>
      <c r="OIE436" s="120"/>
      <c r="OIF436" s="120"/>
      <c r="OIG436" s="120"/>
      <c r="OIH436" s="120"/>
      <c r="OII436" s="120"/>
      <c r="OIJ436" s="120"/>
      <c r="OIK436" s="120"/>
      <c r="OIL436" s="120"/>
      <c r="OIM436" s="120"/>
      <c r="OIN436" s="120"/>
      <c r="OIO436" s="120"/>
      <c r="OIP436" s="120"/>
      <c r="OIQ436" s="120"/>
      <c r="OIR436" s="120"/>
      <c r="OIS436" s="120"/>
      <c r="OIT436" s="120"/>
      <c r="OIU436" s="120"/>
      <c r="OIV436" s="120"/>
      <c r="OIW436" s="120"/>
      <c r="OIX436" s="120"/>
      <c r="OIY436" s="120"/>
      <c r="OIZ436" s="120"/>
      <c r="OJA436" s="120"/>
      <c r="OJB436" s="120"/>
      <c r="OJC436" s="120"/>
      <c r="OJD436" s="120"/>
      <c r="OJE436" s="120"/>
      <c r="OJF436" s="120"/>
      <c r="OJG436" s="120"/>
      <c r="OJH436" s="120"/>
      <c r="OJI436" s="120"/>
      <c r="OJJ436" s="120"/>
      <c r="OJK436" s="120"/>
      <c r="OJL436" s="120"/>
      <c r="OJM436" s="120"/>
      <c r="OJN436" s="120"/>
      <c r="OJO436" s="120"/>
      <c r="OJP436" s="120"/>
      <c r="OJQ436" s="120"/>
      <c r="OJR436" s="120"/>
      <c r="OJS436" s="120"/>
      <c r="OJT436" s="120"/>
      <c r="OJU436" s="120"/>
      <c r="OJV436" s="120"/>
      <c r="OJW436" s="120"/>
      <c r="OJX436" s="120"/>
      <c r="OJY436" s="120"/>
      <c r="OJZ436" s="120"/>
      <c r="OKA436" s="120"/>
      <c r="OKB436" s="120"/>
      <c r="OKC436" s="120"/>
      <c r="OKD436" s="120"/>
      <c r="OKE436" s="120"/>
      <c r="OKF436" s="120"/>
      <c r="OKG436" s="120"/>
      <c r="OKH436" s="120"/>
      <c r="OKI436" s="120"/>
      <c r="OKJ436" s="120"/>
      <c r="OKK436" s="120"/>
      <c r="OKL436" s="120"/>
      <c r="OKM436" s="120"/>
      <c r="OKN436" s="120"/>
      <c r="OKO436" s="120"/>
      <c r="OKP436" s="120"/>
      <c r="OKQ436" s="120"/>
      <c r="OKR436" s="120"/>
      <c r="OKS436" s="120"/>
      <c r="OKT436" s="120"/>
      <c r="OKU436" s="120"/>
      <c r="OKV436" s="120"/>
      <c r="OKW436" s="120"/>
      <c r="OKX436" s="120"/>
      <c r="OKY436" s="120"/>
      <c r="OKZ436" s="120"/>
      <c r="OLA436" s="120"/>
      <c r="OLB436" s="120"/>
      <c r="OLC436" s="120"/>
      <c r="OLD436" s="120"/>
      <c r="OLE436" s="120"/>
      <c r="OLF436" s="120"/>
      <c r="OLG436" s="120"/>
      <c r="OLH436" s="120"/>
      <c r="OLI436" s="120"/>
      <c r="OLJ436" s="120"/>
      <c r="OLK436" s="120"/>
      <c r="OLL436" s="120"/>
      <c r="OLM436" s="120"/>
      <c r="OLN436" s="120"/>
      <c r="OLO436" s="120"/>
      <c r="OLP436" s="120"/>
      <c r="OLQ436" s="120"/>
      <c r="OLR436" s="120"/>
      <c r="OLS436" s="120"/>
      <c r="OLT436" s="120"/>
      <c r="OLU436" s="120"/>
      <c r="OLV436" s="120"/>
      <c r="OLW436" s="120"/>
      <c r="OLX436" s="120"/>
      <c r="OLY436" s="120"/>
      <c r="OLZ436" s="120"/>
      <c r="OMA436" s="120"/>
      <c r="OMB436" s="120"/>
      <c r="OMC436" s="120"/>
      <c r="OMD436" s="120"/>
      <c r="OME436" s="120"/>
      <c r="OMF436" s="120"/>
      <c r="OMG436" s="120"/>
      <c r="OMH436" s="120"/>
      <c r="OMI436" s="120"/>
      <c r="OMJ436" s="120"/>
      <c r="OMK436" s="120"/>
      <c r="OML436" s="120"/>
      <c r="OMM436" s="120"/>
      <c r="OMN436" s="120"/>
      <c r="OMO436" s="120"/>
      <c r="OMP436" s="120"/>
      <c r="OMQ436" s="120"/>
      <c r="OMR436" s="120"/>
      <c r="OMS436" s="120"/>
      <c r="OMT436" s="120"/>
      <c r="OMU436" s="120"/>
      <c r="OMV436" s="120"/>
      <c r="OMW436" s="120"/>
      <c r="OMX436" s="120"/>
      <c r="OMY436" s="120"/>
      <c r="OMZ436" s="120"/>
      <c r="ONA436" s="120"/>
      <c r="ONB436" s="120"/>
      <c r="ONC436" s="120"/>
      <c r="OND436" s="120"/>
      <c r="ONE436" s="120"/>
      <c r="ONF436" s="120"/>
      <c r="ONG436" s="120"/>
      <c r="ONH436" s="120"/>
      <c r="ONI436" s="120"/>
      <c r="ONJ436" s="120"/>
      <c r="ONK436" s="120"/>
      <c r="ONL436" s="120"/>
      <c r="ONM436" s="120"/>
      <c r="ONN436" s="120"/>
      <c r="ONO436" s="120"/>
      <c r="ONP436" s="120"/>
      <c r="ONQ436" s="120"/>
      <c r="ONR436" s="120"/>
      <c r="ONS436" s="120"/>
      <c r="ONT436" s="120"/>
      <c r="ONU436" s="120"/>
      <c r="ONV436" s="120"/>
      <c r="ONW436" s="120"/>
      <c r="ONX436" s="120"/>
      <c r="ONY436" s="120"/>
      <c r="ONZ436" s="120"/>
      <c r="OOA436" s="120"/>
      <c r="OOB436" s="120"/>
      <c r="OOC436" s="120"/>
      <c r="OOD436" s="120"/>
      <c r="OOE436" s="120"/>
      <c r="OOF436" s="120"/>
      <c r="OOG436" s="120"/>
      <c r="OOH436" s="120"/>
      <c r="OOI436" s="120"/>
      <c r="OOJ436" s="120"/>
      <c r="OOK436" s="120"/>
      <c r="OOL436" s="120"/>
      <c r="OOM436" s="120"/>
      <c r="OON436" s="120"/>
      <c r="OOO436" s="120"/>
      <c r="OOP436" s="120"/>
      <c r="OOQ436" s="120"/>
      <c r="OOR436" s="120"/>
      <c r="OOS436" s="120"/>
      <c r="OOT436" s="120"/>
      <c r="OOU436" s="120"/>
      <c r="OOV436" s="120"/>
      <c r="OOW436" s="120"/>
      <c r="OOX436" s="120"/>
      <c r="OOY436" s="120"/>
      <c r="OOZ436" s="120"/>
      <c r="OPA436" s="120"/>
      <c r="OPB436" s="120"/>
      <c r="OPC436" s="120"/>
      <c r="OPD436" s="120"/>
      <c r="OPE436" s="120"/>
      <c r="OPF436" s="120"/>
      <c r="OPG436" s="120"/>
      <c r="OPH436" s="120"/>
      <c r="OPI436" s="120"/>
      <c r="OPJ436" s="120"/>
      <c r="OPK436" s="120"/>
      <c r="OPL436" s="120"/>
      <c r="OPM436" s="120"/>
      <c r="OPN436" s="120"/>
      <c r="OPO436" s="120"/>
      <c r="OPP436" s="120"/>
      <c r="OPQ436" s="120"/>
      <c r="OPR436" s="120"/>
      <c r="OPS436" s="120"/>
      <c r="OPT436" s="120"/>
      <c r="OPU436" s="120"/>
      <c r="OPV436" s="120"/>
      <c r="OPW436" s="120"/>
      <c r="OPX436" s="120"/>
      <c r="OPY436" s="120"/>
      <c r="OPZ436" s="120"/>
      <c r="OQA436" s="120"/>
      <c r="OQB436" s="120"/>
      <c r="OQC436" s="120"/>
      <c r="OQD436" s="120"/>
      <c r="OQE436" s="120"/>
      <c r="OQF436" s="120"/>
      <c r="OQG436" s="120"/>
      <c r="OQH436" s="120"/>
      <c r="OQI436" s="120"/>
      <c r="OQJ436" s="120"/>
      <c r="OQK436" s="120"/>
      <c r="OQL436" s="120"/>
      <c r="OQM436" s="120"/>
      <c r="OQN436" s="120"/>
      <c r="OQO436" s="120"/>
      <c r="OQP436" s="120"/>
      <c r="OQQ436" s="120"/>
      <c r="OQR436" s="120"/>
      <c r="OQS436" s="120"/>
      <c r="OQT436" s="120"/>
      <c r="OQU436" s="120"/>
      <c r="OQV436" s="120"/>
      <c r="OQW436" s="120"/>
      <c r="OQX436" s="120"/>
      <c r="OQY436" s="120"/>
      <c r="OQZ436" s="120"/>
      <c r="ORA436" s="120"/>
      <c r="ORB436" s="120"/>
      <c r="ORC436" s="120"/>
      <c r="ORD436" s="120"/>
      <c r="ORE436" s="120"/>
      <c r="ORF436" s="120"/>
      <c r="ORG436" s="120"/>
      <c r="ORH436" s="120"/>
      <c r="ORI436" s="120"/>
      <c r="ORJ436" s="120"/>
      <c r="ORK436" s="120"/>
      <c r="ORL436" s="120"/>
      <c r="ORM436" s="120"/>
      <c r="ORN436" s="120"/>
      <c r="ORO436" s="120"/>
      <c r="ORP436" s="120"/>
      <c r="ORQ436" s="120"/>
      <c r="ORR436" s="120"/>
      <c r="ORS436" s="120"/>
      <c r="ORT436" s="120"/>
      <c r="ORU436" s="120"/>
      <c r="ORV436" s="120"/>
      <c r="ORW436" s="120"/>
      <c r="ORX436" s="120"/>
      <c r="ORY436" s="120"/>
      <c r="ORZ436" s="120"/>
      <c r="OSA436" s="120"/>
      <c r="OSB436" s="120"/>
      <c r="OSC436" s="120"/>
      <c r="OSD436" s="120"/>
      <c r="OSE436" s="120"/>
      <c r="OSF436" s="120"/>
      <c r="OSG436" s="120"/>
      <c r="OSH436" s="120"/>
      <c r="OSI436" s="120"/>
      <c r="OSJ436" s="120"/>
      <c r="OSK436" s="120"/>
      <c r="OSL436" s="120"/>
      <c r="OSM436" s="120"/>
      <c r="OSN436" s="120"/>
      <c r="OSO436" s="120"/>
      <c r="OSP436" s="120"/>
      <c r="OSQ436" s="120"/>
      <c r="OSR436" s="120"/>
      <c r="OSS436" s="120"/>
      <c r="OST436" s="120"/>
      <c r="OSU436" s="120"/>
      <c r="OSV436" s="120"/>
      <c r="OSW436" s="120"/>
      <c r="OSX436" s="120"/>
      <c r="OSY436" s="120"/>
      <c r="OSZ436" s="120"/>
      <c r="OTA436" s="120"/>
      <c r="OTB436" s="120"/>
      <c r="OTC436" s="120"/>
      <c r="OTD436" s="120"/>
      <c r="OTE436" s="120"/>
      <c r="OTF436" s="120"/>
      <c r="OTG436" s="120"/>
      <c r="OTH436" s="120"/>
      <c r="OTI436" s="120"/>
      <c r="OTJ436" s="120"/>
      <c r="OTK436" s="120"/>
      <c r="OTL436" s="120"/>
      <c r="OTM436" s="120"/>
      <c r="OTN436" s="120"/>
      <c r="OTO436" s="120"/>
      <c r="OTP436" s="120"/>
      <c r="OTQ436" s="120"/>
      <c r="OTR436" s="120"/>
      <c r="OTS436" s="120"/>
      <c r="OTT436" s="120"/>
      <c r="OTU436" s="120"/>
      <c r="OTV436" s="120"/>
      <c r="OTW436" s="120"/>
      <c r="OTX436" s="120"/>
      <c r="OTY436" s="120"/>
      <c r="OTZ436" s="120"/>
      <c r="OUA436" s="120"/>
      <c r="OUB436" s="120"/>
      <c r="OUC436" s="120"/>
      <c r="OUD436" s="120"/>
      <c r="OUE436" s="120"/>
      <c r="OUF436" s="120"/>
      <c r="OUG436" s="120"/>
      <c r="OUH436" s="120"/>
      <c r="OUI436" s="120"/>
      <c r="OUJ436" s="120"/>
      <c r="OUK436" s="120"/>
      <c r="OUL436" s="120"/>
      <c r="OUM436" s="120"/>
      <c r="OUN436" s="120"/>
      <c r="OUO436" s="120"/>
      <c r="OUP436" s="120"/>
      <c r="OUQ436" s="120"/>
      <c r="OUR436" s="120"/>
      <c r="OUS436" s="120"/>
      <c r="OUT436" s="120"/>
      <c r="OUU436" s="120"/>
      <c r="OUV436" s="120"/>
      <c r="OUW436" s="120"/>
      <c r="OUX436" s="120"/>
      <c r="OUY436" s="120"/>
      <c r="OUZ436" s="120"/>
      <c r="OVA436" s="120"/>
      <c r="OVB436" s="120"/>
      <c r="OVC436" s="120"/>
      <c r="OVD436" s="120"/>
      <c r="OVE436" s="120"/>
      <c r="OVF436" s="120"/>
      <c r="OVG436" s="120"/>
      <c r="OVH436" s="120"/>
      <c r="OVI436" s="120"/>
      <c r="OVJ436" s="120"/>
      <c r="OVK436" s="120"/>
      <c r="OVL436" s="120"/>
      <c r="OVM436" s="120"/>
      <c r="OVN436" s="120"/>
      <c r="OVO436" s="120"/>
      <c r="OVP436" s="120"/>
      <c r="OVQ436" s="120"/>
      <c r="OVR436" s="120"/>
      <c r="OVS436" s="120"/>
      <c r="OVT436" s="120"/>
      <c r="OVU436" s="120"/>
      <c r="OVV436" s="120"/>
      <c r="OVW436" s="120"/>
      <c r="OVX436" s="120"/>
      <c r="OVY436" s="120"/>
      <c r="OVZ436" s="120"/>
      <c r="OWA436" s="120"/>
      <c r="OWB436" s="120"/>
      <c r="OWC436" s="120"/>
      <c r="OWD436" s="120"/>
      <c r="OWE436" s="120"/>
      <c r="OWF436" s="120"/>
      <c r="OWG436" s="120"/>
      <c r="OWH436" s="120"/>
      <c r="OWI436" s="120"/>
      <c r="OWJ436" s="120"/>
      <c r="OWK436" s="120"/>
      <c r="OWL436" s="120"/>
      <c r="OWM436" s="120"/>
      <c r="OWN436" s="120"/>
      <c r="OWO436" s="120"/>
      <c r="OWP436" s="120"/>
      <c r="OWQ436" s="120"/>
      <c r="OWR436" s="120"/>
      <c r="OWS436" s="120"/>
      <c r="OWT436" s="120"/>
      <c r="OWU436" s="120"/>
      <c r="OWV436" s="120"/>
      <c r="OWW436" s="120"/>
      <c r="OWX436" s="120"/>
      <c r="OWY436" s="120"/>
      <c r="OWZ436" s="120"/>
      <c r="OXA436" s="120"/>
      <c r="OXB436" s="120"/>
      <c r="OXC436" s="120"/>
      <c r="OXD436" s="120"/>
      <c r="OXE436" s="120"/>
      <c r="OXF436" s="120"/>
      <c r="OXG436" s="120"/>
      <c r="OXH436" s="120"/>
      <c r="OXI436" s="120"/>
      <c r="OXJ436" s="120"/>
      <c r="OXK436" s="120"/>
      <c r="OXL436" s="120"/>
      <c r="OXM436" s="120"/>
      <c r="OXN436" s="120"/>
      <c r="OXO436" s="120"/>
      <c r="OXP436" s="120"/>
      <c r="OXQ436" s="120"/>
      <c r="OXR436" s="120"/>
      <c r="OXS436" s="120"/>
      <c r="OXT436" s="120"/>
      <c r="OXU436" s="120"/>
      <c r="OXV436" s="120"/>
      <c r="OXW436" s="120"/>
      <c r="OXX436" s="120"/>
      <c r="OXY436" s="120"/>
      <c r="OXZ436" s="120"/>
      <c r="OYA436" s="120"/>
      <c r="OYB436" s="120"/>
      <c r="OYC436" s="120"/>
      <c r="OYD436" s="120"/>
      <c r="OYE436" s="120"/>
      <c r="OYF436" s="120"/>
      <c r="OYG436" s="120"/>
      <c r="OYH436" s="120"/>
      <c r="OYI436" s="120"/>
      <c r="OYJ436" s="120"/>
      <c r="OYK436" s="120"/>
      <c r="OYL436" s="120"/>
      <c r="OYM436" s="120"/>
      <c r="OYN436" s="120"/>
      <c r="OYO436" s="120"/>
      <c r="OYP436" s="120"/>
      <c r="OYQ436" s="120"/>
      <c r="OYR436" s="120"/>
      <c r="OYS436" s="120"/>
      <c r="OYT436" s="120"/>
      <c r="OYU436" s="120"/>
      <c r="OYV436" s="120"/>
      <c r="OYW436" s="120"/>
      <c r="OYX436" s="120"/>
      <c r="OYY436" s="120"/>
      <c r="OYZ436" s="120"/>
      <c r="OZA436" s="120"/>
      <c r="OZB436" s="120"/>
      <c r="OZC436" s="120"/>
      <c r="OZD436" s="120"/>
      <c r="OZE436" s="120"/>
      <c r="OZF436" s="120"/>
      <c r="OZG436" s="120"/>
      <c r="OZH436" s="120"/>
      <c r="OZI436" s="120"/>
      <c r="OZJ436" s="120"/>
      <c r="OZK436" s="120"/>
      <c r="OZL436" s="120"/>
      <c r="OZM436" s="120"/>
      <c r="OZN436" s="120"/>
      <c r="OZO436" s="120"/>
      <c r="OZP436" s="120"/>
      <c r="OZQ436" s="120"/>
      <c r="OZR436" s="120"/>
      <c r="OZS436" s="120"/>
      <c r="OZT436" s="120"/>
      <c r="OZU436" s="120"/>
      <c r="OZV436" s="120"/>
      <c r="OZW436" s="120"/>
      <c r="OZX436" s="120"/>
      <c r="OZY436" s="120"/>
      <c r="OZZ436" s="120"/>
      <c r="PAA436" s="120"/>
      <c r="PAB436" s="120"/>
      <c r="PAC436" s="120"/>
      <c r="PAD436" s="120"/>
      <c r="PAE436" s="120"/>
      <c r="PAF436" s="120"/>
      <c r="PAG436" s="120"/>
      <c r="PAH436" s="120"/>
      <c r="PAI436" s="120"/>
      <c r="PAJ436" s="120"/>
      <c r="PAK436" s="120"/>
      <c r="PAL436" s="120"/>
      <c r="PAM436" s="120"/>
      <c r="PAN436" s="120"/>
      <c r="PAO436" s="120"/>
      <c r="PAP436" s="120"/>
      <c r="PAQ436" s="120"/>
      <c r="PAR436" s="120"/>
      <c r="PAS436" s="120"/>
      <c r="PAT436" s="120"/>
      <c r="PAU436" s="120"/>
      <c r="PAV436" s="120"/>
      <c r="PAW436" s="120"/>
      <c r="PAX436" s="120"/>
      <c r="PAY436" s="120"/>
      <c r="PAZ436" s="120"/>
      <c r="PBA436" s="120"/>
      <c r="PBB436" s="120"/>
      <c r="PBC436" s="120"/>
      <c r="PBD436" s="120"/>
      <c r="PBE436" s="120"/>
      <c r="PBF436" s="120"/>
      <c r="PBG436" s="120"/>
      <c r="PBH436" s="120"/>
      <c r="PBI436" s="120"/>
      <c r="PBJ436" s="120"/>
      <c r="PBK436" s="120"/>
      <c r="PBL436" s="120"/>
      <c r="PBM436" s="120"/>
      <c r="PBN436" s="120"/>
      <c r="PBO436" s="120"/>
      <c r="PBP436" s="120"/>
      <c r="PBQ436" s="120"/>
      <c r="PBR436" s="120"/>
      <c r="PBS436" s="120"/>
      <c r="PBT436" s="120"/>
      <c r="PBU436" s="120"/>
      <c r="PBV436" s="120"/>
      <c r="PBW436" s="120"/>
      <c r="PBX436" s="120"/>
      <c r="PBY436" s="120"/>
      <c r="PBZ436" s="120"/>
      <c r="PCA436" s="120"/>
      <c r="PCB436" s="120"/>
      <c r="PCC436" s="120"/>
      <c r="PCD436" s="120"/>
      <c r="PCE436" s="120"/>
      <c r="PCF436" s="120"/>
      <c r="PCG436" s="120"/>
      <c r="PCH436" s="120"/>
      <c r="PCI436" s="120"/>
      <c r="PCJ436" s="120"/>
      <c r="PCK436" s="120"/>
      <c r="PCL436" s="120"/>
      <c r="PCM436" s="120"/>
      <c r="PCN436" s="120"/>
      <c r="PCO436" s="120"/>
      <c r="PCP436" s="120"/>
      <c r="PCQ436" s="120"/>
      <c r="PCR436" s="120"/>
      <c r="PCS436" s="120"/>
      <c r="PCT436" s="120"/>
      <c r="PCU436" s="120"/>
      <c r="PCV436" s="120"/>
      <c r="PCW436" s="120"/>
      <c r="PCX436" s="120"/>
      <c r="PCY436" s="120"/>
      <c r="PCZ436" s="120"/>
      <c r="PDA436" s="120"/>
      <c r="PDB436" s="120"/>
      <c r="PDC436" s="120"/>
      <c r="PDD436" s="120"/>
      <c r="PDE436" s="120"/>
      <c r="PDF436" s="120"/>
      <c r="PDG436" s="120"/>
      <c r="PDH436" s="120"/>
      <c r="PDI436" s="120"/>
      <c r="PDJ436" s="120"/>
      <c r="PDK436" s="120"/>
      <c r="PDL436" s="120"/>
      <c r="PDM436" s="120"/>
      <c r="PDN436" s="120"/>
      <c r="PDO436" s="120"/>
      <c r="PDP436" s="120"/>
      <c r="PDQ436" s="120"/>
      <c r="PDR436" s="120"/>
      <c r="PDS436" s="120"/>
      <c r="PDT436" s="120"/>
      <c r="PDU436" s="120"/>
      <c r="PDV436" s="120"/>
      <c r="PDW436" s="120"/>
      <c r="PDX436" s="120"/>
      <c r="PDY436" s="120"/>
      <c r="PDZ436" s="120"/>
      <c r="PEA436" s="120"/>
      <c r="PEB436" s="120"/>
      <c r="PEC436" s="120"/>
      <c r="PED436" s="120"/>
      <c r="PEE436" s="120"/>
      <c r="PEF436" s="120"/>
      <c r="PEG436" s="120"/>
      <c r="PEH436" s="120"/>
      <c r="PEI436" s="120"/>
      <c r="PEJ436" s="120"/>
      <c r="PEK436" s="120"/>
      <c r="PEL436" s="120"/>
      <c r="PEM436" s="120"/>
      <c r="PEN436" s="120"/>
      <c r="PEO436" s="120"/>
      <c r="PEP436" s="120"/>
      <c r="PEQ436" s="120"/>
      <c r="PER436" s="120"/>
      <c r="PES436" s="120"/>
      <c r="PET436" s="120"/>
      <c r="PEU436" s="120"/>
      <c r="PEV436" s="120"/>
      <c r="PEW436" s="120"/>
      <c r="PEX436" s="120"/>
      <c r="PEY436" s="120"/>
      <c r="PEZ436" s="120"/>
      <c r="PFA436" s="120"/>
      <c r="PFB436" s="120"/>
      <c r="PFC436" s="120"/>
      <c r="PFD436" s="120"/>
      <c r="PFE436" s="120"/>
      <c r="PFF436" s="120"/>
      <c r="PFG436" s="120"/>
      <c r="PFH436" s="120"/>
      <c r="PFI436" s="120"/>
      <c r="PFJ436" s="120"/>
      <c r="PFK436" s="120"/>
      <c r="PFL436" s="120"/>
      <c r="PFM436" s="120"/>
      <c r="PFN436" s="120"/>
      <c r="PFO436" s="120"/>
      <c r="PFP436" s="120"/>
      <c r="PFQ436" s="120"/>
      <c r="PFR436" s="120"/>
      <c r="PFS436" s="120"/>
      <c r="PFT436" s="120"/>
      <c r="PFU436" s="120"/>
      <c r="PFV436" s="120"/>
      <c r="PFW436" s="120"/>
      <c r="PFX436" s="120"/>
      <c r="PFY436" s="120"/>
      <c r="PFZ436" s="120"/>
      <c r="PGA436" s="120"/>
      <c r="PGB436" s="120"/>
      <c r="PGC436" s="120"/>
      <c r="PGD436" s="120"/>
      <c r="PGE436" s="120"/>
      <c r="PGF436" s="120"/>
      <c r="PGG436" s="120"/>
      <c r="PGH436" s="120"/>
      <c r="PGI436" s="120"/>
      <c r="PGJ436" s="120"/>
      <c r="PGK436" s="120"/>
      <c r="PGL436" s="120"/>
      <c r="PGM436" s="120"/>
      <c r="PGN436" s="120"/>
      <c r="PGO436" s="120"/>
      <c r="PGP436" s="120"/>
      <c r="PGQ436" s="120"/>
      <c r="PGR436" s="120"/>
      <c r="PGS436" s="120"/>
      <c r="PGT436" s="120"/>
      <c r="PGU436" s="120"/>
      <c r="PGV436" s="120"/>
      <c r="PGW436" s="120"/>
      <c r="PGX436" s="120"/>
      <c r="PGY436" s="120"/>
      <c r="PGZ436" s="120"/>
      <c r="PHA436" s="120"/>
      <c r="PHB436" s="120"/>
      <c r="PHC436" s="120"/>
      <c r="PHD436" s="120"/>
      <c r="PHE436" s="120"/>
      <c r="PHF436" s="120"/>
      <c r="PHG436" s="120"/>
      <c r="PHH436" s="120"/>
      <c r="PHI436" s="120"/>
      <c r="PHJ436" s="120"/>
      <c r="PHK436" s="120"/>
      <c r="PHL436" s="120"/>
      <c r="PHM436" s="120"/>
      <c r="PHN436" s="120"/>
      <c r="PHO436" s="120"/>
      <c r="PHP436" s="120"/>
      <c r="PHQ436" s="120"/>
      <c r="PHR436" s="120"/>
      <c r="PHS436" s="120"/>
      <c r="PHT436" s="120"/>
      <c r="PHU436" s="120"/>
      <c r="PHV436" s="120"/>
      <c r="PHW436" s="120"/>
      <c r="PHX436" s="120"/>
      <c r="PHY436" s="120"/>
      <c r="PHZ436" s="120"/>
      <c r="PIA436" s="120"/>
      <c r="PIB436" s="120"/>
      <c r="PIC436" s="120"/>
      <c r="PID436" s="120"/>
      <c r="PIE436" s="120"/>
      <c r="PIF436" s="120"/>
      <c r="PIG436" s="120"/>
      <c r="PIH436" s="120"/>
      <c r="PII436" s="120"/>
      <c r="PIJ436" s="120"/>
      <c r="PIK436" s="120"/>
      <c r="PIL436" s="120"/>
      <c r="PIM436" s="120"/>
      <c r="PIN436" s="120"/>
      <c r="PIO436" s="120"/>
      <c r="PIP436" s="120"/>
      <c r="PIQ436" s="120"/>
      <c r="PIR436" s="120"/>
      <c r="PIS436" s="120"/>
      <c r="PIT436" s="120"/>
      <c r="PIU436" s="120"/>
      <c r="PIV436" s="120"/>
      <c r="PIW436" s="120"/>
      <c r="PIX436" s="120"/>
      <c r="PIY436" s="120"/>
      <c r="PIZ436" s="120"/>
      <c r="PJA436" s="120"/>
      <c r="PJB436" s="120"/>
      <c r="PJC436" s="120"/>
      <c r="PJD436" s="120"/>
      <c r="PJE436" s="120"/>
      <c r="PJF436" s="120"/>
      <c r="PJG436" s="120"/>
      <c r="PJH436" s="120"/>
      <c r="PJI436" s="120"/>
      <c r="PJJ436" s="120"/>
      <c r="PJK436" s="120"/>
      <c r="PJL436" s="120"/>
      <c r="PJM436" s="120"/>
      <c r="PJN436" s="120"/>
      <c r="PJO436" s="120"/>
      <c r="PJP436" s="120"/>
      <c r="PJQ436" s="120"/>
      <c r="PJR436" s="120"/>
      <c r="PJS436" s="120"/>
      <c r="PJT436" s="120"/>
      <c r="PJU436" s="120"/>
      <c r="PJV436" s="120"/>
      <c r="PJW436" s="120"/>
      <c r="PJX436" s="120"/>
      <c r="PJY436" s="120"/>
      <c r="PJZ436" s="120"/>
      <c r="PKA436" s="120"/>
      <c r="PKB436" s="120"/>
      <c r="PKC436" s="120"/>
      <c r="PKD436" s="120"/>
      <c r="PKE436" s="120"/>
      <c r="PKF436" s="120"/>
      <c r="PKG436" s="120"/>
      <c r="PKH436" s="120"/>
      <c r="PKI436" s="120"/>
      <c r="PKJ436" s="120"/>
      <c r="PKK436" s="120"/>
      <c r="PKL436" s="120"/>
      <c r="PKM436" s="120"/>
      <c r="PKN436" s="120"/>
      <c r="PKO436" s="120"/>
      <c r="PKP436" s="120"/>
      <c r="PKQ436" s="120"/>
      <c r="PKR436" s="120"/>
      <c r="PKS436" s="120"/>
      <c r="PKT436" s="120"/>
      <c r="PKU436" s="120"/>
      <c r="PKV436" s="120"/>
      <c r="PKW436" s="120"/>
      <c r="PKX436" s="120"/>
      <c r="PKY436" s="120"/>
      <c r="PKZ436" s="120"/>
      <c r="PLA436" s="120"/>
      <c r="PLB436" s="120"/>
      <c r="PLC436" s="120"/>
      <c r="PLD436" s="120"/>
      <c r="PLE436" s="120"/>
      <c r="PLF436" s="120"/>
      <c r="PLG436" s="120"/>
      <c r="PLH436" s="120"/>
      <c r="PLI436" s="120"/>
      <c r="PLJ436" s="120"/>
      <c r="PLK436" s="120"/>
      <c r="PLL436" s="120"/>
      <c r="PLM436" s="120"/>
      <c r="PLN436" s="120"/>
      <c r="PLO436" s="120"/>
      <c r="PLP436" s="120"/>
      <c r="PLQ436" s="120"/>
      <c r="PLR436" s="120"/>
      <c r="PLS436" s="120"/>
      <c r="PLT436" s="120"/>
      <c r="PLU436" s="120"/>
      <c r="PLV436" s="120"/>
      <c r="PLW436" s="120"/>
      <c r="PLX436" s="120"/>
      <c r="PLY436" s="120"/>
      <c r="PLZ436" s="120"/>
      <c r="PMA436" s="120"/>
      <c r="PMB436" s="120"/>
      <c r="PMC436" s="120"/>
      <c r="PMD436" s="120"/>
      <c r="PME436" s="120"/>
      <c r="PMF436" s="120"/>
      <c r="PMG436" s="120"/>
      <c r="PMH436" s="120"/>
      <c r="PMI436" s="120"/>
      <c r="PMJ436" s="120"/>
      <c r="PMK436" s="120"/>
      <c r="PML436" s="120"/>
      <c r="PMM436" s="120"/>
      <c r="PMN436" s="120"/>
      <c r="PMO436" s="120"/>
      <c r="PMP436" s="120"/>
      <c r="PMQ436" s="120"/>
      <c r="PMR436" s="120"/>
      <c r="PMS436" s="120"/>
      <c r="PMT436" s="120"/>
      <c r="PMU436" s="120"/>
      <c r="PMV436" s="120"/>
      <c r="PMW436" s="120"/>
      <c r="PMX436" s="120"/>
      <c r="PMY436" s="120"/>
      <c r="PMZ436" s="120"/>
      <c r="PNA436" s="120"/>
      <c r="PNB436" s="120"/>
      <c r="PNC436" s="120"/>
      <c r="PND436" s="120"/>
      <c r="PNE436" s="120"/>
      <c r="PNF436" s="120"/>
      <c r="PNG436" s="120"/>
      <c r="PNH436" s="120"/>
      <c r="PNI436" s="120"/>
      <c r="PNJ436" s="120"/>
      <c r="PNK436" s="120"/>
      <c r="PNL436" s="120"/>
      <c r="PNM436" s="120"/>
      <c r="PNN436" s="120"/>
      <c r="PNO436" s="120"/>
      <c r="PNP436" s="120"/>
      <c r="PNQ436" s="120"/>
      <c r="PNR436" s="120"/>
      <c r="PNS436" s="120"/>
      <c r="PNT436" s="120"/>
      <c r="PNU436" s="120"/>
      <c r="PNV436" s="120"/>
      <c r="PNW436" s="120"/>
      <c r="PNX436" s="120"/>
      <c r="PNY436" s="120"/>
      <c r="PNZ436" s="120"/>
      <c r="POA436" s="120"/>
      <c r="POB436" s="120"/>
      <c r="POC436" s="120"/>
      <c r="POD436" s="120"/>
      <c r="POE436" s="120"/>
      <c r="POF436" s="120"/>
      <c r="POG436" s="120"/>
      <c r="POH436" s="120"/>
      <c r="POI436" s="120"/>
      <c r="POJ436" s="120"/>
      <c r="POK436" s="120"/>
      <c r="POL436" s="120"/>
      <c r="POM436" s="120"/>
      <c r="PON436" s="120"/>
      <c r="POO436" s="120"/>
      <c r="POP436" s="120"/>
      <c r="POQ436" s="120"/>
      <c r="POR436" s="120"/>
      <c r="POS436" s="120"/>
      <c r="POT436" s="120"/>
      <c r="POU436" s="120"/>
      <c r="POV436" s="120"/>
      <c r="POW436" s="120"/>
      <c r="POX436" s="120"/>
      <c r="POY436" s="120"/>
      <c r="POZ436" s="120"/>
      <c r="PPA436" s="120"/>
      <c r="PPB436" s="120"/>
      <c r="PPC436" s="120"/>
      <c r="PPD436" s="120"/>
      <c r="PPE436" s="120"/>
      <c r="PPF436" s="120"/>
      <c r="PPG436" s="120"/>
      <c r="PPH436" s="120"/>
      <c r="PPI436" s="120"/>
      <c r="PPJ436" s="120"/>
      <c r="PPK436" s="120"/>
      <c r="PPL436" s="120"/>
      <c r="PPM436" s="120"/>
      <c r="PPN436" s="120"/>
      <c r="PPO436" s="120"/>
      <c r="PPP436" s="120"/>
      <c r="PPQ436" s="120"/>
      <c r="PPR436" s="120"/>
      <c r="PPS436" s="120"/>
      <c r="PPT436" s="120"/>
      <c r="PPU436" s="120"/>
      <c r="PPV436" s="120"/>
      <c r="PPW436" s="120"/>
      <c r="PPX436" s="120"/>
      <c r="PPY436" s="120"/>
      <c r="PPZ436" s="120"/>
      <c r="PQA436" s="120"/>
      <c r="PQB436" s="120"/>
      <c r="PQC436" s="120"/>
      <c r="PQD436" s="120"/>
      <c r="PQE436" s="120"/>
      <c r="PQF436" s="120"/>
      <c r="PQG436" s="120"/>
      <c r="PQH436" s="120"/>
      <c r="PQI436" s="120"/>
      <c r="PQJ436" s="120"/>
      <c r="PQK436" s="120"/>
      <c r="PQL436" s="120"/>
      <c r="PQM436" s="120"/>
      <c r="PQN436" s="120"/>
      <c r="PQO436" s="120"/>
      <c r="PQP436" s="120"/>
      <c r="PQQ436" s="120"/>
      <c r="PQR436" s="120"/>
      <c r="PQS436" s="120"/>
      <c r="PQT436" s="120"/>
      <c r="PQU436" s="120"/>
      <c r="PQV436" s="120"/>
      <c r="PQW436" s="120"/>
      <c r="PQX436" s="120"/>
      <c r="PQY436" s="120"/>
      <c r="PQZ436" s="120"/>
      <c r="PRA436" s="120"/>
      <c r="PRB436" s="120"/>
      <c r="PRC436" s="120"/>
      <c r="PRD436" s="120"/>
      <c r="PRE436" s="120"/>
      <c r="PRF436" s="120"/>
      <c r="PRG436" s="120"/>
      <c r="PRH436" s="120"/>
      <c r="PRI436" s="120"/>
      <c r="PRJ436" s="120"/>
      <c r="PRK436" s="120"/>
      <c r="PRL436" s="120"/>
      <c r="PRM436" s="120"/>
      <c r="PRN436" s="120"/>
      <c r="PRO436" s="120"/>
      <c r="PRP436" s="120"/>
      <c r="PRQ436" s="120"/>
      <c r="PRR436" s="120"/>
      <c r="PRS436" s="120"/>
      <c r="PRT436" s="120"/>
      <c r="PRU436" s="120"/>
      <c r="PRV436" s="120"/>
      <c r="PRW436" s="120"/>
      <c r="PRX436" s="120"/>
      <c r="PRY436" s="120"/>
      <c r="PRZ436" s="120"/>
      <c r="PSA436" s="120"/>
      <c r="PSB436" s="120"/>
      <c r="PSC436" s="120"/>
      <c r="PSD436" s="120"/>
      <c r="PSE436" s="120"/>
      <c r="PSF436" s="120"/>
      <c r="PSG436" s="120"/>
      <c r="PSH436" s="120"/>
      <c r="PSI436" s="120"/>
      <c r="PSJ436" s="120"/>
      <c r="PSK436" s="120"/>
      <c r="PSL436" s="120"/>
      <c r="PSM436" s="120"/>
      <c r="PSN436" s="120"/>
      <c r="PSO436" s="120"/>
      <c r="PSP436" s="120"/>
      <c r="PSQ436" s="120"/>
      <c r="PSR436" s="120"/>
      <c r="PSS436" s="120"/>
      <c r="PST436" s="120"/>
      <c r="PSU436" s="120"/>
      <c r="PSV436" s="120"/>
      <c r="PSW436" s="120"/>
      <c r="PSX436" s="120"/>
      <c r="PSY436" s="120"/>
      <c r="PSZ436" s="120"/>
      <c r="PTA436" s="120"/>
      <c r="PTB436" s="120"/>
      <c r="PTC436" s="120"/>
      <c r="PTD436" s="120"/>
      <c r="PTE436" s="120"/>
      <c r="PTF436" s="120"/>
      <c r="PTG436" s="120"/>
      <c r="PTH436" s="120"/>
      <c r="PTI436" s="120"/>
      <c r="PTJ436" s="120"/>
      <c r="PTK436" s="120"/>
      <c r="PTL436" s="120"/>
      <c r="PTM436" s="120"/>
      <c r="PTN436" s="120"/>
      <c r="PTO436" s="120"/>
      <c r="PTP436" s="120"/>
      <c r="PTQ436" s="120"/>
      <c r="PTR436" s="120"/>
      <c r="PTS436" s="120"/>
      <c r="PTT436" s="120"/>
      <c r="PTU436" s="120"/>
      <c r="PTV436" s="120"/>
      <c r="PTW436" s="120"/>
      <c r="PTX436" s="120"/>
      <c r="PTY436" s="120"/>
      <c r="PTZ436" s="120"/>
      <c r="PUA436" s="120"/>
      <c r="PUB436" s="120"/>
      <c r="PUC436" s="120"/>
      <c r="PUD436" s="120"/>
      <c r="PUE436" s="120"/>
      <c r="PUF436" s="120"/>
      <c r="PUG436" s="120"/>
      <c r="PUH436" s="120"/>
      <c r="PUI436" s="120"/>
      <c r="PUJ436" s="120"/>
      <c r="PUK436" s="120"/>
      <c r="PUL436" s="120"/>
      <c r="PUM436" s="120"/>
      <c r="PUN436" s="120"/>
      <c r="PUO436" s="120"/>
      <c r="PUP436" s="120"/>
      <c r="PUQ436" s="120"/>
      <c r="PUR436" s="120"/>
      <c r="PUS436" s="120"/>
      <c r="PUT436" s="120"/>
      <c r="PUU436" s="120"/>
      <c r="PUV436" s="120"/>
      <c r="PUW436" s="120"/>
      <c r="PUX436" s="120"/>
      <c r="PUY436" s="120"/>
      <c r="PUZ436" s="120"/>
      <c r="PVA436" s="120"/>
      <c r="PVB436" s="120"/>
      <c r="PVC436" s="120"/>
      <c r="PVD436" s="120"/>
      <c r="PVE436" s="120"/>
      <c r="PVF436" s="120"/>
      <c r="PVG436" s="120"/>
      <c r="PVH436" s="120"/>
      <c r="PVI436" s="120"/>
      <c r="PVJ436" s="120"/>
      <c r="PVK436" s="120"/>
      <c r="PVL436" s="120"/>
      <c r="PVM436" s="120"/>
      <c r="PVN436" s="120"/>
      <c r="PVO436" s="120"/>
      <c r="PVP436" s="120"/>
      <c r="PVQ436" s="120"/>
      <c r="PVR436" s="120"/>
      <c r="PVS436" s="120"/>
      <c r="PVT436" s="120"/>
      <c r="PVU436" s="120"/>
      <c r="PVV436" s="120"/>
      <c r="PVW436" s="120"/>
      <c r="PVX436" s="120"/>
      <c r="PVY436" s="120"/>
      <c r="PVZ436" s="120"/>
      <c r="PWA436" s="120"/>
      <c r="PWB436" s="120"/>
      <c r="PWC436" s="120"/>
      <c r="PWD436" s="120"/>
      <c r="PWE436" s="120"/>
      <c r="PWF436" s="120"/>
      <c r="PWG436" s="120"/>
      <c r="PWH436" s="120"/>
      <c r="PWI436" s="120"/>
      <c r="PWJ436" s="120"/>
      <c r="PWK436" s="120"/>
      <c r="PWL436" s="120"/>
      <c r="PWM436" s="120"/>
      <c r="PWN436" s="120"/>
      <c r="PWO436" s="120"/>
      <c r="PWP436" s="120"/>
      <c r="PWQ436" s="120"/>
      <c r="PWR436" s="120"/>
      <c r="PWS436" s="120"/>
      <c r="PWT436" s="120"/>
      <c r="PWU436" s="120"/>
      <c r="PWV436" s="120"/>
      <c r="PWW436" s="120"/>
      <c r="PWX436" s="120"/>
      <c r="PWY436" s="120"/>
      <c r="PWZ436" s="120"/>
      <c r="PXA436" s="120"/>
      <c r="PXB436" s="120"/>
      <c r="PXC436" s="120"/>
      <c r="PXD436" s="120"/>
      <c r="PXE436" s="120"/>
      <c r="PXF436" s="120"/>
      <c r="PXG436" s="120"/>
      <c r="PXH436" s="120"/>
      <c r="PXI436" s="120"/>
      <c r="PXJ436" s="120"/>
      <c r="PXK436" s="120"/>
      <c r="PXL436" s="120"/>
      <c r="PXM436" s="120"/>
      <c r="PXN436" s="120"/>
      <c r="PXO436" s="120"/>
      <c r="PXP436" s="120"/>
      <c r="PXQ436" s="120"/>
      <c r="PXR436" s="120"/>
      <c r="PXS436" s="120"/>
      <c r="PXT436" s="120"/>
      <c r="PXU436" s="120"/>
      <c r="PXV436" s="120"/>
      <c r="PXW436" s="120"/>
      <c r="PXX436" s="120"/>
      <c r="PXY436" s="120"/>
      <c r="PXZ436" s="120"/>
      <c r="PYA436" s="120"/>
      <c r="PYB436" s="120"/>
      <c r="PYC436" s="120"/>
      <c r="PYD436" s="120"/>
      <c r="PYE436" s="120"/>
      <c r="PYF436" s="120"/>
      <c r="PYG436" s="120"/>
      <c r="PYH436" s="120"/>
      <c r="PYI436" s="120"/>
      <c r="PYJ436" s="120"/>
      <c r="PYK436" s="120"/>
      <c r="PYL436" s="120"/>
      <c r="PYM436" s="120"/>
      <c r="PYN436" s="120"/>
      <c r="PYO436" s="120"/>
      <c r="PYP436" s="120"/>
      <c r="PYQ436" s="120"/>
      <c r="PYR436" s="120"/>
      <c r="PYS436" s="120"/>
      <c r="PYT436" s="120"/>
      <c r="PYU436" s="120"/>
      <c r="PYV436" s="120"/>
      <c r="PYW436" s="120"/>
      <c r="PYX436" s="120"/>
      <c r="PYY436" s="120"/>
      <c r="PYZ436" s="120"/>
      <c r="PZA436" s="120"/>
      <c r="PZB436" s="120"/>
      <c r="PZC436" s="120"/>
      <c r="PZD436" s="120"/>
      <c r="PZE436" s="120"/>
      <c r="PZF436" s="120"/>
      <c r="PZG436" s="120"/>
      <c r="PZH436" s="120"/>
      <c r="PZI436" s="120"/>
      <c r="PZJ436" s="120"/>
      <c r="PZK436" s="120"/>
      <c r="PZL436" s="120"/>
      <c r="PZM436" s="120"/>
      <c r="PZN436" s="120"/>
      <c r="PZO436" s="120"/>
      <c r="PZP436" s="120"/>
      <c r="PZQ436" s="120"/>
      <c r="PZR436" s="120"/>
      <c r="PZS436" s="120"/>
      <c r="PZT436" s="120"/>
      <c r="PZU436" s="120"/>
      <c r="PZV436" s="120"/>
      <c r="PZW436" s="120"/>
      <c r="PZX436" s="120"/>
      <c r="PZY436" s="120"/>
      <c r="PZZ436" s="120"/>
      <c r="QAA436" s="120"/>
      <c r="QAB436" s="120"/>
      <c r="QAC436" s="120"/>
      <c r="QAD436" s="120"/>
      <c r="QAE436" s="120"/>
      <c r="QAF436" s="120"/>
      <c r="QAG436" s="120"/>
      <c r="QAH436" s="120"/>
      <c r="QAI436" s="120"/>
      <c r="QAJ436" s="120"/>
      <c r="QAK436" s="120"/>
      <c r="QAL436" s="120"/>
      <c r="QAM436" s="120"/>
      <c r="QAN436" s="120"/>
      <c r="QAO436" s="120"/>
      <c r="QAP436" s="120"/>
      <c r="QAQ436" s="120"/>
      <c r="QAR436" s="120"/>
      <c r="QAS436" s="120"/>
      <c r="QAT436" s="120"/>
      <c r="QAU436" s="120"/>
      <c r="QAV436" s="120"/>
      <c r="QAW436" s="120"/>
      <c r="QAX436" s="120"/>
      <c r="QAY436" s="120"/>
      <c r="QAZ436" s="120"/>
      <c r="QBA436" s="120"/>
      <c r="QBB436" s="120"/>
      <c r="QBC436" s="120"/>
      <c r="QBD436" s="120"/>
      <c r="QBE436" s="120"/>
      <c r="QBF436" s="120"/>
      <c r="QBG436" s="120"/>
      <c r="QBH436" s="120"/>
      <c r="QBI436" s="120"/>
      <c r="QBJ436" s="120"/>
      <c r="QBK436" s="120"/>
      <c r="QBL436" s="120"/>
      <c r="QBM436" s="120"/>
      <c r="QBN436" s="120"/>
      <c r="QBO436" s="120"/>
      <c r="QBP436" s="120"/>
      <c r="QBQ436" s="120"/>
      <c r="QBR436" s="120"/>
      <c r="QBS436" s="120"/>
      <c r="QBT436" s="120"/>
      <c r="QBU436" s="120"/>
      <c r="QBV436" s="120"/>
      <c r="QBW436" s="120"/>
      <c r="QBX436" s="120"/>
      <c r="QBY436" s="120"/>
      <c r="QBZ436" s="120"/>
      <c r="QCA436" s="120"/>
      <c r="QCB436" s="120"/>
      <c r="QCC436" s="120"/>
      <c r="QCD436" s="120"/>
      <c r="QCE436" s="120"/>
      <c r="QCF436" s="120"/>
      <c r="QCG436" s="120"/>
      <c r="QCH436" s="120"/>
      <c r="QCI436" s="120"/>
      <c r="QCJ436" s="120"/>
      <c r="QCK436" s="120"/>
      <c r="QCL436" s="120"/>
      <c r="QCM436" s="120"/>
      <c r="QCN436" s="120"/>
      <c r="QCO436" s="120"/>
      <c r="QCP436" s="120"/>
      <c r="QCQ436" s="120"/>
      <c r="QCR436" s="120"/>
      <c r="QCS436" s="120"/>
      <c r="QCT436" s="120"/>
      <c r="QCU436" s="120"/>
      <c r="QCV436" s="120"/>
      <c r="QCW436" s="120"/>
      <c r="QCX436" s="120"/>
      <c r="QCY436" s="120"/>
      <c r="QCZ436" s="120"/>
      <c r="QDA436" s="120"/>
      <c r="QDB436" s="120"/>
      <c r="QDC436" s="120"/>
      <c r="QDD436" s="120"/>
      <c r="QDE436" s="120"/>
      <c r="QDF436" s="120"/>
      <c r="QDG436" s="120"/>
      <c r="QDH436" s="120"/>
      <c r="QDI436" s="120"/>
      <c r="QDJ436" s="120"/>
      <c r="QDK436" s="120"/>
      <c r="QDL436" s="120"/>
      <c r="QDM436" s="120"/>
      <c r="QDN436" s="120"/>
      <c r="QDO436" s="120"/>
      <c r="QDP436" s="120"/>
      <c r="QDQ436" s="120"/>
      <c r="QDR436" s="120"/>
      <c r="QDS436" s="120"/>
      <c r="QDT436" s="120"/>
      <c r="QDU436" s="120"/>
      <c r="QDV436" s="120"/>
      <c r="QDW436" s="120"/>
      <c r="QDX436" s="120"/>
      <c r="QDY436" s="120"/>
      <c r="QDZ436" s="120"/>
      <c r="QEA436" s="120"/>
      <c r="QEB436" s="120"/>
      <c r="QEC436" s="120"/>
      <c r="QED436" s="120"/>
      <c r="QEE436" s="120"/>
      <c r="QEF436" s="120"/>
      <c r="QEG436" s="120"/>
      <c r="QEH436" s="120"/>
      <c r="QEI436" s="120"/>
      <c r="QEJ436" s="120"/>
      <c r="QEK436" s="120"/>
      <c r="QEL436" s="120"/>
      <c r="QEM436" s="120"/>
      <c r="QEN436" s="120"/>
      <c r="QEO436" s="120"/>
      <c r="QEP436" s="120"/>
      <c r="QEQ436" s="120"/>
      <c r="QER436" s="120"/>
      <c r="QES436" s="120"/>
      <c r="QET436" s="120"/>
      <c r="QEU436" s="120"/>
      <c r="QEV436" s="120"/>
      <c r="QEW436" s="120"/>
      <c r="QEX436" s="120"/>
      <c r="QEY436" s="120"/>
      <c r="QEZ436" s="120"/>
      <c r="QFA436" s="120"/>
      <c r="QFB436" s="120"/>
      <c r="QFC436" s="120"/>
      <c r="QFD436" s="120"/>
      <c r="QFE436" s="120"/>
      <c r="QFF436" s="120"/>
      <c r="QFG436" s="120"/>
      <c r="QFH436" s="120"/>
      <c r="QFI436" s="120"/>
      <c r="QFJ436" s="120"/>
      <c r="QFK436" s="120"/>
      <c r="QFL436" s="120"/>
      <c r="QFM436" s="120"/>
      <c r="QFN436" s="120"/>
      <c r="QFO436" s="120"/>
      <c r="QFP436" s="120"/>
      <c r="QFQ436" s="120"/>
      <c r="QFR436" s="120"/>
      <c r="QFS436" s="120"/>
      <c r="QFT436" s="120"/>
      <c r="QFU436" s="120"/>
      <c r="QFV436" s="120"/>
      <c r="QFW436" s="120"/>
      <c r="QFX436" s="120"/>
      <c r="QFY436" s="120"/>
      <c r="QFZ436" s="120"/>
      <c r="QGA436" s="120"/>
      <c r="QGB436" s="120"/>
      <c r="QGC436" s="120"/>
      <c r="QGD436" s="120"/>
      <c r="QGE436" s="120"/>
      <c r="QGF436" s="120"/>
      <c r="QGG436" s="120"/>
      <c r="QGH436" s="120"/>
      <c r="QGI436" s="120"/>
      <c r="QGJ436" s="120"/>
      <c r="QGK436" s="120"/>
      <c r="QGL436" s="120"/>
      <c r="QGM436" s="120"/>
      <c r="QGN436" s="120"/>
      <c r="QGO436" s="120"/>
      <c r="QGP436" s="120"/>
      <c r="QGQ436" s="120"/>
      <c r="QGR436" s="120"/>
      <c r="QGS436" s="120"/>
      <c r="QGT436" s="120"/>
      <c r="QGU436" s="120"/>
      <c r="QGV436" s="120"/>
      <c r="QGW436" s="120"/>
      <c r="QGX436" s="120"/>
      <c r="QGY436" s="120"/>
      <c r="QGZ436" s="120"/>
      <c r="QHA436" s="120"/>
      <c r="QHB436" s="120"/>
      <c r="QHC436" s="120"/>
      <c r="QHD436" s="120"/>
      <c r="QHE436" s="120"/>
      <c r="QHF436" s="120"/>
      <c r="QHG436" s="120"/>
      <c r="QHH436" s="120"/>
      <c r="QHI436" s="120"/>
      <c r="QHJ436" s="120"/>
      <c r="QHK436" s="120"/>
      <c r="QHL436" s="120"/>
      <c r="QHM436" s="120"/>
      <c r="QHN436" s="120"/>
      <c r="QHO436" s="120"/>
      <c r="QHP436" s="120"/>
      <c r="QHQ436" s="120"/>
      <c r="QHR436" s="120"/>
      <c r="QHS436" s="120"/>
      <c r="QHT436" s="120"/>
      <c r="QHU436" s="120"/>
      <c r="QHV436" s="120"/>
      <c r="QHW436" s="120"/>
      <c r="QHX436" s="120"/>
      <c r="QHY436" s="120"/>
      <c r="QHZ436" s="120"/>
      <c r="QIA436" s="120"/>
      <c r="QIB436" s="120"/>
      <c r="QIC436" s="120"/>
      <c r="QID436" s="120"/>
      <c r="QIE436" s="120"/>
      <c r="QIF436" s="120"/>
      <c r="QIG436" s="120"/>
      <c r="QIH436" s="120"/>
      <c r="QII436" s="120"/>
      <c r="QIJ436" s="120"/>
      <c r="QIK436" s="120"/>
      <c r="QIL436" s="120"/>
      <c r="QIM436" s="120"/>
      <c r="QIN436" s="120"/>
      <c r="QIO436" s="120"/>
      <c r="QIP436" s="120"/>
      <c r="QIQ436" s="120"/>
      <c r="QIR436" s="120"/>
      <c r="QIS436" s="120"/>
      <c r="QIT436" s="120"/>
      <c r="QIU436" s="120"/>
      <c r="QIV436" s="120"/>
      <c r="QIW436" s="120"/>
      <c r="QIX436" s="120"/>
      <c r="QIY436" s="120"/>
      <c r="QIZ436" s="120"/>
      <c r="QJA436" s="120"/>
      <c r="QJB436" s="120"/>
      <c r="QJC436" s="120"/>
      <c r="QJD436" s="120"/>
      <c r="QJE436" s="120"/>
      <c r="QJF436" s="120"/>
      <c r="QJG436" s="120"/>
      <c r="QJH436" s="120"/>
      <c r="QJI436" s="120"/>
      <c r="QJJ436" s="120"/>
      <c r="QJK436" s="120"/>
      <c r="QJL436" s="120"/>
      <c r="QJM436" s="120"/>
      <c r="QJN436" s="120"/>
      <c r="QJO436" s="120"/>
      <c r="QJP436" s="120"/>
      <c r="QJQ436" s="120"/>
      <c r="QJR436" s="120"/>
      <c r="QJS436" s="120"/>
      <c r="QJT436" s="120"/>
      <c r="QJU436" s="120"/>
      <c r="QJV436" s="120"/>
      <c r="QJW436" s="120"/>
      <c r="QJX436" s="120"/>
      <c r="QJY436" s="120"/>
      <c r="QJZ436" s="120"/>
      <c r="QKA436" s="120"/>
      <c r="QKB436" s="120"/>
      <c r="QKC436" s="120"/>
      <c r="QKD436" s="120"/>
      <c r="QKE436" s="120"/>
      <c r="QKF436" s="120"/>
      <c r="QKG436" s="120"/>
      <c r="QKH436" s="120"/>
      <c r="QKI436" s="120"/>
      <c r="QKJ436" s="120"/>
      <c r="QKK436" s="120"/>
      <c r="QKL436" s="120"/>
      <c r="QKM436" s="120"/>
      <c r="QKN436" s="120"/>
      <c r="QKO436" s="120"/>
      <c r="QKP436" s="120"/>
      <c r="QKQ436" s="120"/>
      <c r="QKR436" s="120"/>
      <c r="QKS436" s="120"/>
      <c r="QKT436" s="120"/>
      <c r="QKU436" s="120"/>
      <c r="QKV436" s="120"/>
      <c r="QKW436" s="120"/>
      <c r="QKX436" s="120"/>
      <c r="QKY436" s="120"/>
      <c r="QKZ436" s="120"/>
      <c r="QLA436" s="120"/>
      <c r="QLB436" s="120"/>
      <c r="QLC436" s="120"/>
      <c r="QLD436" s="120"/>
      <c r="QLE436" s="120"/>
      <c r="QLF436" s="120"/>
      <c r="QLG436" s="120"/>
      <c r="QLH436" s="120"/>
      <c r="QLI436" s="120"/>
      <c r="QLJ436" s="120"/>
      <c r="QLK436" s="120"/>
      <c r="QLL436" s="120"/>
      <c r="QLM436" s="120"/>
      <c r="QLN436" s="120"/>
      <c r="QLO436" s="120"/>
      <c r="QLP436" s="120"/>
      <c r="QLQ436" s="120"/>
      <c r="QLR436" s="120"/>
      <c r="QLS436" s="120"/>
      <c r="QLT436" s="120"/>
      <c r="QLU436" s="120"/>
      <c r="QLV436" s="120"/>
      <c r="QLW436" s="120"/>
      <c r="QLX436" s="120"/>
      <c r="QLY436" s="120"/>
      <c r="QLZ436" s="120"/>
      <c r="QMA436" s="120"/>
      <c r="QMB436" s="120"/>
      <c r="QMC436" s="120"/>
      <c r="QMD436" s="120"/>
      <c r="QME436" s="120"/>
      <c r="QMF436" s="120"/>
      <c r="QMG436" s="120"/>
      <c r="QMH436" s="120"/>
      <c r="QMI436" s="120"/>
      <c r="QMJ436" s="120"/>
      <c r="QMK436" s="120"/>
      <c r="QML436" s="120"/>
      <c r="QMM436" s="120"/>
      <c r="QMN436" s="120"/>
      <c r="QMO436" s="120"/>
      <c r="QMP436" s="120"/>
      <c r="QMQ436" s="120"/>
      <c r="QMR436" s="120"/>
      <c r="QMS436" s="120"/>
      <c r="QMT436" s="120"/>
      <c r="QMU436" s="120"/>
      <c r="QMV436" s="120"/>
      <c r="QMW436" s="120"/>
      <c r="QMX436" s="120"/>
      <c r="QMY436" s="120"/>
      <c r="QMZ436" s="120"/>
      <c r="QNA436" s="120"/>
      <c r="QNB436" s="120"/>
      <c r="QNC436" s="120"/>
      <c r="QND436" s="120"/>
      <c r="QNE436" s="120"/>
      <c r="QNF436" s="120"/>
      <c r="QNG436" s="120"/>
      <c r="QNH436" s="120"/>
      <c r="QNI436" s="120"/>
      <c r="QNJ436" s="120"/>
      <c r="QNK436" s="120"/>
      <c r="QNL436" s="120"/>
      <c r="QNM436" s="120"/>
      <c r="QNN436" s="120"/>
      <c r="QNO436" s="120"/>
      <c r="QNP436" s="120"/>
      <c r="QNQ436" s="120"/>
      <c r="QNR436" s="120"/>
      <c r="QNS436" s="120"/>
      <c r="QNT436" s="120"/>
      <c r="QNU436" s="120"/>
      <c r="QNV436" s="120"/>
      <c r="QNW436" s="120"/>
      <c r="QNX436" s="120"/>
      <c r="QNY436" s="120"/>
      <c r="QNZ436" s="120"/>
      <c r="QOA436" s="120"/>
      <c r="QOB436" s="120"/>
      <c r="QOC436" s="120"/>
      <c r="QOD436" s="120"/>
      <c r="QOE436" s="120"/>
      <c r="QOF436" s="120"/>
      <c r="QOG436" s="120"/>
      <c r="QOH436" s="120"/>
      <c r="QOI436" s="120"/>
      <c r="QOJ436" s="120"/>
      <c r="QOK436" s="120"/>
      <c r="QOL436" s="120"/>
      <c r="QOM436" s="120"/>
      <c r="QON436" s="120"/>
      <c r="QOO436" s="120"/>
      <c r="QOP436" s="120"/>
      <c r="QOQ436" s="120"/>
      <c r="QOR436" s="120"/>
      <c r="QOS436" s="120"/>
      <c r="QOT436" s="120"/>
      <c r="QOU436" s="120"/>
      <c r="QOV436" s="120"/>
      <c r="QOW436" s="120"/>
      <c r="QOX436" s="120"/>
      <c r="QOY436" s="120"/>
      <c r="QOZ436" s="120"/>
      <c r="QPA436" s="120"/>
      <c r="QPB436" s="120"/>
      <c r="QPC436" s="120"/>
      <c r="QPD436" s="120"/>
      <c r="QPE436" s="120"/>
      <c r="QPF436" s="120"/>
      <c r="QPG436" s="120"/>
      <c r="QPH436" s="120"/>
      <c r="QPI436" s="120"/>
      <c r="QPJ436" s="120"/>
      <c r="QPK436" s="120"/>
      <c r="QPL436" s="120"/>
      <c r="QPM436" s="120"/>
      <c r="QPN436" s="120"/>
      <c r="QPO436" s="120"/>
      <c r="QPP436" s="120"/>
      <c r="QPQ436" s="120"/>
      <c r="QPR436" s="120"/>
      <c r="QPS436" s="120"/>
      <c r="QPT436" s="120"/>
      <c r="QPU436" s="120"/>
      <c r="QPV436" s="120"/>
      <c r="QPW436" s="120"/>
      <c r="QPX436" s="120"/>
      <c r="QPY436" s="120"/>
      <c r="QPZ436" s="120"/>
      <c r="QQA436" s="120"/>
      <c r="QQB436" s="120"/>
      <c r="QQC436" s="120"/>
      <c r="QQD436" s="120"/>
      <c r="QQE436" s="120"/>
      <c r="QQF436" s="120"/>
      <c r="QQG436" s="120"/>
      <c r="QQH436" s="120"/>
      <c r="QQI436" s="120"/>
      <c r="QQJ436" s="120"/>
      <c r="QQK436" s="120"/>
      <c r="QQL436" s="120"/>
      <c r="QQM436" s="120"/>
      <c r="QQN436" s="120"/>
      <c r="QQO436" s="120"/>
      <c r="QQP436" s="120"/>
      <c r="QQQ436" s="120"/>
      <c r="QQR436" s="120"/>
      <c r="QQS436" s="120"/>
      <c r="QQT436" s="120"/>
      <c r="QQU436" s="120"/>
      <c r="QQV436" s="120"/>
      <c r="QQW436" s="120"/>
      <c r="QQX436" s="120"/>
      <c r="QQY436" s="120"/>
      <c r="QQZ436" s="120"/>
      <c r="QRA436" s="120"/>
      <c r="QRB436" s="120"/>
      <c r="QRC436" s="120"/>
      <c r="QRD436" s="120"/>
      <c r="QRE436" s="120"/>
      <c r="QRF436" s="120"/>
      <c r="QRG436" s="120"/>
      <c r="QRH436" s="120"/>
      <c r="QRI436" s="120"/>
      <c r="QRJ436" s="120"/>
      <c r="QRK436" s="120"/>
      <c r="QRL436" s="120"/>
      <c r="QRM436" s="120"/>
      <c r="QRN436" s="120"/>
      <c r="QRO436" s="120"/>
      <c r="QRP436" s="120"/>
      <c r="QRQ436" s="120"/>
      <c r="QRR436" s="120"/>
      <c r="QRS436" s="120"/>
      <c r="QRT436" s="120"/>
      <c r="QRU436" s="120"/>
      <c r="QRV436" s="120"/>
      <c r="QRW436" s="120"/>
      <c r="QRX436" s="120"/>
      <c r="QRY436" s="120"/>
      <c r="QRZ436" s="120"/>
      <c r="QSA436" s="120"/>
      <c r="QSB436" s="120"/>
      <c r="QSC436" s="120"/>
      <c r="QSD436" s="120"/>
      <c r="QSE436" s="120"/>
      <c r="QSF436" s="120"/>
      <c r="QSG436" s="120"/>
      <c r="QSH436" s="120"/>
      <c r="QSI436" s="120"/>
      <c r="QSJ436" s="120"/>
      <c r="QSK436" s="120"/>
      <c r="QSL436" s="120"/>
      <c r="QSM436" s="120"/>
      <c r="QSN436" s="120"/>
      <c r="QSO436" s="120"/>
      <c r="QSP436" s="120"/>
      <c r="QSQ436" s="120"/>
      <c r="QSR436" s="120"/>
      <c r="QSS436" s="120"/>
      <c r="QST436" s="120"/>
      <c r="QSU436" s="120"/>
      <c r="QSV436" s="120"/>
      <c r="QSW436" s="120"/>
      <c r="QSX436" s="120"/>
      <c r="QSY436" s="120"/>
      <c r="QSZ436" s="120"/>
      <c r="QTA436" s="120"/>
      <c r="QTB436" s="120"/>
      <c r="QTC436" s="120"/>
      <c r="QTD436" s="120"/>
      <c r="QTE436" s="120"/>
      <c r="QTF436" s="120"/>
      <c r="QTG436" s="120"/>
      <c r="QTH436" s="120"/>
      <c r="QTI436" s="120"/>
      <c r="QTJ436" s="120"/>
      <c r="QTK436" s="120"/>
      <c r="QTL436" s="120"/>
      <c r="QTM436" s="120"/>
      <c r="QTN436" s="120"/>
      <c r="QTO436" s="120"/>
      <c r="QTP436" s="120"/>
      <c r="QTQ436" s="120"/>
      <c r="QTR436" s="120"/>
      <c r="QTS436" s="120"/>
      <c r="QTT436" s="120"/>
      <c r="QTU436" s="120"/>
      <c r="QTV436" s="120"/>
      <c r="QTW436" s="120"/>
      <c r="QTX436" s="120"/>
      <c r="QTY436" s="120"/>
      <c r="QTZ436" s="120"/>
      <c r="QUA436" s="120"/>
      <c r="QUB436" s="120"/>
      <c r="QUC436" s="120"/>
      <c r="QUD436" s="120"/>
      <c r="QUE436" s="120"/>
      <c r="QUF436" s="120"/>
      <c r="QUG436" s="120"/>
      <c r="QUH436" s="120"/>
      <c r="QUI436" s="120"/>
      <c r="QUJ436" s="120"/>
      <c r="QUK436" s="120"/>
      <c r="QUL436" s="120"/>
      <c r="QUM436" s="120"/>
      <c r="QUN436" s="120"/>
      <c r="QUO436" s="120"/>
      <c r="QUP436" s="120"/>
      <c r="QUQ436" s="120"/>
      <c r="QUR436" s="120"/>
      <c r="QUS436" s="120"/>
      <c r="QUT436" s="120"/>
      <c r="QUU436" s="120"/>
      <c r="QUV436" s="120"/>
      <c r="QUW436" s="120"/>
      <c r="QUX436" s="120"/>
      <c r="QUY436" s="120"/>
      <c r="QUZ436" s="120"/>
      <c r="QVA436" s="120"/>
      <c r="QVB436" s="120"/>
      <c r="QVC436" s="120"/>
      <c r="QVD436" s="120"/>
      <c r="QVE436" s="120"/>
      <c r="QVF436" s="120"/>
      <c r="QVG436" s="120"/>
      <c r="QVH436" s="120"/>
      <c r="QVI436" s="120"/>
      <c r="QVJ436" s="120"/>
      <c r="QVK436" s="120"/>
      <c r="QVL436" s="120"/>
      <c r="QVM436" s="120"/>
      <c r="QVN436" s="120"/>
      <c r="QVO436" s="120"/>
      <c r="QVP436" s="120"/>
      <c r="QVQ436" s="120"/>
      <c r="QVR436" s="120"/>
      <c r="QVS436" s="120"/>
      <c r="QVT436" s="120"/>
      <c r="QVU436" s="120"/>
      <c r="QVV436" s="120"/>
      <c r="QVW436" s="120"/>
      <c r="QVX436" s="120"/>
      <c r="QVY436" s="120"/>
      <c r="QVZ436" s="120"/>
      <c r="QWA436" s="120"/>
      <c r="QWB436" s="120"/>
      <c r="QWC436" s="120"/>
      <c r="QWD436" s="120"/>
      <c r="QWE436" s="120"/>
      <c r="QWF436" s="120"/>
      <c r="QWG436" s="120"/>
      <c r="QWH436" s="120"/>
      <c r="QWI436" s="120"/>
      <c r="QWJ436" s="120"/>
      <c r="QWK436" s="120"/>
      <c r="QWL436" s="120"/>
      <c r="QWM436" s="120"/>
      <c r="QWN436" s="120"/>
      <c r="QWO436" s="120"/>
      <c r="QWP436" s="120"/>
      <c r="QWQ436" s="120"/>
      <c r="QWR436" s="120"/>
      <c r="QWS436" s="120"/>
      <c r="QWT436" s="120"/>
      <c r="QWU436" s="120"/>
      <c r="QWV436" s="120"/>
      <c r="QWW436" s="120"/>
      <c r="QWX436" s="120"/>
      <c r="QWY436" s="120"/>
      <c r="QWZ436" s="120"/>
      <c r="QXA436" s="120"/>
      <c r="QXB436" s="120"/>
      <c r="QXC436" s="120"/>
      <c r="QXD436" s="120"/>
      <c r="QXE436" s="120"/>
      <c r="QXF436" s="120"/>
      <c r="QXG436" s="120"/>
      <c r="QXH436" s="120"/>
      <c r="QXI436" s="120"/>
      <c r="QXJ436" s="120"/>
      <c r="QXK436" s="120"/>
      <c r="QXL436" s="120"/>
      <c r="QXM436" s="120"/>
      <c r="QXN436" s="120"/>
      <c r="QXO436" s="120"/>
      <c r="QXP436" s="120"/>
      <c r="QXQ436" s="120"/>
      <c r="QXR436" s="120"/>
      <c r="QXS436" s="120"/>
      <c r="QXT436" s="120"/>
      <c r="QXU436" s="120"/>
      <c r="QXV436" s="120"/>
      <c r="QXW436" s="120"/>
      <c r="QXX436" s="120"/>
      <c r="QXY436" s="120"/>
      <c r="QXZ436" s="120"/>
      <c r="QYA436" s="120"/>
      <c r="QYB436" s="120"/>
      <c r="QYC436" s="120"/>
      <c r="QYD436" s="120"/>
      <c r="QYE436" s="120"/>
      <c r="QYF436" s="120"/>
      <c r="QYG436" s="120"/>
      <c r="QYH436" s="120"/>
      <c r="QYI436" s="120"/>
      <c r="QYJ436" s="120"/>
      <c r="QYK436" s="120"/>
      <c r="QYL436" s="120"/>
      <c r="QYM436" s="120"/>
      <c r="QYN436" s="120"/>
      <c r="QYO436" s="120"/>
      <c r="QYP436" s="120"/>
      <c r="QYQ436" s="120"/>
      <c r="QYR436" s="120"/>
      <c r="QYS436" s="120"/>
      <c r="QYT436" s="120"/>
      <c r="QYU436" s="120"/>
      <c r="QYV436" s="120"/>
      <c r="QYW436" s="120"/>
      <c r="QYX436" s="120"/>
      <c r="QYY436" s="120"/>
      <c r="QYZ436" s="120"/>
      <c r="QZA436" s="120"/>
      <c r="QZB436" s="120"/>
      <c r="QZC436" s="120"/>
      <c r="QZD436" s="120"/>
      <c r="QZE436" s="120"/>
      <c r="QZF436" s="120"/>
      <c r="QZG436" s="120"/>
      <c r="QZH436" s="120"/>
      <c r="QZI436" s="120"/>
      <c r="QZJ436" s="120"/>
      <c r="QZK436" s="120"/>
      <c r="QZL436" s="120"/>
      <c r="QZM436" s="120"/>
      <c r="QZN436" s="120"/>
      <c r="QZO436" s="120"/>
      <c r="QZP436" s="120"/>
      <c r="QZQ436" s="120"/>
      <c r="QZR436" s="120"/>
      <c r="QZS436" s="120"/>
      <c r="QZT436" s="120"/>
      <c r="QZU436" s="120"/>
      <c r="QZV436" s="120"/>
      <c r="QZW436" s="120"/>
      <c r="QZX436" s="120"/>
      <c r="QZY436" s="120"/>
      <c r="QZZ436" s="120"/>
      <c r="RAA436" s="120"/>
      <c r="RAB436" s="120"/>
      <c r="RAC436" s="120"/>
      <c r="RAD436" s="120"/>
      <c r="RAE436" s="120"/>
      <c r="RAF436" s="120"/>
      <c r="RAG436" s="120"/>
      <c r="RAH436" s="120"/>
      <c r="RAI436" s="120"/>
      <c r="RAJ436" s="120"/>
      <c r="RAK436" s="120"/>
      <c r="RAL436" s="120"/>
      <c r="RAM436" s="120"/>
      <c r="RAN436" s="120"/>
      <c r="RAO436" s="120"/>
      <c r="RAP436" s="120"/>
      <c r="RAQ436" s="120"/>
      <c r="RAR436" s="120"/>
      <c r="RAS436" s="120"/>
      <c r="RAT436" s="120"/>
      <c r="RAU436" s="120"/>
      <c r="RAV436" s="120"/>
      <c r="RAW436" s="120"/>
      <c r="RAX436" s="120"/>
      <c r="RAY436" s="120"/>
      <c r="RAZ436" s="120"/>
      <c r="RBA436" s="120"/>
      <c r="RBB436" s="120"/>
      <c r="RBC436" s="120"/>
      <c r="RBD436" s="120"/>
      <c r="RBE436" s="120"/>
      <c r="RBF436" s="120"/>
      <c r="RBG436" s="120"/>
      <c r="RBH436" s="120"/>
      <c r="RBI436" s="120"/>
      <c r="RBJ436" s="120"/>
      <c r="RBK436" s="120"/>
      <c r="RBL436" s="120"/>
      <c r="RBM436" s="120"/>
      <c r="RBN436" s="120"/>
      <c r="RBO436" s="120"/>
      <c r="RBP436" s="120"/>
      <c r="RBQ436" s="120"/>
      <c r="RBR436" s="120"/>
      <c r="RBS436" s="120"/>
      <c r="RBT436" s="120"/>
      <c r="RBU436" s="120"/>
      <c r="RBV436" s="120"/>
      <c r="RBW436" s="120"/>
      <c r="RBX436" s="120"/>
      <c r="RBY436" s="120"/>
      <c r="RBZ436" s="120"/>
      <c r="RCA436" s="120"/>
      <c r="RCB436" s="120"/>
      <c r="RCC436" s="120"/>
      <c r="RCD436" s="120"/>
      <c r="RCE436" s="120"/>
      <c r="RCF436" s="120"/>
      <c r="RCG436" s="120"/>
      <c r="RCH436" s="120"/>
      <c r="RCI436" s="120"/>
      <c r="RCJ436" s="120"/>
      <c r="RCK436" s="120"/>
      <c r="RCL436" s="120"/>
      <c r="RCM436" s="120"/>
      <c r="RCN436" s="120"/>
      <c r="RCO436" s="120"/>
      <c r="RCP436" s="120"/>
      <c r="RCQ436" s="120"/>
      <c r="RCR436" s="120"/>
      <c r="RCS436" s="120"/>
      <c r="RCT436" s="120"/>
      <c r="RCU436" s="120"/>
      <c r="RCV436" s="120"/>
      <c r="RCW436" s="120"/>
      <c r="RCX436" s="120"/>
      <c r="RCY436" s="120"/>
      <c r="RCZ436" s="120"/>
      <c r="RDA436" s="120"/>
      <c r="RDB436" s="120"/>
      <c r="RDC436" s="120"/>
      <c r="RDD436" s="120"/>
      <c r="RDE436" s="120"/>
      <c r="RDF436" s="120"/>
      <c r="RDG436" s="120"/>
      <c r="RDH436" s="120"/>
      <c r="RDI436" s="120"/>
      <c r="RDJ436" s="120"/>
      <c r="RDK436" s="120"/>
      <c r="RDL436" s="120"/>
      <c r="RDM436" s="120"/>
      <c r="RDN436" s="120"/>
      <c r="RDO436" s="120"/>
      <c r="RDP436" s="120"/>
      <c r="RDQ436" s="120"/>
      <c r="RDR436" s="120"/>
      <c r="RDS436" s="120"/>
      <c r="RDT436" s="120"/>
      <c r="RDU436" s="120"/>
      <c r="RDV436" s="120"/>
      <c r="RDW436" s="120"/>
      <c r="RDX436" s="120"/>
      <c r="RDY436" s="120"/>
      <c r="RDZ436" s="120"/>
      <c r="REA436" s="120"/>
      <c r="REB436" s="120"/>
      <c r="REC436" s="120"/>
      <c r="RED436" s="120"/>
      <c r="REE436" s="120"/>
      <c r="REF436" s="120"/>
      <c r="REG436" s="120"/>
      <c r="REH436" s="120"/>
      <c r="REI436" s="120"/>
      <c r="REJ436" s="120"/>
      <c r="REK436" s="120"/>
      <c r="REL436" s="120"/>
      <c r="REM436" s="120"/>
      <c r="REN436" s="120"/>
      <c r="REO436" s="120"/>
      <c r="REP436" s="120"/>
      <c r="REQ436" s="120"/>
      <c r="RER436" s="120"/>
      <c r="RES436" s="120"/>
      <c r="RET436" s="120"/>
      <c r="REU436" s="120"/>
      <c r="REV436" s="120"/>
      <c r="REW436" s="120"/>
      <c r="REX436" s="120"/>
      <c r="REY436" s="120"/>
      <c r="REZ436" s="120"/>
      <c r="RFA436" s="120"/>
      <c r="RFB436" s="120"/>
      <c r="RFC436" s="120"/>
      <c r="RFD436" s="120"/>
      <c r="RFE436" s="120"/>
      <c r="RFF436" s="120"/>
      <c r="RFG436" s="120"/>
      <c r="RFH436" s="120"/>
      <c r="RFI436" s="120"/>
      <c r="RFJ436" s="120"/>
      <c r="RFK436" s="120"/>
      <c r="RFL436" s="120"/>
      <c r="RFM436" s="120"/>
      <c r="RFN436" s="120"/>
      <c r="RFO436" s="120"/>
      <c r="RFP436" s="120"/>
      <c r="RFQ436" s="120"/>
      <c r="RFR436" s="120"/>
      <c r="RFS436" s="120"/>
      <c r="RFT436" s="120"/>
      <c r="RFU436" s="120"/>
      <c r="RFV436" s="120"/>
      <c r="RFW436" s="120"/>
      <c r="RFX436" s="120"/>
      <c r="RFY436" s="120"/>
      <c r="RFZ436" s="120"/>
      <c r="RGA436" s="120"/>
      <c r="RGB436" s="120"/>
      <c r="RGC436" s="120"/>
      <c r="RGD436" s="120"/>
      <c r="RGE436" s="120"/>
      <c r="RGF436" s="120"/>
      <c r="RGG436" s="120"/>
      <c r="RGH436" s="120"/>
      <c r="RGI436" s="120"/>
      <c r="RGJ436" s="120"/>
      <c r="RGK436" s="120"/>
      <c r="RGL436" s="120"/>
      <c r="RGM436" s="120"/>
      <c r="RGN436" s="120"/>
      <c r="RGO436" s="120"/>
      <c r="RGP436" s="120"/>
      <c r="RGQ436" s="120"/>
      <c r="RGR436" s="120"/>
      <c r="RGS436" s="120"/>
      <c r="RGT436" s="120"/>
      <c r="RGU436" s="120"/>
      <c r="RGV436" s="120"/>
      <c r="RGW436" s="120"/>
      <c r="RGX436" s="120"/>
      <c r="RGY436" s="120"/>
      <c r="RGZ436" s="120"/>
      <c r="RHA436" s="120"/>
      <c r="RHB436" s="120"/>
      <c r="RHC436" s="120"/>
      <c r="RHD436" s="120"/>
      <c r="RHE436" s="120"/>
      <c r="RHF436" s="120"/>
      <c r="RHG436" s="120"/>
      <c r="RHH436" s="120"/>
      <c r="RHI436" s="120"/>
      <c r="RHJ436" s="120"/>
      <c r="RHK436" s="120"/>
      <c r="RHL436" s="120"/>
      <c r="RHM436" s="120"/>
      <c r="RHN436" s="120"/>
      <c r="RHO436" s="120"/>
      <c r="RHP436" s="120"/>
      <c r="RHQ436" s="120"/>
      <c r="RHR436" s="120"/>
      <c r="RHS436" s="120"/>
      <c r="RHT436" s="120"/>
      <c r="RHU436" s="120"/>
      <c r="RHV436" s="120"/>
      <c r="RHW436" s="120"/>
      <c r="RHX436" s="120"/>
      <c r="RHY436" s="120"/>
      <c r="RHZ436" s="120"/>
      <c r="RIA436" s="120"/>
      <c r="RIB436" s="120"/>
      <c r="RIC436" s="120"/>
      <c r="RID436" s="120"/>
      <c r="RIE436" s="120"/>
      <c r="RIF436" s="120"/>
      <c r="RIG436" s="120"/>
      <c r="RIH436" s="120"/>
      <c r="RII436" s="120"/>
      <c r="RIJ436" s="120"/>
      <c r="RIK436" s="120"/>
      <c r="RIL436" s="120"/>
      <c r="RIM436" s="120"/>
      <c r="RIN436" s="120"/>
      <c r="RIO436" s="120"/>
      <c r="RIP436" s="120"/>
      <c r="RIQ436" s="120"/>
      <c r="RIR436" s="120"/>
      <c r="RIS436" s="120"/>
      <c r="RIT436" s="120"/>
      <c r="RIU436" s="120"/>
      <c r="RIV436" s="120"/>
      <c r="RIW436" s="120"/>
      <c r="RIX436" s="120"/>
      <c r="RIY436" s="120"/>
      <c r="RIZ436" s="120"/>
      <c r="RJA436" s="120"/>
      <c r="RJB436" s="120"/>
      <c r="RJC436" s="120"/>
      <c r="RJD436" s="120"/>
      <c r="RJE436" s="120"/>
      <c r="RJF436" s="120"/>
      <c r="RJG436" s="120"/>
      <c r="RJH436" s="120"/>
      <c r="RJI436" s="120"/>
      <c r="RJJ436" s="120"/>
      <c r="RJK436" s="120"/>
      <c r="RJL436" s="120"/>
      <c r="RJM436" s="120"/>
      <c r="RJN436" s="120"/>
      <c r="RJO436" s="120"/>
      <c r="RJP436" s="120"/>
      <c r="RJQ436" s="120"/>
      <c r="RJR436" s="120"/>
      <c r="RJS436" s="120"/>
      <c r="RJT436" s="120"/>
      <c r="RJU436" s="120"/>
      <c r="RJV436" s="120"/>
      <c r="RJW436" s="120"/>
      <c r="RJX436" s="120"/>
      <c r="RJY436" s="120"/>
      <c r="RJZ436" s="120"/>
      <c r="RKA436" s="120"/>
      <c r="RKB436" s="120"/>
      <c r="RKC436" s="120"/>
      <c r="RKD436" s="120"/>
      <c r="RKE436" s="120"/>
      <c r="RKF436" s="120"/>
      <c r="RKG436" s="120"/>
      <c r="RKH436" s="120"/>
      <c r="RKI436" s="120"/>
      <c r="RKJ436" s="120"/>
      <c r="RKK436" s="120"/>
      <c r="RKL436" s="120"/>
      <c r="RKM436" s="120"/>
      <c r="RKN436" s="120"/>
      <c r="RKO436" s="120"/>
      <c r="RKP436" s="120"/>
      <c r="RKQ436" s="120"/>
      <c r="RKR436" s="120"/>
      <c r="RKS436" s="120"/>
      <c r="RKT436" s="120"/>
      <c r="RKU436" s="120"/>
      <c r="RKV436" s="120"/>
      <c r="RKW436" s="120"/>
      <c r="RKX436" s="120"/>
      <c r="RKY436" s="120"/>
      <c r="RKZ436" s="120"/>
      <c r="RLA436" s="120"/>
      <c r="RLB436" s="120"/>
      <c r="RLC436" s="120"/>
      <c r="RLD436" s="120"/>
      <c r="RLE436" s="120"/>
      <c r="RLF436" s="120"/>
      <c r="RLG436" s="120"/>
      <c r="RLH436" s="120"/>
      <c r="RLI436" s="120"/>
      <c r="RLJ436" s="120"/>
      <c r="RLK436" s="120"/>
      <c r="RLL436" s="120"/>
      <c r="RLM436" s="120"/>
      <c r="RLN436" s="120"/>
      <c r="RLO436" s="120"/>
      <c r="RLP436" s="120"/>
      <c r="RLQ436" s="120"/>
      <c r="RLR436" s="120"/>
      <c r="RLS436" s="120"/>
      <c r="RLT436" s="120"/>
      <c r="RLU436" s="120"/>
      <c r="RLV436" s="120"/>
      <c r="RLW436" s="120"/>
      <c r="RLX436" s="120"/>
      <c r="RLY436" s="120"/>
      <c r="RLZ436" s="120"/>
      <c r="RMA436" s="120"/>
      <c r="RMB436" s="120"/>
      <c r="RMC436" s="120"/>
      <c r="RMD436" s="120"/>
      <c r="RME436" s="120"/>
      <c r="RMF436" s="120"/>
      <c r="RMG436" s="120"/>
      <c r="RMH436" s="120"/>
      <c r="RMI436" s="120"/>
      <c r="RMJ436" s="120"/>
      <c r="RMK436" s="120"/>
      <c r="RML436" s="120"/>
      <c r="RMM436" s="120"/>
      <c r="RMN436" s="120"/>
      <c r="RMO436" s="120"/>
      <c r="RMP436" s="120"/>
      <c r="RMQ436" s="120"/>
      <c r="RMR436" s="120"/>
      <c r="RMS436" s="120"/>
      <c r="RMT436" s="120"/>
      <c r="RMU436" s="120"/>
      <c r="RMV436" s="120"/>
      <c r="RMW436" s="120"/>
      <c r="RMX436" s="120"/>
      <c r="RMY436" s="120"/>
      <c r="RMZ436" s="120"/>
      <c r="RNA436" s="120"/>
      <c r="RNB436" s="120"/>
      <c r="RNC436" s="120"/>
      <c r="RND436" s="120"/>
      <c r="RNE436" s="120"/>
      <c r="RNF436" s="120"/>
      <c r="RNG436" s="120"/>
      <c r="RNH436" s="120"/>
      <c r="RNI436" s="120"/>
      <c r="RNJ436" s="120"/>
      <c r="RNK436" s="120"/>
      <c r="RNL436" s="120"/>
      <c r="RNM436" s="120"/>
      <c r="RNN436" s="120"/>
      <c r="RNO436" s="120"/>
      <c r="RNP436" s="120"/>
      <c r="RNQ436" s="120"/>
      <c r="RNR436" s="120"/>
      <c r="RNS436" s="120"/>
      <c r="RNT436" s="120"/>
      <c r="RNU436" s="120"/>
      <c r="RNV436" s="120"/>
      <c r="RNW436" s="120"/>
      <c r="RNX436" s="120"/>
      <c r="RNY436" s="120"/>
      <c r="RNZ436" s="120"/>
      <c r="ROA436" s="120"/>
      <c r="ROB436" s="120"/>
      <c r="ROC436" s="120"/>
      <c r="ROD436" s="120"/>
      <c r="ROE436" s="120"/>
      <c r="ROF436" s="120"/>
      <c r="ROG436" s="120"/>
      <c r="ROH436" s="120"/>
      <c r="ROI436" s="120"/>
      <c r="ROJ436" s="120"/>
      <c r="ROK436" s="120"/>
      <c r="ROL436" s="120"/>
      <c r="ROM436" s="120"/>
      <c r="RON436" s="120"/>
      <c r="ROO436" s="120"/>
      <c r="ROP436" s="120"/>
      <c r="ROQ436" s="120"/>
      <c r="ROR436" s="120"/>
      <c r="ROS436" s="120"/>
      <c r="ROT436" s="120"/>
      <c r="ROU436" s="120"/>
      <c r="ROV436" s="120"/>
      <c r="ROW436" s="120"/>
      <c r="ROX436" s="120"/>
      <c r="ROY436" s="120"/>
      <c r="ROZ436" s="120"/>
      <c r="RPA436" s="120"/>
      <c r="RPB436" s="120"/>
      <c r="RPC436" s="120"/>
      <c r="RPD436" s="120"/>
      <c r="RPE436" s="120"/>
      <c r="RPF436" s="120"/>
      <c r="RPG436" s="120"/>
      <c r="RPH436" s="120"/>
      <c r="RPI436" s="120"/>
      <c r="RPJ436" s="120"/>
      <c r="RPK436" s="120"/>
      <c r="RPL436" s="120"/>
      <c r="RPM436" s="120"/>
      <c r="RPN436" s="120"/>
      <c r="RPO436" s="120"/>
      <c r="RPP436" s="120"/>
      <c r="RPQ436" s="120"/>
      <c r="RPR436" s="120"/>
      <c r="RPS436" s="120"/>
      <c r="RPT436" s="120"/>
      <c r="RPU436" s="120"/>
      <c r="RPV436" s="120"/>
      <c r="RPW436" s="120"/>
      <c r="RPX436" s="120"/>
      <c r="RPY436" s="120"/>
      <c r="RPZ436" s="120"/>
      <c r="RQA436" s="120"/>
      <c r="RQB436" s="120"/>
      <c r="RQC436" s="120"/>
      <c r="RQD436" s="120"/>
      <c r="RQE436" s="120"/>
      <c r="RQF436" s="120"/>
      <c r="RQG436" s="120"/>
      <c r="RQH436" s="120"/>
      <c r="RQI436" s="120"/>
      <c r="RQJ436" s="120"/>
      <c r="RQK436" s="120"/>
      <c r="RQL436" s="120"/>
      <c r="RQM436" s="120"/>
      <c r="RQN436" s="120"/>
      <c r="RQO436" s="120"/>
      <c r="RQP436" s="120"/>
      <c r="RQQ436" s="120"/>
      <c r="RQR436" s="120"/>
      <c r="RQS436" s="120"/>
      <c r="RQT436" s="120"/>
      <c r="RQU436" s="120"/>
      <c r="RQV436" s="120"/>
      <c r="RQW436" s="120"/>
      <c r="RQX436" s="120"/>
      <c r="RQY436" s="120"/>
      <c r="RQZ436" s="120"/>
      <c r="RRA436" s="120"/>
      <c r="RRB436" s="120"/>
      <c r="RRC436" s="120"/>
      <c r="RRD436" s="120"/>
      <c r="RRE436" s="120"/>
      <c r="RRF436" s="120"/>
      <c r="RRG436" s="120"/>
      <c r="RRH436" s="120"/>
      <c r="RRI436" s="120"/>
      <c r="RRJ436" s="120"/>
      <c r="RRK436" s="120"/>
      <c r="RRL436" s="120"/>
      <c r="RRM436" s="120"/>
      <c r="RRN436" s="120"/>
      <c r="RRO436" s="120"/>
      <c r="RRP436" s="120"/>
      <c r="RRQ436" s="120"/>
      <c r="RRR436" s="120"/>
      <c r="RRS436" s="120"/>
      <c r="RRT436" s="120"/>
      <c r="RRU436" s="120"/>
      <c r="RRV436" s="120"/>
      <c r="RRW436" s="120"/>
      <c r="RRX436" s="120"/>
      <c r="RRY436" s="120"/>
      <c r="RRZ436" s="120"/>
      <c r="RSA436" s="120"/>
      <c r="RSB436" s="120"/>
      <c r="RSC436" s="120"/>
      <c r="RSD436" s="120"/>
      <c r="RSE436" s="120"/>
      <c r="RSF436" s="120"/>
      <c r="RSG436" s="120"/>
      <c r="RSH436" s="120"/>
      <c r="RSI436" s="120"/>
      <c r="RSJ436" s="120"/>
      <c r="RSK436" s="120"/>
      <c r="RSL436" s="120"/>
      <c r="RSM436" s="120"/>
      <c r="RSN436" s="120"/>
      <c r="RSO436" s="120"/>
      <c r="RSP436" s="120"/>
      <c r="RSQ436" s="120"/>
      <c r="RSR436" s="120"/>
      <c r="RSS436" s="120"/>
      <c r="RST436" s="120"/>
      <c r="RSU436" s="120"/>
      <c r="RSV436" s="120"/>
      <c r="RSW436" s="120"/>
      <c r="RSX436" s="120"/>
      <c r="RSY436" s="120"/>
      <c r="RSZ436" s="120"/>
      <c r="RTA436" s="120"/>
      <c r="RTB436" s="120"/>
      <c r="RTC436" s="120"/>
      <c r="RTD436" s="120"/>
      <c r="RTE436" s="120"/>
      <c r="RTF436" s="120"/>
      <c r="RTG436" s="120"/>
      <c r="RTH436" s="120"/>
      <c r="RTI436" s="120"/>
      <c r="RTJ436" s="120"/>
      <c r="RTK436" s="120"/>
      <c r="RTL436" s="120"/>
      <c r="RTM436" s="120"/>
      <c r="RTN436" s="120"/>
      <c r="RTO436" s="120"/>
      <c r="RTP436" s="120"/>
      <c r="RTQ436" s="120"/>
      <c r="RTR436" s="120"/>
      <c r="RTS436" s="120"/>
      <c r="RTT436" s="120"/>
      <c r="RTU436" s="120"/>
      <c r="RTV436" s="120"/>
      <c r="RTW436" s="120"/>
      <c r="RTX436" s="120"/>
      <c r="RTY436" s="120"/>
      <c r="RTZ436" s="120"/>
      <c r="RUA436" s="120"/>
      <c r="RUB436" s="120"/>
      <c r="RUC436" s="120"/>
      <c r="RUD436" s="120"/>
      <c r="RUE436" s="120"/>
      <c r="RUF436" s="120"/>
      <c r="RUG436" s="120"/>
      <c r="RUH436" s="120"/>
      <c r="RUI436" s="120"/>
      <c r="RUJ436" s="120"/>
      <c r="RUK436" s="120"/>
      <c r="RUL436" s="120"/>
      <c r="RUM436" s="120"/>
      <c r="RUN436" s="120"/>
      <c r="RUO436" s="120"/>
      <c r="RUP436" s="120"/>
      <c r="RUQ436" s="120"/>
      <c r="RUR436" s="120"/>
      <c r="RUS436" s="120"/>
      <c r="RUT436" s="120"/>
      <c r="RUU436" s="120"/>
      <c r="RUV436" s="120"/>
      <c r="RUW436" s="120"/>
      <c r="RUX436" s="120"/>
      <c r="RUY436" s="120"/>
      <c r="RUZ436" s="120"/>
      <c r="RVA436" s="120"/>
      <c r="RVB436" s="120"/>
      <c r="RVC436" s="120"/>
      <c r="RVD436" s="120"/>
      <c r="RVE436" s="120"/>
      <c r="RVF436" s="120"/>
      <c r="RVG436" s="120"/>
      <c r="RVH436" s="120"/>
      <c r="RVI436" s="120"/>
      <c r="RVJ436" s="120"/>
      <c r="RVK436" s="120"/>
      <c r="RVL436" s="120"/>
      <c r="RVM436" s="120"/>
      <c r="RVN436" s="120"/>
      <c r="RVO436" s="120"/>
      <c r="RVP436" s="120"/>
      <c r="RVQ436" s="120"/>
      <c r="RVR436" s="120"/>
      <c r="RVS436" s="120"/>
      <c r="RVT436" s="120"/>
      <c r="RVU436" s="120"/>
      <c r="RVV436" s="120"/>
      <c r="RVW436" s="120"/>
      <c r="RVX436" s="120"/>
      <c r="RVY436" s="120"/>
      <c r="RVZ436" s="120"/>
      <c r="RWA436" s="120"/>
      <c r="RWB436" s="120"/>
      <c r="RWC436" s="120"/>
      <c r="RWD436" s="120"/>
      <c r="RWE436" s="120"/>
      <c r="RWF436" s="120"/>
      <c r="RWG436" s="120"/>
      <c r="RWH436" s="120"/>
      <c r="RWI436" s="120"/>
      <c r="RWJ436" s="120"/>
      <c r="RWK436" s="120"/>
      <c r="RWL436" s="120"/>
      <c r="RWM436" s="120"/>
      <c r="RWN436" s="120"/>
      <c r="RWO436" s="120"/>
      <c r="RWP436" s="120"/>
      <c r="RWQ436" s="120"/>
      <c r="RWR436" s="120"/>
      <c r="RWS436" s="120"/>
      <c r="RWT436" s="120"/>
      <c r="RWU436" s="120"/>
      <c r="RWV436" s="120"/>
      <c r="RWW436" s="120"/>
      <c r="RWX436" s="120"/>
      <c r="RWY436" s="120"/>
      <c r="RWZ436" s="120"/>
      <c r="RXA436" s="120"/>
      <c r="RXB436" s="120"/>
      <c r="RXC436" s="120"/>
      <c r="RXD436" s="120"/>
      <c r="RXE436" s="120"/>
      <c r="RXF436" s="120"/>
      <c r="RXG436" s="120"/>
      <c r="RXH436" s="120"/>
      <c r="RXI436" s="120"/>
      <c r="RXJ436" s="120"/>
      <c r="RXK436" s="120"/>
      <c r="RXL436" s="120"/>
      <c r="RXM436" s="120"/>
      <c r="RXN436" s="120"/>
      <c r="RXO436" s="120"/>
      <c r="RXP436" s="120"/>
      <c r="RXQ436" s="120"/>
      <c r="RXR436" s="120"/>
      <c r="RXS436" s="120"/>
      <c r="RXT436" s="120"/>
      <c r="RXU436" s="120"/>
      <c r="RXV436" s="120"/>
      <c r="RXW436" s="120"/>
      <c r="RXX436" s="120"/>
      <c r="RXY436" s="120"/>
      <c r="RXZ436" s="120"/>
      <c r="RYA436" s="120"/>
      <c r="RYB436" s="120"/>
      <c r="RYC436" s="120"/>
      <c r="RYD436" s="120"/>
      <c r="RYE436" s="120"/>
      <c r="RYF436" s="120"/>
      <c r="RYG436" s="120"/>
      <c r="RYH436" s="120"/>
      <c r="RYI436" s="120"/>
      <c r="RYJ436" s="120"/>
      <c r="RYK436" s="120"/>
      <c r="RYL436" s="120"/>
      <c r="RYM436" s="120"/>
      <c r="RYN436" s="120"/>
      <c r="RYO436" s="120"/>
      <c r="RYP436" s="120"/>
      <c r="RYQ436" s="120"/>
      <c r="RYR436" s="120"/>
      <c r="RYS436" s="120"/>
      <c r="RYT436" s="120"/>
      <c r="RYU436" s="120"/>
      <c r="RYV436" s="120"/>
      <c r="RYW436" s="120"/>
      <c r="RYX436" s="120"/>
      <c r="RYY436" s="120"/>
      <c r="RYZ436" s="120"/>
      <c r="RZA436" s="120"/>
      <c r="RZB436" s="120"/>
      <c r="RZC436" s="120"/>
      <c r="RZD436" s="120"/>
      <c r="RZE436" s="120"/>
      <c r="RZF436" s="120"/>
      <c r="RZG436" s="120"/>
      <c r="RZH436" s="120"/>
      <c r="RZI436" s="120"/>
      <c r="RZJ436" s="120"/>
      <c r="RZK436" s="120"/>
      <c r="RZL436" s="120"/>
      <c r="RZM436" s="120"/>
      <c r="RZN436" s="120"/>
      <c r="RZO436" s="120"/>
      <c r="RZP436" s="120"/>
      <c r="RZQ436" s="120"/>
      <c r="RZR436" s="120"/>
      <c r="RZS436" s="120"/>
      <c r="RZT436" s="120"/>
      <c r="RZU436" s="120"/>
      <c r="RZV436" s="120"/>
      <c r="RZW436" s="120"/>
      <c r="RZX436" s="120"/>
      <c r="RZY436" s="120"/>
      <c r="RZZ436" s="120"/>
      <c r="SAA436" s="120"/>
      <c r="SAB436" s="120"/>
      <c r="SAC436" s="120"/>
      <c r="SAD436" s="120"/>
      <c r="SAE436" s="120"/>
      <c r="SAF436" s="120"/>
      <c r="SAG436" s="120"/>
      <c r="SAH436" s="120"/>
      <c r="SAI436" s="120"/>
      <c r="SAJ436" s="120"/>
      <c r="SAK436" s="120"/>
      <c r="SAL436" s="120"/>
      <c r="SAM436" s="120"/>
      <c r="SAN436" s="120"/>
      <c r="SAO436" s="120"/>
      <c r="SAP436" s="120"/>
      <c r="SAQ436" s="120"/>
      <c r="SAR436" s="120"/>
      <c r="SAS436" s="120"/>
      <c r="SAT436" s="120"/>
      <c r="SAU436" s="120"/>
      <c r="SAV436" s="120"/>
      <c r="SAW436" s="120"/>
      <c r="SAX436" s="120"/>
      <c r="SAY436" s="120"/>
      <c r="SAZ436" s="120"/>
      <c r="SBA436" s="120"/>
      <c r="SBB436" s="120"/>
      <c r="SBC436" s="120"/>
      <c r="SBD436" s="120"/>
      <c r="SBE436" s="120"/>
      <c r="SBF436" s="120"/>
      <c r="SBG436" s="120"/>
      <c r="SBH436" s="120"/>
      <c r="SBI436" s="120"/>
      <c r="SBJ436" s="120"/>
      <c r="SBK436" s="120"/>
      <c r="SBL436" s="120"/>
      <c r="SBM436" s="120"/>
      <c r="SBN436" s="120"/>
      <c r="SBO436" s="120"/>
      <c r="SBP436" s="120"/>
      <c r="SBQ436" s="120"/>
      <c r="SBR436" s="120"/>
      <c r="SBS436" s="120"/>
      <c r="SBT436" s="120"/>
      <c r="SBU436" s="120"/>
      <c r="SBV436" s="120"/>
      <c r="SBW436" s="120"/>
      <c r="SBX436" s="120"/>
      <c r="SBY436" s="120"/>
      <c r="SBZ436" s="120"/>
      <c r="SCA436" s="120"/>
      <c r="SCB436" s="120"/>
      <c r="SCC436" s="120"/>
      <c r="SCD436" s="120"/>
      <c r="SCE436" s="120"/>
      <c r="SCF436" s="120"/>
      <c r="SCG436" s="120"/>
      <c r="SCH436" s="120"/>
      <c r="SCI436" s="120"/>
      <c r="SCJ436" s="120"/>
      <c r="SCK436" s="120"/>
      <c r="SCL436" s="120"/>
      <c r="SCM436" s="120"/>
      <c r="SCN436" s="120"/>
      <c r="SCO436" s="120"/>
      <c r="SCP436" s="120"/>
      <c r="SCQ436" s="120"/>
      <c r="SCR436" s="120"/>
      <c r="SCS436" s="120"/>
      <c r="SCT436" s="120"/>
      <c r="SCU436" s="120"/>
      <c r="SCV436" s="120"/>
      <c r="SCW436" s="120"/>
      <c r="SCX436" s="120"/>
      <c r="SCY436" s="120"/>
      <c r="SCZ436" s="120"/>
      <c r="SDA436" s="120"/>
      <c r="SDB436" s="120"/>
      <c r="SDC436" s="120"/>
      <c r="SDD436" s="120"/>
      <c r="SDE436" s="120"/>
      <c r="SDF436" s="120"/>
      <c r="SDG436" s="120"/>
      <c r="SDH436" s="120"/>
      <c r="SDI436" s="120"/>
      <c r="SDJ436" s="120"/>
      <c r="SDK436" s="120"/>
      <c r="SDL436" s="120"/>
      <c r="SDM436" s="120"/>
      <c r="SDN436" s="120"/>
      <c r="SDO436" s="120"/>
      <c r="SDP436" s="120"/>
      <c r="SDQ436" s="120"/>
      <c r="SDR436" s="120"/>
      <c r="SDS436" s="120"/>
      <c r="SDT436" s="120"/>
      <c r="SDU436" s="120"/>
      <c r="SDV436" s="120"/>
      <c r="SDW436" s="120"/>
      <c r="SDX436" s="120"/>
      <c r="SDY436" s="120"/>
      <c r="SDZ436" s="120"/>
      <c r="SEA436" s="120"/>
      <c r="SEB436" s="120"/>
      <c r="SEC436" s="120"/>
      <c r="SED436" s="120"/>
      <c r="SEE436" s="120"/>
      <c r="SEF436" s="120"/>
      <c r="SEG436" s="120"/>
      <c r="SEH436" s="120"/>
      <c r="SEI436" s="120"/>
      <c r="SEJ436" s="120"/>
      <c r="SEK436" s="120"/>
      <c r="SEL436" s="120"/>
      <c r="SEM436" s="120"/>
      <c r="SEN436" s="120"/>
      <c r="SEO436" s="120"/>
      <c r="SEP436" s="120"/>
      <c r="SEQ436" s="120"/>
      <c r="SER436" s="120"/>
      <c r="SES436" s="120"/>
      <c r="SET436" s="120"/>
      <c r="SEU436" s="120"/>
      <c r="SEV436" s="120"/>
      <c r="SEW436" s="120"/>
      <c r="SEX436" s="120"/>
      <c r="SEY436" s="120"/>
      <c r="SEZ436" s="120"/>
      <c r="SFA436" s="120"/>
      <c r="SFB436" s="120"/>
      <c r="SFC436" s="120"/>
      <c r="SFD436" s="120"/>
      <c r="SFE436" s="120"/>
      <c r="SFF436" s="120"/>
      <c r="SFG436" s="120"/>
      <c r="SFH436" s="120"/>
      <c r="SFI436" s="120"/>
      <c r="SFJ436" s="120"/>
      <c r="SFK436" s="120"/>
      <c r="SFL436" s="120"/>
      <c r="SFM436" s="120"/>
      <c r="SFN436" s="120"/>
      <c r="SFO436" s="120"/>
      <c r="SFP436" s="120"/>
      <c r="SFQ436" s="120"/>
      <c r="SFR436" s="120"/>
      <c r="SFS436" s="120"/>
      <c r="SFT436" s="120"/>
      <c r="SFU436" s="120"/>
      <c r="SFV436" s="120"/>
      <c r="SFW436" s="120"/>
      <c r="SFX436" s="120"/>
      <c r="SFY436" s="120"/>
      <c r="SFZ436" s="120"/>
      <c r="SGA436" s="120"/>
      <c r="SGB436" s="120"/>
      <c r="SGC436" s="120"/>
      <c r="SGD436" s="120"/>
      <c r="SGE436" s="120"/>
      <c r="SGF436" s="120"/>
      <c r="SGG436" s="120"/>
      <c r="SGH436" s="120"/>
      <c r="SGI436" s="120"/>
      <c r="SGJ436" s="120"/>
      <c r="SGK436" s="120"/>
      <c r="SGL436" s="120"/>
      <c r="SGM436" s="120"/>
      <c r="SGN436" s="120"/>
      <c r="SGO436" s="120"/>
      <c r="SGP436" s="120"/>
      <c r="SGQ436" s="120"/>
      <c r="SGR436" s="120"/>
      <c r="SGS436" s="120"/>
      <c r="SGT436" s="120"/>
      <c r="SGU436" s="120"/>
      <c r="SGV436" s="120"/>
      <c r="SGW436" s="120"/>
      <c r="SGX436" s="120"/>
      <c r="SGY436" s="120"/>
      <c r="SGZ436" s="120"/>
      <c r="SHA436" s="120"/>
      <c r="SHB436" s="120"/>
      <c r="SHC436" s="120"/>
      <c r="SHD436" s="120"/>
      <c r="SHE436" s="120"/>
      <c r="SHF436" s="120"/>
      <c r="SHG436" s="120"/>
      <c r="SHH436" s="120"/>
      <c r="SHI436" s="120"/>
      <c r="SHJ436" s="120"/>
      <c r="SHK436" s="120"/>
      <c r="SHL436" s="120"/>
      <c r="SHM436" s="120"/>
      <c r="SHN436" s="120"/>
      <c r="SHO436" s="120"/>
      <c r="SHP436" s="120"/>
      <c r="SHQ436" s="120"/>
      <c r="SHR436" s="120"/>
      <c r="SHS436" s="120"/>
      <c r="SHT436" s="120"/>
      <c r="SHU436" s="120"/>
      <c r="SHV436" s="120"/>
      <c r="SHW436" s="120"/>
      <c r="SHX436" s="120"/>
      <c r="SHY436" s="120"/>
      <c r="SHZ436" s="120"/>
      <c r="SIA436" s="120"/>
      <c r="SIB436" s="120"/>
      <c r="SIC436" s="120"/>
      <c r="SID436" s="120"/>
      <c r="SIE436" s="120"/>
      <c r="SIF436" s="120"/>
      <c r="SIG436" s="120"/>
      <c r="SIH436" s="120"/>
      <c r="SII436" s="120"/>
      <c r="SIJ436" s="120"/>
      <c r="SIK436" s="120"/>
      <c r="SIL436" s="120"/>
      <c r="SIM436" s="120"/>
      <c r="SIN436" s="120"/>
      <c r="SIO436" s="120"/>
      <c r="SIP436" s="120"/>
      <c r="SIQ436" s="120"/>
      <c r="SIR436" s="120"/>
      <c r="SIS436" s="120"/>
      <c r="SIT436" s="120"/>
      <c r="SIU436" s="120"/>
      <c r="SIV436" s="120"/>
      <c r="SIW436" s="120"/>
      <c r="SIX436" s="120"/>
      <c r="SIY436" s="120"/>
      <c r="SIZ436" s="120"/>
      <c r="SJA436" s="120"/>
      <c r="SJB436" s="120"/>
      <c r="SJC436" s="120"/>
      <c r="SJD436" s="120"/>
      <c r="SJE436" s="120"/>
      <c r="SJF436" s="120"/>
      <c r="SJG436" s="120"/>
      <c r="SJH436" s="120"/>
      <c r="SJI436" s="120"/>
      <c r="SJJ436" s="120"/>
      <c r="SJK436" s="120"/>
      <c r="SJL436" s="120"/>
      <c r="SJM436" s="120"/>
      <c r="SJN436" s="120"/>
      <c r="SJO436" s="120"/>
      <c r="SJP436" s="120"/>
      <c r="SJQ436" s="120"/>
      <c r="SJR436" s="120"/>
      <c r="SJS436" s="120"/>
      <c r="SJT436" s="120"/>
      <c r="SJU436" s="120"/>
      <c r="SJV436" s="120"/>
      <c r="SJW436" s="120"/>
      <c r="SJX436" s="120"/>
      <c r="SJY436" s="120"/>
      <c r="SJZ436" s="120"/>
      <c r="SKA436" s="120"/>
      <c r="SKB436" s="120"/>
      <c r="SKC436" s="120"/>
      <c r="SKD436" s="120"/>
      <c r="SKE436" s="120"/>
      <c r="SKF436" s="120"/>
      <c r="SKG436" s="120"/>
      <c r="SKH436" s="120"/>
      <c r="SKI436" s="120"/>
      <c r="SKJ436" s="120"/>
      <c r="SKK436" s="120"/>
      <c r="SKL436" s="120"/>
      <c r="SKM436" s="120"/>
      <c r="SKN436" s="120"/>
      <c r="SKO436" s="120"/>
      <c r="SKP436" s="120"/>
      <c r="SKQ436" s="120"/>
      <c r="SKR436" s="120"/>
      <c r="SKS436" s="120"/>
      <c r="SKT436" s="120"/>
      <c r="SKU436" s="120"/>
      <c r="SKV436" s="120"/>
      <c r="SKW436" s="120"/>
      <c r="SKX436" s="120"/>
      <c r="SKY436" s="120"/>
      <c r="SKZ436" s="120"/>
      <c r="SLA436" s="120"/>
      <c r="SLB436" s="120"/>
      <c r="SLC436" s="120"/>
      <c r="SLD436" s="120"/>
      <c r="SLE436" s="120"/>
      <c r="SLF436" s="120"/>
      <c r="SLG436" s="120"/>
      <c r="SLH436" s="120"/>
      <c r="SLI436" s="120"/>
      <c r="SLJ436" s="120"/>
      <c r="SLK436" s="120"/>
      <c r="SLL436" s="120"/>
      <c r="SLM436" s="120"/>
      <c r="SLN436" s="120"/>
      <c r="SLO436" s="120"/>
      <c r="SLP436" s="120"/>
      <c r="SLQ436" s="120"/>
      <c r="SLR436" s="120"/>
      <c r="SLS436" s="120"/>
      <c r="SLT436" s="120"/>
      <c r="SLU436" s="120"/>
      <c r="SLV436" s="120"/>
      <c r="SLW436" s="120"/>
      <c r="SLX436" s="120"/>
      <c r="SLY436" s="120"/>
      <c r="SLZ436" s="120"/>
      <c r="SMA436" s="120"/>
      <c r="SMB436" s="120"/>
      <c r="SMC436" s="120"/>
      <c r="SMD436" s="120"/>
      <c r="SME436" s="120"/>
      <c r="SMF436" s="120"/>
      <c r="SMG436" s="120"/>
      <c r="SMH436" s="120"/>
      <c r="SMI436" s="120"/>
      <c r="SMJ436" s="120"/>
      <c r="SMK436" s="120"/>
      <c r="SML436" s="120"/>
      <c r="SMM436" s="120"/>
      <c r="SMN436" s="120"/>
      <c r="SMO436" s="120"/>
      <c r="SMP436" s="120"/>
      <c r="SMQ436" s="120"/>
      <c r="SMR436" s="120"/>
      <c r="SMS436" s="120"/>
      <c r="SMT436" s="120"/>
      <c r="SMU436" s="120"/>
      <c r="SMV436" s="120"/>
      <c r="SMW436" s="120"/>
      <c r="SMX436" s="120"/>
      <c r="SMY436" s="120"/>
      <c r="SMZ436" s="120"/>
      <c r="SNA436" s="120"/>
      <c r="SNB436" s="120"/>
      <c r="SNC436" s="120"/>
      <c r="SND436" s="120"/>
      <c r="SNE436" s="120"/>
      <c r="SNF436" s="120"/>
      <c r="SNG436" s="120"/>
      <c r="SNH436" s="120"/>
      <c r="SNI436" s="120"/>
      <c r="SNJ436" s="120"/>
      <c r="SNK436" s="120"/>
      <c r="SNL436" s="120"/>
      <c r="SNM436" s="120"/>
      <c r="SNN436" s="120"/>
      <c r="SNO436" s="120"/>
      <c r="SNP436" s="120"/>
      <c r="SNQ436" s="120"/>
      <c r="SNR436" s="120"/>
      <c r="SNS436" s="120"/>
      <c r="SNT436" s="120"/>
      <c r="SNU436" s="120"/>
      <c r="SNV436" s="120"/>
      <c r="SNW436" s="120"/>
      <c r="SNX436" s="120"/>
      <c r="SNY436" s="120"/>
      <c r="SNZ436" s="120"/>
      <c r="SOA436" s="120"/>
      <c r="SOB436" s="120"/>
      <c r="SOC436" s="120"/>
      <c r="SOD436" s="120"/>
      <c r="SOE436" s="120"/>
      <c r="SOF436" s="120"/>
      <c r="SOG436" s="120"/>
      <c r="SOH436" s="120"/>
      <c r="SOI436" s="120"/>
      <c r="SOJ436" s="120"/>
      <c r="SOK436" s="120"/>
      <c r="SOL436" s="120"/>
      <c r="SOM436" s="120"/>
      <c r="SON436" s="120"/>
      <c r="SOO436" s="120"/>
      <c r="SOP436" s="120"/>
      <c r="SOQ436" s="120"/>
      <c r="SOR436" s="120"/>
      <c r="SOS436" s="120"/>
      <c r="SOT436" s="120"/>
      <c r="SOU436" s="120"/>
      <c r="SOV436" s="120"/>
      <c r="SOW436" s="120"/>
      <c r="SOX436" s="120"/>
      <c r="SOY436" s="120"/>
      <c r="SOZ436" s="120"/>
      <c r="SPA436" s="120"/>
      <c r="SPB436" s="120"/>
      <c r="SPC436" s="120"/>
      <c r="SPD436" s="120"/>
      <c r="SPE436" s="120"/>
      <c r="SPF436" s="120"/>
      <c r="SPG436" s="120"/>
      <c r="SPH436" s="120"/>
      <c r="SPI436" s="120"/>
      <c r="SPJ436" s="120"/>
      <c r="SPK436" s="120"/>
      <c r="SPL436" s="120"/>
      <c r="SPM436" s="120"/>
      <c r="SPN436" s="120"/>
      <c r="SPO436" s="120"/>
      <c r="SPP436" s="120"/>
      <c r="SPQ436" s="120"/>
      <c r="SPR436" s="120"/>
      <c r="SPS436" s="120"/>
      <c r="SPT436" s="120"/>
      <c r="SPU436" s="120"/>
      <c r="SPV436" s="120"/>
      <c r="SPW436" s="120"/>
      <c r="SPX436" s="120"/>
      <c r="SPY436" s="120"/>
      <c r="SPZ436" s="120"/>
      <c r="SQA436" s="120"/>
      <c r="SQB436" s="120"/>
      <c r="SQC436" s="120"/>
      <c r="SQD436" s="120"/>
      <c r="SQE436" s="120"/>
      <c r="SQF436" s="120"/>
      <c r="SQG436" s="120"/>
      <c r="SQH436" s="120"/>
      <c r="SQI436" s="120"/>
      <c r="SQJ436" s="120"/>
      <c r="SQK436" s="120"/>
      <c r="SQL436" s="120"/>
      <c r="SQM436" s="120"/>
      <c r="SQN436" s="120"/>
      <c r="SQO436" s="120"/>
      <c r="SQP436" s="120"/>
      <c r="SQQ436" s="120"/>
      <c r="SQR436" s="120"/>
      <c r="SQS436" s="120"/>
      <c r="SQT436" s="120"/>
      <c r="SQU436" s="120"/>
      <c r="SQV436" s="120"/>
      <c r="SQW436" s="120"/>
      <c r="SQX436" s="120"/>
      <c r="SQY436" s="120"/>
      <c r="SQZ436" s="120"/>
      <c r="SRA436" s="120"/>
      <c r="SRB436" s="120"/>
      <c r="SRC436" s="120"/>
      <c r="SRD436" s="120"/>
      <c r="SRE436" s="120"/>
      <c r="SRF436" s="120"/>
      <c r="SRG436" s="120"/>
      <c r="SRH436" s="120"/>
      <c r="SRI436" s="120"/>
      <c r="SRJ436" s="120"/>
      <c r="SRK436" s="120"/>
      <c r="SRL436" s="120"/>
      <c r="SRM436" s="120"/>
      <c r="SRN436" s="120"/>
      <c r="SRO436" s="120"/>
      <c r="SRP436" s="120"/>
      <c r="SRQ436" s="120"/>
      <c r="SRR436" s="120"/>
      <c r="SRS436" s="120"/>
      <c r="SRT436" s="120"/>
      <c r="SRU436" s="120"/>
      <c r="SRV436" s="120"/>
      <c r="SRW436" s="120"/>
      <c r="SRX436" s="120"/>
      <c r="SRY436" s="120"/>
      <c r="SRZ436" s="120"/>
      <c r="SSA436" s="120"/>
      <c r="SSB436" s="120"/>
      <c r="SSC436" s="120"/>
      <c r="SSD436" s="120"/>
      <c r="SSE436" s="120"/>
      <c r="SSF436" s="120"/>
      <c r="SSG436" s="120"/>
      <c r="SSH436" s="120"/>
      <c r="SSI436" s="120"/>
      <c r="SSJ436" s="120"/>
      <c r="SSK436" s="120"/>
      <c r="SSL436" s="120"/>
      <c r="SSM436" s="120"/>
      <c r="SSN436" s="120"/>
      <c r="SSO436" s="120"/>
      <c r="SSP436" s="120"/>
      <c r="SSQ436" s="120"/>
      <c r="SSR436" s="120"/>
      <c r="SSS436" s="120"/>
      <c r="SST436" s="120"/>
      <c r="SSU436" s="120"/>
      <c r="SSV436" s="120"/>
      <c r="SSW436" s="120"/>
      <c r="SSX436" s="120"/>
      <c r="SSY436" s="120"/>
      <c r="SSZ436" s="120"/>
      <c r="STA436" s="120"/>
      <c r="STB436" s="120"/>
      <c r="STC436" s="120"/>
      <c r="STD436" s="120"/>
      <c r="STE436" s="120"/>
      <c r="STF436" s="120"/>
      <c r="STG436" s="120"/>
      <c r="STH436" s="120"/>
      <c r="STI436" s="120"/>
      <c r="STJ436" s="120"/>
      <c r="STK436" s="120"/>
      <c r="STL436" s="120"/>
      <c r="STM436" s="120"/>
      <c r="STN436" s="120"/>
      <c r="STO436" s="120"/>
      <c r="STP436" s="120"/>
      <c r="STQ436" s="120"/>
      <c r="STR436" s="120"/>
      <c r="STS436" s="120"/>
      <c r="STT436" s="120"/>
      <c r="STU436" s="120"/>
      <c r="STV436" s="120"/>
      <c r="STW436" s="120"/>
      <c r="STX436" s="120"/>
      <c r="STY436" s="120"/>
      <c r="STZ436" s="120"/>
      <c r="SUA436" s="120"/>
      <c r="SUB436" s="120"/>
      <c r="SUC436" s="120"/>
      <c r="SUD436" s="120"/>
      <c r="SUE436" s="120"/>
      <c r="SUF436" s="120"/>
      <c r="SUG436" s="120"/>
      <c r="SUH436" s="120"/>
      <c r="SUI436" s="120"/>
      <c r="SUJ436" s="120"/>
      <c r="SUK436" s="120"/>
      <c r="SUL436" s="120"/>
      <c r="SUM436" s="120"/>
      <c r="SUN436" s="120"/>
      <c r="SUO436" s="120"/>
      <c r="SUP436" s="120"/>
      <c r="SUQ436" s="120"/>
      <c r="SUR436" s="120"/>
      <c r="SUS436" s="120"/>
      <c r="SUT436" s="120"/>
      <c r="SUU436" s="120"/>
      <c r="SUV436" s="120"/>
      <c r="SUW436" s="120"/>
      <c r="SUX436" s="120"/>
      <c r="SUY436" s="120"/>
      <c r="SUZ436" s="120"/>
      <c r="SVA436" s="120"/>
      <c r="SVB436" s="120"/>
      <c r="SVC436" s="120"/>
      <c r="SVD436" s="120"/>
      <c r="SVE436" s="120"/>
      <c r="SVF436" s="120"/>
      <c r="SVG436" s="120"/>
      <c r="SVH436" s="120"/>
      <c r="SVI436" s="120"/>
      <c r="SVJ436" s="120"/>
      <c r="SVK436" s="120"/>
      <c r="SVL436" s="120"/>
      <c r="SVM436" s="120"/>
      <c r="SVN436" s="120"/>
      <c r="SVO436" s="120"/>
      <c r="SVP436" s="120"/>
      <c r="SVQ436" s="120"/>
      <c r="SVR436" s="120"/>
      <c r="SVS436" s="120"/>
      <c r="SVT436" s="120"/>
      <c r="SVU436" s="120"/>
      <c r="SVV436" s="120"/>
      <c r="SVW436" s="120"/>
      <c r="SVX436" s="120"/>
      <c r="SVY436" s="120"/>
      <c r="SVZ436" s="120"/>
      <c r="SWA436" s="120"/>
      <c r="SWB436" s="120"/>
      <c r="SWC436" s="120"/>
      <c r="SWD436" s="120"/>
      <c r="SWE436" s="120"/>
      <c r="SWF436" s="120"/>
      <c r="SWG436" s="120"/>
      <c r="SWH436" s="120"/>
      <c r="SWI436" s="120"/>
      <c r="SWJ436" s="120"/>
      <c r="SWK436" s="120"/>
      <c r="SWL436" s="120"/>
      <c r="SWM436" s="120"/>
      <c r="SWN436" s="120"/>
      <c r="SWO436" s="120"/>
      <c r="SWP436" s="120"/>
      <c r="SWQ436" s="120"/>
      <c r="SWR436" s="120"/>
      <c r="SWS436" s="120"/>
      <c r="SWT436" s="120"/>
      <c r="SWU436" s="120"/>
      <c r="SWV436" s="120"/>
      <c r="SWW436" s="120"/>
      <c r="SWX436" s="120"/>
      <c r="SWY436" s="120"/>
      <c r="SWZ436" s="120"/>
      <c r="SXA436" s="120"/>
      <c r="SXB436" s="120"/>
      <c r="SXC436" s="120"/>
      <c r="SXD436" s="120"/>
      <c r="SXE436" s="120"/>
      <c r="SXF436" s="120"/>
      <c r="SXG436" s="120"/>
      <c r="SXH436" s="120"/>
      <c r="SXI436" s="120"/>
      <c r="SXJ436" s="120"/>
      <c r="SXK436" s="120"/>
      <c r="SXL436" s="120"/>
      <c r="SXM436" s="120"/>
      <c r="SXN436" s="120"/>
      <c r="SXO436" s="120"/>
      <c r="SXP436" s="120"/>
      <c r="SXQ436" s="120"/>
      <c r="SXR436" s="120"/>
      <c r="SXS436" s="120"/>
      <c r="SXT436" s="120"/>
      <c r="SXU436" s="120"/>
      <c r="SXV436" s="120"/>
      <c r="SXW436" s="120"/>
      <c r="SXX436" s="120"/>
      <c r="SXY436" s="120"/>
      <c r="SXZ436" s="120"/>
      <c r="SYA436" s="120"/>
      <c r="SYB436" s="120"/>
      <c r="SYC436" s="120"/>
      <c r="SYD436" s="120"/>
      <c r="SYE436" s="120"/>
      <c r="SYF436" s="120"/>
      <c r="SYG436" s="120"/>
      <c r="SYH436" s="120"/>
      <c r="SYI436" s="120"/>
      <c r="SYJ436" s="120"/>
      <c r="SYK436" s="120"/>
      <c r="SYL436" s="120"/>
      <c r="SYM436" s="120"/>
      <c r="SYN436" s="120"/>
      <c r="SYO436" s="120"/>
      <c r="SYP436" s="120"/>
      <c r="SYQ436" s="120"/>
      <c r="SYR436" s="120"/>
      <c r="SYS436" s="120"/>
      <c r="SYT436" s="120"/>
      <c r="SYU436" s="120"/>
      <c r="SYV436" s="120"/>
      <c r="SYW436" s="120"/>
      <c r="SYX436" s="120"/>
      <c r="SYY436" s="120"/>
      <c r="SYZ436" s="120"/>
      <c r="SZA436" s="120"/>
      <c r="SZB436" s="120"/>
      <c r="SZC436" s="120"/>
      <c r="SZD436" s="120"/>
      <c r="SZE436" s="120"/>
      <c r="SZF436" s="120"/>
      <c r="SZG436" s="120"/>
      <c r="SZH436" s="120"/>
      <c r="SZI436" s="120"/>
      <c r="SZJ436" s="120"/>
      <c r="SZK436" s="120"/>
      <c r="SZL436" s="120"/>
      <c r="SZM436" s="120"/>
      <c r="SZN436" s="120"/>
      <c r="SZO436" s="120"/>
      <c r="SZP436" s="120"/>
      <c r="SZQ436" s="120"/>
      <c r="SZR436" s="120"/>
      <c r="SZS436" s="120"/>
      <c r="SZT436" s="120"/>
      <c r="SZU436" s="120"/>
      <c r="SZV436" s="120"/>
      <c r="SZW436" s="120"/>
      <c r="SZX436" s="120"/>
      <c r="SZY436" s="120"/>
      <c r="SZZ436" s="120"/>
      <c r="TAA436" s="120"/>
      <c r="TAB436" s="120"/>
      <c r="TAC436" s="120"/>
      <c r="TAD436" s="120"/>
      <c r="TAE436" s="120"/>
      <c r="TAF436" s="120"/>
      <c r="TAG436" s="120"/>
      <c r="TAH436" s="120"/>
      <c r="TAI436" s="120"/>
      <c r="TAJ436" s="120"/>
      <c r="TAK436" s="120"/>
      <c r="TAL436" s="120"/>
      <c r="TAM436" s="120"/>
      <c r="TAN436" s="120"/>
      <c r="TAO436" s="120"/>
      <c r="TAP436" s="120"/>
      <c r="TAQ436" s="120"/>
      <c r="TAR436" s="120"/>
      <c r="TAS436" s="120"/>
      <c r="TAT436" s="120"/>
      <c r="TAU436" s="120"/>
      <c r="TAV436" s="120"/>
      <c r="TAW436" s="120"/>
      <c r="TAX436" s="120"/>
      <c r="TAY436" s="120"/>
      <c r="TAZ436" s="120"/>
      <c r="TBA436" s="120"/>
      <c r="TBB436" s="120"/>
      <c r="TBC436" s="120"/>
      <c r="TBD436" s="120"/>
      <c r="TBE436" s="120"/>
      <c r="TBF436" s="120"/>
      <c r="TBG436" s="120"/>
      <c r="TBH436" s="120"/>
      <c r="TBI436" s="120"/>
      <c r="TBJ436" s="120"/>
      <c r="TBK436" s="120"/>
      <c r="TBL436" s="120"/>
      <c r="TBM436" s="120"/>
      <c r="TBN436" s="120"/>
      <c r="TBO436" s="120"/>
      <c r="TBP436" s="120"/>
      <c r="TBQ436" s="120"/>
      <c r="TBR436" s="120"/>
      <c r="TBS436" s="120"/>
      <c r="TBT436" s="120"/>
      <c r="TBU436" s="120"/>
      <c r="TBV436" s="120"/>
      <c r="TBW436" s="120"/>
      <c r="TBX436" s="120"/>
      <c r="TBY436" s="120"/>
      <c r="TBZ436" s="120"/>
      <c r="TCA436" s="120"/>
      <c r="TCB436" s="120"/>
      <c r="TCC436" s="120"/>
      <c r="TCD436" s="120"/>
      <c r="TCE436" s="120"/>
      <c r="TCF436" s="120"/>
      <c r="TCG436" s="120"/>
      <c r="TCH436" s="120"/>
      <c r="TCI436" s="120"/>
      <c r="TCJ436" s="120"/>
      <c r="TCK436" s="120"/>
      <c r="TCL436" s="120"/>
      <c r="TCM436" s="120"/>
      <c r="TCN436" s="120"/>
      <c r="TCO436" s="120"/>
      <c r="TCP436" s="120"/>
      <c r="TCQ436" s="120"/>
      <c r="TCR436" s="120"/>
      <c r="TCS436" s="120"/>
      <c r="TCT436" s="120"/>
      <c r="TCU436" s="120"/>
      <c r="TCV436" s="120"/>
      <c r="TCW436" s="120"/>
      <c r="TCX436" s="120"/>
      <c r="TCY436" s="120"/>
      <c r="TCZ436" s="120"/>
      <c r="TDA436" s="120"/>
      <c r="TDB436" s="120"/>
      <c r="TDC436" s="120"/>
      <c r="TDD436" s="120"/>
      <c r="TDE436" s="120"/>
      <c r="TDF436" s="120"/>
      <c r="TDG436" s="120"/>
      <c r="TDH436" s="120"/>
      <c r="TDI436" s="120"/>
      <c r="TDJ436" s="120"/>
      <c r="TDK436" s="120"/>
      <c r="TDL436" s="120"/>
      <c r="TDM436" s="120"/>
      <c r="TDN436" s="120"/>
      <c r="TDO436" s="120"/>
      <c r="TDP436" s="120"/>
      <c r="TDQ436" s="120"/>
      <c r="TDR436" s="120"/>
      <c r="TDS436" s="120"/>
      <c r="TDT436" s="120"/>
      <c r="TDU436" s="120"/>
      <c r="TDV436" s="120"/>
      <c r="TDW436" s="120"/>
      <c r="TDX436" s="120"/>
      <c r="TDY436" s="120"/>
      <c r="TDZ436" s="120"/>
      <c r="TEA436" s="120"/>
      <c r="TEB436" s="120"/>
      <c r="TEC436" s="120"/>
      <c r="TED436" s="120"/>
      <c r="TEE436" s="120"/>
      <c r="TEF436" s="120"/>
      <c r="TEG436" s="120"/>
      <c r="TEH436" s="120"/>
      <c r="TEI436" s="120"/>
      <c r="TEJ436" s="120"/>
      <c r="TEK436" s="120"/>
      <c r="TEL436" s="120"/>
      <c r="TEM436" s="120"/>
      <c r="TEN436" s="120"/>
      <c r="TEO436" s="120"/>
      <c r="TEP436" s="120"/>
      <c r="TEQ436" s="120"/>
      <c r="TER436" s="120"/>
      <c r="TES436" s="120"/>
      <c r="TET436" s="120"/>
      <c r="TEU436" s="120"/>
      <c r="TEV436" s="120"/>
      <c r="TEW436" s="120"/>
      <c r="TEX436" s="120"/>
      <c r="TEY436" s="120"/>
      <c r="TEZ436" s="120"/>
      <c r="TFA436" s="120"/>
      <c r="TFB436" s="120"/>
      <c r="TFC436" s="120"/>
      <c r="TFD436" s="120"/>
      <c r="TFE436" s="120"/>
      <c r="TFF436" s="120"/>
      <c r="TFG436" s="120"/>
      <c r="TFH436" s="120"/>
      <c r="TFI436" s="120"/>
      <c r="TFJ436" s="120"/>
      <c r="TFK436" s="120"/>
      <c r="TFL436" s="120"/>
      <c r="TFM436" s="120"/>
      <c r="TFN436" s="120"/>
      <c r="TFO436" s="120"/>
      <c r="TFP436" s="120"/>
      <c r="TFQ436" s="120"/>
      <c r="TFR436" s="120"/>
      <c r="TFS436" s="120"/>
      <c r="TFT436" s="120"/>
      <c r="TFU436" s="120"/>
      <c r="TFV436" s="120"/>
      <c r="TFW436" s="120"/>
      <c r="TFX436" s="120"/>
      <c r="TFY436" s="120"/>
      <c r="TFZ436" s="120"/>
      <c r="TGA436" s="120"/>
      <c r="TGB436" s="120"/>
      <c r="TGC436" s="120"/>
      <c r="TGD436" s="120"/>
      <c r="TGE436" s="120"/>
      <c r="TGF436" s="120"/>
      <c r="TGG436" s="120"/>
      <c r="TGH436" s="120"/>
      <c r="TGI436" s="120"/>
      <c r="TGJ436" s="120"/>
      <c r="TGK436" s="120"/>
      <c r="TGL436" s="120"/>
      <c r="TGM436" s="120"/>
      <c r="TGN436" s="120"/>
      <c r="TGO436" s="120"/>
      <c r="TGP436" s="120"/>
      <c r="TGQ436" s="120"/>
      <c r="TGR436" s="120"/>
      <c r="TGS436" s="120"/>
      <c r="TGT436" s="120"/>
      <c r="TGU436" s="120"/>
      <c r="TGV436" s="120"/>
      <c r="TGW436" s="120"/>
      <c r="TGX436" s="120"/>
      <c r="TGY436" s="120"/>
      <c r="TGZ436" s="120"/>
      <c r="THA436" s="120"/>
      <c r="THB436" s="120"/>
      <c r="THC436" s="120"/>
      <c r="THD436" s="120"/>
      <c r="THE436" s="120"/>
      <c r="THF436" s="120"/>
      <c r="THG436" s="120"/>
      <c r="THH436" s="120"/>
      <c r="THI436" s="120"/>
      <c r="THJ436" s="120"/>
      <c r="THK436" s="120"/>
      <c r="THL436" s="120"/>
      <c r="THM436" s="120"/>
      <c r="THN436" s="120"/>
      <c r="THO436" s="120"/>
      <c r="THP436" s="120"/>
      <c r="THQ436" s="120"/>
      <c r="THR436" s="120"/>
      <c r="THS436" s="120"/>
      <c r="THT436" s="120"/>
      <c r="THU436" s="120"/>
      <c r="THV436" s="120"/>
      <c r="THW436" s="120"/>
      <c r="THX436" s="120"/>
      <c r="THY436" s="120"/>
      <c r="THZ436" s="120"/>
      <c r="TIA436" s="120"/>
      <c r="TIB436" s="120"/>
      <c r="TIC436" s="120"/>
      <c r="TID436" s="120"/>
      <c r="TIE436" s="120"/>
      <c r="TIF436" s="120"/>
      <c r="TIG436" s="120"/>
      <c r="TIH436" s="120"/>
      <c r="TII436" s="120"/>
      <c r="TIJ436" s="120"/>
      <c r="TIK436" s="120"/>
      <c r="TIL436" s="120"/>
      <c r="TIM436" s="120"/>
      <c r="TIN436" s="120"/>
      <c r="TIO436" s="120"/>
      <c r="TIP436" s="120"/>
      <c r="TIQ436" s="120"/>
      <c r="TIR436" s="120"/>
      <c r="TIS436" s="120"/>
      <c r="TIT436" s="120"/>
      <c r="TIU436" s="120"/>
      <c r="TIV436" s="120"/>
      <c r="TIW436" s="120"/>
      <c r="TIX436" s="120"/>
      <c r="TIY436" s="120"/>
      <c r="TIZ436" s="120"/>
      <c r="TJA436" s="120"/>
      <c r="TJB436" s="120"/>
      <c r="TJC436" s="120"/>
      <c r="TJD436" s="120"/>
      <c r="TJE436" s="120"/>
      <c r="TJF436" s="120"/>
      <c r="TJG436" s="120"/>
      <c r="TJH436" s="120"/>
      <c r="TJI436" s="120"/>
      <c r="TJJ436" s="120"/>
      <c r="TJK436" s="120"/>
      <c r="TJL436" s="120"/>
      <c r="TJM436" s="120"/>
      <c r="TJN436" s="120"/>
      <c r="TJO436" s="120"/>
      <c r="TJP436" s="120"/>
      <c r="TJQ436" s="120"/>
      <c r="TJR436" s="120"/>
      <c r="TJS436" s="120"/>
      <c r="TJT436" s="120"/>
      <c r="TJU436" s="120"/>
      <c r="TJV436" s="120"/>
      <c r="TJW436" s="120"/>
      <c r="TJX436" s="120"/>
      <c r="TJY436" s="120"/>
      <c r="TJZ436" s="120"/>
      <c r="TKA436" s="120"/>
      <c r="TKB436" s="120"/>
      <c r="TKC436" s="120"/>
      <c r="TKD436" s="120"/>
      <c r="TKE436" s="120"/>
      <c r="TKF436" s="120"/>
      <c r="TKG436" s="120"/>
      <c r="TKH436" s="120"/>
      <c r="TKI436" s="120"/>
      <c r="TKJ436" s="120"/>
      <c r="TKK436" s="120"/>
      <c r="TKL436" s="120"/>
      <c r="TKM436" s="120"/>
      <c r="TKN436" s="120"/>
      <c r="TKO436" s="120"/>
      <c r="TKP436" s="120"/>
      <c r="TKQ436" s="120"/>
      <c r="TKR436" s="120"/>
      <c r="TKS436" s="120"/>
      <c r="TKT436" s="120"/>
      <c r="TKU436" s="120"/>
      <c r="TKV436" s="120"/>
      <c r="TKW436" s="120"/>
      <c r="TKX436" s="120"/>
      <c r="TKY436" s="120"/>
      <c r="TKZ436" s="120"/>
      <c r="TLA436" s="120"/>
      <c r="TLB436" s="120"/>
      <c r="TLC436" s="120"/>
      <c r="TLD436" s="120"/>
      <c r="TLE436" s="120"/>
      <c r="TLF436" s="120"/>
      <c r="TLG436" s="120"/>
      <c r="TLH436" s="120"/>
      <c r="TLI436" s="120"/>
      <c r="TLJ436" s="120"/>
      <c r="TLK436" s="120"/>
      <c r="TLL436" s="120"/>
      <c r="TLM436" s="120"/>
      <c r="TLN436" s="120"/>
      <c r="TLO436" s="120"/>
      <c r="TLP436" s="120"/>
      <c r="TLQ436" s="120"/>
      <c r="TLR436" s="120"/>
      <c r="TLS436" s="120"/>
      <c r="TLT436" s="120"/>
      <c r="TLU436" s="120"/>
      <c r="TLV436" s="120"/>
      <c r="TLW436" s="120"/>
      <c r="TLX436" s="120"/>
      <c r="TLY436" s="120"/>
      <c r="TLZ436" s="120"/>
      <c r="TMA436" s="120"/>
      <c r="TMB436" s="120"/>
      <c r="TMC436" s="120"/>
      <c r="TMD436" s="120"/>
      <c r="TME436" s="120"/>
      <c r="TMF436" s="120"/>
      <c r="TMG436" s="120"/>
      <c r="TMH436" s="120"/>
      <c r="TMI436" s="120"/>
      <c r="TMJ436" s="120"/>
      <c r="TMK436" s="120"/>
      <c r="TML436" s="120"/>
      <c r="TMM436" s="120"/>
      <c r="TMN436" s="120"/>
      <c r="TMO436" s="120"/>
      <c r="TMP436" s="120"/>
      <c r="TMQ436" s="120"/>
      <c r="TMR436" s="120"/>
      <c r="TMS436" s="120"/>
      <c r="TMT436" s="120"/>
      <c r="TMU436" s="120"/>
      <c r="TMV436" s="120"/>
      <c r="TMW436" s="120"/>
      <c r="TMX436" s="120"/>
      <c r="TMY436" s="120"/>
      <c r="TMZ436" s="120"/>
      <c r="TNA436" s="120"/>
      <c r="TNB436" s="120"/>
      <c r="TNC436" s="120"/>
      <c r="TND436" s="120"/>
      <c r="TNE436" s="120"/>
      <c r="TNF436" s="120"/>
      <c r="TNG436" s="120"/>
      <c r="TNH436" s="120"/>
      <c r="TNI436" s="120"/>
      <c r="TNJ436" s="120"/>
      <c r="TNK436" s="120"/>
      <c r="TNL436" s="120"/>
      <c r="TNM436" s="120"/>
      <c r="TNN436" s="120"/>
      <c r="TNO436" s="120"/>
      <c r="TNP436" s="120"/>
      <c r="TNQ436" s="120"/>
      <c r="TNR436" s="120"/>
      <c r="TNS436" s="120"/>
      <c r="TNT436" s="120"/>
      <c r="TNU436" s="120"/>
      <c r="TNV436" s="120"/>
      <c r="TNW436" s="120"/>
      <c r="TNX436" s="120"/>
      <c r="TNY436" s="120"/>
      <c r="TNZ436" s="120"/>
      <c r="TOA436" s="120"/>
      <c r="TOB436" s="120"/>
      <c r="TOC436" s="120"/>
      <c r="TOD436" s="120"/>
      <c r="TOE436" s="120"/>
      <c r="TOF436" s="120"/>
      <c r="TOG436" s="120"/>
      <c r="TOH436" s="120"/>
      <c r="TOI436" s="120"/>
      <c r="TOJ436" s="120"/>
      <c r="TOK436" s="120"/>
      <c r="TOL436" s="120"/>
      <c r="TOM436" s="120"/>
      <c r="TON436" s="120"/>
      <c r="TOO436" s="120"/>
      <c r="TOP436" s="120"/>
      <c r="TOQ436" s="120"/>
      <c r="TOR436" s="120"/>
      <c r="TOS436" s="120"/>
      <c r="TOT436" s="120"/>
      <c r="TOU436" s="120"/>
      <c r="TOV436" s="120"/>
      <c r="TOW436" s="120"/>
      <c r="TOX436" s="120"/>
      <c r="TOY436" s="120"/>
      <c r="TOZ436" s="120"/>
      <c r="TPA436" s="120"/>
      <c r="TPB436" s="120"/>
      <c r="TPC436" s="120"/>
      <c r="TPD436" s="120"/>
      <c r="TPE436" s="120"/>
      <c r="TPF436" s="120"/>
      <c r="TPG436" s="120"/>
      <c r="TPH436" s="120"/>
      <c r="TPI436" s="120"/>
      <c r="TPJ436" s="120"/>
      <c r="TPK436" s="120"/>
      <c r="TPL436" s="120"/>
      <c r="TPM436" s="120"/>
      <c r="TPN436" s="120"/>
      <c r="TPO436" s="120"/>
      <c r="TPP436" s="120"/>
      <c r="TPQ436" s="120"/>
      <c r="TPR436" s="120"/>
      <c r="TPS436" s="120"/>
      <c r="TPT436" s="120"/>
      <c r="TPU436" s="120"/>
      <c r="TPV436" s="120"/>
      <c r="TPW436" s="120"/>
      <c r="TPX436" s="120"/>
      <c r="TPY436" s="120"/>
      <c r="TPZ436" s="120"/>
      <c r="TQA436" s="120"/>
      <c r="TQB436" s="120"/>
      <c r="TQC436" s="120"/>
      <c r="TQD436" s="120"/>
      <c r="TQE436" s="120"/>
      <c r="TQF436" s="120"/>
      <c r="TQG436" s="120"/>
      <c r="TQH436" s="120"/>
      <c r="TQI436" s="120"/>
      <c r="TQJ436" s="120"/>
      <c r="TQK436" s="120"/>
      <c r="TQL436" s="120"/>
      <c r="TQM436" s="120"/>
      <c r="TQN436" s="120"/>
      <c r="TQO436" s="120"/>
      <c r="TQP436" s="120"/>
      <c r="TQQ436" s="120"/>
      <c r="TQR436" s="120"/>
      <c r="TQS436" s="120"/>
      <c r="TQT436" s="120"/>
      <c r="TQU436" s="120"/>
      <c r="TQV436" s="120"/>
      <c r="TQW436" s="120"/>
      <c r="TQX436" s="120"/>
      <c r="TQY436" s="120"/>
      <c r="TQZ436" s="120"/>
      <c r="TRA436" s="120"/>
      <c r="TRB436" s="120"/>
      <c r="TRC436" s="120"/>
      <c r="TRD436" s="120"/>
      <c r="TRE436" s="120"/>
      <c r="TRF436" s="120"/>
      <c r="TRG436" s="120"/>
      <c r="TRH436" s="120"/>
      <c r="TRI436" s="120"/>
      <c r="TRJ436" s="120"/>
      <c r="TRK436" s="120"/>
      <c r="TRL436" s="120"/>
      <c r="TRM436" s="120"/>
      <c r="TRN436" s="120"/>
      <c r="TRO436" s="120"/>
      <c r="TRP436" s="120"/>
      <c r="TRQ436" s="120"/>
      <c r="TRR436" s="120"/>
      <c r="TRS436" s="120"/>
      <c r="TRT436" s="120"/>
      <c r="TRU436" s="120"/>
      <c r="TRV436" s="120"/>
      <c r="TRW436" s="120"/>
      <c r="TRX436" s="120"/>
      <c r="TRY436" s="120"/>
      <c r="TRZ436" s="120"/>
      <c r="TSA436" s="120"/>
      <c r="TSB436" s="120"/>
      <c r="TSC436" s="120"/>
      <c r="TSD436" s="120"/>
      <c r="TSE436" s="120"/>
      <c r="TSF436" s="120"/>
      <c r="TSG436" s="120"/>
      <c r="TSH436" s="120"/>
      <c r="TSI436" s="120"/>
      <c r="TSJ436" s="120"/>
      <c r="TSK436" s="120"/>
      <c r="TSL436" s="120"/>
      <c r="TSM436" s="120"/>
      <c r="TSN436" s="120"/>
      <c r="TSO436" s="120"/>
      <c r="TSP436" s="120"/>
      <c r="TSQ436" s="120"/>
      <c r="TSR436" s="120"/>
      <c r="TSS436" s="120"/>
      <c r="TST436" s="120"/>
      <c r="TSU436" s="120"/>
      <c r="TSV436" s="120"/>
      <c r="TSW436" s="120"/>
      <c r="TSX436" s="120"/>
      <c r="TSY436" s="120"/>
      <c r="TSZ436" s="120"/>
      <c r="TTA436" s="120"/>
      <c r="TTB436" s="120"/>
      <c r="TTC436" s="120"/>
      <c r="TTD436" s="120"/>
      <c r="TTE436" s="120"/>
      <c r="TTF436" s="120"/>
      <c r="TTG436" s="120"/>
      <c r="TTH436" s="120"/>
      <c r="TTI436" s="120"/>
      <c r="TTJ436" s="120"/>
      <c r="TTK436" s="120"/>
      <c r="TTL436" s="120"/>
      <c r="TTM436" s="120"/>
      <c r="TTN436" s="120"/>
      <c r="TTO436" s="120"/>
      <c r="TTP436" s="120"/>
      <c r="TTQ436" s="120"/>
      <c r="TTR436" s="120"/>
      <c r="TTS436" s="120"/>
      <c r="TTT436" s="120"/>
      <c r="TTU436" s="120"/>
      <c r="TTV436" s="120"/>
      <c r="TTW436" s="120"/>
      <c r="TTX436" s="120"/>
      <c r="TTY436" s="120"/>
      <c r="TTZ436" s="120"/>
      <c r="TUA436" s="120"/>
      <c r="TUB436" s="120"/>
      <c r="TUC436" s="120"/>
      <c r="TUD436" s="120"/>
      <c r="TUE436" s="120"/>
      <c r="TUF436" s="120"/>
      <c r="TUG436" s="120"/>
      <c r="TUH436" s="120"/>
      <c r="TUI436" s="120"/>
      <c r="TUJ436" s="120"/>
      <c r="TUK436" s="120"/>
      <c r="TUL436" s="120"/>
      <c r="TUM436" s="120"/>
      <c r="TUN436" s="120"/>
      <c r="TUO436" s="120"/>
      <c r="TUP436" s="120"/>
      <c r="TUQ436" s="120"/>
      <c r="TUR436" s="120"/>
      <c r="TUS436" s="120"/>
      <c r="TUT436" s="120"/>
      <c r="TUU436" s="120"/>
      <c r="TUV436" s="120"/>
      <c r="TUW436" s="120"/>
      <c r="TUX436" s="120"/>
      <c r="TUY436" s="120"/>
      <c r="TUZ436" s="120"/>
      <c r="TVA436" s="120"/>
      <c r="TVB436" s="120"/>
      <c r="TVC436" s="120"/>
      <c r="TVD436" s="120"/>
      <c r="TVE436" s="120"/>
      <c r="TVF436" s="120"/>
      <c r="TVG436" s="120"/>
      <c r="TVH436" s="120"/>
      <c r="TVI436" s="120"/>
      <c r="TVJ436" s="120"/>
      <c r="TVK436" s="120"/>
      <c r="TVL436" s="120"/>
      <c r="TVM436" s="120"/>
      <c r="TVN436" s="120"/>
      <c r="TVO436" s="120"/>
      <c r="TVP436" s="120"/>
      <c r="TVQ436" s="120"/>
      <c r="TVR436" s="120"/>
      <c r="TVS436" s="120"/>
      <c r="TVT436" s="120"/>
      <c r="TVU436" s="120"/>
      <c r="TVV436" s="120"/>
      <c r="TVW436" s="120"/>
      <c r="TVX436" s="120"/>
      <c r="TVY436" s="120"/>
      <c r="TVZ436" s="120"/>
      <c r="TWA436" s="120"/>
      <c r="TWB436" s="120"/>
      <c r="TWC436" s="120"/>
      <c r="TWD436" s="120"/>
      <c r="TWE436" s="120"/>
      <c r="TWF436" s="120"/>
      <c r="TWG436" s="120"/>
      <c r="TWH436" s="120"/>
      <c r="TWI436" s="120"/>
      <c r="TWJ436" s="120"/>
      <c r="TWK436" s="120"/>
      <c r="TWL436" s="120"/>
      <c r="TWM436" s="120"/>
      <c r="TWN436" s="120"/>
      <c r="TWO436" s="120"/>
      <c r="TWP436" s="120"/>
      <c r="TWQ436" s="120"/>
      <c r="TWR436" s="120"/>
      <c r="TWS436" s="120"/>
      <c r="TWT436" s="120"/>
      <c r="TWU436" s="120"/>
      <c r="TWV436" s="120"/>
      <c r="TWW436" s="120"/>
      <c r="TWX436" s="120"/>
      <c r="TWY436" s="120"/>
      <c r="TWZ436" s="120"/>
      <c r="TXA436" s="120"/>
      <c r="TXB436" s="120"/>
      <c r="TXC436" s="120"/>
      <c r="TXD436" s="120"/>
      <c r="TXE436" s="120"/>
      <c r="TXF436" s="120"/>
      <c r="TXG436" s="120"/>
      <c r="TXH436" s="120"/>
      <c r="TXI436" s="120"/>
      <c r="TXJ436" s="120"/>
      <c r="TXK436" s="120"/>
      <c r="TXL436" s="120"/>
      <c r="TXM436" s="120"/>
      <c r="TXN436" s="120"/>
      <c r="TXO436" s="120"/>
      <c r="TXP436" s="120"/>
      <c r="TXQ436" s="120"/>
      <c r="TXR436" s="120"/>
      <c r="TXS436" s="120"/>
      <c r="TXT436" s="120"/>
      <c r="TXU436" s="120"/>
      <c r="TXV436" s="120"/>
      <c r="TXW436" s="120"/>
      <c r="TXX436" s="120"/>
      <c r="TXY436" s="120"/>
      <c r="TXZ436" s="120"/>
      <c r="TYA436" s="120"/>
      <c r="TYB436" s="120"/>
      <c r="TYC436" s="120"/>
      <c r="TYD436" s="120"/>
      <c r="TYE436" s="120"/>
      <c r="TYF436" s="120"/>
      <c r="TYG436" s="120"/>
      <c r="TYH436" s="120"/>
      <c r="TYI436" s="120"/>
      <c r="TYJ436" s="120"/>
      <c r="TYK436" s="120"/>
      <c r="TYL436" s="120"/>
      <c r="TYM436" s="120"/>
      <c r="TYN436" s="120"/>
      <c r="TYO436" s="120"/>
      <c r="TYP436" s="120"/>
      <c r="TYQ436" s="120"/>
      <c r="TYR436" s="120"/>
      <c r="TYS436" s="120"/>
      <c r="TYT436" s="120"/>
      <c r="TYU436" s="120"/>
      <c r="TYV436" s="120"/>
      <c r="TYW436" s="120"/>
      <c r="TYX436" s="120"/>
      <c r="TYY436" s="120"/>
      <c r="TYZ436" s="120"/>
      <c r="TZA436" s="120"/>
      <c r="TZB436" s="120"/>
      <c r="TZC436" s="120"/>
      <c r="TZD436" s="120"/>
      <c r="TZE436" s="120"/>
      <c r="TZF436" s="120"/>
      <c r="TZG436" s="120"/>
      <c r="TZH436" s="120"/>
      <c r="TZI436" s="120"/>
      <c r="TZJ436" s="120"/>
      <c r="TZK436" s="120"/>
      <c r="TZL436" s="120"/>
      <c r="TZM436" s="120"/>
      <c r="TZN436" s="120"/>
      <c r="TZO436" s="120"/>
      <c r="TZP436" s="120"/>
      <c r="TZQ436" s="120"/>
      <c r="TZR436" s="120"/>
      <c r="TZS436" s="120"/>
      <c r="TZT436" s="120"/>
      <c r="TZU436" s="120"/>
      <c r="TZV436" s="120"/>
      <c r="TZW436" s="120"/>
      <c r="TZX436" s="120"/>
      <c r="TZY436" s="120"/>
      <c r="TZZ436" s="120"/>
      <c r="UAA436" s="120"/>
      <c r="UAB436" s="120"/>
      <c r="UAC436" s="120"/>
      <c r="UAD436" s="120"/>
      <c r="UAE436" s="120"/>
      <c r="UAF436" s="120"/>
      <c r="UAG436" s="120"/>
      <c r="UAH436" s="120"/>
      <c r="UAI436" s="120"/>
      <c r="UAJ436" s="120"/>
      <c r="UAK436" s="120"/>
      <c r="UAL436" s="120"/>
      <c r="UAM436" s="120"/>
      <c r="UAN436" s="120"/>
      <c r="UAO436" s="120"/>
      <c r="UAP436" s="120"/>
      <c r="UAQ436" s="120"/>
      <c r="UAR436" s="120"/>
      <c r="UAS436" s="120"/>
      <c r="UAT436" s="120"/>
      <c r="UAU436" s="120"/>
      <c r="UAV436" s="120"/>
      <c r="UAW436" s="120"/>
      <c r="UAX436" s="120"/>
      <c r="UAY436" s="120"/>
      <c r="UAZ436" s="120"/>
      <c r="UBA436" s="120"/>
      <c r="UBB436" s="120"/>
      <c r="UBC436" s="120"/>
      <c r="UBD436" s="120"/>
      <c r="UBE436" s="120"/>
      <c r="UBF436" s="120"/>
      <c r="UBG436" s="120"/>
      <c r="UBH436" s="120"/>
      <c r="UBI436" s="120"/>
      <c r="UBJ436" s="120"/>
      <c r="UBK436" s="120"/>
      <c r="UBL436" s="120"/>
      <c r="UBM436" s="120"/>
      <c r="UBN436" s="120"/>
      <c r="UBO436" s="120"/>
      <c r="UBP436" s="120"/>
      <c r="UBQ436" s="120"/>
      <c r="UBR436" s="120"/>
      <c r="UBS436" s="120"/>
      <c r="UBT436" s="120"/>
      <c r="UBU436" s="120"/>
      <c r="UBV436" s="120"/>
      <c r="UBW436" s="120"/>
      <c r="UBX436" s="120"/>
      <c r="UBY436" s="120"/>
      <c r="UBZ436" s="120"/>
      <c r="UCA436" s="120"/>
      <c r="UCB436" s="120"/>
      <c r="UCC436" s="120"/>
      <c r="UCD436" s="120"/>
      <c r="UCE436" s="120"/>
      <c r="UCF436" s="120"/>
      <c r="UCG436" s="120"/>
      <c r="UCH436" s="120"/>
      <c r="UCI436" s="120"/>
      <c r="UCJ436" s="120"/>
      <c r="UCK436" s="120"/>
      <c r="UCL436" s="120"/>
      <c r="UCM436" s="120"/>
      <c r="UCN436" s="120"/>
      <c r="UCO436" s="120"/>
      <c r="UCP436" s="120"/>
      <c r="UCQ436" s="120"/>
      <c r="UCR436" s="120"/>
      <c r="UCS436" s="120"/>
      <c r="UCT436" s="120"/>
      <c r="UCU436" s="120"/>
      <c r="UCV436" s="120"/>
      <c r="UCW436" s="120"/>
      <c r="UCX436" s="120"/>
      <c r="UCY436" s="120"/>
      <c r="UCZ436" s="120"/>
      <c r="UDA436" s="120"/>
      <c r="UDB436" s="120"/>
      <c r="UDC436" s="120"/>
      <c r="UDD436" s="120"/>
      <c r="UDE436" s="120"/>
      <c r="UDF436" s="120"/>
      <c r="UDG436" s="120"/>
      <c r="UDH436" s="120"/>
      <c r="UDI436" s="120"/>
      <c r="UDJ436" s="120"/>
      <c r="UDK436" s="120"/>
      <c r="UDL436" s="120"/>
      <c r="UDM436" s="120"/>
      <c r="UDN436" s="120"/>
      <c r="UDO436" s="120"/>
      <c r="UDP436" s="120"/>
      <c r="UDQ436" s="120"/>
      <c r="UDR436" s="120"/>
      <c r="UDS436" s="120"/>
      <c r="UDT436" s="120"/>
      <c r="UDU436" s="120"/>
      <c r="UDV436" s="120"/>
      <c r="UDW436" s="120"/>
      <c r="UDX436" s="120"/>
      <c r="UDY436" s="120"/>
      <c r="UDZ436" s="120"/>
      <c r="UEA436" s="120"/>
      <c r="UEB436" s="120"/>
      <c r="UEC436" s="120"/>
      <c r="UED436" s="120"/>
      <c r="UEE436" s="120"/>
      <c r="UEF436" s="120"/>
      <c r="UEG436" s="120"/>
      <c r="UEH436" s="120"/>
      <c r="UEI436" s="120"/>
      <c r="UEJ436" s="120"/>
      <c r="UEK436" s="120"/>
      <c r="UEL436" s="120"/>
      <c r="UEM436" s="120"/>
      <c r="UEN436" s="120"/>
      <c r="UEO436" s="120"/>
      <c r="UEP436" s="120"/>
      <c r="UEQ436" s="120"/>
      <c r="UER436" s="120"/>
      <c r="UES436" s="120"/>
      <c r="UET436" s="120"/>
      <c r="UEU436" s="120"/>
      <c r="UEV436" s="120"/>
      <c r="UEW436" s="120"/>
      <c r="UEX436" s="120"/>
      <c r="UEY436" s="120"/>
      <c r="UEZ436" s="120"/>
      <c r="UFA436" s="120"/>
      <c r="UFB436" s="120"/>
      <c r="UFC436" s="120"/>
      <c r="UFD436" s="120"/>
      <c r="UFE436" s="120"/>
      <c r="UFF436" s="120"/>
      <c r="UFG436" s="120"/>
      <c r="UFH436" s="120"/>
      <c r="UFI436" s="120"/>
      <c r="UFJ436" s="120"/>
      <c r="UFK436" s="120"/>
      <c r="UFL436" s="120"/>
      <c r="UFM436" s="120"/>
      <c r="UFN436" s="120"/>
      <c r="UFO436" s="120"/>
      <c r="UFP436" s="120"/>
      <c r="UFQ436" s="120"/>
      <c r="UFR436" s="120"/>
      <c r="UFS436" s="120"/>
      <c r="UFT436" s="120"/>
      <c r="UFU436" s="120"/>
      <c r="UFV436" s="120"/>
      <c r="UFW436" s="120"/>
      <c r="UFX436" s="120"/>
      <c r="UFY436" s="120"/>
      <c r="UFZ436" s="120"/>
      <c r="UGA436" s="120"/>
      <c r="UGB436" s="120"/>
      <c r="UGC436" s="120"/>
      <c r="UGD436" s="120"/>
      <c r="UGE436" s="120"/>
      <c r="UGF436" s="120"/>
      <c r="UGG436" s="120"/>
      <c r="UGH436" s="120"/>
      <c r="UGI436" s="120"/>
      <c r="UGJ436" s="120"/>
      <c r="UGK436" s="120"/>
      <c r="UGL436" s="120"/>
      <c r="UGM436" s="120"/>
      <c r="UGN436" s="120"/>
      <c r="UGO436" s="120"/>
      <c r="UGP436" s="120"/>
      <c r="UGQ436" s="120"/>
      <c r="UGR436" s="120"/>
      <c r="UGS436" s="120"/>
      <c r="UGT436" s="120"/>
      <c r="UGU436" s="120"/>
      <c r="UGV436" s="120"/>
      <c r="UGW436" s="120"/>
      <c r="UGX436" s="120"/>
      <c r="UGY436" s="120"/>
      <c r="UGZ436" s="120"/>
      <c r="UHA436" s="120"/>
      <c r="UHB436" s="120"/>
      <c r="UHC436" s="120"/>
      <c r="UHD436" s="120"/>
      <c r="UHE436" s="120"/>
      <c r="UHF436" s="120"/>
      <c r="UHG436" s="120"/>
      <c r="UHH436" s="120"/>
      <c r="UHI436" s="120"/>
      <c r="UHJ436" s="120"/>
      <c r="UHK436" s="120"/>
      <c r="UHL436" s="120"/>
      <c r="UHM436" s="120"/>
      <c r="UHN436" s="120"/>
      <c r="UHO436" s="120"/>
      <c r="UHP436" s="120"/>
      <c r="UHQ436" s="120"/>
      <c r="UHR436" s="120"/>
      <c r="UHS436" s="120"/>
      <c r="UHT436" s="120"/>
      <c r="UHU436" s="120"/>
      <c r="UHV436" s="120"/>
      <c r="UHW436" s="120"/>
      <c r="UHX436" s="120"/>
      <c r="UHY436" s="120"/>
      <c r="UHZ436" s="120"/>
      <c r="UIA436" s="120"/>
      <c r="UIB436" s="120"/>
      <c r="UIC436" s="120"/>
      <c r="UID436" s="120"/>
      <c r="UIE436" s="120"/>
      <c r="UIF436" s="120"/>
      <c r="UIG436" s="120"/>
      <c r="UIH436" s="120"/>
      <c r="UII436" s="120"/>
      <c r="UIJ436" s="120"/>
      <c r="UIK436" s="120"/>
      <c r="UIL436" s="120"/>
      <c r="UIM436" s="120"/>
      <c r="UIN436" s="120"/>
      <c r="UIO436" s="120"/>
      <c r="UIP436" s="120"/>
      <c r="UIQ436" s="120"/>
      <c r="UIR436" s="120"/>
      <c r="UIS436" s="120"/>
      <c r="UIT436" s="120"/>
      <c r="UIU436" s="120"/>
      <c r="UIV436" s="120"/>
      <c r="UIW436" s="120"/>
      <c r="UIX436" s="120"/>
      <c r="UIY436" s="120"/>
      <c r="UIZ436" s="120"/>
      <c r="UJA436" s="120"/>
      <c r="UJB436" s="120"/>
      <c r="UJC436" s="120"/>
      <c r="UJD436" s="120"/>
      <c r="UJE436" s="120"/>
      <c r="UJF436" s="120"/>
      <c r="UJG436" s="120"/>
      <c r="UJH436" s="120"/>
      <c r="UJI436" s="120"/>
      <c r="UJJ436" s="120"/>
      <c r="UJK436" s="120"/>
      <c r="UJL436" s="120"/>
      <c r="UJM436" s="120"/>
      <c r="UJN436" s="120"/>
      <c r="UJO436" s="120"/>
      <c r="UJP436" s="120"/>
      <c r="UJQ436" s="120"/>
      <c r="UJR436" s="120"/>
      <c r="UJS436" s="120"/>
      <c r="UJT436" s="120"/>
      <c r="UJU436" s="120"/>
      <c r="UJV436" s="120"/>
      <c r="UJW436" s="120"/>
      <c r="UJX436" s="120"/>
      <c r="UJY436" s="120"/>
      <c r="UJZ436" s="120"/>
      <c r="UKA436" s="120"/>
      <c r="UKB436" s="120"/>
      <c r="UKC436" s="120"/>
      <c r="UKD436" s="120"/>
      <c r="UKE436" s="120"/>
      <c r="UKF436" s="120"/>
      <c r="UKG436" s="120"/>
      <c r="UKH436" s="120"/>
      <c r="UKI436" s="120"/>
      <c r="UKJ436" s="120"/>
      <c r="UKK436" s="120"/>
      <c r="UKL436" s="120"/>
      <c r="UKM436" s="120"/>
      <c r="UKN436" s="120"/>
      <c r="UKO436" s="120"/>
      <c r="UKP436" s="120"/>
      <c r="UKQ436" s="120"/>
      <c r="UKR436" s="120"/>
      <c r="UKS436" s="120"/>
      <c r="UKT436" s="120"/>
      <c r="UKU436" s="120"/>
      <c r="UKV436" s="120"/>
      <c r="UKW436" s="120"/>
      <c r="UKX436" s="120"/>
      <c r="UKY436" s="120"/>
      <c r="UKZ436" s="120"/>
      <c r="ULA436" s="120"/>
      <c r="ULB436" s="120"/>
      <c r="ULC436" s="120"/>
      <c r="ULD436" s="120"/>
      <c r="ULE436" s="120"/>
      <c r="ULF436" s="120"/>
      <c r="ULG436" s="120"/>
      <c r="ULH436" s="120"/>
      <c r="ULI436" s="120"/>
      <c r="ULJ436" s="120"/>
      <c r="ULK436" s="120"/>
      <c r="ULL436" s="120"/>
      <c r="ULM436" s="120"/>
      <c r="ULN436" s="120"/>
      <c r="ULO436" s="120"/>
      <c r="ULP436" s="120"/>
      <c r="ULQ436" s="120"/>
      <c r="ULR436" s="120"/>
      <c r="ULS436" s="120"/>
      <c r="ULT436" s="120"/>
      <c r="ULU436" s="120"/>
      <c r="ULV436" s="120"/>
      <c r="ULW436" s="120"/>
      <c r="ULX436" s="120"/>
      <c r="ULY436" s="120"/>
      <c r="ULZ436" s="120"/>
      <c r="UMA436" s="120"/>
      <c r="UMB436" s="120"/>
      <c r="UMC436" s="120"/>
      <c r="UMD436" s="120"/>
      <c r="UME436" s="120"/>
      <c r="UMF436" s="120"/>
      <c r="UMG436" s="120"/>
      <c r="UMH436" s="120"/>
      <c r="UMI436" s="120"/>
      <c r="UMJ436" s="120"/>
      <c r="UMK436" s="120"/>
      <c r="UML436" s="120"/>
      <c r="UMM436" s="120"/>
      <c r="UMN436" s="120"/>
      <c r="UMO436" s="120"/>
      <c r="UMP436" s="120"/>
      <c r="UMQ436" s="120"/>
      <c r="UMR436" s="120"/>
      <c r="UMS436" s="120"/>
      <c r="UMT436" s="120"/>
      <c r="UMU436" s="120"/>
      <c r="UMV436" s="120"/>
      <c r="UMW436" s="120"/>
      <c r="UMX436" s="120"/>
      <c r="UMY436" s="120"/>
      <c r="UMZ436" s="120"/>
      <c r="UNA436" s="120"/>
      <c r="UNB436" s="120"/>
      <c r="UNC436" s="120"/>
      <c r="UND436" s="120"/>
      <c r="UNE436" s="120"/>
      <c r="UNF436" s="120"/>
      <c r="UNG436" s="120"/>
      <c r="UNH436" s="120"/>
      <c r="UNI436" s="120"/>
      <c r="UNJ436" s="120"/>
      <c r="UNK436" s="120"/>
      <c r="UNL436" s="120"/>
      <c r="UNM436" s="120"/>
      <c r="UNN436" s="120"/>
      <c r="UNO436" s="120"/>
      <c r="UNP436" s="120"/>
      <c r="UNQ436" s="120"/>
      <c r="UNR436" s="120"/>
      <c r="UNS436" s="120"/>
      <c r="UNT436" s="120"/>
      <c r="UNU436" s="120"/>
      <c r="UNV436" s="120"/>
      <c r="UNW436" s="120"/>
      <c r="UNX436" s="120"/>
      <c r="UNY436" s="120"/>
      <c r="UNZ436" s="120"/>
      <c r="UOA436" s="120"/>
      <c r="UOB436" s="120"/>
      <c r="UOC436" s="120"/>
      <c r="UOD436" s="120"/>
      <c r="UOE436" s="120"/>
      <c r="UOF436" s="120"/>
      <c r="UOG436" s="120"/>
      <c r="UOH436" s="120"/>
      <c r="UOI436" s="120"/>
      <c r="UOJ436" s="120"/>
      <c r="UOK436" s="120"/>
      <c r="UOL436" s="120"/>
      <c r="UOM436" s="120"/>
      <c r="UON436" s="120"/>
      <c r="UOO436" s="120"/>
      <c r="UOP436" s="120"/>
      <c r="UOQ436" s="120"/>
      <c r="UOR436" s="120"/>
      <c r="UOS436" s="120"/>
      <c r="UOT436" s="120"/>
      <c r="UOU436" s="120"/>
      <c r="UOV436" s="120"/>
      <c r="UOW436" s="120"/>
      <c r="UOX436" s="120"/>
      <c r="UOY436" s="120"/>
      <c r="UOZ436" s="120"/>
      <c r="UPA436" s="120"/>
      <c r="UPB436" s="120"/>
      <c r="UPC436" s="120"/>
      <c r="UPD436" s="120"/>
      <c r="UPE436" s="120"/>
      <c r="UPF436" s="120"/>
      <c r="UPG436" s="120"/>
      <c r="UPH436" s="120"/>
      <c r="UPI436" s="120"/>
      <c r="UPJ436" s="120"/>
      <c r="UPK436" s="120"/>
      <c r="UPL436" s="120"/>
      <c r="UPM436" s="120"/>
      <c r="UPN436" s="120"/>
      <c r="UPO436" s="120"/>
      <c r="UPP436" s="120"/>
      <c r="UPQ436" s="120"/>
      <c r="UPR436" s="120"/>
      <c r="UPS436" s="120"/>
      <c r="UPT436" s="120"/>
      <c r="UPU436" s="120"/>
      <c r="UPV436" s="120"/>
      <c r="UPW436" s="120"/>
      <c r="UPX436" s="120"/>
      <c r="UPY436" s="120"/>
      <c r="UPZ436" s="120"/>
      <c r="UQA436" s="120"/>
      <c r="UQB436" s="120"/>
      <c r="UQC436" s="120"/>
      <c r="UQD436" s="120"/>
      <c r="UQE436" s="120"/>
      <c r="UQF436" s="120"/>
      <c r="UQG436" s="120"/>
      <c r="UQH436" s="120"/>
      <c r="UQI436" s="120"/>
      <c r="UQJ436" s="120"/>
      <c r="UQK436" s="120"/>
      <c r="UQL436" s="120"/>
      <c r="UQM436" s="120"/>
      <c r="UQN436" s="120"/>
      <c r="UQO436" s="120"/>
      <c r="UQP436" s="120"/>
      <c r="UQQ436" s="120"/>
      <c r="UQR436" s="120"/>
      <c r="UQS436" s="120"/>
      <c r="UQT436" s="120"/>
      <c r="UQU436" s="120"/>
      <c r="UQV436" s="120"/>
      <c r="UQW436" s="120"/>
      <c r="UQX436" s="120"/>
      <c r="UQY436" s="120"/>
      <c r="UQZ436" s="120"/>
      <c r="URA436" s="120"/>
      <c r="URB436" s="120"/>
      <c r="URC436" s="120"/>
      <c r="URD436" s="120"/>
      <c r="URE436" s="120"/>
      <c r="URF436" s="120"/>
      <c r="URG436" s="120"/>
      <c r="URH436" s="120"/>
      <c r="URI436" s="120"/>
      <c r="URJ436" s="120"/>
      <c r="URK436" s="120"/>
      <c r="URL436" s="120"/>
      <c r="URM436" s="120"/>
      <c r="URN436" s="120"/>
      <c r="URO436" s="120"/>
      <c r="URP436" s="120"/>
      <c r="URQ436" s="120"/>
      <c r="URR436" s="120"/>
      <c r="URS436" s="120"/>
      <c r="URT436" s="120"/>
      <c r="URU436" s="120"/>
      <c r="URV436" s="120"/>
      <c r="URW436" s="120"/>
      <c r="URX436" s="120"/>
      <c r="URY436" s="120"/>
      <c r="URZ436" s="120"/>
      <c r="USA436" s="120"/>
      <c r="USB436" s="120"/>
      <c r="USC436" s="120"/>
      <c r="USD436" s="120"/>
      <c r="USE436" s="120"/>
      <c r="USF436" s="120"/>
      <c r="USG436" s="120"/>
      <c r="USH436" s="120"/>
      <c r="USI436" s="120"/>
      <c r="USJ436" s="120"/>
      <c r="USK436" s="120"/>
      <c r="USL436" s="120"/>
      <c r="USM436" s="120"/>
      <c r="USN436" s="120"/>
      <c r="USO436" s="120"/>
      <c r="USP436" s="120"/>
      <c r="USQ436" s="120"/>
      <c r="USR436" s="120"/>
      <c r="USS436" s="120"/>
      <c r="UST436" s="120"/>
      <c r="USU436" s="120"/>
      <c r="USV436" s="120"/>
      <c r="USW436" s="120"/>
      <c r="USX436" s="120"/>
      <c r="USY436" s="120"/>
      <c r="USZ436" s="120"/>
      <c r="UTA436" s="120"/>
      <c r="UTB436" s="120"/>
      <c r="UTC436" s="120"/>
      <c r="UTD436" s="120"/>
      <c r="UTE436" s="120"/>
      <c r="UTF436" s="120"/>
      <c r="UTG436" s="120"/>
      <c r="UTH436" s="120"/>
      <c r="UTI436" s="120"/>
      <c r="UTJ436" s="120"/>
      <c r="UTK436" s="120"/>
      <c r="UTL436" s="120"/>
      <c r="UTM436" s="120"/>
      <c r="UTN436" s="120"/>
      <c r="UTO436" s="120"/>
      <c r="UTP436" s="120"/>
      <c r="UTQ436" s="120"/>
      <c r="UTR436" s="120"/>
      <c r="UTS436" s="120"/>
      <c r="UTT436" s="120"/>
      <c r="UTU436" s="120"/>
      <c r="UTV436" s="120"/>
      <c r="UTW436" s="120"/>
      <c r="UTX436" s="120"/>
      <c r="UTY436" s="120"/>
      <c r="UTZ436" s="120"/>
      <c r="UUA436" s="120"/>
      <c r="UUB436" s="120"/>
      <c r="UUC436" s="120"/>
      <c r="UUD436" s="120"/>
      <c r="UUE436" s="120"/>
      <c r="UUF436" s="120"/>
      <c r="UUG436" s="120"/>
      <c r="UUH436" s="120"/>
      <c r="UUI436" s="120"/>
      <c r="UUJ436" s="120"/>
      <c r="UUK436" s="120"/>
      <c r="UUL436" s="120"/>
      <c r="UUM436" s="120"/>
      <c r="UUN436" s="120"/>
      <c r="UUO436" s="120"/>
      <c r="UUP436" s="120"/>
      <c r="UUQ436" s="120"/>
      <c r="UUR436" s="120"/>
      <c r="UUS436" s="120"/>
      <c r="UUT436" s="120"/>
      <c r="UUU436" s="120"/>
      <c r="UUV436" s="120"/>
      <c r="UUW436" s="120"/>
      <c r="UUX436" s="120"/>
      <c r="UUY436" s="120"/>
      <c r="UUZ436" s="120"/>
      <c r="UVA436" s="120"/>
      <c r="UVB436" s="120"/>
      <c r="UVC436" s="120"/>
      <c r="UVD436" s="120"/>
      <c r="UVE436" s="120"/>
      <c r="UVF436" s="120"/>
      <c r="UVG436" s="120"/>
      <c r="UVH436" s="120"/>
      <c r="UVI436" s="120"/>
      <c r="UVJ436" s="120"/>
      <c r="UVK436" s="120"/>
      <c r="UVL436" s="120"/>
      <c r="UVM436" s="120"/>
      <c r="UVN436" s="120"/>
      <c r="UVO436" s="120"/>
      <c r="UVP436" s="120"/>
      <c r="UVQ436" s="120"/>
      <c r="UVR436" s="120"/>
      <c r="UVS436" s="120"/>
      <c r="UVT436" s="120"/>
      <c r="UVU436" s="120"/>
      <c r="UVV436" s="120"/>
      <c r="UVW436" s="120"/>
      <c r="UVX436" s="120"/>
      <c r="UVY436" s="120"/>
      <c r="UVZ436" s="120"/>
      <c r="UWA436" s="120"/>
      <c r="UWB436" s="120"/>
      <c r="UWC436" s="120"/>
      <c r="UWD436" s="120"/>
      <c r="UWE436" s="120"/>
      <c r="UWF436" s="120"/>
      <c r="UWG436" s="120"/>
      <c r="UWH436" s="120"/>
      <c r="UWI436" s="120"/>
      <c r="UWJ436" s="120"/>
      <c r="UWK436" s="120"/>
      <c r="UWL436" s="120"/>
      <c r="UWM436" s="120"/>
      <c r="UWN436" s="120"/>
      <c r="UWO436" s="120"/>
      <c r="UWP436" s="120"/>
      <c r="UWQ436" s="120"/>
      <c r="UWR436" s="120"/>
      <c r="UWS436" s="120"/>
      <c r="UWT436" s="120"/>
      <c r="UWU436" s="120"/>
      <c r="UWV436" s="120"/>
      <c r="UWW436" s="120"/>
      <c r="UWX436" s="120"/>
      <c r="UWY436" s="120"/>
      <c r="UWZ436" s="120"/>
      <c r="UXA436" s="120"/>
      <c r="UXB436" s="120"/>
      <c r="UXC436" s="120"/>
      <c r="UXD436" s="120"/>
      <c r="UXE436" s="120"/>
      <c r="UXF436" s="120"/>
      <c r="UXG436" s="120"/>
      <c r="UXH436" s="120"/>
      <c r="UXI436" s="120"/>
      <c r="UXJ436" s="120"/>
      <c r="UXK436" s="120"/>
      <c r="UXL436" s="120"/>
      <c r="UXM436" s="120"/>
      <c r="UXN436" s="120"/>
      <c r="UXO436" s="120"/>
      <c r="UXP436" s="120"/>
      <c r="UXQ436" s="120"/>
      <c r="UXR436" s="120"/>
      <c r="UXS436" s="120"/>
      <c r="UXT436" s="120"/>
      <c r="UXU436" s="120"/>
      <c r="UXV436" s="120"/>
      <c r="UXW436" s="120"/>
      <c r="UXX436" s="120"/>
      <c r="UXY436" s="120"/>
      <c r="UXZ436" s="120"/>
      <c r="UYA436" s="120"/>
      <c r="UYB436" s="120"/>
      <c r="UYC436" s="120"/>
      <c r="UYD436" s="120"/>
      <c r="UYE436" s="120"/>
      <c r="UYF436" s="120"/>
      <c r="UYG436" s="120"/>
      <c r="UYH436" s="120"/>
      <c r="UYI436" s="120"/>
      <c r="UYJ436" s="120"/>
      <c r="UYK436" s="120"/>
      <c r="UYL436" s="120"/>
      <c r="UYM436" s="120"/>
      <c r="UYN436" s="120"/>
      <c r="UYO436" s="120"/>
      <c r="UYP436" s="120"/>
      <c r="UYQ436" s="120"/>
      <c r="UYR436" s="120"/>
      <c r="UYS436" s="120"/>
      <c r="UYT436" s="120"/>
      <c r="UYU436" s="120"/>
      <c r="UYV436" s="120"/>
      <c r="UYW436" s="120"/>
      <c r="UYX436" s="120"/>
      <c r="UYY436" s="120"/>
      <c r="UYZ436" s="120"/>
      <c r="UZA436" s="120"/>
      <c r="UZB436" s="120"/>
      <c r="UZC436" s="120"/>
      <c r="UZD436" s="120"/>
      <c r="UZE436" s="120"/>
      <c r="UZF436" s="120"/>
      <c r="UZG436" s="120"/>
      <c r="UZH436" s="120"/>
      <c r="UZI436" s="120"/>
      <c r="UZJ436" s="120"/>
      <c r="UZK436" s="120"/>
      <c r="UZL436" s="120"/>
      <c r="UZM436" s="120"/>
      <c r="UZN436" s="120"/>
      <c r="UZO436" s="120"/>
      <c r="UZP436" s="120"/>
      <c r="UZQ436" s="120"/>
      <c r="UZR436" s="120"/>
      <c r="UZS436" s="120"/>
      <c r="UZT436" s="120"/>
      <c r="UZU436" s="120"/>
      <c r="UZV436" s="120"/>
      <c r="UZW436" s="120"/>
      <c r="UZX436" s="120"/>
      <c r="UZY436" s="120"/>
      <c r="UZZ436" s="120"/>
      <c r="VAA436" s="120"/>
      <c r="VAB436" s="120"/>
      <c r="VAC436" s="120"/>
      <c r="VAD436" s="120"/>
      <c r="VAE436" s="120"/>
      <c r="VAF436" s="120"/>
      <c r="VAG436" s="120"/>
      <c r="VAH436" s="120"/>
      <c r="VAI436" s="120"/>
      <c r="VAJ436" s="120"/>
      <c r="VAK436" s="120"/>
      <c r="VAL436" s="120"/>
      <c r="VAM436" s="120"/>
      <c r="VAN436" s="120"/>
      <c r="VAO436" s="120"/>
      <c r="VAP436" s="120"/>
      <c r="VAQ436" s="120"/>
      <c r="VAR436" s="120"/>
      <c r="VAS436" s="120"/>
      <c r="VAT436" s="120"/>
      <c r="VAU436" s="120"/>
      <c r="VAV436" s="120"/>
      <c r="VAW436" s="120"/>
      <c r="VAX436" s="120"/>
      <c r="VAY436" s="120"/>
      <c r="VAZ436" s="120"/>
      <c r="VBA436" s="120"/>
      <c r="VBB436" s="120"/>
      <c r="VBC436" s="120"/>
      <c r="VBD436" s="120"/>
      <c r="VBE436" s="120"/>
      <c r="VBF436" s="120"/>
      <c r="VBG436" s="120"/>
      <c r="VBH436" s="120"/>
      <c r="VBI436" s="120"/>
      <c r="VBJ436" s="120"/>
      <c r="VBK436" s="120"/>
      <c r="VBL436" s="120"/>
      <c r="VBM436" s="120"/>
      <c r="VBN436" s="120"/>
      <c r="VBO436" s="120"/>
      <c r="VBP436" s="120"/>
      <c r="VBQ436" s="120"/>
      <c r="VBR436" s="120"/>
      <c r="VBS436" s="120"/>
      <c r="VBT436" s="120"/>
      <c r="VBU436" s="120"/>
      <c r="VBV436" s="120"/>
      <c r="VBW436" s="120"/>
      <c r="VBX436" s="120"/>
      <c r="VBY436" s="120"/>
      <c r="VBZ436" s="120"/>
      <c r="VCA436" s="120"/>
      <c r="VCB436" s="120"/>
      <c r="VCC436" s="120"/>
      <c r="VCD436" s="120"/>
      <c r="VCE436" s="120"/>
      <c r="VCF436" s="120"/>
      <c r="VCG436" s="120"/>
      <c r="VCH436" s="120"/>
      <c r="VCI436" s="120"/>
      <c r="VCJ436" s="120"/>
      <c r="VCK436" s="120"/>
      <c r="VCL436" s="120"/>
      <c r="VCM436" s="120"/>
      <c r="VCN436" s="120"/>
      <c r="VCO436" s="120"/>
      <c r="VCP436" s="120"/>
      <c r="VCQ436" s="120"/>
      <c r="VCR436" s="120"/>
      <c r="VCS436" s="120"/>
      <c r="VCT436" s="120"/>
      <c r="VCU436" s="120"/>
      <c r="VCV436" s="120"/>
      <c r="VCW436" s="120"/>
      <c r="VCX436" s="120"/>
      <c r="VCY436" s="120"/>
      <c r="VCZ436" s="120"/>
      <c r="VDA436" s="120"/>
      <c r="VDB436" s="120"/>
      <c r="VDC436" s="120"/>
      <c r="VDD436" s="120"/>
      <c r="VDE436" s="120"/>
      <c r="VDF436" s="120"/>
      <c r="VDG436" s="120"/>
      <c r="VDH436" s="120"/>
      <c r="VDI436" s="120"/>
      <c r="VDJ436" s="120"/>
      <c r="VDK436" s="120"/>
      <c r="VDL436" s="120"/>
      <c r="VDM436" s="120"/>
      <c r="VDN436" s="120"/>
      <c r="VDO436" s="120"/>
      <c r="VDP436" s="120"/>
      <c r="VDQ436" s="120"/>
      <c r="VDR436" s="120"/>
      <c r="VDS436" s="120"/>
      <c r="VDT436" s="120"/>
      <c r="VDU436" s="120"/>
      <c r="VDV436" s="120"/>
      <c r="VDW436" s="120"/>
      <c r="VDX436" s="120"/>
      <c r="VDY436" s="120"/>
      <c r="VDZ436" s="120"/>
      <c r="VEA436" s="120"/>
      <c r="VEB436" s="120"/>
      <c r="VEC436" s="120"/>
      <c r="VED436" s="120"/>
      <c r="VEE436" s="120"/>
      <c r="VEF436" s="120"/>
      <c r="VEG436" s="120"/>
      <c r="VEH436" s="120"/>
      <c r="VEI436" s="120"/>
      <c r="VEJ436" s="120"/>
      <c r="VEK436" s="120"/>
      <c r="VEL436" s="120"/>
      <c r="VEM436" s="120"/>
      <c r="VEN436" s="120"/>
      <c r="VEO436" s="120"/>
      <c r="VEP436" s="120"/>
      <c r="VEQ436" s="120"/>
      <c r="VER436" s="120"/>
      <c r="VES436" s="120"/>
      <c r="VET436" s="120"/>
      <c r="VEU436" s="120"/>
      <c r="VEV436" s="120"/>
      <c r="VEW436" s="120"/>
      <c r="VEX436" s="120"/>
      <c r="VEY436" s="120"/>
      <c r="VEZ436" s="120"/>
      <c r="VFA436" s="120"/>
      <c r="VFB436" s="120"/>
      <c r="VFC436" s="120"/>
      <c r="VFD436" s="120"/>
      <c r="VFE436" s="120"/>
      <c r="VFF436" s="120"/>
      <c r="VFG436" s="120"/>
      <c r="VFH436" s="120"/>
      <c r="VFI436" s="120"/>
      <c r="VFJ436" s="120"/>
      <c r="VFK436" s="120"/>
      <c r="VFL436" s="120"/>
      <c r="VFM436" s="120"/>
      <c r="VFN436" s="120"/>
      <c r="VFO436" s="120"/>
      <c r="VFP436" s="120"/>
      <c r="VFQ436" s="120"/>
      <c r="VFR436" s="120"/>
      <c r="VFS436" s="120"/>
      <c r="VFT436" s="120"/>
      <c r="VFU436" s="120"/>
      <c r="VFV436" s="120"/>
      <c r="VFW436" s="120"/>
      <c r="VFX436" s="120"/>
      <c r="VFY436" s="120"/>
      <c r="VFZ436" s="120"/>
      <c r="VGA436" s="120"/>
      <c r="VGB436" s="120"/>
      <c r="VGC436" s="120"/>
      <c r="VGD436" s="120"/>
      <c r="VGE436" s="120"/>
      <c r="VGF436" s="120"/>
      <c r="VGG436" s="120"/>
      <c r="VGH436" s="120"/>
      <c r="VGI436" s="120"/>
      <c r="VGJ436" s="120"/>
      <c r="VGK436" s="120"/>
      <c r="VGL436" s="120"/>
      <c r="VGM436" s="120"/>
      <c r="VGN436" s="120"/>
      <c r="VGO436" s="120"/>
      <c r="VGP436" s="120"/>
      <c r="VGQ436" s="120"/>
      <c r="VGR436" s="120"/>
      <c r="VGS436" s="120"/>
      <c r="VGT436" s="120"/>
      <c r="VGU436" s="120"/>
      <c r="VGV436" s="120"/>
      <c r="VGW436" s="120"/>
      <c r="VGX436" s="120"/>
      <c r="VGY436" s="120"/>
      <c r="VGZ436" s="120"/>
      <c r="VHA436" s="120"/>
      <c r="VHB436" s="120"/>
      <c r="VHC436" s="120"/>
      <c r="VHD436" s="120"/>
      <c r="VHE436" s="120"/>
      <c r="VHF436" s="120"/>
      <c r="VHG436" s="120"/>
      <c r="VHH436" s="120"/>
      <c r="VHI436" s="120"/>
      <c r="VHJ436" s="120"/>
      <c r="VHK436" s="120"/>
      <c r="VHL436" s="120"/>
      <c r="VHM436" s="120"/>
      <c r="VHN436" s="120"/>
      <c r="VHO436" s="120"/>
      <c r="VHP436" s="120"/>
      <c r="VHQ436" s="120"/>
      <c r="VHR436" s="120"/>
      <c r="VHS436" s="120"/>
      <c r="VHT436" s="120"/>
      <c r="VHU436" s="120"/>
      <c r="VHV436" s="120"/>
      <c r="VHW436" s="120"/>
      <c r="VHX436" s="120"/>
      <c r="VHY436" s="120"/>
      <c r="VHZ436" s="120"/>
      <c r="VIA436" s="120"/>
      <c r="VIB436" s="120"/>
      <c r="VIC436" s="120"/>
      <c r="VID436" s="120"/>
      <c r="VIE436" s="120"/>
      <c r="VIF436" s="120"/>
      <c r="VIG436" s="120"/>
      <c r="VIH436" s="120"/>
      <c r="VII436" s="120"/>
      <c r="VIJ436" s="120"/>
      <c r="VIK436" s="120"/>
      <c r="VIL436" s="120"/>
      <c r="VIM436" s="120"/>
      <c r="VIN436" s="120"/>
      <c r="VIO436" s="120"/>
      <c r="VIP436" s="120"/>
      <c r="VIQ436" s="120"/>
      <c r="VIR436" s="120"/>
      <c r="VIS436" s="120"/>
      <c r="VIT436" s="120"/>
      <c r="VIU436" s="120"/>
      <c r="VIV436" s="120"/>
      <c r="VIW436" s="120"/>
      <c r="VIX436" s="120"/>
      <c r="VIY436" s="120"/>
      <c r="VIZ436" s="120"/>
      <c r="VJA436" s="120"/>
      <c r="VJB436" s="120"/>
      <c r="VJC436" s="120"/>
      <c r="VJD436" s="120"/>
      <c r="VJE436" s="120"/>
      <c r="VJF436" s="120"/>
      <c r="VJG436" s="120"/>
      <c r="VJH436" s="120"/>
      <c r="VJI436" s="120"/>
      <c r="VJJ436" s="120"/>
      <c r="VJK436" s="120"/>
      <c r="VJL436" s="120"/>
      <c r="VJM436" s="120"/>
      <c r="VJN436" s="120"/>
      <c r="VJO436" s="120"/>
      <c r="VJP436" s="120"/>
      <c r="VJQ436" s="120"/>
      <c r="VJR436" s="120"/>
      <c r="VJS436" s="120"/>
      <c r="VJT436" s="120"/>
      <c r="VJU436" s="120"/>
      <c r="VJV436" s="120"/>
      <c r="VJW436" s="120"/>
      <c r="VJX436" s="120"/>
      <c r="VJY436" s="120"/>
      <c r="VJZ436" s="120"/>
      <c r="VKA436" s="120"/>
      <c r="VKB436" s="120"/>
      <c r="VKC436" s="120"/>
      <c r="VKD436" s="120"/>
      <c r="VKE436" s="120"/>
      <c r="VKF436" s="120"/>
      <c r="VKG436" s="120"/>
      <c r="VKH436" s="120"/>
      <c r="VKI436" s="120"/>
      <c r="VKJ436" s="120"/>
      <c r="VKK436" s="120"/>
      <c r="VKL436" s="120"/>
      <c r="VKM436" s="120"/>
      <c r="VKN436" s="120"/>
      <c r="VKO436" s="120"/>
      <c r="VKP436" s="120"/>
      <c r="VKQ436" s="120"/>
      <c r="VKR436" s="120"/>
      <c r="VKS436" s="120"/>
      <c r="VKT436" s="120"/>
      <c r="VKU436" s="120"/>
      <c r="VKV436" s="120"/>
      <c r="VKW436" s="120"/>
      <c r="VKX436" s="120"/>
      <c r="VKY436" s="120"/>
      <c r="VKZ436" s="120"/>
      <c r="VLA436" s="120"/>
      <c r="VLB436" s="120"/>
      <c r="VLC436" s="120"/>
      <c r="VLD436" s="120"/>
      <c r="VLE436" s="120"/>
      <c r="VLF436" s="120"/>
      <c r="VLG436" s="120"/>
      <c r="VLH436" s="120"/>
      <c r="VLI436" s="120"/>
      <c r="VLJ436" s="120"/>
      <c r="VLK436" s="120"/>
      <c r="VLL436" s="120"/>
      <c r="VLM436" s="120"/>
      <c r="VLN436" s="120"/>
      <c r="VLO436" s="120"/>
      <c r="VLP436" s="120"/>
      <c r="VLQ436" s="120"/>
      <c r="VLR436" s="120"/>
      <c r="VLS436" s="120"/>
      <c r="VLT436" s="120"/>
      <c r="VLU436" s="120"/>
      <c r="VLV436" s="120"/>
      <c r="VLW436" s="120"/>
      <c r="VLX436" s="120"/>
      <c r="VLY436" s="120"/>
      <c r="VLZ436" s="120"/>
      <c r="VMA436" s="120"/>
      <c r="VMB436" s="120"/>
      <c r="VMC436" s="120"/>
      <c r="VMD436" s="120"/>
      <c r="VME436" s="120"/>
      <c r="VMF436" s="120"/>
      <c r="VMG436" s="120"/>
      <c r="VMH436" s="120"/>
      <c r="VMI436" s="120"/>
      <c r="VMJ436" s="120"/>
      <c r="VMK436" s="120"/>
      <c r="VML436" s="120"/>
      <c r="VMM436" s="120"/>
      <c r="VMN436" s="120"/>
      <c r="VMO436" s="120"/>
      <c r="VMP436" s="120"/>
      <c r="VMQ436" s="120"/>
      <c r="VMR436" s="120"/>
      <c r="VMS436" s="120"/>
      <c r="VMT436" s="120"/>
      <c r="VMU436" s="120"/>
      <c r="VMV436" s="120"/>
      <c r="VMW436" s="120"/>
      <c r="VMX436" s="120"/>
      <c r="VMY436" s="120"/>
      <c r="VMZ436" s="120"/>
      <c r="VNA436" s="120"/>
      <c r="VNB436" s="120"/>
      <c r="VNC436" s="120"/>
      <c r="VND436" s="120"/>
      <c r="VNE436" s="120"/>
      <c r="VNF436" s="120"/>
      <c r="VNG436" s="120"/>
      <c r="VNH436" s="120"/>
      <c r="VNI436" s="120"/>
      <c r="VNJ436" s="120"/>
      <c r="VNK436" s="120"/>
      <c r="VNL436" s="120"/>
      <c r="VNM436" s="120"/>
      <c r="VNN436" s="120"/>
      <c r="VNO436" s="120"/>
      <c r="VNP436" s="120"/>
      <c r="VNQ436" s="120"/>
      <c r="VNR436" s="120"/>
      <c r="VNS436" s="120"/>
      <c r="VNT436" s="120"/>
      <c r="VNU436" s="120"/>
      <c r="VNV436" s="120"/>
      <c r="VNW436" s="120"/>
      <c r="VNX436" s="120"/>
      <c r="VNY436" s="120"/>
      <c r="VNZ436" s="120"/>
      <c r="VOA436" s="120"/>
      <c r="VOB436" s="120"/>
      <c r="VOC436" s="120"/>
      <c r="VOD436" s="120"/>
      <c r="VOE436" s="120"/>
      <c r="VOF436" s="120"/>
      <c r="VOG436" s="120"/>
      <c r="VOH436" s="120"/>
      <c r="VOI436" s="120"/>
      <c r="VOJ436" s="120"/>
      <c r="VOK436" s="120"/>
      <c r="VOL436" s="120"/>
      <c r="VOM436" s="120"/>
      <c r="VON436" s="120"/>
      <c r="VOO436" s="120"/>
      <c r="VOP436" s="120"/>
      <c r="VOQ436" s="120"/>
      <c r="VOR436" s="120"/>
      <c r="VOS436" s="120"/>
      <c r="VOT436" s="120"/>
      <c r="VOU436" s="120"/>
      <c r="VOV436" s="120"/>
      <c r="VOW436" s="120"/>
      <c r="VOX436" s="120"/>
      <c r="VOY436" s="120"/>
      <c r="VOZ436" s="120"/>
      <c r="VPA436" s="120"/>
      <c r="VPB436" s="120"/>
      <c r="VPC436" s="120"/>
      <c r="VPD436" s="120"/>
      <c r="VPE436" s="120"/>
      <c r="VPF436" s="120"/>
      <c r="VPG436" s="120"/>
      <c r="VPH436" s="120"/>
      <c r="VPI436" s="120"/>
      <c r="VPJ436" s="120"/>
      <c r="VPK436" s="120"/>
      <c r="VPL436" s="120"/>
      <c r="VPM436" s="120"/>
      <c r="VPN436" s="120"/>
      <c r="VPO436" s="120"/>
      <c r="VPP436" s="120"/>
      <c r="VPQ436" s="120"/>
      <c r="VPR436" s="120"/>
      <c r="VPS436" s="120"/>
      <c r="VPT436" s="120"/>
      <c r="VPU436" s="120"/>
      <c r="VPV436" s="120"/>
      <c r="VPW436" s="120"/>
      <c r="VPX436" s="120"/>
      <c r="VPY436" s="120"/>
      <c r="VPZ436" s="120"/>
      <c r="VQA436" s="120"/>
      <c r="VQB436" s="120"/>
      <c r="VQC436" s="120"/>
      <c r="VQD436" s="120"/>
      <c r="VQE436" s="120"/>
      <c r="VQF436" s="120"/>
      <c r="VQG436" s="120"/>
      <c r="VQH436" s="120"/>
      <c r="VQI436" s="120"/>
      <c r="VQJ436" s="120"/>
      <c r="VQK436" s="120"/>
      <c r="VQL436" s="120"/>
      <c r="VQM436" s="120"/>
      <c r="VQN436" s="120"/>
      <c r="VQO436" s="120"/>
      <c r="VQP436" s="120"/>
      <c r="VQQ436" s="120"/>
      <c r="VQR436" s="120"/>
      <c r="VQS436" s="120"/>
      <c r="VQT436" s="120"/>
      <c r="VQU436" s="120"/>
      <c r="VQV436" s="120"/>
      <c r="VQW436" s="120"/>
      <c r="VQX436" s="120"/>
      <c r="VQY436" s="120"/>
      <c r="VQZ436" s="120"/>
      <c r="VRA436" s="120"/>
      <c r="VRB436" s="120"/>
      <c r="VRC436" s="120"/>
      <c r="VRD436" s="120"/>
      <c r="VRE436" s="120"/>
      <c r="VRF436" s="120"/>
      <c r="VRG436" s="120"/>
      <c r="VRH436" s="120"/>
      <c r="VRI436" s="120"/>
      <c r="VRJ436" s="120"/>
      <c r="VRK436" s="120"/>
      <c r="VRL436" s="120"/>
      <c r="VRM436" s="120"/>
      <c r="VRN436" s="120"/>
      <c r="VRO436" s="120"/>
      <c r="VRP436" s="120"/>
      <c r="VRQ436" s="120"/>
      <c r="VRR436" s="120"/>
      <c r="VRS436" s="120"/>
      <c r="VRT436" s="120"/>
      <c r="VRU436" s="120"/>
      <c r="VRV436" s="120"/>
      <c r="VRW436" s="120"/>
      <c r="VRX436" s="120"/>
      <c r="VRY436" s="120"/>
      <c r="VRZ436" s="120"/>
      <c r="VSA436" s="120"/>
      <c r="VSB436" s="120"/>
      <c r="VSC436" s="120"/>
      <c r="VSD436" s="120"/>
      <c r="VSE436" s="120"/>
      <c r="VSF436" s="120"/>
      <c r="VSG436" s="120"/>
      <c r="VSH436" s="120"/>
      <c r="VSI436" s="120"/>
      <c r="VSJ436" s="120"/>
      <c r="VSK436" s="120"/>
      <c r="VSL436" s="120"/>
      <c r="VSM436" s="120"/>
      <c r="VSN436" s="120"/>
      <c r="VSO436" s="120"/>
      <c r="VSP436" s="120"/>
      <c r="VSQ436" s="120"/>
      <c r="VSR436" s="120"/>
      <c r="VSS436" s="120"/>
      <c r="VST436" s="120"/>
      <c r="VSU436" s="120"/>
      <c r="VSV436" s="120"/>
      <c r="VSW436" s="120"/>
      <c r="VSX436" s="120"/>
      <c r="VSY436" s="120"/>
      <c r="VSZ436" s="120"/>
      <c r="VTA436" s="120"/>
      <c r="VTB436" s="120"/>
      <c r="VTC436" s="120"/>
      <c r="VTD436" s="120"/>
      <c r="VTE436" s="120"/>
      <c r="VTF436" s="120"/>
      <c r="VTG436" s="120"/>
      <c r="VTH436" s="120"/>
      <c r="VTI436" s="120"/>
      <c r="VTJ436" s="120"/>
      <c r="VTK436" s="120"/>
      <c r="VTL436" s="120"/>
      <c r="VTM436" s="120"/>
      <c r="VTN436" s="120"/>
      <c r="VTO436" s="120"/>
      <c r="VTP436" s="120"/>
      <c r="VTQ436" s="120"/>
      <c r="VTR436" s="120"/>
      <c r="VTS436" s="120"/>
      <c r="VTT436" s="120"/>
      <c r="VTU436" s="120"/>
      <c r="VTV436" s="120"/>
      <c r="VTW436" s="120"/>
      <c r="VTX436" s="120"/>
      <c r="VTY436" s="120"/>
      <c r="VTZ436" s="120"/>
      <c r="VUA436" s="120"/>
      <c r="VUB436" s="120"/>
      <c r="VUC436" s="120"/>
      <c r="VUD436" s="120"/>
      <c r="VUE436" s="120"/>
      <c r="VUF436" s="120"/>
      <c r="VUG436" s="120"/>
      <c r="VUH436" s="120"/>
      <c r="VUI436" s="120"/>
      <c r="VUJ436" s="120"/>
      <c r="VUK436" s="120"/>
      <c r="VUL436" s="120"/>
      <c r="VUM436" s="120"/>
      <c r="VUN436" s="120"/>
      <c r="VUO436" s="120"/>
      <c r="VUP436" s="120"/>
      <c r="VUQ436" s="120"/>
      <c r="VUR436" s="120"/>
      <c r="VUS436" s="120"/>
      <c r="VUT436" s="120"/>
      <c r="VUU436" s="120"/>
      <c r="VUV436" s="120"/>
      <c r="VUW436" s="120"/>
      <c r="VUX436" s="120"/>
      <c r="VUY436" s="120"/>
      <c r="VUZ436" s="120"/>
      <c r="VVA436" s="120"/>
      <c r="VVB436" s="120"/>
      <c r="VVC436" s="120"/>
      <c r="VVD436" s="120"/>
      <c r="VVE436" s="120"/>
      <c r="VVF436" s="120"/>
      <c r="VVG436" s="120"/>
      <c r="VVH436" s="120"/>
      <c r="VVI436" s="120"/>
      <c r="VVJ436" s="120"/>
      <c r="VVK436" s="120"/>
      <c r="VVL436" s="120"/>
      <c r="VVM436" s="120"/>
      <c r="VVN436" s="120"/>
      <c r="VVO436" s="120"/>
      <c r="VVP436" s="120"/>
      <c r="VVQ436" s="120"/>
      <c r="VVR436" s="120"/>
      <c r="VVS436" s="120"/>
      <c r="VVT436" s="120"/>
      <c r="VVU436" s="120"/>
      <c r="VVV436" s="120"/>
      <c r="VVW436" s="120"/>
      <c r="VVX436" s="120"/>
      <c r="VVY436" s="120"/>
      <c r="VVZ436" s="120"/>
      <c r="VWA436" s="120"/>
      <c r="VWB436" s="120"/>
      <c r="VWC436" s="120"/>
      <c r="VWD436" s="120"/>
      <c r="VWE436" s="120"/>
      <c r="VWF436" s="120"/>
      <c r="VWG436" s="120"/>
      <c r="VWH436" s="120"/>
      <c r="VWI436" s="120"/>
      <c r="VWJ436" s="120"/>
      <c r="VWK436" s="120"/>
      <c r="VWL436" s="120"/>
      <c r="VWM436" s="120"/>
      <c r="VWN436" s="120"/>
      <c r="VWO436" s="120"/>
      <c r="VWP436" s="120"/>
      <c r="VWQ436" s="120"/>
      <c r="VWR436" s="120"/>
      <c r="VWS436" s="120"/>
      <c r="VWT436" s="120"/>
      <c r="VWU436" s="120"/>
      <c r="VWV436" s="120"/>
      <c r="VWW436" s="120"/>
      <c r="VWX436" s="120"/>
      <c r="VWY436" s="120"/>
      <c r="VWZ436" s="120"/>
      <c r="VXA436" s="120"/>
      <c r="VXB436" s="120"/>
      <c r="VXC436" s="120"/>
      <c r="VXD436" s="120"/>
      <c r="VXE436" s="120"/>
      <c r="VXF436" s="120"/>
      <c r="VXG436" s="120"/>
      <c r="VXH436" s="120"/>
      <c r="VXI436" s="120"/>
      <c r="VXJ436" s="120"/>
      <c r="VXK436" s="120"/>
      <c r="VXL436" s="120"/>
      <c r="VXM436" s="120"/>
      <c r="VXN436" s="120"/>
      <c r="VXO436" s="120"/>
      <c r="VXP436" s="120"/>
      <c r="VXQ436" s="120"/>
      <c r="VXR436" s="120"/>
      <c r="VXS436" s="120"/>
      <c r="VXT436" s="120"/>
      <c r="VXU436" s="120"/>
      <c r="VXV436" s="120"/>
      <c r="VXW436" s="120"/>
      <c r="VXX436" s="120"/>
      <c r="VXY436" s="120"/>
      <c r="VXZ436" s="120"/>
      <c r="VYA436" s="120"/>
      <c r="VYB436" s="120"/>
      <c r="VYC436" s="120"/>
      <c r="VYD436" s="120"/>
      <c r="VYE436" s="120"/>
      <c r="VYF436" s="120"/>
      <c r="VYG436" s="120"/>
      <c r="VYH436" s="120"/>
      <c r="VYI436" s="120"/>
      <c r="VYJ436" s="120"/>
      <c r="VYK436" s="120"/>
      <c r="VYL436" s="120"/>
      <c r="VYM436" s="120"/>
      <c r="VYN436" s="120"/>
      <c r="VYO436" s="120"/>
      <c r="VYP436" s="120"/>
      <c r="VYQ436" s="120"/>
      <c r="VYR436" s="120"/>
      <c r="VYS436" s="120"/>
      <c r="VYT436" s="120"/>
      <c r="VYU436" s="120"/>
      <c r="VYV436" s="120"/>
      <c r="VYW436" s="120"/>
      <c r="VYX436" s="120"/>
      <c r="VYY436" s="120"/>
      <c r="VYZ436" s="120"/>
      <c r="VZA436" s="120"/>
      <c r="VZB436" s="120"/>
      <c r="VZC436" s="120"/>
      <c r="VZD436" s="120"/>
      <c r="VZE436" s="120"/>
      <c r="VZF436" s="120"/>
      <c r="VZG436" s="120"/>
      <c r="VZH436" s="120"/>
      <c r="VZI436" s="120"/>
      <c r="VZJ436" s="120"/>
      <c r="VZK436" s="120"/>
      <c r="VZL436" s="120"/>
      <c r="VZM436" s="120"/>
      <c r="VZN436" s="120"/>
      <c r="VZO436" s="120"/>
      <c r="VZP436" s="120"/>
      <c r="VZQ436" s="120"/>
      <c r="VZR436" s="120"/>
      <c r="VZS436" s="120"/>
      <c r="VZT436" s="120"/>
      <c r="VZU436" s="120"/>
      <c r="VZV436" s="120"/>
      <c r="VZW436" s="120"/>
      <c r="VZX436" s="120"/>
      <c r="VZY436" s="120"/>
      <c r="VZZ436" s="120"/>
      <c r="WAA436" s="120"/>
      <c r="WAB436" s="120"/>
      <c r="WAC436" s="120"/>
      <c r="WAD436" s="120"/>
      <c r="WAE436" s="120"/>
      <c r="WAF436" s="120"/>
      <c r="WAG436" s="120"/>
      <c r="WAH436" s="120"/>
      <c r="WAI436" s="120"/>
      <c r="WAJ436" s="120"/>
      <c r="WAK436" s="120"/>
      <c r="WAL436" s="120"/>
      <c r="WAM436" s="120"/>
      <c r="WAN436" s="120"/>
      <c r="WAO436" s="120"/>
      <c r="WAP436" s="120"/>
      <c r="WAQ436" s="120"/>
      <c r="WAR436" s="120"/>
      <c r="WAS436" s="120"/>
      <c r="WAT436" s="120"/>
      <c r="WAU436" s="120"/>
      <c r="WAV436" s="120"/>
      <c r="WAW436" s="120"/>
      <c r="WAX436" s="120"/>
      <c r="WAY436" s="120"/>
      <c r="WAZ436" s="120"/>
      <c r="WBA436" s="120"/>
      <c r="WBB436" s="120"/>
      <c r="WBC436" s="120"/>
      <c r="WBD436" s="120"/>
      <c r="WBE436" s="120"/>
      <c r="WBF436" s="120"/>
      <c r="WBG436" s="120"/>
      <c r="WBH436" s="120"/>
      <c r="WBI436" s="120"/>
      <c r="WBJ436" s="120"/>
      <c r="WBK436" s="120"/>
      <c r="WBL436" s="120"/>
      <c r="WBM436" s="120"/>
      <c r="WBN436" s="120"/>
      <c r="WBO436" s="120"/>
      <c r="WBP436" s="120"/>
      <c r="WBQ436" s="120"/>
      <c r="WBR436" s="120"/>
      <c r="WBS436" s="120"/>
      <c r="WBT436" s="120"/>
      <c r="WBU436" s="120"/>
      <c r="WBV436" s="120"/>
      <c r="WBW436" s="120"/>
      <c r="WBX436" s="120"/>
      <c r="WBY436" s="120"/>
      <c r="WBZ436" s="120"/>
      <c r="WCA436" s="120"/>
      <c r="WCB436" s="120"/>
      <c r="WCC436" s="120"/>
      <c r="WCD436" s="120"/>
      <c r="WCE436" s="120"/>
      <c r="WCF436" s="120"/>
      <c r="WCG436" s="120"/>
      <c r="WCH436" s="120"/>
      <c r="WCI436" s="120"/>
      <c r="WCJ436" s="120"/>
      <c r="WCK436" s="120"/>
      <c r="WCL436" s="120"/>
      <c r="WCM436" s="120"/>
      <c r="WCN436" s="120"/>
      <c r="WCO436" s="120"/>
      <c r="WCP436" s="120"/>
      <c r="WCQ436" s="120"/>
      <c r="WCR436" s="120"/>
      <c r="WCS436" s="120"/>
      <c r="WCT436" s="120"/>
      <c r="WCU436" s="120"/>
      <c r="WCV436" s="120"/>
      <c r="WCW436" s="120"/>
      <c r="WCX436" s="120"/>
      <c r="WCY436" s="120"/>
      <c r="WCZ436" s="120"/>
      <c r="WDA436" s="120"/>
      <c r="WDB436" s="120"/>
      <c r="WDC436" s="120"/>
      <c r="WDD436" s="120"/>
      <c r="WDE436" s="120"/>
      <c r="WDF436" s="120"/>
      <c r="WDG436" s="120"/>
      <c r="WDH436" s="120"/>
      <c r="WDI436" s="120"/>
      <c r="WDJ436" s="120"/>
      <c r="WDK436" s="120"/>
      <c r="WDL436" s="120"/>
      <c r="WDM436" s="120"/>
      <c r="WDN436" s="120"/>
      <c r="WDO436" s="120"/>
      <c r="WDP436" s="120"/>
      <c r="WDQ436" s="120"/>
      <c r="WDR436" s="120"/>
      <c r="WDS436" s="120"/>
      <c r="WDT436" s="120"/>
      <c r="WDU436" s="120"/>
      <c r="WDV436" s="120"/>
      <c r="WDW436" s="120"/>
      <c r="WDX436" s="120"/>
      <c r="WDY436" s="120"/>
      <c r="WDZ436" s="120"/>
      <c r="WEA436" s="120"/>
      <c r="WEB436" s="120"/>
      <c r="WEC436" s="120"/>
      <c r="WED436" s="120"/>
      <c r="WEE436" s="120"/>
      <c r="WEF436" s="120"/>
      <c r="WEG436" s="120"/>
      <c r="WEH436" s="120"/>
      <c r="WEI436" s="120"/>
      <c r="WEJ436" s="120"/>
      <c r="WEK436" s="120"/>
      <c r="WEL436" s="120"/>
      <c r="WEM436" s="120"/>
      <c r="WEN436" s="120"/>
      <c r="WEO436" s="120"/>
      <c r="WEP436" s="120"/>
      <c r="WEQ436" s="120"/>
      <c r="WER436" s="120"/>
      <c r="WES436" s="120"/>
      <c r="WET436" s="120"/>
      <c r="WEU436" s="120"/>
      <c r="WEV436" s="120"/>
      <c r="WEW436" s="120"/>
      <c r="WEX436" s="120"/>
      <c r="WEY436" s="120"/>
      <c r="WEZ436" s="120"/>
      <c r="WFA436" s="120"/>
      <c r="WFB436" s="120"/>
      <c r="WFC436" s="120"/>
      <c r="WFD436" s="120"/>
      <c r="WFE436" s="120"/>
      <c r="WFF436" s="120"/>
      <c r="WFG436" s="120"/>
      <c r="WFH436" s="120"/>
      <c r="WFI436" s="120"/>
      <c r="WFJ436" s="120"/>
      <c r="WFK436" s="120"/>
      <c r="WFL436" s="120"/>
      <c r="WFM436" s="120"/>
      <c r="WFN436" s="120"/>
      <c r="WFO436" s="120"/>
      <c r="WFP436" s="120"/>
      <c r="WFQ436" s="120"/>
      <c r="WFR436" s="120"/>
      <c r="WFS436" s="120"/>
      <c r="WFT436" s="120"/>
      <c r="WFU436" s="120"/>
      <c r="WFV436" s="120"/>
      <c r="WFW436" s="120"/>
      <c r="WFX436" s="120"/>
      <c r="WFY436" s="120"/>
      <c r="WFZ436" s="120"/>
      <c r="WGA436" s="120"/>
      <c r="WGB436" s="120"/>
      <c r="WGC436" s="120"/>
      <c r="WGD436" s="120"/>
      <c r="WGE436" s="120"/>
      <c r="WGF436" s="120"/>
      <c r="WGG436" s="120"/>
      <c r="WGH436" s="120"/>
      <c r="WGI436" s="120"/>
      <c r="WGJ436" s="120"/>
      <c r="WGK436" s="120"/>
      <c r="WGL436" s="120"/>
      <c r="WGM436" s="120"/>
      <c r="WGN436" s="120"/>
      <c r="WGO436" s="120"/>
      <c r="WGP436" s="120"/>
      <c r="WGQ436" s="120"/>
      <c r="WGR436" s="120"/>
      <c r="WGS436" s="120"/>
      <c r="WGT436" s="120"/>
      <c r="WGU436" s="120"/>
      <c r="WGV436" s="120"/>
      <c r="WGW436" s="120"/>
      <c r="WGX436" s="120"/>
      <c r="WGY436" s="120"/>
      <c r="WGZ436" s="120"/>
      <c r="WHA436" s="120"/>
      <c r="WHB436" s="120"/>
      <c r="WHC436" s="120"/>
      <c r="WHD436" s="120"/>
      <c r="WHE436" s="120"/>
      <c r="WHF436" s="120"/>
      <c r="WHG436" s="120"/>
      <c r="WHH436" s="120"/>
      <c r="WHI436" s="120"/>
      <c r="WHJ436" s="120"/>
      <c r="WHK436" s="120"/>
      <c r="WHL436" s="120"/>
      <c r="WHM436" s="120"/>
      <c r="WHN436" s="120"/>
      <c r="WHO436" s="120"/>
      <c r="WHP436" s="120"/>
      <c r="WHQ436" s="120"/>
      <c r="WHR436" s="120"/>
      <c r="WHS436" s="120"/>
      <c r="WHT436" s="120"/>
      <c r="WHU436" s="120"/>
      <c r="WHV436" s="120"/>
      <c r="WHW436" s="120"/>
      <c r="WHX436" s="120"/>
      <c r="WHY436" s="120"/>
      <c r="WHZ436" s="120"/>
      <c r="WIA436" s="120"/>
      <c r="WIB436" s="120"/>
      <c r="WIC436" s="120"/>
      <c r="WID436" s="120"/>
      <c r="WIE436" s="120"/>
      <c r="WIF436" s="120"/>
      <c r="WIG436" s="120"/>
      <c r="WIH436" s="120"/>
      <c r="WII436" s="120"/>
      <c r="WIJ436" s="120"/>
      <c r="WIK436" s="120"/>
      <c r="WIL436" s="120"/>
      <c r="WIM436" s="120"/>
      <c r="WIN436" s="120"/>
      <c r="WIO436" s="120"/>
      <c r="WIP436" s="120"/>
      <c r="WIQ436" s="120"/>
      <c r="WIR436" s="120"/>
      <c r="WIS436" s="120"/>
      <c r="WIT436" s="120"/>
      <c r="WIU436" s="120"/>
      <c r="WIV436" s="120"/>
      <c r="WIW436" s="120"/>
      <c r="WIX436" s="120"/>
      <c r="WIY436" s="120"/>
      <c r="WIZ436" s="120"/>
      <c r="WJA436" s="120"/>
      <c r="WJB436" s="120"/>
      <c r="WJC436" s="120"/>
      <c r="WJD436" s="120"/>
      <c r="WJE436" s="120"/>
      <c r="WJF436" s="120"/>
      <c r="WJG436" s="120"/>
      <c r="WJH436" s="120"/>
      <c r="WJI436" s="120"/>
      <c r="WJJ436" s="120"/>
      <c r="WJK436" s="120"/>
      <c r="WJL436" s="120"/>
      <c r="WJM436" s="120"/>
      <c r="WJN436" s="120"/>
      <c r="WJO436" s="120"/>
      <c r="WJP436" s="120"/>
      <c r="WJQ436" s="120"/>
      <c r="WJR436" s="120"/>
      <c r="WJS436" s="120"/>
      <c r="WJT436" s="120"/>
      <c r="WJU436" s="120"/>
      <c r="WJV436" s="120"/>
      <c r="WJW436" s="120"/>
      <c r="WJX436" s="120"/>
      <c r="WJY436" s="120"/>
      <c r="WJZ436" s="120"/>
      <c r="WKA436" s="120"/>
      <c r="WKB436" s="120"/>
      <c r="WKC436" s="120"/>
      <c r="WKD436" s="120"/>
      <c r="WKE436" s="120"/>
      <c r="WKF436" s="120"/>
      <c r="WKG436" s="120"/>
      <c r="WKH436" s="120"/>
      <c r="WKI436" s="120"/>
      <c r="WKJ436" s="120"/>
      <c r="WKK436" s="120"/>
      <c r="WKL436" s="120"/>
      <c r="WKM436" s="120"/>
      <c r="WKN436" s="120"/>
      <c r="WKO436" s="120"/>
      <c r="WKP436" s="120"/>
      <c r="WKQ436" s="120"/>
      <c r="WKR436" s="120"/>
      <c r="WKS436" s="120"/>
      <c r="WKT436" s="120"/>
      <c r="WKU436" s="120"/>
      <c r="WKV436" s="120"/>
      <c r="WKW436" s="120"/>
      <c r="WKX436" s="120"/>
      <c r="WKY436" s="120"/>
      <c r="WKZ436" s="120"/>
      <c r="WLA436" s="120"/>
      <c r="WLB436" s="120"/>
      <c r="WLC436" s="120"/>
      <c r="WLD436" s="120"/>
      <c r="WLE436" s="120"/>
      <c r="WLF436" s="120"/>
      <c r="WLG436" s="120"/>
      <c r="WLH436" s="120"/>
      <c r="WLI436" s="120"/>
      <c r="WLJ436" s="120"/>
      <c r="WLK436" s="120"/>
      <c r="WLL436" s="120"/>
      <c r="WLM436" s="120"/>
      <c r="WLN436" s="120"/>
      <c r="WLO436" s="120"/>
      <c r="WLP436" s="120"/>
      <c r="WLQ436" s="120"/>
      <c r="WLR436" s="120"/>
      <c r="WLS436" s="120"/>
      <c r="WLT436" s="120"/>
      <c r="WLU436" s="120"/>
      <c r="WLV436" s="120"/>
      <c r="WLW436" s="120"/>
      <c r="WLX436" s="120"/>
      <c r="WLY436" s="120"/>
      <c r="WLZ436" s="120"/>
      <c r="WMA436" s="120"/>
      <c r="WMB436" s="120"/>
      <c r="WMC436" s="120"/>
      <c r="WMD436" s="120"/>
      <c r="WME436" s="120"/>
      <c r="WMF436" s="120"/>
      <c r="WMG436" s="120"/>
      <c r="WMH436" s="120"/>
      <c r="WMI436" s="120"/>
      <c r="WMJ436" s="120"/>
      <c r="WMK436" s="120"/>
      <c r="WML436" s="120"/>
      <c r="WMM436" s="120"/>
      <c r="WMN436" s="120"/>
      <c r="WMO436" s="120"/>
      <c r="WMP436" s="120"/>
      <c r="WMQ436" s="120"/>
      <c r="WMR436" s="120"/>
      <c r="WMS436" s="120"/>
      <c r="WMT436" s="120"/>
      <c r="WMU436" s="120"/>
      <c r="WMV436" s="120"/>
      <c r="WMW436" s="120"/>
      <c r="WMX436" s="120"/>
      <c r="WMY436" s="120"/>
      <c r="WMZ436" s="120"/>
      <c r="WNA436" s="120"/>
      <c r="WNB436" s="120"/>
      <c r="WNC436" s="120"/>
      <c r="WND436" s="120"/>
      <c r="WNE436" s="120"/>
      <c r="WNF436" s="120"/>
      <c r="WNG436" s="120"/>
      <c r="WNH436" s="120"/>
      <c r="WNI436" s="120"/>
      <c r="WNJ436" s="120"/>
      <c r="WNK436" s="120"/>
      <c r="WNL436" s="120"/>
      <c r="WNM436" s="120"/>
      <c r="WNN436" s="120"/>
      <c r="WNO436" s="120"/>
      <c r="WNP436" s="120"/>
      <c r="WNQ436" s="120"/>
      <c r="WNR436" s="120"/>
      <c r="WNS436" s="120"/>
      <c r="WNT436" s="120"/>
      <c r="WNU436" s="120"/>
      <c r="WNV436" s="120"/>
      <c r="WNW436" s="120"/>
      <c r="WNX436" s="120"/>
      <c r="WNY436" s="120"/>
      <c r="WNZ436" s="120"/>
      <c r="WOA436" s="120"/>
      <c r="WOB436" s="120"/>
      <c r="WOC436" s="120"/>
      <c r="WOD436" s="120"/>
      <c r="WOE436" s="120"/>
      <c r="WOF436" s="120"/>
      <c r="WOG436" s="120"/>
      <c r="WOH436" s="120"/>
      <c r="WOI436" s="120"/>
      <c r="WOJ436" s="120"/>
      <c r="WOK436" s="120"/>
      <c r="WOL436" s="120"/>
      <c r="WOM436" s="120"/>
      <c r="WON436" s="120"/>
      <c r="WOO436" s="120"/>
      <c r="WOP436" s="120"/>
      <c r="WOQ436" s="120"/>
      <c r="WOR436" s="120"/>
      <c r="WOS436" s="120"/>
      <c r="WOT436" s="120"/>
      <c r="WOU436" s="120"/>
      <c r="WOV436" s="120"/>
      <c r="WOW436" s="120"/>
      <c r="WOX436" s="120"/>
      <c r="WOY436" s="120"/>
      <c r="WOZ436" s="120"/>
      <c r="WPA436" s="120"/>
      <c r="WPB436" s="120"/>
      <c r="WPC436" s="120"/>
      <c r="WPD436" s="120"/>
      <c r="WPE436" s="120"/>
      <c r="WPF436" s="120"/>
      <c r="WPG436" s="120"/>
      <c r="WPH436" s="120"/>
      <c r="WPI436" s="120"/>
      <c r="WPJ436" s="120"/>
      <c r="WPK436" s="120"/>
      <c r="WPL436" s="120"/>
      <c r="WPM436" s="120"/>
      <c r="WPN436" s="120"/>
      <c r="WPO436" s="120"/>
      <c r="WPP436" s="120"/>
      <c r="WPQ436" s="120"/>
      <c r="WPR436" s="120"/>
      <c r="WPS436" s="120"/>
      <c r="WPT436" s="120"/>
      <c r="WPU436" s="120"/>
      <c r="WPV436" s="120"/>
      <c r="WPW436" s="120"/>
      <c r="WPX436" s="120"/>
      <c r="WPY436" s="120"/>
      <c r="WPZ436" s="120"/>
      <c r="WQA436" s="120"/>
      <c r="WQB436" s="120"/>
      <c r="WQC436" s="120"/>
      <c r="WQD436" s="120"/>
      <c r="WQE436" s="120"/>
      <c r="WQF436" s="120"/>
      <c r="WQG436" s="120"/>
      <c r="WQH436" s="120"/>
      <c r="WQI436" s="120"/>
      <c r="WQJ436" s="120"/>
      <c r="WQK436" s="120"/>
      <c r="WQL436" s="120"/>
      <c r="WQM436" s="120"/>
      <c r="WQN436" s="120"/>
      <c r="WQO436" s="120"/>
      <c r="WQP436" s="120"/>
      <c r="WQQ436" s="120"/>
      <c r="WQR436" s="120"/>
      <c r="WQS436" s="120"/>
      <c r="WQT436" s="120"/>
      <c r="WQU436" s="120"/>
      <c r="WQV436" s="120"/>
      <c r="WQW436" s="120"/>
      <c r="WQX436" s="120"/>
      <c r="WQY436" s="120"/>
      <c r="WQZ436" s="120"/>
      <c r="WRA436" s="120"/>
      <c r="WRB436" s="120"/>
      <c r="WRC436" s="120"/>
      <c r="WRD436" s="120"/>
      <c r="WRE436" s="120"/>
      <c r="WRF436" s="120"/>
      <c r="WRG436" s="120"/>
      <c r="WRH436" s="120"/>
      <c r="WRI436" s="120"/>
      <c r="WRJ436" s="120"/>
      <c r="WRK436" s="120"/>
      <c r="WRL436" s="120"/>
      <c r="WRM436" s="120"/>
      <c r="WRN436" s="120"/>
      <c r="WRO436" s="120"/>
      <c r="WRP436" s="120"/>
      <c r="WRQ436" s="120"/>
      <c r="WRR436" s="120"/>
      <c r="WRS436" s="120"/>
      <c r="WRT436" s="120"/>
      <c r="WRU436" s="120"/>
      <c r="WRV436" s="120"/>
      <c r="WRW436" s="120"/>
      <c r="WRX436" s="120"/>
      <c r="WRY436" s="120"/>
      <c r="WRZ436" s="120"/>
      <c r="WSA436" s="120"/>
      <c r="WSB436" s="120"/>
      <c r="WSC436" s="120"/>
      <c r="WSD436" s="120"/>
      <c r="WSE436" s="120"/>
      <c r="WSF436" s="120"/>
      <c r="WSG436" s="120"/>
      <c r="WSH436" s="120"/>
      <c r="WSI436" s="120"/>
      <c r="WSJ436" s="120"/>
      <c r="WSK436" s="120"/>
      <c r="WSL436" s="120"/>
      <c r="WSM436" s="120"/>
      <c r="WSN436" s="120"/>
      <c r="WSO436" s="120"/>
      <c r="WSP436" s="120"/>
      <c r="WSQ436" s="120"/>
      <c r="WSR436" s="120"/>
      <c r="WSS436" s="120"/>
      <c r="WST436" s="120"/>
      <c r="WSU436" s="120"/>
      <c r="WSV436" s="120"/>
      <c r="WSW436" s="120"/>
      <c r="WSX436" s="120"/>
      <c r="WSY436" s="120"/>
      <c r="WSZ436" s="120"/>
      <c r="WTA436" s="120"/>
      <c r="WTB436" s="120"/>
      <c r="WTC436" s="120"/>
      <c r="WTD436" s="120"/>
      <c r="WTE436" s="120"/>
      <c r="WTF436" s="120"/>
      <c r="WTG436" s="120"/>
      <c r="WTH436" s="120"/>
      <c r="WTI436" s="120"/>
      <c r="WTJ436" s="120"/>
      <c r="WTK436" s="120"/>
      <c r="WTL436" s="120"/>
      <c r="WTM436" s="120"/>
      <c r="WTN436" s="120"/>
      <c r="WTO436" s="120"/>
      <c r="WTP436" s="120"/>
      <c r="WTQ436" s="120"/>
      <c r="WTR436" s="120"/>
      <c r="WTS436" s="120"/>
      <c r="WTT436" s="120"/>
      <c r="WTU436" s="120"/>
      <c r="WTV436" s="120"/>
      <c r="WTW436" s="120"/>
      <c r="WTX436" s="120"/>
      <c r="WTY436" s="120"/>
      <c r="WTZ436" s="120"/>
      <c r="WUA436" s="120"/>
      <c r="WUB436" s="120"/>
      <c r="WUC436" s="120"/>
      <c r="WUD436" s="120"/>
      <c r="WUE436" s="120"/>
      <c r="WUF436" s="120"/>
      <c r="WUG436" s="120"/>
      <c r="WUH436" s="120"/>
      <c r="WUI436" s="120"/>
      <c r="WUJ436" s="120"/>
      <c r="WUK436" s="120"/>
      <c r="WUL436" s="120"/>
      <c r="WUM436" s="120"/>
      <c r="WUN436" s="120"/>
      <c r="WUO436" s="120"/>
      <c r="WUP436" s="120"/>
      <c r="WUQ436" s="120"/>
      <c r="WUR436" s="120"/>
      <c r="WUS436" s="120"/>
      <c r="WUT436" s="120"/>
      <c r="WUU436" s="120"/>
      <c r="WUV436" s="120"/>
      <c r="WUW436" s="120"/>
      <c r="WUX436" s="120"/>
      <c r="WUY436" s="120"/>
      <c r="WUZ436" s="120"/>
      <c r="WVA436" s="120"/>
      <c r="WVB436" s="120"/>
      <c r="WVC436" s="120"/>
      <c r="WVD436" s="120"/>
      <c r="WVE436" s="120"/>
      <c r="WVF436" s="120"/>
      <c r="WVG436" s="120"/>
      <c r="WVH436" s="120"/>
      <c r="WVI436" s="120"/>
      <c r="WVJ436" s="120"/>
      <c r="WVK436" s="120"/>
      <c r="WVL436" s="120"/>
      <c r="WVM436" s="120"/>
      <c r="WVN436" s="120"/>
      <c r="WVO436" s="120"/>
      <c r="WVP436" s="120"/>
      <c r="WVQ436" s="120"/>
      <c r="WVR436" s="120"/>
      <c r="WVS436" s="120"/>
      <c r="WVT436" s="120"/>
      <c r="WVU436" s="120"/>
      <c r="WVV436" s="120"/>
      <c r="WVW436" s="120"/>
      <c r="WVX436" s="120"/>
      <c r="WVY436" s="120"/>
      <c r="WVZ436" s="120"/>
      <c r="WWA436" s="120"/>
      <c r="WWB436" s="120"/>
      <c r="WWC436" s="120"/>
      <c r="WWD436" s="120"/>
      <c r="WWE436" s="120"/>
      <c r="WWF436" s="120"/>
      <c r="WWG436" s="120"/>
      <c r="WWH436" s="120"/>
      <c r="WWI436" s="120"/>
      <c r="WWJ436" s="120"/>
      <c r="WWK436" s="120"/>
      <c r="WWL436" s="120"/>
      <c r="WWM436" s="120"/>
      <c r="WWN436" s="120"/>
      <c r="WWO436" s="120"/>
      <c r="WWP436" s="120"/>
      <c r="WWQ436" s="120"/>
      <c r="WWR436" s="120"/>
      <c r="WWS436" s="120"/>
      <c r="WWT436" s="120"/>
      <c r="WWU436" s="120"/>
      <c r="WWV436" s="120"/>
      <c r="WWW436" s="120"/>
      <c r="WWX436" s="120"/>
      <c r="WWY436" s="120"/>
      <c r="WWZ436" s="120"/>
      <c r="WXA436" s="120"/>
      <c r="WXB436" s="120"/>
      <c r="WXC436" s="120"/>
      <c r="WXD436" s="120"/>
      <c r="WXE436" s="120"/>
      <c r="WXF436" s="120"/>
      <c r="WXG436" s="120"/>
      <c r="WXH436" s="120"/>
      <c r="WXI436" s="120"/>
      <c r="WXJ436" s="120"/>
      <c r="WXK436" s="120"/>
      <c r="WXL436" s="120"/>
      <c r="WXM436" s="120"/>
      <c r="WXN436" s="120"/>
      <c r="WXO436" s="120"/>
      <c r="WXP436" s="120"/>
      <c r="WXQ436" s="120"/>
      <c r="WXR436" s="120"/>
      <c r="WXS436" s="120"/>
      <c r="WXT436" s="120"/>
      <c r="WXU436" s="120"/>
      <c r="WXV436" s="120"/>
      <c r="WXW436" s="120"/>
      <c r="WXX436" s="120"/>
      <c r="WXY436" s="120"/>
      <c r="WXZ436" s="120"/>
      <c r="WYA436" s="120"/>
      <c r="WYB436" s="120"/>
      <c r="WYC436" s="120"/>
      <c r="WYD436" s="120"/>
      <c r="WYE436" s="120"/>
      <c r="WYF436" s="120"/>
      <c r="WYG436" s="120"/>
      <c r="WYH436" s="120"/>
      <c r="WYI436" s="120"/>
      <c r="WYJ436" s="120"/>
      <c r="WYK436" s="120"/>
      <c r="WYL436" s="120"/>
      <c r="WYM436" s="120"/>
      <c r="WYN436" s="120"/>
      <c r="WYO436" s="120"/>
      <c r="WYP436" s="120"/>
      <c r="WYQ436" s="120"/>
      <c r="WYR436" s="120"/>
      <c r="WYS436" s="120"/>
      <c r="WYT436" s="120"/>
      <c r="WYU436" s="120"/>
      <c r="WYV436" s="120"/>
      <c r="WYW436" s="120"/>
      <c r="WYX436" s="120"/>
      <c r="WYY436" s="120"/>
      <c r="WYZ436" s="120"/>
      <c r="WZA436" s="120"/>
      <c r="WZB436" s="120"/>
      <c r="WZC436" s="120"/>
      <c r="WZD436" s="120"/>
      <c r="WZE436" s="120"/>
      <c r="WZF436" s="120"/>
      <c r="WZG436" s="120"/>
      <c r="WZH436" s="120"/>
      <c r="WZI436" s="120"/>
      <c r="WZJ436" s="120"/>
      <c r="WZK436" s="120"/>
      <c r="WZL436" s="120"/>
      <c r="WZM436" s="120"/>
      <c r="WZN436" s="120"/>
      <c r="WZO436" s="120"/>
      <c r="WZP436" s="120"/>
      <c r="WZQ436" s="120"/>
      <c r="WZR436" s="120"/>
      <c r="WZS436" s="120"/>
      <c r="WZT436" s="120"/>
      <c r="WZU436" s="120"/>
      <c r="WZV436" s="120"/>
      <c r="WZW436" s="120"/>
      <c r="WZX436" s="120"/>
      <c r="WZY436" s="120"/>
      <c r="WZZ436" s="120"/>
      <c r="XAA436" s="120"/>
      <c r="XAB436" s="120"/>
      <c r="XAC436" s="120"/>
      <c r="XAD436" s="120"/>
      <c r="XAE436" s="120"/>
      <c r="XAF436" s="120"/>
      <c r="XAG436" s="120"/>
      <c r="XAH436" s="120"/>
      <c r="XAI436" s="120"/>
      <c r="XAJ436" s="120"/>
      <c r="XAK436" s="120"/>
      <c r="XAL436" s="120"/>
      <c r="XAM436" s="120"/>
      <c r="XAN436" s="120"/>
      <c r="XAO436" s="120"/>
      <c r="XAP436" s="120"/>
      <c r="XAQ436" s="120"/>
      <c r="XAR436" s="120"/>
      <c r="XAS436" s="120"/>
      <c r="XAT436" s="120"/>
      <c r="XAU436" s="120"/>
      <c r="XAV436" s="120"/>
      <c r="XAW436" s="120"/>
      <c r="XAX436" s="120"/>
      <c r="XAY436" s="120"/>
      <c r="XAZ436" s="120"/>
      <c r="XBA436" s="120"/>
      <c r="XBB436" s="120"/>
      <c r="XBC436" s="120"/>
      <c r="XBD436" s="120"/>
      <c r="XBE436" s="120"/>
      <c r="XBF436" s="120"/>
      <c r="XBG436" s="120"/>
      <c r="XBH436" s="120"/>
      <c r="XBI436" s="120"/>
      <c r="XBJ436" s="120"/>
      <c r="XBK436" s="120"/>
      <c r="XBL436" s="120"/>
      <c r="XBM436" s="120"/>
      <c r="XBN436" s="120"/>
      <c r="XBO436" s="120"/>
      <c r="XBP436" s="120"/>
      <c r="XBQ436" s="120"/>
      <c r="XBR436" s="120"/>
      <c r="XBS436" s="120"/>
      <c r="XBT436" s="120"/>
      <c r="XBU436" s="120"/>
      <c r="XBV436" s="120"/>
      <c r="XBW436" s="120"/>
      <c r="XBX436" s="120"/>
      <c r="XBY436" s="120"/>
      <c r="XBZ436" s="120"/>
      <c r="XCA436" s="120"/>
      <c r="XCB436" s="120"/>
      <c r="XCC436" s="120"/>
      <c r="XCD436" s="120"/>
      <c r="XCE436" s="120"/>
      <c r="XCF436" s="120"/>
      <c r="XCG436" s="120"/>
      <c r="XCH436" s="120"/>
      <c r="XCI436" s="120"/>
      <c r="XCJ436" s="120"/>
      <c r="XCK436" s="120"/>
      <c r="XCL436" s="120"/>
      <c r="XCM436" s="120"/>
      <c r="XCN436" s="120"/>
      <c r="XCO436" s="120"/>
      <c r="XCP436" s="120"/>
      <c r="XCQ436" s="120"/>
      <c r="XCR436" s="120"/>
      <c r="XCS436" s="120"/>
      <c r="XCT436" s="120"/>
      <c r="XCU436" s="120"/>
      <c r="XCV436" s="120"/>
      <c r="XCW436" s="120"/>
      <c r="XCX436" s="120"/>
      <c r="XCY436" s="120"/>
      <c r="XCZ436" s="120"/>
      <c r="XDA436" s="120"/>
      <c r="XDB436" s="120"/>
      <c r="XDC436" s="120"/>
      <c r="XDD436" s="120"/>
      <c r="XDE436" s="120"/>
      <c r="XDF436" s="120"/>
      <c r="XDG436" s="120"/>
      <c r="XDH436" s="120"/>
      <c r="XDI436" s="120"/>
      <c r="XDJ436" s="120"/>
      <c r="XDK436" s="120"/>
      <c r="XDL436" s="120"/>
      <c r="XDM436" s="120"/>
      <c r="XDN436" s="120"/>
      <c r="XDO436" s="120"/>
      <c r="XDP436" s="120"/>
      <c r="XDQ436" s="120"/>
      <c r="XDR436" s="120"/>
      <c r="XDS436" s="120"/>
      <c r="XDT436" s="120"/>
      <c r="XDU436" s="120"/>
      <c r="XDV436" s="120"/>
      <c r="XDW436" s="120"/>
      <c r="XDX436" s="120"/>
      <c r="XDY436" s="120"/>
      <c r="XDZ436" s="120"/>
      <c r="XEA436" s="120"/>
      <c r="XEB436" s="120"/>
      <c r="XEC436" s="120"/>
      <c r="XED436" s="120"/>
      <c r="XEE436" s="120"/>
      <c r="XEF436" s="120"/>
      <c r="XEG436" s="120"/>
      <c r="XEH436" s="120"/>
      <c r="XEI436" s="120"/>
      <c r="XEJ436" s="120"/>
      <c r="XEK436" s="120"/>
      <c r="XEL436" s="120"/>
      <c r="XEM436" s="120"/>
      <c r="XEN436" s="120"/>
      <c r="XEO436" s="120"/>
      <c r="XEP436" s="120"/>
      <c r="XEQ436" s="120"/>
      <c r="XER436" s="120"/>
      <c r="XES436" s="120"/>
      <c r="XET436" s="120"/>
      <c r="XEU436" s="120"/>
      <c r="XEV436" s="120"/>
      <c r="XEW436" s="120"/>
      <c r="XEX436" s="120"/>
      <c r="XEY436" s="120"/>
      <c r="XEZ436" s="120"/>
      <c r="XFA436" s="120"/>
      <c r="XFB436" s="120"/>
      <c r="XFC436" s="120"/>
    </row>
    <row r="437" spans="1:1638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row>
    <row r="438" spans="1:16383">
      <c r="A438" s="3"/>
      <c r="B438" s="2" t="s">
        <v>194</v>
      </c>
      <c r="C438" s="2"/>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row>
    <row r="439" spans="1:16383">
      <c r="A439" s="3"/>
      <c r="B439" s="3" t="s">
        <v>199</v>
      </c>
      <c r="C439" s="3"/>
      <c r="D439" s="121"/>
      <c r="E439" s="122">
        <f t="shared" ref="E439:AJ439" si="0">1+E13</f>
        <v>1.0908300738809213</v>
      </c>
      <c r="F439" s="122">
        <f t="shared" si="0"/>
        <v>1.0362549800796814</v>
      </c>
      <c r="G439" s="122">
        <f t="shared" si="0"/>
        <v>1.0353710111495578</v>
      </c>
      <c r="H439" s="122">
        <f t="shared" si="0"/>
        <v>1.0631266245822504</v>
      </c>
      <c r="I439" s="122">
        <f t="shared" si="0"/>
        <v>1.0911631156129933</v>
      </c>
      <c r="J439" s="122">
        <f t="shared" si="0"/>
        <v>1.0963508322663253</v>
      </c>
      <c r="K439" s="122">
        <f t="shared" si="0"/>
        <v>1</v>
      </c>
      <c r="L439" s="122">
        <f t="shared" si="0"/>
        <v>1</v>
      </c>
      <c r="M439" s="122">
        <f t="shared" si="0"/>
        <v>1.04</v>
      </c>
      <c r="N439" s="122">
        <f t="shared" si="0"/>
        <v>1.0190903986524424</v>
      </c>
      <c r="O439" s="122">
        <f t="shared" si="0"/>
        <v>1.0190082644628098</v>
      </c>
      <c r="P439" s="122">
        <f t="shared" si="0"/>
        <v>1.064882400648824</v>
      </c>
      <c r="Q439" s="122">
        <f t="shared" si="0"/>
        <v>1.0172632647880173</v>
      </c>
      <c r="R439" s="122">
        <f t="shared" si="0"/>
        <v>1.0084851509857751</v>
      </c>
      <c r="S439" s="122">
        <f t="shared" si="0"/>
        <v>1.0254887404107893</v>
      </c>
      <c r="T439" s="122">
        <f t="shared" si="0"/>
        <v>1.0166505791505793</v>
      </c>
      <c r="U439" s="122">
        <f t="shared" si="0"/>
        <v>1.0192262046047946</v>
      </c>
      <c r="V439" s="122">
        <f t="shared" si="0"/>
        <v>1.0381928272007452</v>
      </c>
      <c r="W439" s="122">
        <f t="shared" si="0"/>
        <v>1.0189999999999999</v>
      </c>
      <c r="X439" s="122">
        <f t="shared" si="0"/>
        <v>1.0840000000000001</v>
      </c>
      <c r="Y439" s="122">
        <f t="shared" si="0"/>
        <v>1.0429999999999999</v>
      </c>
      <c r="Z439" s="122">
        <f t="shared" si="0"/>
        <v>1.0580000000000001</v>
      </c>
      <c r="AA439" s="122">
        <f t="shared" si="0"/>
        <v>1.0389999999999999</v>
      </c>
      <c r="AB439" s="122">
        <f t="shared" si="0"/>
        <v>1.0329999999999999</v>
      </c>
      <c r="AC439" s="122">
        <f t="shared" si="0"/>
        <v>1.069</v>
      </c>
      <c r="AD439" s="122">
        <f t="shared" si="0"/>
        <v>1.054</v>
      </c>
      <c r="AE439" s="122">
        <f t="shared" si="0"/>
        <v>1.0760000000000001</v>
      </c>
      <c r="AF439" s="122">
        <f t="shared" si="0"/>
        <v>1.0740000000000001</v>
      </c>
      <c r="AG439" s="122">
        <f t="shared" si="0"/>
        <v>1.081</v>
      </c>
      <c r="AH439" s="122">
        <f t="shared" si="0"/>
        <v>1.0980000000000001</v>
      </c>
      <c r="AI439" s="122">
        <f t="shared" si="0"/>
        <v>1.107</v>
      </c>
      <c r="AJ439" s="122">
        <f t="shared" si="0"/>
        <v>1.083</v>
      </c>
      <c r="AK439" s="122">
        <f t="shared" ref="AK439:BP439" si="1">1+AK13</f>
        <v>1.0680000000000001</v>
      </c>
      <c r="AL439" s="122">
        <f t="shared" si="1"/>
        <v>1.042</v>
      </c>
      <c r="AM439" s="122">
        <f t="shared" si="1"/>
        <v>1.038</v>
      </c>
      <c r="AN439" s="122">
        <f t="shared" si="1"/>
        <v>1.071</v>
      </c>
      <c r="AO439" s="122">
        <f t="shared" si="1"/>
        <v>1.0640000000000001</v>
      </c>
      <c r="AP439" s="122">
        <f t="shared" si="1"/>
        <v>1.0589999999999999</v>
      </c>
      <c r="AQ439" s="122">
        <f t="shared" si="1"/>
        <v>1.026</v>
      </c>
      <c r="AR439" s="122">
        <f t="shared" si="1"/>
        <v>1.028</v>
      </c>
      <c r="AS439" s="122">
        <f t="shared" si="1"/>
        <v>1.0229999999999999</v>
      </c>
      <c r="AT439" s="122">
        <f t="shared" si="1"/>
        <v>0.995</v>
      </c>
      <c r="AU439" s="122">
        <f t="shared" si="1"/>
        <v>1.002</v>
      </c>
      <c r="AV439" s="122">
        <f t="shared" si="1"/>
        <v>1.0089999999999999</v>
      </c>
      <c r="AW439" s="122">
        <f t="shared" si="1"/>
        <v>1.0109999999999999</v>
      </c>
      <c r="AX439" s="122">
        <f t="shared" si="1"/>
        <v>1.024</v>
      </c>
      <c r="AY439" s="122">
        <f t="shared" si="1"/>
        <v>1.046</v>
      </c>
      <c r="AZ439" s="122">
        <f t="shared" si="1"/>
        <v>1.0349999999999999</v>
      </c>
      <c r="BA439" s="122">
        <f t="shared" si="1"/>
        <v>1.02</v>
      </c>
      <c r="BB439" s="122">
        <f t="shared" si="1"/>
        <v>1.026</v>
      </c>
      <c r="BC439" s="122">
        <f t="shared" si="1"/>
        <v>1.0149999999999999</v>
      </c>
      <c r="BD439" s="122">
        <f t="shared" si="1"/>
        <v>1.0189999999999999</v>
      </c>
      <c r="BE439" s="122">
        <f t="shared" si="1"/>
        <v>1.026</v>
      </c>
      <c r="BF439" s="122">
        <f t="shared" si="1"/>
        <v>1.0169999999999999</v>
      </c>
      <c r="BG439" s="122">
        <f t="shared" si="1"/>
        <v>1.026</v>
      </c>
      <c r="BH439" s="122">
        <f t="shared" si="1"/>
        <v>1.0249999999999999</v>
      </c>
      <c r="BI439" s="122">
        <f t="shared" si="1"/>
        <v>1.0469999999999999</v>
      </c>
      <c r="BJ439" s="122">
        <f t="shared" si="1"/>
        <v>1.0329999999999999</v>
      </c>
      <c r="BK439" s="122">
        <f t="shared" si="1"/>
        <v>1.0209999999999999</v>
      </c>
      <c r="BL439" s="122">
        <f t="shared" si="1"/>
        <v>1.0109999999999999</v>
      </c>
      <c r="BM439" s="122">
        <f t="shared" si="1"/>
        <v>1.018</v>
      </c>
      <c r="BN439" s="122">
        <f t="shared" si="1"/>
        <v>1.014</v>
      </c>
      <c r="BO439" s="122">
        <f t="shared" si="1"/>
        <v>1.0109999999999999</v>
      </c>
      <c r="BP439" s="122">
        <f t="shared" si="1"/>
        <v>1.032</v>
      </c>
      <c r="BQ439" s="122">
        <f t="shared" ref="BQ439:CG439" si="2">1+BQ13</f>
        <v>1.0029999999999999</v>
      </c>
      <c r="BR439" s="122">
        <f t="shared" si="2"/>
        <v>1.0149999999999999</v>
      </c>
      <c r="BS439" s="122">
        <f t="shared" si="2"/>
        <v>1.026</v>
      </c>
      <c r="BT439" s="122">
        <f t="shared" si="2"/>
        <v>1.0229999999999999</v>
      </c>
      <c r="BU439" s="122">
        <f t="shared" si="2"/>
        <v>1.028</v>
      </c>
      <c r="BV439" s="122">
        <f t="shared" si="2"/>
        <v>1.01</v>
      </c>
      <c r="BW439" s="122">
        <f t="shared" si="2"/>
        <v>1.008</v>
      </c>
      <c r="BX439" s="122">
        <f t="shared" si="2"/>
        <v>1.002</v>
      </c>
      <c r="BY439" s="122">
        <f t="shared" si="2"/>
        <v>1.014</v>
      </c>
      <c r="BZ439" s="122">
        <f t="shared" si="2"/>
        <v>1.012</v>
      </c>
      <c r="CA439" s="122">
        <f t="shared" si="2"/>
        <v>1.026</v>
      </c>
      <c r="CB439" s="122">
        <f t="shared" si="2"/>
        <v>1.016</v>
      </c>
      <c r="CC439" s="122">
        <f t="shared" si="2"/>
        <v>1.018</v>
      </c>
      <c r="CD439" s="122">
        <f t="shared" si="2"/>
        <v>1.0620000000000001</v>
      </c>
      <c r="CE439" s="122">
        <f t="shared" si="2"/>
        <v>1.08</v>
      </c>
      <c r="CF439" s="122">
        <f t="shared" si="2"/>
        <v>1.0169999999999999</v>
      </c>
      <c r="CG439" s="122">
        <f t="shared" si="2"/>
        <v>1.0169999999999999</v>
      </c>
    </row>
    <row r="440" spans="1:1638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row>
    <row r="441" spans="1:16383">
      <c r="A441" s="3"/>
      <c r="B441" s="2" t="s">
        <v>869</v>
      </c>
      <c r="C441" s="2"/>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row>
    <row r="442" spans="1:16383">
      <c r="A442" s="3"/>
      <c r="B442" s="123">
        <v>1946</v>
      </c>
      <c r="C442" s="123"/>
      <c r="D442" s="3"/>
      <c r="E442" s="124">
        <v>1</v>
      </c>
      <c r="F442" s="125">
        <f>E442*F$439</f>
        <v>1.0362549800796814</v>
      </c>
      <c r="G442" s="125">
        <f>F442*G$439</f>
        <v>1.0729083665338646</v>
      </c>
      <c r="H442" s="125">
        <f t="shared" ref="H442:W457" si="3">G442*H$439</f>
        <v>1.1406374501992034</v>
      </c>
      <c r="I442" s="125">
        <f t="shared" si="3"/>
        <v>1.2446215139442232</v>
      </c>
      <c r="J442" s="125">
        <f t="shared" si="3"/>
        <v>1.3645418326693228</v>
      </c>
      <c r="K442" s="125">
        <f t="shared" si="3"/>
        <v>1.3645418326693228</v>
      </c>
      <c r="L442" s="125">
        <f t="shared" si="3"/>
        <v>1.3645418326693228</v>
      </c>
      <c r="M442" s="125">
        <f t="shared" si="3"/>
        <v>1.4191235059760958</v>
      </c>
      <c r="N442" s="125">
        <f t="shared" si="3"/>
        <v>1.4462151394422313</v>
      </c>
      <c r="O442" s="125">
        <f t="shared" si="3"/>
        <v>1.4737051792828686</v>
      </c>
      <c r="P442" s="125">
        <f t="shared" si="3"/>
        <v>1.5693227091633466</v>
      </c>
      <c r="Q442" s="125">
        <f t="shared" si="3"/>
        <v>1.5964143426294821</v>
      </c>
      <c r="R442" s="125">
        <f t="shared" si="3"/>
        <v>1.6099601593625501</v>
      </c>
      <c r="S442" s="125">
        <f t="shared" si="3"/>
        <v>1.6509960159362551</v>
      </c>
      <c r="T442" s="125">
        <f t="shared" si="3"/>
        <v>1.6784860557768928</v>
      </c>
      <c r="U442" s="125">
        <f t="shared" si="3"/>
        <v>1.7107569721115541</v>
      </c>
      <c r="V442" s="125">
        <f t="shared" si="3"/>
        <v>1.7760956175298808</v>
      </c>
      <c r="W442" s="125">
        <f t="shared" si="3"/>
        <v>1.8098414342629483</v>
      </c>
      <c r="X442" s="125">
        <f t="shared" ref="X442:AM457" si="4">W442*X$439</f>
        <v>1.9618681147410362</v>
      </c>
      <c r="Y442" s="125">
        <f t="shared" si="4"/>
        <v>2.0462284436749005</v>
      </c>
      <c r="Z442" s="125">
        <f t="shared" si="4"/>
        <v>2.164909693408045</v>
      </c>
      <c r="AA442" s="125">
        <f t="shared" si="4"/>
        <v>2.2493411714509586</v>
      </c>
      <c r="AB442" s="125">
        <f t="shared" si="4"/>
        <v>2.3235694301088401</v>
      </c>
      <c r="AC442" s="125">
        <f t="shared" si="4"/>
        <v>2.4838957207863501</v>
      </c>
      <c r="AD442" s="125">
        <f t="shared" si="4"/>
        <v>2.6180260897088132</v>
      </c>
      <c r="AE442" s="125">
        <f t="shared" si="4"/>
        <v>2.8169960725266834</v>
      </c>
      <c r="AF442" s="125">
        <f>AE442*AF$439</f>
        <v>3.025453781893658</v>
      </c>
      <c r="AG442" s="125">
        <f t="shared" si="4"/>
        <v>3.2705155382270443</v>
      </c>
      <c r="AH442" s="125">
        <f t="shared" si="4"/>
        <v>3.5910260609732951</v>
      </c>
      <c r="AI442" s="125">
        <f t="shared" si="4"/>
        <v>3.9752658494974376</v>
      </c>
      <c r="AJ442" s="125">
        <f t="shared" si="4"/>
        <v>4.3052129150057246</v>
      </c>
      <c r="AK442" s="125">
        <f t="shared" si="4"/>
        <v>4.5979673932261145</v>
      </c>
      <c r="AL442" s="125">
        <f t="shared" si="4"/>
        <v>4.7910820237416116</v>
      </c>
      <c r="AM442" s="125">
        <f t="shared" si="4"/>
        <v>4.9731431406437929</v>
      </c>
      <c r="AN442" s="125">
        <f t="shared" ref="AN442:BC457" si="5">AM442*AN$439</f>
        <v>5.3262363036295017</v>
      </c>
      <c r="AO442" s="125">
        <f t="shared" si="5"/>
        <v>5.6671154270617903</v>
      </c>
      <c r="AP442" s="125">
        <f t="shared" si="5"/>
        <v>6.0014752372584352</v>
      </c>
      <c r="AQ442" s="125">
        <f t="shared" si="5"/>
        <v>6.1575135934271543</v>
      </c>
      <c r="AR442" s="125">
        <f t="shared" si="5"/>
        <v>6.3299239740431146</v>
      </c>
      <c r="AS442" s="125">
        <f t="shared" si="5"/>
        <v>6.4755122254461055</v>
      </c>
      <c r="AT442" s="125">
        <f t="shared" si="5"/>
        <v>6.4431346643188752</v>
      </c>
      <c r="AU442" s="125">
        <f t="shared" si="5"/>
        <v>6.4560209336475127</v>
      </c>
      <c r="AV442" s="125">
        <f t="shared" si="5"/>
        <v>6.5141251220503396</v>
      </c>
      <c r="AW442" s="125">
        <f t="shared" si="5"/>
        <v>6.5857804983928929</v>
      </c>
      <c r="AX442" s="125">
        <f t="shared" si="5"/>
        <v>6.7438392303543226</v>
      </c>
      <c r="AY442" s="125">
        <f t="shared" si="5"/>
        <v>7.0540558349506215</v>
      </c>
      <c r="AZ442" s="125">
        <f t="shared" si="5"/>
        <v>7.3009477891738923</v>
      </c>
      <c r="BA442" s="125">
        <f t="shared" si="5"/>
        <v>7.4469667449573702</v>
      </c>
      <c r="BB442" s="125">
        <f t="shared" si="5"/>
        <v>7.6405878803262617</v>
      </c>
      <c r="BC442" s="125">
        <f t="shared" si="5"/>
        <v>7.7551966985311545</v>
      </c>
      <c r="BD442" s="125">
        <f t="shared" ref="BD442:BS457" si="6">BC442*BD$439</f>
        <v>7.9025454358032459</v>
      </c>
      <c r="BE442" s="125">
        <f t="shared" si="6"/>
        <v>8.1080116171341299</v>
      </c>
      <c r="BF442" s="125">
        <f t="shared" si="6"/>
        <v>8.2458478146254102</v>
      </c>
      <c r="BG442" s="125">
        <f t="shared" si="6"/>
        <v>8.4602398578056714</v>
      </c>
      <c r="BH442" s="125">
        <f t="shared" si="6"/>
        <v>8.6717458542508119</v>
      </c>
      <c r="BI442" s="125">
        <f t="shared" si="6"/>
        <v>9.0793179094005989</v>
      </c>
      <c r="BJ442" s="125">
        <f t="shared" si="6"/>
        <v>9.3789354004108176</v>
      </c>
      <c r="BK442" s="125">
        <f t="shared" si="6"/>
        <v>9.5758930438194447</v>
      </c>
      <c r="BL442" s="125">
        <f t="shared" si="6"/>
        <v>9.6812278673014571</v>
      </c>
      <c r="BM442" s="125">
        <f t="shared" si="6"/>
        <v>9.8554899689128828</v>
      </c>
      <c r="BN442" s="125">
        <f t="shared" si="6"/>
        <v>9.9934668284776631</v>
      </c>
      <c r="BO442" s="125">
        <f t="shared" si="6"/>
        <v>10.103394963590917</v>
      </c>
      <c r="BP442" s="125">
        <f t="shared" si="6"/>
        <v>10.426703602425826</v>
      </c>
      <c r="BQ442" s="125">
        <f t="shared" si="6"/>
        <v>10.457983713233103</v>
      </c>
      <c r="BR442" s="125">
        <f t="shared" si="6"/>
        <v>10.614853468931599</v>
      </c>
      <c r="BS442" s="125">
        <f t="shared" si="6"/>
        <v>10.890839659123822</v>
      </c>
      <c r="BT442" s="125">
        <f t="shared" ref="BT442:CG457" si="7">BS442*BT$439</f>
        <v>11.141328971283668</v>
      </c>
      <c r="BU442" s="125">
        <f t="shared" si="7"/>
        <v>11.45328618247961</v>
      </c>
      <c r="BV442" s="125">
        <f t="shared" si="7"/>
        <v>11.567819044304407</v>
      </c>
      <c r="BW442" s="125">
        <f t="shared" si="7"/>
        <v>11.660361596658843</v>
      </c>
      <c r="BX442" s="125">
        <f t="shared" si="7"/>
        <v>11.683682319852162</v>
      </c>
      <c r="BY442" s="125">
        <f t="shared" si="7"/>
        <v>11.847253872330093</v>
      </c>
      <c r="BZ442" s="125">
        <f t="shared" si="7"/>
        <v>11.989420918798054</v>
      </c>
      <c r="CA442" s="125">
        <f t="shared" si="7"/>
        <v>12.301145862686804</v>
      </c>
      <c r="CB442" s="125">
        <f t="shared" si="7"/>
        <v>12.497964196489793</v>
      </c>
      <c r="CC442" s="125">
        <f t="shared" si="7"/>
        <v>12.72292755202661</v>
      </c>
      <c r="CD442" s="125">
        <f t="shared" si="7"/>
        <v>13.51174906025226</v>
      </c>
      <c r="CE442" s="125">
        <f t="shared" si="7"/>
        <v>14.592688985072442</v>
      </c>
      <c r="CF442" s="125">
        <f t="shared" si="7"/>
        <v>14.840764697818672</v>
      </c>
      <c r="CG442" s="125">
        <f t="shared" si="7"/>
        <v>15.093057697681589</v>
      </c>
    </row>
    <row r="443" spans="1:16383">
      <c r="A443" s="3"/>
      <c r="B443" s="123">
        <v>1947</v>
      </c>
      <c r="C443" s="123"/>
      <c r="D443" s="3"/>
      <c r="E443" s="126"/>
      <c r="F443" s="124">
        <v>1</v>
      </c>
      <c r="G443" s="125">
        <f>F443*G$439</f>
        <v>1.0353710111495578</v>
      </c>
      <c r="H443" s="125">
        <f t="shared" si="3"/>
        <v>1.1007304882737408</v>
      </c>
      <c r="I443" s="125">
        <f t="shared" si="3"/>
        <v>1.2010765090349864</v>
      </c>
      <c r="J443" s="125">
        <f t="shared" si="3"/>
        <v>1.3168012302960399</v>
      </c>
      <c r="K443" s="125">
        <f t="shared" si="3"/>
        <v>1.3168012302960399</v>
      </c>
      <c r="L443" s="125">
        <f t="shared" si="3"/>
        <v>1.3168012302960399</v>
      </c>
      <c r="M443" s="125">
        <f t="shared" si="3"/>
        <v>1.3694732795078814</v>
      </c>
      <c r="N443" s="125">
        <f t="shared" si="3"/>
        <v>1.3956170703575546</v>
      </c>
      <c r="O443" s="125">
        <f t="shared" si="3"/>
        <v>1.4221453287197228</v>
      </c>
      <c r="P443" s="125">
        <f t="shared" si="3"/>
        <v>1.5144175317185693</v>
      </c>
      <c r="Q443" s="125">
        <f t="shared" si="3"/>
        <v>1.5405613225682426</v>
      </c>
      <c r="R443" s="125">
        <f t="shared" si="3"/>
        <v>1.5536332179930794</v>
      </c>
      <c r="S443" s="125">
        <f t="shared" si="3"/>
        <v>1.5932333717800842</v>
      </c>
      <c r="T443" s="125">
        <f t="shared" si="3"/>
        <v>1.6197616301422528</v>
      </c>
      <c r="U443" s="125">
        <f t="shared" si="3"/>
        <v>1.6509034986543634</v>
      </c>
      <c r="V443" s="125">
        <f t="shared" si="3"/>
        <v>1.7139561707035753</v>
      </c>
      <c r="W443" s="125">
        <f t="shared" si="3"/>
        <v>1.7465213379469431</v>
      </c>
      <c r="X443" s="125">
        <f t="shared" si="4"/>
        <v>1.8932291303344864</v>
      </c>
      <c r="Y443" s="125">
        <f t="shared" si="4"/>
        <v>1.9746379829388692</v>
      </c>
      <c r="Z443" s="125">
        <f t="shared" si="4"/>
        <v>2.0891669859493236</v>
      </c>
      <c r="AA443" s="125">
        <f t="shared" si="4"/>
        <v>2.1706444984013471</v>
      </c>
      <c r="AB443" s="125">
        <f t="shared" si="4"/>
        <v>2.2422757668485915</v>
      </c>
      <c r="AC443" s="125">
        <f t="shared" si="4"/>
        <v>2.396992794761144</v>
      </c>
      <c r="AD443" s="125">
        <f t="shared" si="4"/>
        <v>2.5264304056782461</v>
      </c>
      <c r="AE443" s="125">
        <f t="shared" si="4"/>
        <v>2.718439116509793</v>
      </c>
      <c r="AF443" s="125">
        <f t="shared" si="4"/>
        <v>2.9196036111315178</v>
      </c>
      <c r="AG443" s="125">
        <f t="shared" si="4"/>
        <v>3.1560915036331707</v>
      </c>
      <c r="AH443" s="125">
        <f t="shared" si="4"/>
        <v>3.4653884709892218</v>
      </c>
      <c r="AI443" s="125">
        <f t="shared" si="4"/>
        <v>3.8361850373850683</v>
      </c>
      <c r="AJ443" s="125">
        <f t="shared" si="4"/>
        <v>4.1545883954880285</v>
      </c>
      <c r="AK443" s="125">
        <f t="shared" si="4"/>
        <v>4.4371004063812149</v>
      </c>
      <c r="AL443" s="125">
        <f t="shared" si="4"/>
        <v>4.6234586234492259</v>
      </c>
      <c r="AM443" s="125">
        <f t="shared" si="4"/>
        <v>4.7991500511402965</v>
      </c>
      <c r="AN443" s="125">
        <f t="shared" si="5"/>
        <v>5.1398897047712575</v>
      </c>
      <c r="AO443" s="125">
        <f t="shared" si="5"/>
        <v>5.4688426458766184</v>
      </c>
      <c r="AP443" s="125">
        <f t="shared" si="5"/>
        <v>5.7915043619833382</v>
      </c>
      <c r="AQ443" s="125">
        <f t="shared" si="5"/>
        <v>5.942083475394905</v>
      </c>
      <c r="AR443" s="125">
        <f t="shared" si="5"/>
        <v>6.1084618127059622</v>
      </c>
      <c r="AS443" s="125">
        <f t="shared" si="5"/>
        <v>6.2489564343981989</v>
      </c>
      <c r="AT443" s="125">
        <f t="shared" si="5"/>
        <v>6.2177116522262077</v>
      </c>
      <c r="AU443" s="125">
        <f t="shared" si="5"/>
        <v>6.2301470755306605</v>
      </c>
      <c r="AV443" s="125">
        <f t="shared" si="5"/>
        <v>6.2862183992104361</v>
      </c>
      <c r="AW443" s="125">
        <f t="shared" si="5"/>
        <v>6.3553668016017504</v>
      </c>
      <c r="AX443" s="125">
        <f t="shared" si="5"/>
        <v>6.5078956048401926</v>
      </c>
      <c r="AY443" s="125">
        <f t="shared" si="5"/>
        <v>6.807258802662842</v>
      </c>
      <c r="AZ443" s="125">
        <f t="shared" si="5"/>
        <v>7.0455128607560411</v>
      </c>
      <c r="BA443" s="125">
        <f t="shared" si="5"/>
        <v>7.1864231179711622</v>
      </c>
      <c r="BB443" s="125">
        <f t="shared" si="5"/>
        <v>7.3732701190384127</v>
      </c>
      <c r="BC443" s="125">
        <f t="shared" si="5"/>
        <v>7.4838691708239882</v>
      </c>
      <c r="BD443" s="125">
        <f t="shared" si="6"/>
        <v>7.6260626850696429</v>
      </c>
      <c r="BE443" s="125">
        <f t="shared" si="6"/>
        <v>7.8243403148814537</v>
      </c>
      <c r="BF443" s="125">
        <f t="shared" si="6"/>
        <v>7.9573541002344372</v>
      </c>
      <c r="BG443" s="125">
        <f t="shared" si="6"/>
        <v>8.1642453068405327</v>
      </c>
      <c r="BH443" s="125">
        <f t="shared" si="6"/>
        <v>8.3683514395115459</v>
      </c>
      <c r="BI443" s="125">
        <f t="shared" si="6"/>
        <v>8.7616639571685884</v>
      </c>
      <c r="BJ443" s="125">
        <f t="shared" si="6"/>
        <v>9.0507988677551516</v>
      </c>
      <c r="BK443" s="125">
        <f t="shared" si="6"/>
        <v>9.2408656439780081</v>
      </c>
      <c r="BL443" s="125">
        <f t="shared" si="6"/>
        <v>9.3425151660617658</v>
      </c>
      <c r="BM443" s="125">
        <f t="shared" si="6"/>
        <v>9.5106804390508781</v>
      </c>
      <c r="BN443" s="125">
        <f t="shared" si="6"/>
        <v>9.6438299651975914</v>
      </c>
      <c r="BO443" s="125">
        <f t="shared" si="6"/>
        <v>9.7499120948147642</v>
      </c>
      <c r="BP443" s="125">
        <f t="shared" si="6"/>
        <v>10.061909281848838</v>
      </c>
      <c r="BQ443" s="125">
        <f t="shared" si="6"/>
        <v>10.092095009694383</v>
      </c>
      <c r="BR443" s="125">
        <f t="shared" si="6"/>
        <v>10.243476434839797</v>
      </c>
      <c r="BS443" s="125">
        <f t="shared" si="6"/>
        <v>10.509806822145633</v>
      </c>
      <c r="BT443" s="125">
        <f t="shared" si="7"/>
        <v>10.75153237905498</v>
      </c>
      <c r="BU443" s="125">
        <f t="shared" si="7"/>
        <v>11.052575285668521</v>
      </c>
      <c r="BV443" s="125">
        <f t="shared" si="7"/>
        <v>11.163101038525205</v>
      </c>
      <c r="BW443" s="125">
        <f t="shared" si="7"/>
        <v>11.252405846833406</v>
      </c>
      <c r="BX443" s="125">
        <f t="shared" si="7"/>
        <v>11.274910658527073</v>
      </c>
      <c r="BY443" s="125">
        <f t="shared" si="7"/>
        <v>11.432759407746452</v>
      </c>
      <c r="BZ443" s="125">
        <f t="shared" si="7"/>
        <v>11.56995252063941</v>
      </c>
      <c r="CA443" s="125">
        <f t="shared" si="7"/>
        <v>11.870771286176035</v>
      </c>
      <c r="CB443" s="125">
        <f t="shared" si="7"/>
        <v>12.060703626754853</v>
      </c>
      <c r="CC443" s="125">
        <f t="shared" si="7"/>
        <v>12.27779629203644</v>
      </c>
      <c r="CD443" s="125">
        <f t="shared" si="7"/>
        <v>13.039019662142699</v>
      </c>
      <c r="CE443" s="125">
        <f t="shared" si="7"/>
        <v>14.082141235114117</v>
      </c>
      <c r="CF443" s="125">
        <f t="shared" si="7"/>
        <v>14.321537636111055</v>
      </c>
      <c r="CG443" s="125">
        <f t="shared" si="7"/>
        <v>14.565003775924941</v>
      </c>
    </row>
    <row r="444" spans="1:16383">
      <c r="A444" s="3"/>
      <c r="B444" s="123">
        <v>1948</v>
      </c>
      <c r="C444" s="123"/>
      <c r="D444" s="3"/>
      <c r="E444" s="126"/>
      <c r="F444" s="126"/>
      <c r="G444" s="124">
        <v>1</v>
      </c>
      <c r="H444" s="125">
        <f t="shared" si="3"/>
        <v>1.0631266245822504</v>
      </c>
      <c r="I444" s="125">
        <f t="shared" si="3"/>
        <v>1.1600445599702933</v>
      </c>
      <c r="J444" s="125">
        <f t="shared" si="3"/>
        <v>1.2718158187894542</v>
      </c>
      <c r="K444" s="125">
        <f t="shared" si="3"/>
        <v>1.2718158187894542</v>
      </c>
      <c r="L444" s="125">
        <f t="shared" si="3"/>
        <v>1.2718158187894542</v>
      </c>
      <c r="M444" s="125">
        <f t="shared" si="3"/>
        <v>1.3226884515410324</v>
      </c>
      <c r="N444" s="125">
        <f t="shared" si="3"/>
        <v>1.3479391013739326</v>
      </c>
      <c r="O444" s="125">
        <f t="shared" si="3"/>
        <v>1.3735610842926105</v>
      </c>
      <c r="P444" s="125">
        <f t="shared" si="3"/>
        <v>1.4626810248793167</v>
      </c>
      <c r="Q444" s="125">
        <f t="shared" si="3"/>
        <v>1.4879316747122169</v>
      </c>
      <c r="R444" s="125">
        <f t="shared" si="3"/>
        <v>1.5005569996286672</v>
      </c>
      <c r="S444" s="125">
        <f t="shared" si="3"/>
        <v>1.5388043074637952</v>
      </c>
      <c r="T444" s="125">
        <f t="shared" si="3"/>
        <v>1.5644262903824735</v>
      </c>
      <c r="U444" s="125">
        <f t="shared" si="3"/>
        <v>1.5945042703304868</v>
      </c>
      <c r="V444" s="125">
        <f t="shared" si="3"/>
        <v>1.6554028963980694</v>
      </c>
      <c r="W444" s="125">
        <f t="shared" si="3"/>
        <v>1.6868555514296326</v>
      </c>
      <c r="X444" s="125">
        <f t="shared" si="4"/>
        <v>1.828551417749722</v>
      </c>
      <c r="Y444" s="125">
        <f t="shared" si="4"/>
        <v>1.9071791287129598</v>
      </c>
      <c r="Z444" s="125">
        <f t="shared" si="4"/>
        <v>2.0177955181783114</v>
      </c>
      <c r="AA444" s="125">
        <f t="shared" si="4"/>
        <v>2.0964895433872655</v>
      </c>
      <c r="AB444" s="125">
        <f t="shared" si="4"/>
        <v>2.1656736983190452</v>
      </c>
      <c r="AC444" s="125">
        <f t="shared" si="4"/>
        <v>2.3151051835030594</v>
      </c>
      <c r="AD444" s="125">
        <f t="shared" si="4"/>
        <v>2.4401208634122247</v>
      </c>
      <c r="AE444" s="125">
        <f t="shared" si="4"/>
        <v>2.6255700490315541</v>
      </c>
      <c r="AF444" s="125">
        <f t="shared" si="4"/>
        <v>2.8198622326598892</v>
      </c>
      <c r="AG444" s="125">
        <f t="shared" si="4"/>
        <v>3.0482710735053402</v>
      </c>
      <c r="AH444" s="125">
        <f t="shared" si="4"/>
        <v>3.3470016387088637</v>
      </c>
      <c r="AI444" s="125">
        <f t="shared" si="4"/>
        <v>3.7051308140507122</v>
      </c>
      <c r="AJ444" s="125">
        <f t="shared" si="4"/>
        <v>4.012656671616921</v>
      </c>
      <c r="AK444" s="125">
        <f t="shared" si="4"/>
        <v>4.2855173252868717</v>
      </c>
      <c r="AL444" s="125">
        <f t="shared" si="4"/>
        <v>4.4655090529489208</v>
      </c>
      <c r="AM444" s="125">
        <f t="shared" si="4"/>
        <v>4.6351983969609796</v>
      </c>
      <c r="AN444" s="125">
        <f t="shared" si="5"/>
        <v>4.9642974831452085</v>
      </c>
      <c r="AO444" s="125">
        <f t="shared" si="5"/>
        <v>5.282012522066502</v>
      </c>
      <c r="AP444" s="125">
        <f t="shared" si="5"/>
        <v>5.593651260868425</v>
      </c>
      <c r="AQ444" s="125">
        <f t="shared" si="5"/>
        <v>5.739086193651004</v>
      </c>
      <c r="AR444" s="125">
        <f t="shared" si="5"/>
        <v>5.8997806070732324</v>
      </c>
      <c r="AS444" s="125">
        <f t="shared" si="5"/>
        <v>6.0354755610359163</v>
      </c>
      <c r="AT444" s="125">
        <f t="shared" si="5"/>
        <v>6.0052981832307371</v>
      </c>
      <c r="AU444" s="125">
        <f t="shared" si="5"/>
        <v>6.0173087795971982</v>
      </c>
      <c r="AV444" s="125">
        <f t="shared" si="5"/>
        <v>6.071464558613572</v>
      </c>
      <c r="AW444" s="125">
        <f t="shared" si="5"/>
        <v>6.1382506687583209</v>
      </c>
      <c r="AX444" s="125">
        <f t="shared" si="5"/>
        <v>6.2855686848085206</v>
      </c>
      <c r="AY444" s="125">
        <f t="shared" si="5"/>
        <v>6.5747048443097125</v>
      </c>
      <c r="AZ444" s="125">
        <f t="shared" si="5"/>
        <v>6.8048195138605516</v>
      </c>
      <c r="BA444" s="125">
        <f t="shared" si="5"/>
        <v>6.9409159041377624</v>
      </c>
      <c r="BB444" s="125">
        <f t="shared" si="5"/>
        <v>7.1213797176453442</v>
      </c>
      <c r="BC444" s="125">
        <f t="shared" si="5"/>
        <v>7.2282004134100237</v>
      </c>
      <c r="BD444" s="125">
        <f t="shared" si="6"/>
        <v>7.3655362212648132</v>
      </c>
      <c r="BE444" s="125">
        <f t="shared" si="6"/>
        <v>7.5570401630176987</v>
      </c>
      <c r="BF444" s="125">
        <f t="shared" si="6"/>
        <v>7.6855098457889985</v>
      </c>
      <c r="BG444" s="125">
        <f t="shared" si="6"/>
        <v>7.885333101779513</v>
      </c>
      <c r="BH444" s="125">
        <f t="shared" si="6"/>
        <v>8.0824664293240005</v>
      </c>
      <c r="BI444" s="125">
        <f t="shared" si="6"/>
        <v>8.4623423515022278</v>
      </c>
      <c r="BJ444" s="125">
        <f t="shared" si="6"/>
        <v>8.7415996491018007</v>
      </c>
      <c r="BK444" s="125">
        <f t="shared" si="6"/>
        <v>8.9251732417329368</v>
      </c>
      <c r="BL444" s="125">
        <f t="shared" si="6"/>
        <v>9.0233501473919979</v>
      </c>
      <c r="BM444" s="125">
        <f t="shared" si="6"/>
        <v>9.1857704500450534</v>
      </c>
      <c r="BN444" s="125">
        <f t="shared" si="6"/>
        <v>9.3143712363456839</v>
      </c>
      <c r="BO444" s="125">
        <f t="shared" si="6"/>
        <v>9.4168293199454851</v>
      </c>
      <c r="BP444" s="125">
        <f t="shared" si="6"/>
        <v>9.7181678581837403</v>
      </c>
      <c r="BQ444" s="125">
        <f t="shared" si="6"/>
        <v>9.7473223617582896</v>
      </c>
      <c r="BR444" s="125">
        <f t="shared" si="6"/>
        <v>9.8935321971846637</v>
      </c>
      <c r="BS444" s="125">
        <f t="shared" si="6"/>
        <v>10.150764034311464</v>
      </c>
      <c r="BT444" s="125">
        <f t="shared" si="7"/>
        <v>10.384231607100627</v>
      </c>
      <c r="BU444" s="125">
        <f t="shared" si="7"/>
        <v>10.674990092099446</v>
      </c>
      <c r="BV444" s="125">
        <f t="shared" si="7"/>
        <v>10.781739993020441</v>
      </c>
      <c r="BW444" s="125">
        <f t="shared" si="7"/>
        <v>10.867993912964604</v>
      </c>
      <c r="BX444" s="125">
        <f t="shared" si="7"/>
        <v>10.889729900790533</v>
      </c>
      <c r="BY444" s="125">
        <f t="shared" si="7"/>
        <v>11.042186119401601</v>
      </c>
      <c r="BZ444" s="125">
        <f t="shared" si="7"/>
        <v>11.17469235283442</v>
      </c>
      <c r="CA444" s="125">
        <f t="shared" si="7"/>
        <v>11.465234354008114</v>
      </c>
      <c r="CB444" s="125">
        <f t="shared" si="7"/>
        <v>11.648678103672244</v>
      </c>
      <c r="CC444" s="125">
        <f t="shared" si="7"/>
        <v>11.858354309538345</v>
      </c>
      <c r="CD444" s="125">
        <f t="shared" si="7"/>
        <v>12.593572276729724</v>
      </c>
      <c r="CE444" s="125">
        <f t="shared" si="7"/>
        <v>13.601058058868102</v>
      </c>
      <c r="CF444" s="125">
        <f t="shared" si="7"/>
        <v>13.832276045868857</v>
      </c>
      <c r="CG444" s="125">
        <f t="shared" si="7"/>
        <v>14.067424738648628</v>
      </c>
    </row>
    <row r="445" spans="1:16383">
      <c r="A445" s="3"/>
      <c r="B445" s="123">
        <v>1949</v>
      </c>
      <c r="C445" s="123"/>
      <c r="D445" s="3"/>
      <c r="E445" s="126"/>
      <c r="F445" s="126"/>
      <c r="G445" s="126"/>
      <c r="H445" s="124">
        <v>1</v>
      </c>
      <c r="I445" s="125">
        <f t="shared" si="3"/>
        <v>1.0911631156129933</v>
      </c>
      <c r="J445" s="125">
        <f t="shared" si="3"/>
        <v>1.1962975899406219</v>
      </c>
      <c r="K445" s="125">
        <f t="shared" si="3"/>
        <v>1.1962975899406219</v>
      </c>
      <c r="L445" s="125">
        <f t="shared" si="3"/>
        <v>1.1962975899406219</v>
      </c>
      <c r="M445" s="125">
        <f t="shared" si="3"/>
        <v>1.2441494935382467</v>
      </c>
      <c r="N445" s="125">
        <f t="shared" si="3"/>
        <v>1.267900803353126</v>
      </c>
      <c r="O445" s="125">
        <f t="shared" si="3"/>
        <v>1.2920013971358713</v>
      </c>
      <c r="P445" s="125">
        <f t="shared" si="3"/>
        <v>1.3758295494236812</v>
      </c>
      <c r="Q445" s="125">
        <f t="shared" si="3"/>
        <v>1.3995808592385608</v>
      </c>
      <c r="R445" s="125">
        <f t="shared" si="3"/>
        <v>1.4114565141460007</v>
      </c>
      <c r="S445" s="125">
        <f t="shared" si="3"/>
        <v>1.4474327628361856</v>
      </c>
      <c r="T445" s="125">
        <f t="shared" si="3"/>
        <v>1.4715333566189313</v>
      </c>
      <c r="U445" s="125">
        <f t="shared" si="3"/>
        <v>1.499825358016067</v>
      </c>
      <c r="V445" s="125">
        <f t="shared" si="3"/>
        <v>1.5571079287460705</v>
      </c>
      <c r="W445" s="125">
        <f t="shared" si="3"/>
        <v>1.5866929793922457</v>
      </c>
      <c r="X445" s="125">
        <f t="shared" si="4"/>
        <v>1.7199751896611946</v>
      </c>
      <c r="Y445" s="125">
        <f t="shared" si="4"/>
        <v>1.7939341228166259</v>
      </c>
      <c r="Z445" s="125">
        <f t="shared" si="4"/>
        <v>1.8979823019399904</v>
      </c>
      <c r="AA445" s="125">
        <f t="shared" si="4"/>
        <v>1.9720036117156499</v>
      </c>
      <c r="AB445" s="125">
        <f t="shared" si="4"/>
        <v>2.0370797309022661</v>
      </c>
      <c r="AC445" s="125">
        <f t="shared" si="4"/>
        <v>2.1776382323345223</v>
      </c>
      <c r="AD445" s="125">
        <f t="shared" si="4"/>
        <v>2.2952306968805867</v>
      </c>
      <c r="AE445" s="125">
        <f t="shared" si="4"/>
        <v>2.4696682298435113</v>
      </c>
      <c r="AF445" s="125">
        <f t="shared" si="4"/>
        <v>2.6524236788519313</v>
      </c>
      <c r="AG445" s="125">
        <f t="shared" si="4"/>
        <v>2.8672699968389375</v>
      </c>
      <c r="AH445" s="125">
        <f t="shared" si="4"/>
        <v>3.1482624565291535</v>
      </c>
      <c r="AI445" s="125">
        <f t="shared" si="4"/>
        <v>3.4851265393777728</v>
      </c>
      <c r="AJ445" s="125">
        <f t="shared" si="4"/>
        <v>3.7743920421461277</v>
      </c>
      <c r="AK445" s="125">
        <f t="shared" si="4"/>
        <v>4.0310507010120649</v>
      </c>
      <c r="AL445" s="125">
        <f t="shared" si="4"/>
        <v>4.2003548304545717</v>
      </c>
      <c r="AM445" s="125">
        <f t="shared" si="4"/>
        <v>4.3599683140118453</v>
      </c>
      <c r="AN445" s="125">
        <f t="shared" si="5"/>
        <v>4.6695260643066865</v>
      </c>
      <c r="AO445" s="125">
        <f t="shared" si="5"/>
        <v>4.9683757324223148</v>
      </c>
      <c r="AP445" s="125">
        <f t="shared" si="5"/>
        <v>5.2615099006352315</v>
      </c>
      <c r="AQ445" s="125">
        <f t="shared" si="5"/>
        <v>5.3983091580517479</v>
      </c>
      <c r="AR445" s="125">
        <f t="shared" si="5"/>
        <v>5.5494618144771968</v>
      </c>
      <c r="AS445" s="125">
        <f t="shared" si="5"/>
        <v>5.6770994362101721</v>
      </c>
      <c r="AT445" s="125">
        <f t="shared" si="5"/>
        <v>5.648713939029121</v>
      </c>
      <c r="AU445" s="125">
        <f t="shared" si="5"/>
        <v>5.6600113669071792</v>
      </c>
      <c r="AV445" s="125">
        <f t="shared" si="5"/>
        <v>5.710951469209343</v>
      </c>
      <c r="AW445" s="125">
        <f t="shared" si="5"/>
        <v>5.7737719353706449</v>
      </c>
      <c r="AX445" s="125">
        <f t="shared" si="5"/>
        <v>5.9123424618195406</v>
      </c>
      <c r="AY445" s="125">
        <f t="shared" si="5"/>
        <v>6.1843102150632401</v>
      </c>
      <c r="AZ445" s="125">
        <f t="shared" si="5"/>
        <v>6.4007610725904529</v>
      </c>
      <c r="BA445" s="125">
        <f t="shared" si="5"/>
        <v>6.5287762940422622</v>
      </c>
      <c r="BB445" s="125">
        <f t="shared" si="5"/>
        <v>6.6985244776873616</v>
      </c>
      <c r="BC445" s="125">
        <f t="shared" si="5"/>
        <v>6.7990023448526715</v>
      </c>
      <c r="BD445" s="125">
        <f t="shared" si="6"/>
        <v>6.9281833894048717</v>
      </c>
      <c r="BE445" s="125">
        <f t="shared" si="6"/>
        <v>7.1083161575293987</v>
      </c>
      <c r="BF445" s="125">
        <f t="shared" si="6"/>
        <v>7.229157532207398</v>
      </c>
      <c r="BG445" s="125">
        <f t="shared" si="6"/>
        <v>7.4171156280447903</v>
      </c>
      <c r="BH445" s="125">
        <f t="shared" si="6"/>
        <v>7.6025435187459092</v>
      </c>
      <c r="BI445" s="125">
        <f t="shared" si="6"/>
        <v>7.9598630641269663</v>
      </c>
      <c r="BJ445" s="125">
        <f t="shared" si="6"/>
        <v>8.2225385452431556</v>
      </c>
      <c r="BK445" s="125">
        <f t="shared" si="6"/>
        <v>8.3952118546932617</v>
      </c>
      <c r="BL445" s="125">
        <f t="shared" si="6"/>
        <v>8.4875591850948862</v>
      </c>
      <c r="BM445" s="125">
        <f t="shared" si="6"/>
        <v>8.6403352504265936</v>
      </c>
      <c r="BN445" s="125">
        <f t="shared" si="6"/>
        <v>8.7612999439325652</v>
      </c>
      <c r="BO445" s="125">
        <f t="shared" si="6"/>
        <v>8.857674243315822</v>
      </c>
      <c r="BP445" s="125">
        <f t="shared" si="6"/>
        <v>9.1411198191019292</v>
      </c>
      <c r="BQ445" s="125">
        <f t="shared" si="6"/>
        <v>9.1685431785592346</v>
      </c>
      <c r="BR445" s="125">
        <f t="shared" si="6"/>
        <v>9.3060713262376229</v>
      </c>
      <c r="BS445" s="125">
        <f t="shared" si="6"/>
        <v>9.5480291807198014</v>
      </c>
      <c r="BT445" s="125">
        <f t="shared" si="7"/>
        <v>9.7676338518763561</v>
      </c>
      <c r="BU445" s="125">
        <f t="shared" si="7"/>
        <v>10.041127599728894</v>
      </c>
      <c r="BV445" s="125">
        <f t="shared" si="7"/>
        <v>10.141538875726182</v>
      </c>
      <c r="BW445" s="125">
        <f t="shared" si="7"/>
        <v>10.222671186731992</v>
      </c>
      <c r="BX445" s="125">
        <f t="shared" si="7"/>
        <v>10.243116529105455</v>
      </c>
      <c r="BY445" s="125">
        <f t="shared" si="7"/>
        <v>10.386520160512932</v>
      </c>
      <c r="BZ445" s="125">
        <f t="shared" si="7"/>
        <v>10.511158402439087</v>
      </c>
      <c r="CA445" s="125">
        <f t="shared" si="7"/>
        <v>10.784448520902503</v>
      </c>
      <c r="CB445" s="125">
        <f t="shared" si="7"/>
        <v>10.956999697236943</v>
      </c>
      <c r="CC445" s="125">
        <f t="shared" si="7"/>
        <v>11.154225691787209</v>
      </c>
      <c r="CD445" s="125">
        <f t="shared" si="7"/>
        <v>11.845787684678017</v>
      </c>
      <c r="CE445" s="125">
        <f t="shared" si="7"/>
        <v>12.79345069945226</v>
      </c>
      <c r="CF445" s="125">
        <f t="shared" si="7"/>
        <v>13.010939361342947</v>
      </c>
      <c r="CG445" s="125">
        <f t="shared" si="7"/>
        <v>13.232125330485776</v>
      </c>
    </row>
    <row r="446" spans="1:16383">
      <c r="A446" s="3"/>
      <c r="B446" s="123">
        <v>1950</v>
      </c>
      <c r="C446" s="123"/>
      <c r="D446" s="3"/>
      <c r="E446" s="126"/>
      <c r="F446" s="126"/>
      <c r="G446" s="126"/>
      <c r="H446" s="126"/>
      <c r="I446" s="124">
        <v>1</v>
      </c>
      <c r="J446" s="125">
        <f>I446*J$439</f>
        <v>1.0963508322663253</v>
      </c>
      <c r="K446" s="125">
        <f t="shared" si="3"/>
        <v>1.0963508322663253</v>
      </c>
      <c r="L446" s="125">
        <f t="shared" si="3"/>
        <v>1.0963508322663253</v>
      </c>
      <c r="M446" s="125">
        <f t="shared" si="3"/>
        <v>1.1402048655569783</v>
      </c>
      <c r="N446" s="125">
        <f t="shared" si="3"/>
        <v>1.1619718309859155</v>
      </c>
      <c r="O446" s="125">
        <f t="shared" si="3"/>
        <v>1.184058898847631</v>
      </c>
      <c r="P446" s="125">
        <f t="shared" si="3"/>
        <v>1.2608834827144684</v>
      </c>
      <c r="Q446" s="125">
        <f t="shared" si="3"/>
        <v>1.2826504481434058</v>
      </c>
      <c r="R446" s="125">
        <f t="shared" si="3"/>
        <v>1.2935339308578746</v>
      </c>
      <c r="S446" s="125">
        <f t="shared" si="3"/>
        <v>1.3265044814340587</v>
      </c>
      <c r="T446" s="125">
        <f t="shared" si="3"/>
        <v>1.3485915492957747</v>
      </c>
      <c r="U446" s="125">
        <f t="shared" si="3"/>
        <v>1.3745198463508324</v>
      </c>
      <c r="V446" s="125">
        <f t="shared" si="3"/>
        <v>1.4270166453265045</v>
      </c>
      <c r="W446" s="125">
        <f t="shared" si="3"/>
        <v>1.4541299615877079</v>
      </c>
      <c r="X446" s="125">
        <f t="shared" si="4"/>
        <v>1.5762768783610754</v>
      </c>
      <c r="Y446" s="125">
        <f t="shared" si="4"/>
        <v>1.6440567841306015</v>
      </c>
      <c r="Z446" s="125">
        <f t="shared" si="4"/>
        <v>1.7394120776101765</v>
      </c>
      <c r="AA446" s="125">
        <f t="shared" si="4"/>
        <v>1.8072491486369733</v>
      </c>
      <c r="AB446" s="125">
        <f t="shared" si="4"/>
        <v>1.8668883705419932</v>
      </c>
      <c r="AC446" s="125">
        <f t="shared" si="4"/>
        <v>1.9957036681093907</v>
      </c>
      <c r="AD446" s="125">
        <f t="shared" si="4"/>
        <v>2.1034716661872981</v>
      </c>
      <c r="AE446" s="125">
        <f t="shared" si="4"/>
        <v>2.263335512817533</v>
      </c>
      <c r="AF446" s="125">
        <f t="shared" si="4"/>
        <v>2.4308223407660305</v>
      </c>
      <c r="AG446" s="125">
        <f t="shared" si="4"/>
        <v>2.6277189503680791</v>
      </c>
      <c r="AH446" s="125">
        <f t="shared" si="4"/>
        <v>2.8852354075041511</v>
      </c>
      <c r="AI446" s="125">
        <f t="shared" si="4"/>
        <v>3.1939555961070951</v>
      </c>
      <c r="AJ446" s="125">
        <f t="shared" si="4"/>
        <v>3.4590539105839837</v>
      </c>
      <c r="AK446" s="125">
        <f t="shared" si="4"/>
        <v>3.6942695765036948</v>
      </c>
      <c r="AL446" s="125">
        <f t="shared" si="4"/>
        <v>3.8494288987168503</v>
      </c>
      <c r="AM446" s="125">
        <f t="shared" si="4"/>
        <v>3.9957071968680906</v>
      </c>
      <c r="AN446" s="125">
        <f t="shared" si="5"/>
        <v>4.2794024078457245</v>
      </c>
      <c r="AO446" s="125">
        <f t="shared" si="5"/>
        <v>4.5532841619478512</v>
      </c>
      <c r="AP446" s="125">
        <f t="shared" si="5"/>
        <v>4.8219279275027738</v>
      </c>
      <c r="AQ446" s="125">
        <f t="shared" si="5"/>
        <v>4.9472980536178461</v>
      </c>
      <c r="AR446" s="125">
        <f t="shared" si="5"/>
        <v>5.085822399119146</v>
      </c>
      <c r="AS446" s="125">
        <f t="shared" si="5"/>
        <v>5.2027963142988858</v>
      </c>
      <c r="AT446" s="125">
        <f t="shared" si="5"/>
        <v>5.1767823327273916</v>
      </c>
      <c r="AU446" s="125">
        <f t="shared" si="5"/>
        <v>5.1871358973928468</v>
      </c>
      <c r="AV446" s="125">
        <f t="shared" si="5"/>
        <v>5.2338201204693817</v>
      </c>
      <c r="AW446" s="125">
        <f t="shared" si="5"/>
        <v>5.2913921417945442</v>
      </c>
      <c r="AX446" s="125">
        <f t="shared" si="5"/>
        <v>5.4183855531976137</v>
      </c>
      <c r="AY446" s="125">
        <f t="shared" si="5"/>
        <v>5.6676312886447038</v>
      </c>
      <c r="AZ446" s="125">
        <f t="shared" si="5"/>
        <v>5.865998383747268</v>
      </c>
      <c r="BA446" s="125">
        <f t="shared" si="5"/>
        <v>5.9833183514222137</v>
      </c>
      <c r="BB446" s="125">
        <f t="shared" si="5"/>
        <v>6.1388846285591914</v>
      </c>
      <c r="BC446" s="125">
        <f t="shared" si="5"/>
        <v>6.2309678979875782</v>
      </c>
      <c r="BD446" s="125">
        <f t="shared" si="6"/>
        <v>6.3493562880493419</v>
      </c>
      <c r="BE446" s="125">
        <f t="shared" si="6"/>
        <v>6.5144395515386249</v>
      </c>
      <c r="BF446" s="125">
        <f t="shared" si="6"/>
        <v>6.6251850239147805</v>
      </c>
      <c r="BG446" s="125">
        <f t="shared" si="6"/>
        <v>6.797439834536565</v>
      </c>
      <c r="BH446" s="125">
        <f t="shared" si="6"/>
        <v>6.9673758303999787</v>
      </c>
      <c r="BI446" s="125">
        <f t="shared" si="6"/>
        <v>7.2948424944287771</v>
      </c>
      <c r="BJ446" s="125">
        <f t="shared" si="6"/>
        <v>7.5355722967449266</v>
      </c>
      <c r="BK446" s="125">
        <f t="shared" si="6"/>
        <v>7.6938193149765697</v>
      </c>
      <c r="BL446" s="125">
        <f t="shared" si="6"/>
        <v>7.778451327441311</v>
      </c>
      <c r="BM446" s="125">
        <f t="shared" si="6"/>
        <v>7.9184634513352545</v>
      </c>
      <c r="BN446" s="125">
        <f t="shared" si="6"/>
        <v>8.0293219396539488</v>
      </c>
      <c r="BO446" s="125">
        <f t="shared" si="6"/>
        <v>8.1176444809901422</v>
      </c>
      <c r="BP446" s="125">
        <f t="shared" si="6"/>
        <v>8.3774091043818277</v>
      </c>
      <c r="BQ446" s="125">
        <f t="shared" si="6"/>
        <v>8.4025413316949731</v>
      </c>
      <c r="BR446" s="125">
        <f t="shared" si="6"/>
        <v>8.5285794516703977</v>
      </c>
      <c r="BS446" s="125">
        <f t="shared" si="6"/>
        <v>8.7503225174138279</v>
      </c>
      <c r="BT446" s="125">
        <f t="shared" si="7"/>
        <v>8.9515799353143457</v>
      </c>
      <c r="BU446" s="125">
        <f t="shared" si="7"/>
        <v>9.2022241735031471</v>
      </c>
      <c r="BV446" s="125">
        <f t="shared" si="7"/>
        <v>9.2942464152381792</v>
      </c>
      <c r="BW446" s="125">
        <f t="shared" si="7"/>
        <v>9.3686003865600842</v>
      </c>
      <c r="BX446" s="125">
        <f t="shared" si="7"/>
        <v>9.3873375873332048</v>
      </c>
      <c r="BY446" s="125">
        <f t="shared" si="7"/>
        <v>9.5187603135558696</v>
      </c>
      <c r="BZ446" s="125">
        <f t="shared" si="7"/>
        <v>9.6329854373185402</v>
      </c>
      <c r="CA446" s="125">
        <f t="shared" si="7"/>
        <v>9.8834430586888224</v>
      </c>
      <c r="CB446" s="125">
        <f t="shared" si="7"/>
        <v>10.041578147627844</v>
      </c>
      <c r="CC446" s="125">
        <f t="shared" si="7"/>
        <v>10.222326554285145</v>
      </c>
      <c r="CD446" s="125">
        <f t="shared" si="7"/>
        <v>10.856110800650825</v>
      </c>
      <c r="CE446" s="125">
        <f t="shared" si="7"/>
        <v>11.724599664702891</v>
      </c>
      <c r="CF446" s="125">
        <f t="shared" si="7"/>
        <v>11.92391785900284</v>
      </c>
      <c r="CG446" s="125">
        <f t="shared" si="7"/>
        <v>12.126624462605887</v>
      </c>
    </row>
    <row r="447" spans="1:16383">
      <c r="A447" s="3"/>
      <c r="B447" s="123">
        <v>1951</v>
      </c>
      <c r="C447" s="123"/>
      <c r="D447" s="3"/>
      <c r="E447" s="126"/>
      <c r="F447" s="126"/>
      <c r="G447" s="126"/>
      <c r="H447" s="126"/>
      <c r="I447" s="126"/>
      <c r="J447" s="124">
        <v>1</v>
      </c>
      <c r="K447" s="125">
        <f t="shared" si="3"/>
        <v>1</v>
      </c>
      <c r="L447" s="125">
        <f t="shared" si="3"/>
        <v>1</v>
      </c>
      <c r="M447" s="125">
        <f t="shared" si="3"/>
        <v>1.04</v>
      </c>
      <c r="N447" s="125">
        <f t="shared" si="3"/>
        <v>1.0598540145985402</v>
      </c>
      <c r="O447" s="125">
        <f t="shared" si="3"/>
        <v>1.0799999999999998</v>
      </c>
      <c r="P447" s="125">
        <f t="shared" si="3"/>
        <v>1.1500729927007298</v>
      </c>
      <c r="Q447" s="125">
        <f t="shared" si="3"/>
        <v>1.16992700729927</v>
      </c>
      <c r="R447" s="125">
        <f t="shared" si="3"/>
        <v>1.1798540145985403</v>
      </c>
      <c r="S447" s="125">
        <f t="shared" si="3"/>
        <v>1.2099270072992701</v>
      </c>
      <c r="T447" s="125">
        <f t="shared" si="3"/>
        <v>1.2300729927007301</v>
      </c>
      <c r="U447" s="125">
        <f t="shared" si="3"/>
        <v>1.2537226277372264</v>
      </c>
      <c r="V447" s="125">
        <f t="shared" si="3"/>
        <v>1.3016058394160586</v>
      </c>
      <c r="W447" s="125">
        <f t="shared" si="3"/>
        <v>1.3263363503649634</v>
      </c>
      <c r="X447" s="125">
        <f t="shared" si="4"/>
        <v>1.4377486037956204</v>
      </c>
      <c r="Y447" s="125">
        <f t="shared" si="4"/>
        <v>1.499571793758832</v>
      </c>
      <c r="Z447" s="125">
        <f t="shared" si="4"/>
        <v>1.5865469577968443</v>
      </c>
      <c r="AA447" s="125">
        <f t="shared" si="4"/>
        <v>1.648422289150921</v>
      </c>
      <c r="AB447" s="125">
        <f t="shared" si="4"/>
        <v>1.7028202246929014</v>
      </c>
      <c r="AC447" s="125">
        <f t="shared" si="4"/>
        <v>1.8203148201967114</v>
      </c>
      <c r="AD447" s="125">
        <f t="shared" si="4"/>
        <v>1.9186118204873339</v>
      </c>
      <c r="AE447" s="125">
        <f t="shared" si="4"/>
        <v>2.0644263188443714</v>
      </c>
      <c r="AF447" s="125">
        <f t="shared" si="4"/>
        <v>2.2171938664388549</v>
      </c>
      <c r="AG447" s="125">
        <f t="shared" si="4"/>
        <v>2.396786569620402</v>
      </c>
      <c r="AH447" s="125">
        <f t="shared" si="4"/>
        <v>2.6316716534432016</v>
      </c>
      <c r="AI447" s="125">
        <f t="shared" si="4"/>
        <v>2.9132605203616242</v>
      </c>
      <c r="AJ447" s="125">
        <f t="shared" si="4"/>
        <v>3.1550611435516389</v>
      </c>
      <c r="AK447" s="125">
        <f t="shared" si="4"/>
        <v>3.3696053013131504</v>
      </c>
      <c r="AL447" s="125">
        <f t="shared" si="4"/>
        <v>3.5111287239683029</v>
      </c>
      <c r="AM447" s="125">
        <f t="shared" si="4"/>
        <v>3.6445516154790987</v>
      </c>
      <c r="AN447" s="125">
        <f t="shared" si="5"/>
        <v>3.9033147801781145</v>
      </c>
      <c r="AO447" s="125">
        <f t="shared" si="5"/>
        <v>4.1531269261095138</v>
      </c>
      <c r="AP447" s="125">
        <f t="shared" si="5"/>
        <v>4.3981614147499748</v>
      </c>
      <c r="AQ447" s="125">
        <f t="shared" si="5"/>
        <v>4.5125136115334739</v>
      </c>
      <c r="AR447" s="125">
        <f t="shared" si="5"/>
        <v>4.638863992656411</v>
      </c>
      <c r="AS447" s="125">
        <f t="shared" si="5"/>
        <v>4.745557864487508</v>
      </c>
      <c r="AT447" s="125">
        <f t="shared" si="5"/>
        <v>4.7218300751650704</v>
      </c>
      <c r="AU447" s="125">
        <f t="shared" si="5"/>
        <v>4.7312737353154004</v>
      </c>
      <c r="AV447" s="125">
        <f t="shared" si="5"/>
        <v>4.773855198933239</v>
      </c>
      <c r="AW447" s="125">
        <f t="shared" si="5"/>
        <v>4.8263676061215044</v>
      </c>
      <c r="AX447" s="125">
        <f t="shared" si="5"/>
        <v>4.9422004286684205</v>
      </c>
      <c r="AY447" s="125">
        <f t="shared" si="5"/>
        <v>5.1695416483871677</v>
      </c>
      <c r="AZ447" s="125">
        <f t="shared" si="5"/>
        <v>5.3504756060807184</v>
      </c>
      <c r="BA447" s="125">
        <f t="shared" si="5"/>
        <v>5.4574851182023325</v>
      </c>
      <c r="BB447" s="125">
        <f t="shared" si="5"/>
        <v>5.5993797312755929</v>
      </c>
      <c r="BC447" s="125">
        <f t="shared" si="5"/>
        <v>5.6833704272447259</v>
      </c>
      <c r="BD447" s="125">
        <f t="shared" si="6"/>
        <v>5.7913544653623754</v>
      </c>
      <c r="BE447" s="125">
        <f t="shared" si="6"/>
        <v>5.9419296814617972</v>
      </c>
      <c r="BF447" s="125">
        <f t="shared" si="6"/>
        <v>6.0429424860466474</v>
      </c>
      <c r="BG447" s="125">
        <f t="shared" si="6"/>
        <v>6.2000589906838606</v>
      </c>
      <c r="BH447" s="125">
        <f t="shared" si="6"/>
        <v>6.3550604654509568</v>
      </c>
      <c r="BI447" s="125">
        <f t="shared" si="6"/>
        <v>6.6537483073271515</v>
      </c>
      <c r="BJ447" s="125">
        <f t="shared" si="6"/>
        <v>6.8733220014689467</v>
      </c>
      <c r="BK447" s="125">
        <f t="shared" si="6"/>
        <v>7.0176617634997935</v>
      </c>
      <c r="BL447" s="125">
        <f t="shared" si="6"/>
        <v>7.0948560428982903</v>
      </c>
      <c r="BM447" s="125">
        <f t="shared" si="6"/>
        <v>7.2225634516704593</v>
      </c>
      <c r="BN447" s="125">
        <f t="shared" si="6"/>
        <v>7.3236793399938458</v>
      </c>
      <c r="BO447" s="125">
        <f t="shared" si="6"/>
        <v>7.4042398127337776</v>
      </c>
      <c r="BP447" s="125">
        <f t="shared" si="6"/>
        <v>7.6411754867412585</v>
      </c>
      <c r="BQ447" s="125">
        <f t="shared" si="6"/>
        <v>7.664099013201481</v>
      </c>
      <c r="BR447" s="125">
        <f t="shared" si="6"/>
        <v>7.7790604983995024</v>
      </c>
      <c r="BS447" s="125">
        <f t="shared" si="6"/>
        <v>7.9813160713578899</v>
      </c>
      <c r="BT447" s="125">
        <f t="shared" si="7"/>
        <v>8.1648863409991215</v>
      </c>
      <c r="BU447" s="125">
        <f t="shared" si="7"/>
        <v>8.3935031585470963</v>
      </c>
      <c r="BV447" s="125">
        <f t="shared" si="7"/>
        <v>8.4774381901325668</v>
      </c>
      <c r="BW447" s="125">
        <f t="shared" si="7"/>
        <v>8.5452576956536266</v>
      </c>
      <c r="BX447" s="125">
        <f t="shared" si="7"/>
        <v>8.5623482110449345</v>
      </c>
      <c r="BY447" s="125">
        <f t="shared" si="7"/>
        <v>8.6822210859995632</v>
      </c>
      <c r="BZ447" s="125">
        <f t="shared" si="7"/>
        <v>8.7864077390315583</v>
      </c>
      <c r="CA447" s="125">
        <f t="shared" si="7"/>
        <v>9.0148543402463783</v>
      </c>
      <c r="CB447" s="125">
        <f t="shared" si="7"/>
        <v>9.1590920096903208</v>
      </c>
      <c r="CC447" s="125">
        <f t="shared" si="7"/>
        <v>9.3239556658647462</v>
      </c>
      <c r="CD447" s="125">
        <f t="shared" si="7"/>
        <v>9.9020409171483603</v>
      </c>
      <c r="CE447" s="125">
        <f t="shared" si="7"/>
        <v>10.69420419052023</v>
      </c>
      <c r="CF447" s="125">
        <f t="shared" si="7"/>
        <v>10.876005661759073</v>
      </c>
      <c r="CG447" s="125">
        <f t="shared" si="7"/>
        <v>11.060897758008977</v>
      </c>
    </row>
    <row r="448" spans="1:16383">
      <c r="A448" s="3"/>
      <c r="B448" s="123">
        <v>1952</v>
      </c>
      <c r="C448" s="123"/>
      <c r="D448" s="3"/>
      <c r="E448" s="126"/>
      <c r="F448" s="126"/>
      <c r="G448" s="126"/>
      <c r="H448" s="126"/>
      <c r="I448" s="126"/>
      <c r="J448" s="126"/>
      <c r="K448" s="124">
        <v>1</v>
      </c>
      <c r="L448" s="125">
        <f t="shared" si="3"/>
        <v>1</v>
      </c>
      <c r="M448" s="125">
        <f t="shared" si="3"/>
        <v>1.04</v>
      </c>
      <c r="N448" s="125">
        <f t="shared" si="3"/>
        <v>1.0598540145985402</v>
      </c>
      <c r="O448" s="125">
        <f t="shared" si="3"/>
        <v>1.0799999999999998</v>
      </c>
      <c r="P448" s="125">
        <f t="shared" si="3"/>
        <v>1.1500729927007298</v>
      </c>
      <c r="Q448" s="125">
        <f t="shared" si="3"/>
        <v>1.16992700729927</v>
      </c>
      <c r="R448" s="125">
        <f t="shared" si="3"/>
        <v>1.1798540145985403</v>
      </c>
      <c r="S448" s="125">
        <f t="shared" si="3"/>
        <v>1.2099270072992701</v>
      </c>
      <c r="T448" s="125">
        <f t="shared" si="3"/>
        <v>1.2300729927007301</v>
      </c>
      <c r="U448" s="125">
        <f t="shared" si="3"/>
        <v>1.2537226277372264</v>
      </c>
      <c r="V448" s="125">
        <f t="shared" si="3"/>
        <v>1.3016058394160586</v>
      </c>
      <c r="W448" s="125">
        <f t="shared" si="3"/>
        <v>1.3263363503649634</v>
      </c>
      <c r="X448" s="125">
        <f t="shared" si="4"/>
        <v>1.4377486037956204</v>
      </c>
      <c r="Y448" s="125">
        <f t="shared" si="4"/>
        <v>1.499571793758832</v>
      </c>
      <c r="Z448" s="125">
        <f t="shared" si="4"/>
        <v>1.5865469577968443</v>
      </c>
      <c r="AA448" s="125">
        <f t="shared" si="4"/>
        <v>1.648422289150921</v>
      </c>
      <c r="AB448" s="125">
        <f t="shared" si="4"/>
        <v>1.7028202246929014</v>
      </c>
      <c r="AC448" s="125">
        <f t="shared" si="4"/>
        <v>1.8203148201967114</v>
      </c>
      <c r="AD448" s="125">
        <f t="shared" si="4"/>
        <v>1.9186118204873339</v>
      </c>
      <c r="AE448" s="125">
        <f t="shared" si="4"/>
        <v>2.0644263188443714</v>
      </c>
      <c r="AF448" s="125">
        <f t="shared" si="4"/>
        <v>2.2171938664388549</v>
      </c>
      <c r="AG448" s="125">
        <f t="shared" si="4"/>
        <v>2.396786569620402</v>
      </c>
      <c r="AH448" s="125">
        <f t="shared" si="4"/>
        <v>2.6316716534432016</v>
      </c>
      <c r="AI448" s="125">
        <f t="shared" si="4"/>
        <v>2.9132605203616242</v>
      </c>
      <c r="AJ448" s="125">
        <f t="shared" si="4"/>
        <v>3.1550611435516389</v>
      </c>
      <c r="AK448" s="125">
        <f t="shared" si="4"/>
        <v>3.3696053013131504</v>
      </c>
      <c r="AL448" s="125">
        <f t="shared" si="4"/>
        <v>3.5111287239683029</v>
      </c>
      <c r="AM448" s="125">
        <f t="shared" si="4"/>
        <v>3.6445516154790987</v>
      </c>
      <c r="AN448" s="125">
        <f t="shared" si="5"/>
        <v>3.9033147801781145</v>
      </c>
      <c r="AO448" s="125">
        <f t="shared" si="5"/>
        <v>4.1531269261095138</v>
      </c>
      <c r="AP448" s="125">
        <f t="shared" si="5"/>
        <v>4.3981614147499748</v>
      </c>
      <c r="AQ448" s="125">
        <f t="shared" si="5"/>
        <v>4.5125136115334739</v>
      </c>
      <c r="AR448" s="125">
        <f t="shared" si="5"/>
        <v>4.638863992656411</v>
      </c>
      <c r="AS448" s="125">
        <f t="shared" si="5"/>
        <v>4.745557864487508</v>
      </c>
      <c r="AT448" s="125">
        <f t="shared" si="5"/>
        <v>4.7218300751650704</v>
      </c>
      <c r="AU448" s="125">
        <f t="shared" si="5"/>
        <v>4.7312737353154004</v>
      </c>
      <c r="AV448" s="125">
        <f t="shared" si="5"/>
        <v>4.773855198933239</v>
      </c>
      <c r="AW448" s="125">
        <f t="shared" si="5"/>
        <v>4.8263676061215044</v>
      </c>
      <c r="AX448" s="125">
        <f t="shared" si="5"/>
        <v>4.9422004286684205</v>
      </c>
      <c r="AY448" s="125">
        <f t="shared" si="5"/>
        <v>5.1695416483871677</v>
      </c>
      <c r="AZ448" s="125">
        <f t="shared" si="5"/>
        <v>5.3504756060807184</v>
      </c>
      <c r="BA448" s="125">
        <f t="shared" si="5"/>
        <v>5.4574851182023325</v>
      </c>
      <c r="BB448" s="125">
        <f t="shared" si="5"/>
        <v>5.5993797312755929</v>
      </c>
      <c r="BC448" s="125">
        <f t="shared" si="5"/>
        <v>5.6833704272447259</v>
      </c>
      <c r="BD448" s="125">
        <f t="shared" si="6"/>
        <v>5.7913544653623754</v>
      </c>
      <c r="BE448" s="125">
        <f t="shared" si="6"/>
        <v>5.9419296814617972</v>
      </c>
      <c r="BF448" s="125">
        <f t="shared" si="6"/>
        <v>6.0429424860466474</v>
      </c>
      <c r="BG448" s="125">
        <f t="shared" si="6"/>
        <v>6.2000589906838606</v>
      </c>
      <c r="BH448" s="125">
        <f t="shared" si="6"/>
        <v>6.3550604654509568</v>
      </c>
      <c r="BI448" s="125">
        <f t="shared" si="6"/>
        <v>6.6537483073271515</v>
      </c>
      <c r="BJ448" s="125">
        <f t="shared" si="6"/>
        <v>6.8733220014689467</v>
      </c>
      <c r="BK448" s="125">
        <f t="shared" si="6"/>
        <v>7.0176617634997935</v>
      </c>
      <c r="BL448" s="125">
        <f t="shared" si="6"/>
        <v>7.0948560428982903</v>
      </c>
      <c r="BM448" s="125">
        <f t="shared" si="6"/>
        <v>7.2225634516704593</v>
      </c>
      <c r="BN448" s="125">
        <f t="shared" si="6"/>
        <v>7.3236793399938458</v>
      </c>
      <c r="BO448" s="125">
        <f t="shared" si="6"/>
        <v>7.4042398127337776</v>
      </c>
      <c r="BP448" s="125">
        <f t="shared" si="6"/>
        <v>7.6411754867412585</v>
      </c>
      <c r="BQ448" s="125">
        <f t="shared" si="6"/>
        <v>7.664099013201481</v>
      </c>
      <c r="BR448" s="125">
        <f t="shared" si="6"/>
        <v>7.7790604983995024</v>
      </c>
      <c r="BS448" s="125">
        <f t="shared" si="6"/>
        <v>7.9813160713578899</v>
      </c>
      <c r="BT448" s="125">
        <f t="shared" si="7"/>
        <v>8.1648863409991215</v>
      </c>
      <c r="BU448" s="125">
        <f t="shared" si="7"/>
        <v>8.3935031585470963</v>
      </c>
      <c r="BV448" s="125">
        <f t="shared" si="7"/>
        <v>8.4774381901325668</v>
      </c>
      <c r="BW448" s="125">
        <f t="shared" si="7"/>
        <v>8.5452576956536266</v>
      </c>
      <c r="BX448" s="125">
        <f t="shared" si="7"/>
        <v>8.5623482110449345</v>
      </c>
      <c r="BY448" s="125">
        <f t="shared" si="7"/>
        <v>8.6822210859995632</v>
      </c>
      <c r="BZ448" s="125">
        <f t="shared" si="7"/>
        <v>8.7864077390315583</v>
      </c>
      <c r="CA448" s="125">
        <f t="shared" si="7"/>
        <v>9.0148543402463783</v>
      </c>
      <c r="CB448" s="125">
        <f t="shared" si="7"/>
        <v>9.1590920096903208</v>
      </c>
      <c r="CC448" s="125">
        <f t="shared" si="7"/>
        <v>9.3239556658647462</v>
      </c>
      <c r="CD448" s="125">
        <f t="shared" si="7"/>
        <v>9.9020409171483603</v>
      </c>
      <c r="CE448" s="125">
        <f t="shared" si="7"/>
        <v>10.69420419052023</v>
      </c>
      <c r="CF448" s="125">
        <f t="shared" si="7"/>
        <v>10.876005661759073</v>
      </c>
      <c r="CG448" s="125">
        <f t="shared" si="7"/>
        <v>11.060897758008977</v>
      </c>
    </row>
    <row r="449" spans="1:85">
      <c r="A449" s="3"/>
      <c r="B449" s="123">
        <v>1953</v>
      </c>
      <c r="C449" s="123"/>
      <c r="D449" s="3"/>
      <c r="E449" s="126"/>
      <c r="F449" s="126"/>
      <c r="G449" s="126"/>
      <c r="H449" s="126"/>
      <c r="I449" s="126"/>
      <c r="J449" s="126"/>
      <c r="K449" s="126"/>
      <c r="L449" s="124">
        <v>1</v>
      </c>
      <c r="M449" s="125">
        <f t="shared" si="3"/>
        <v>1.04</v>
      </c>
      <c r="N449" s="125">
        <f t="shared" si="3"/>
        <v>1.0598540145985402</v>
      </c>
      <c r="O449" s="125">
        <f t="shared" si="3"/>
        <v>1.0799999999999998</v>
      </c>
      <c r="P449" s="125">
        <f t="shared" si="3"/>
        <v>1.1500729927007298</v>
      </c>
      <c r="Q449" s="125">
        <f t="shared" si="3"/>
        <v>1.16992700729927</v>
      </c>
      <c r="R449" s="125">
        <f t="shared" si="3"/>
        <v>1.1798540145985403</v>
      </c>
      <c r="S449" s="125">
        <f t="shared" si="3"/>
        <v>1.2099270072992701</v>
      </c>
      <c r="T449" s="125">
        <f t="shared" si="3"/>
        <v>1.2300729927007301</v>
      </c>
      <c r="U449" s="125">
        <f t="shared" si="3"/>
        <v>1.2537226277372264</v>
      </c>
      <c r="V449" s="125">
        <f t="shared" si="3"/>
        <v>1.3016058394160586</v>
      </c>
      <c r="W449" s="125">
        <f t="shared" si="3"/>
        <v>1.3263363503649634</v>
      </c>
      <c r="X449" s="125">
        <f t="shared" si="4"/>
        <v>1.4377486037956204</v>
      </c>
      <c r="Y449" s="125">
        <f t="shared" si="4"/>
        <v>1.499571793758832</v>
      </c>
      <c r="Z449" s="125">
        <f t="shared" si="4"/>
        <v>1.5865469577968443</v>
      </c>
      <c r="AA449" s="125">
        <f t="shared" si="4"/>
        <v>1.648422289150921</v>
      </c>
      <c r="AB449" s="125">
        <f t="shared" si="4"/>
        <v>1.7028202246929014</v>
      </c>
      <c r="AC449" s="125">
        <f t="shared" si="4"/>
        <v>1.8203148201967114</v>
      </c>
      <c r="AD449" s="125">
        <f t="shared" si="4"/>
        <v>1.9186118204873339</v>
      </c>
      <c r="AE449" s="125">
        <f t="shared" si="4"/>
        <v>2.0644263188443714</v>
      </c>
      <c r="AF449" s="125">
        <f t="shared" si="4"/>
        <v>2.2171938664388549</v>
      </c>
      <c r="AG449" s="125">
        <f t="shared" si="4"/>
        <v>2.396786569620402</v>
      </c>
      <c r="AH449" s="125">
        <f t="shared" si="4"/>
        <v>2.6316716534432016</v>
      </c>
      <c r="AI449" s="125">
        <f t="shared" si="4"/>
        <v>2.9132605203616242</v>
      </c>
      <c r="AJ449" s="125">
        <f t="shared" si="4"/>
        <v>3.1550611435516389</v>
      </c>
      <c r="AK449" s="125">
        <f t="shared" si="4"/>
        <v>3.3696053013131504</v>
      </c>
      <c r="AL449" s="125">
        <f t="shared" si="4"/>
        <v>3.5111287239683029</v>
      </c>
      <c r="AM449" s="125">
        <f t="shared" si="4"/>
        <v>3.6445516154790987</v>
      </c>
      <c r="AN449" s="125">
        <f t="shared" si="5"/>
        <v>3.9033147801781145</v>
      </c>
      <c r="AO449" s="125">
        <f t="shared" si="5"/>
        <v>4.1531269261095138</v>
      </c>
      <c r="AP449" s="125">
        <f t="shared" si="5"/>
        <v>4.3981614147499748</v>
      </c>
      <c r="AQ449" s="125">
        <f t="shared" si="5"/>
        <v>4.5125136115334739</v>
      </c>
      <c r="AR449" s="125">
        <f t="shared" si="5"/>
        <v>4.638863992656411</v>
      </c>
      <c r="AS449" s="125">
        <f t="shared" si="5"/>
        <v>4.745557864487508</v>
      </c>
      <c r="AT449" s="125">
        <f t="shared" si="5"/>
        <v>4.7218300751650704</v>
      </c>
      <c r="AU449" s="125">
        <f t="shared" si="5"/>
        <v>4.7312737353154004</v>
      </c>
      <c r="AV449" s="125">
        <f t="shared" si="5"/>
        <v>4.773855198933239</v>
      </c>
      <c r="AW449" s="125">
        <f t="shared" si="5"/>
        <v>4.8263676061215044</v>
      </c>
      <c r="AX449" s="125">
        <f t="shared" si="5"/>
        <v>4.9422004286684205</v>
      </c>
      <c r="AY449" s="125">
        <f t="shared" si="5"/>
        <v>5.1695416483871677</v>
      </c>
      <c r="AZ449" s="125">
        <f t="shared" si="5"/>
        <v>5.3504756060807184</v>
      </c>
      <c r="BA449" s="125">
        <f t="shared" si="5"/>
        <v>5.4574851182023325</v>
      </c>
      <c r="BB449" s="125">
        <f t="shared" si="5"/>
        <v>5.5993797312755929</v>
      </c>
      <c r="BC449" s="125">
        <f t="shared" si="5"/>
        <v>5.6833704272447259</v>
      </c>
      <c r="BD449" s="125">
        <f t="shared" si="6"/>
        <v>5.7913544653623754</v>
      </c>
      <c r="BE449" s="125">
        <f t="shared" si="6"/>
        <v>5.9419296814617972</v>
      </c>
      <c r="BF449" s="125">
        <f t="shared" si="6"/>
        <v>6.0429424860466474</v>
      </c>
      <c r="BG449" s="125">
        <f t="shared" si="6"/>
        <v>6.2000589906838606</v>
      </c>
      <c r="BH449" s="125">
        <f t="shared" si="6"/>
        <v>6.3550604654509568</v>
      </c>
      <c r="BI449" s="125">
        <f t="shared" si="6"/>
        <v>6.6537483073271515</v>
      </c>
      <c r="BJ449" s="125">
        <f t="shared" si="6"/>
        <v>6.8733220014689467</v>
      </c>
      <c r="BK449" s="125">
        <f t="shared" si="6"/>
        <v>7.0176617634997935</v>
      </c>
      <c r="BL449" s="125">
        <f t="shared" si="6"/>
        <v>7.0948560428982903</v>
      </c>
      <c r="BM449" s="125">
        <f t="shared" si="6"/>
        <v>7.2225634516704593</v>
      </c>
      <c r="BN449" s="125">
        <f t="shared" si="6"/>
        <v>7.3236793399938458</v>
      </c>
      <c r="BO449" s="125">
        <f t="shared" si="6"/>
        <v>7.4042398127337776</v>
      </c>
      <c r="BP449" s="125">
        <f t="shared" si="6"/>
        <v>7.6411754867412585</v>
      </c>
      <c r="BQ449" s="125">
        <f t="shared" si="6"/>
        <v>7.664099013201481</v>
      </c>
      <c r="BR449" s="125">
        <f t="shared" si="6"/>
        <v>7.7790604983995024</v>
      </c>
      <c r="BS449" s="125">
        <f t="shared" si="6"/>
        <v>7.9813160713578899</v>
      </c>
      <c r="BT449" s="125">
        <f t="shared" si="7"/>
        <v>8.1648863409991215</v>
      </c>
      <c r="BU449" s="125">
        <f t="shared" si="7"/>
        <v>8.3935031585470963</v>
      </c>
      <c r="BV449" s="125">
        <f t="shared" si="7"/>
        <v>8.4774381901325668</v>
      </c>
      <c r="BW449" s="125">
        <f t="shared" si="7"/>
        <v>8.5452576956536266</v>
      </c>
      <c r="BX449" s="125">
        <f t="shared" si="7"/>
        <v>8.5623482110449345</v>
      </c>
      <c r="BY449" s="125">
        <f t="shared" si="7"/>
        <v>8.6822210859995632</v>
      </c>
      <c r="BZ449" s="125">
        <f t="shared" si="7"/>
        <v>8.7864077390315583</v>
      </c>
      <c r="CA449" s="125">
        <f t="shared" si="7"/>
        <v>9.0148543402463783</v>
      </c>
      <c r="CB449" s="125">
        <f t="shared" si="7"/>
        <v>9.1590920096903208</v>
      </c>
      <c r="CC449" s="125">
        <f t="shared" si="7"/>
        <v>9.3239556658647462</v>
      </c>
      <c r="CD449" s="125">
        <f t="shared" si="7"/>
        <v>9.9020409171483603</v>
      </c>
      <c r="CE449" s="125">
        <f t="shared" si="7"/>
        <v>10.69420419052023</v>
      </c>
      <c r="CF449" s="125">
        <f t="shared" si="7"/>
        <v>10.876005661759073</v>
      </c>
      <c r="CG449" s="125">
        <f t="shared" si="7"/>
        <v>11.060897758008977</v>
      </c>
    </row>
    <row r="450" spans="1:85">
      <c r="A450" s="3"/>
      <c r="B450" s="123">
        <v>1954</v>
      </c>
      <c r="C450" s="123"/>
      <c r="D450" s="3"/>
      <c r="E450" s="126"/>
      <c r="F450" s="126"/>
      <c r="G450" s="126"/>
      <c r="H450" s="126"/>
      <c r="I450" s="126"/>
      <c r="J450" s="126"/>
      <c r="K450" s="126"/>
      <c r="L450" s="126"/>
      <c r="M450" s="124">
        <v>1</v>
      </c>
      <c r="N450" s="125">
        <f t="shared" si="3"/>
        <v>1.0190903986524424</v>
      </c>
      <c r="O450" s="125">
        <f t="shared" si="3"/>
        <v>1.0384615384615383</v>
      </c>
      <c r="P450" s="125">
        <f t="shared" si="3"/>
        <v>1.105839416058394</v>
      </c>
      <c r="Q450" s="125">
        <f t="shared" si="3"/>
        <v>1.1249298147108364</v>
      </c>
      <c r="R450" s="125">
        <f t="shared" si="3"/>
        <v>1.1344750140370579</v>
      </c>
      <c r="S450" s="125">
        <f t="shared" si="3"/>
        <v>1.163391353172375</v>
      </c>
      <c r="T450" s="125">
        <f t="shared" si="3"/>
        <v>1.1827624929814711</v>
      </c>
      <c r="U450" s="125">
        <f t="shared" si="3"/>
        <v>1.2055025266704098</v>
      </c>
      <c r="V450" s="125">
        <f t="shared" si="3"/>
        <v>1.2515440763615946</v>
      </c>
      <c r="W450" s="125">
        <f t="shared" si="3"/>
        <v>1.2753234138124647</v>
      </c>
      <c r="X450" s="125">
        <f t="shared" si="4"/>
        <v>1.3824505805727119</v>
      </c>
      <c r="Y450" s="125">
        <f t="shared" si="4"/>
        <v>1.4418959555373383</v>
      </c>
      <c r="Z450" s="125">
        <f t="shared" si="4"/>
        <v>1.5255259209585039</v>
      </c>
      <c r="AA450" s="125">
        <f t="shared" si="4"/>
        <v>1.5850214318758855</v>
      </c>
      <c r="AB450" s="125">
        <f t="shared" si="4"/>
        <v>1.6373271391277897</v>
      </c>
      <c r="AC450" s="125">
        <f t="shared" si="4"/>
        <v>1.7503027117276071</v>
      </c>
      <c r="AD450" s="125">
        <f t="shared" si="4"/>
        <v>1.8448190581608979</v>
      </c>
      <c r="AE450" s="125">
        <f t="shared" si="4"/>
        <v>1.9850253065811263</v>
      </c>
      <c r="AF450" s="125">
        <f t="shared" si="4"/>
        <v>2.1319171792681297</v>
      </c>
      <c r="AG450" s="125">
        <f t="shared" si="4"/>
        <v>2.3046024707888479</v>
      </c>
      <c r="AH450" s="125">
        <f t="shared" si="4"/>
        <v>2.5304535129261554</v>
      </c>
      <c r="AI450" s="125">
        <f t="shared" si="4"/>
        <v>2.8012120388092541</v>
      </c>
      <c r="AJ450" s="125">
        <f t="shared" si="4"/>
        <v>3.0337126380304222</v>
      </c>
      <c r="AK450" s="125">
        <f t="shared" si="4"/>
        <v>3.2400050974164913</v>
      </c>
      <c r="AL450" s="125">
        <f t="shared" si="4"/>
        <v>3.3760853115079841</v>
      </c>
      <c r="AM450" s="125">
        <f t="shared" si="4"/>
        <v>3.5043765533452875</v>
      </c>
      <c r="AN450" s="125">
        <f t="shared" si="5"/>
        <v>3.7531872886328026</v>
      </c>
      <c r="AO450" s="125">
        <f t="shared" si="5"/>
        <v>3.993391275105302</v>
      </c>
      <c r="AP450" s="125">
        <f t="shared" si="5"/>
        <v>4.2290013603365146</v>
      </c>
      <c r="AQ450" s="125">
        <f t="shared" si="5"/>
        <v>4.3389553957052645</v>
      </c>
      <c r="AR450" s="125">
        <f t="shared" si="5"/>
        <v>4.4604461467850118</v>
      </c>
      <c r="AS450" s="125">
        <f t="shared" si="5"/>
        <v>4.563036408161067</v>
      </c>
      <c r="AT450" s="125">
        <f t="shared" si="5"/>
        <v>4.5402212261202619</v>
      </c>
      <c r="AU450" s="125">
        <f t="shared" si="5"/>
        <v>4.5493016685725021</v>
      </c>
      <c r="AV450" s="125">
        <f t="shared" si="5"/>
        <v>4.5902453835896537</v>
      </c>
      <c r="AW450" s="125">
        <f t="shared" si="5"/>
        <v>4.6407380828091398</v>
      </c>
      <c r="AX450" s="125">
        <f t="shared" si="5"/>
        <v>4.7521157967965593</v>
      </c>
      <c r="AY450" s="125">
        <f t="shared" si="5"/>
        <v>4.970713123449201</v>
      </c>
      <c r="AZ450" s="125">
        <f t="shared" si="5"/>
        <v>5.1446880827699228</v>
      </c>
      <c r="BA450" s="125">
        <f t="shared" si="5"/>
        <v>5.2475818444253211</v>
      </c>
      <c r="BB450" s="125">
        <f t="shared" si="5"/>
        <v>5.38401897238038</v>
      </c>
      <c r="BC450" s="125">
        <f t="shared" si="5"/>
        <v>5.4647792569660849</v>
      </c>
      <c r="BD450" s="125">
        <f t="shared" si="6"/>
        <v>5.5686100628484398</v>
      </c>
      <c r="BE450" s="125">
        <f t="shared" si="6"/>
        <v>5.7133939244824994</v>
      </c>
      <c r="BF450" s="125">
        <f t="shared" si="6"/>
        <v>5.810521621198701</v>
      </c>
      <c r="BG450" s="125">
        <f t="shared" si="6"/>
        <v>5.9615951833498677</v>
      </c>
      <c r="BH450" s="125">
        <f t="shared" si="6"/>
        <v>6.1106350629336141</v>
      </c>
      <c r="BI450" s="125">
        <f t="shared" si="6"/>
        <v>6.3978349108914934</v>
      </c>
      <c r="BJ450" s="125">
        <f t="shared" si="6"/>
        <v>6.6089634629509124</v>
      </c>
      <c r="BK450" s="125">
        <f t="shared" si="6"/>
        <v>6.7477516956728811</v>
      </c>
      <c r="BL450" s="125">
        <f t="shared" si="6"/>
        <v>6.8219769643252821</v>
      </c>
      <c r="BM450" s="125">
        <f t="shared" si="6"/>
        <v>6.9447725496831376</v>
      </c>
      <c r="BN450" s="125">
        <f t="shared" si="6"/>
        <v>7.0419993653787012</v>
      </c>
      <c r="BO450" s="125">
        <f t="shared" si="6"/>
        <v>7.1194613583978663</v>
      </c>
      <c r="BP450" s="125">
        <f t="shared" si="6"/>
        <v>7.3472841218665979</v>
      </c>
      <c r="BQ450" s="125">
        <f t="shared" si="6"/>
        <v>7.369325974232197</v>
      </c>
      <c r="BR450" s="125">
        <f t="shared" si="6"/>
        <v>7.4798658638456796</v>
      </c>
      <c r="BS450" s="125">
        <f t="shared" si="6"/>
        <v>7.6743423763056677</v>
      </c>
      <c r="BT450" s="125">
        <f t="shared" si="7"/>
        <v>7.8508522509606973</v>
      </c>
      <c r="BU450" s="125">
        <f t="shared" si="7"/>
        <v>8.0706761139875969</v>
      </c>
      <c r="BV450" s="125">
        <f t="shared" si="7"/>
        <v>8.1513828751274726</v>
      </c>
      <c r="BW450" s="125">
        <f t="shared" si="7"/>
        <v>8.2165939381284918</v>
      </c>
      <c r="BX450" s="125">
        <f t="shared" si="7"/>
        <v>8.2330271260047496</v>
      </c>
      <c r="BY450" s="125">
        <f t="shared" si="7"/>
        <v>8.3482895057688165</v>
      </c>
      <c r="BZ450" s="125">
        <f t="shared" si="7"/>
        <v>8.4484689798380419</v>
      </c>
      <c r="CA450" s="125">
        <f t="shared" si="7"/>
        <v>8.6681291733138313</v>
      </c>
      <c r="CB450" s="125">
        <f t="shared" si="7"/>
        <v>8.8068192400868526</v>
      </c>
      <c r="CC450" s="125">
        <f t="shared" si="7"/>
        <v>8.9653419864084167</v>
      </c>
      <c r="CD450" s="125">
        <f t="shared" si="7"/>
        <v>9.5211931895657393</v>
      </c>
      <c r="CE450" s="125">
        <f t="shared" si="7"/>
        <v>10.282888644730999</v>
      </c>
      <c r="CF450" s="125">
        <f t="shared" si="7"/>
        <v>10.457697751691425</v>
      </c>
      <c r="CG450" s="125">
        <f t="shared" si="7"/>
        <v>10.635478613470179</v>
      </c>
    </row>
    <row r="451" spans="1:85">
      <c r="A451" s="3"/>
      <c r="B451" s="123">
        <v>1955</v>
      </c>
      <c r="C451" s="123"/>
      <c r="D451" s="3"/>
      <c r="E451" s="126"/>
      <c r="F451" s="126"/>
      <c r="G451" s="126"/>
      <c r="H451" s="126"/>
      <c r="I451" s="126"/>
      <c r="J451" s="126"/>
      <c r="K451" s="126"/>
      <c r="L451" s="126"/>
      <c r="M451" s="126"/>
      <c r="N451" s="124">
        <v>1</v>
      </c>
      <c r="O451" s="125">
        <f>N451*O$439</f>
        <v>1.0190082644628098</v>
      </c>
      <c r="P451" s="125">
        <f>O451*P$439</f>
        <v>1.0851239669421486</v>
      </c>
      <c r="Q451" s="125">
        <f t="shared" si="3"/>
        <v>1.1038567493112947</v>
      </c>
      <c r="R451" s="125">
        <f t="shared" si="3"/>
        <v>1.1132231404958679</v>
      </c>
      <c r="S451" s="125">
        <f t="shared" si="3"/>
        <v>1.1415977961432506</v>
      </c>
      <c r="T451" s="125">
        <f t="shared" si="3"/>
        <v>1.1606060606060606</v>
      </c>
      <c r="U451" s="125">
        <f t="shared" si="3"/>
        <v>1.1829201101928375</v>
      </c>
      <c r="V451" s="125">
        <f t="shared" si="3"/>
        <v>1.228099173553719</v>
      </c>
      <c r="W451" s="125">
        <f t="shared" si="3"/>
        <v>1.2514330578512396</v>
      </c>
      <c r="X451" s="125">
        <f t="shared" si="4"/>
        <v>1.3565534347107437</v>
      </c>
      <c r="Y451" s="125">
        <f t="shared" si="4"/>
        <v>1.4148852324033057</v>
      </c>
      <c r="Z451" s="125">
        <f t="shared" si="4"/>
        <v>1.4969485758826975</v>
      </c>
      <c r="AA451" s="125">
        <f t="shared" si="4"/>
        <v>1.5553295703421226</v>
      </c>
      <c r="AB451" s="125">
        <f t="shared" si="4"/>
        <v>1.6066554461634126</v>
      </c>
      <c r="AC451" s="125">
        <f t="shared" si="4"/>
        <v>1.717514671948688</v>
      </c>
      <c r="AD451" s="125">
        <f t="shared" si="4"/>
        <v>1.8102604642339173</v>
      </c>
      <c r="AE451" s="125">
        <f t="shared" si="4"/>
        <v>1.9478402595156952</v>
      </c>
      <c r="AF451" s="125">
        <f t="shared" si="4"/>
        <v>2.0919804387198568</v>
      </c>
      <c r="AG451" s="125">
        <f t="shared" si="4"/>
        <v>2.2614308542561652</v>
      </c>
      <c r="AH451" s="125">
        <f t="shared" si="4"/>
        <v>2.4830510779732697</v>
      </c>
      <c r="AI451" s="125">
        <f t="shared" si="4"/>
        <v>2.7487375433164094</v>
      </c>
      <c r="AJ451" s="125">
        <f t="shared" si="4"/>
        <v>2.9768827594116711</v>
      </c>
      <c r="AK451" s="125">
        <f t="shared" si="4"/>
        <v>3.1793107870516648</v>
      </c>
      <c r="AL451" s="125">
        <f t="shared" si="4"/>
        <v>3.312841840107835</v>
      </c>
      <c r="AM451" s="125">
        <f t="shared" si="4"/>
        <v>3.4387298300319329</v>
      </c>
      <c r="AN451" s="125">
        <f t="shared" si="5"/>
        <v>3.6828796479641999</v>
      </c>
      <c r="AO451" s="125">
        <f t="shared" si="5"/>
        <v>3.9185839454339089</v>
      </c>
      <c r="AP451" s="125">
        <f t="shared" si="5"/>
        <v>4.1497803982145092</v>
      </c>
      <c r="AQ451" s="125">
        <f t="shared" si="5"/>
        <v>4.2576746885680867</v>
      </c>
      <c r="AR451" s="125">
        <f t="shared" si="5"/>
        <v>4.376889579847993</v>
      </c>
      <c r="AS451" s="125">
        <f t="shared" si="5"/>
        <v>4.4775580401844968</v>
      </c>
      <c r="AT451" s="125">
        <f t="shared" si="5"/>
        <v>4.4551702499835741</v>
      </c>
      <c r="AU451" s="125">
        <f t="shared" si="5"/>
        <v>4.4640805904835412</v>
      </c>
      <c r="AV451" s="125">
        <f t="shared" si="5"/>
        <v>4.5042573157978927</v>
      </c>
      <c r="AW451" s="125">
        <f t="shared" si="5"/>
        <v>4.553804146271669</v>
      </c>
      <c r="AX451" s="125">
        <f t="shared" si="5"/>
        <v>4.6630954457821892</v>
      </c>
      <c r="AY451" s="125">
        <f t="shared" si="5"/>
        <v>4.87759783628817</v>
      </c>
      <c r="AZ451" s="125">
        <f t="shared" si="5"/>
        <v>5.0483137605582558</v>
      </c>
      <c r="BA451" s="125">
        <f t="shared" si="5"/>
        <v>5.1492800357694213</v>
      </c>
      <c r="BB451" s="125">
        <f t="shared" si="5"/>
        <v>5.2831613166994265</v>
      </c>
      <c r="BC451" s="125">
        <f t="shared" si="5"/>
        <v>5.3624087364499173</v>
      </c>
      <c r="BD451" s="125">
        <f t="shared" si="6"/>
        <v>5.4642945024424652</v>
      </c>
      <c r="BE451" s="125">
        <f t="shared" si="6"/>
        <v>5.6063661595059697</v>
      </c>
      <c r="BF451" s="125">
        <f t="shared" si="6"/>
        <v>5.7016743842175703</v>
      </c>
      <c r="BG451" s="125">
        <f t="shared" si="6"/>
        <v>5.8499179182072272</v>
      </c>
      <c r="BH451" s="125">
        <f t="shared" si="6"/>
        <v>5.9961658661624071</v>
      </c>
      <c r="BI451" s="125">
        <f t="shared" si="6"/>
        <v>6.27798566187204</v>
      </c>
      <c r="BJ451" s="125">
        <f t="shared" si="6"/>
        <v>6.4851591887138165</v>
      </c>
      <c r="BK451" s="125">
        <f t="shared" si="6"/>
        <v>6.6213475316768058</v>
      </c>
      <c r="BL451" s="125">
        <f t="shared" si="6"/>
        <v>6.6941823545252497</v>
      </c>
      <c r="BM451" s="125">
        <f t="shared" si="6"/>
        <v>6.8146776369067039</v>
      </c>
      <c r="BN451" s="125">
        <f t="shared" si="6"/>
        <v>6.910083123823398</v>
      </c>
      <c r="BO451" s="125">
        <f t="shared" si="6"/>
        <v>6.9860940381854544</v>
      </c>
      <c r="BP451" s="125">
        <f t="shared" si="6"/>
        <v>7.2096490474073889</v>
      </c>
      <c r="BQ451" s="125">
        <f t="shared" si="6"/>
        <v>7.2312779945496102</v>
      </c>
      <c r="BR451" s="125">
        <f t="shared" si="6"/>
        <v>7.3397471644678536</v>
      </c>
      <c r="BS451" s="125">
        <f t="shared" si="6"/>
        <v>7.5305805907440178</v>
      </c>
      <c r="BT451" s="125">
        <f t="shared" si="7"/>
        <v>7.7037839443311293</v>
      </c>
      <c r="BU451" s="125">
        <f t="shared" si="7"/>
        <v>7.9194898947724015</v>
      </c>
      <c r="BV451" s="125">
        <f t="shared" si="7"/>
        <v>7.998684793720126</v>
      </c>
      <c r="BW451" s="125">
        <f t="shared" si="7"/>
        <v>8.0626742720698878</v>
      </c>
      <c r="BX451" s="125">
        <f t="shared" si="7"/>
        <v>8.0787996206140278</v>
      </c>
      <c r="BY451" s="125">
        <f t="shared" si="7"/>
        <v>8.1919028153026243</v>
      </c>
      <c r="BZ451" s="125">
        <f t="shared" si="7"/>
        <v>8.2902056490862552</v>
      </c>
      <c r="CA451" s="125">
        <f t="shared" si="7"/>
        <v>8.5057509959624973</v>
      </c>
      <c r="CB451" s="125">
        <f t="shared" si="7"/>
        <v>8.6418430118978975</v>
      </c>
      <c r="CC451" s="125">
        <f t="shared" si="7"/>
        <v>8.79739618611206</v>
      </c>
      <c r="CD451" s="125">
        <f t="shared" si="7"/>
        <v>9.3428347496510078</v>
      </c>
      <c r="CE451" s="125">
        <f t="shared" si="7"/>
        <v>10.090261529623088</v>
      </c>
      <c r="CF451" s="125">
        <f t="shared" si="7"/>
        <v>10.261795975626679</v>
      </c>
      <c r="CG451" s="125">
        <f t="shared" si="7"/>
        <v>10.436246507212331</v>
      </c>
    </row>
    <row r="452" spans="1:85">
      <c r="A452" s="3"/>
      <c r="B452" s="123">
        <v>1956</v>
      </c>
      <c r="C452" s="123"/>
      <c r="D452" s="3"/>
      <c r="E452" s="126"/>
      <c r="F452" s="126"/>
      <c r="G452" s="126"/>
      <c r="H452" s="126"/>
      <c r="I452" s="126"/>
      <c r="J452" s="126"/>
      <c r="K452" s="126"/>
      <c r="L452" s="126"/>
      <c r="M452" s="126"/>
      <c r="N452" s="126"/>
      <c r="O452" s="124">
        <v>1</v>
      </c>
      <c r="P452" s="125">
        <f t="shared" si="3"/>
        <v>1.064882400648824</v>
      </c>
      <c r="Q452" s="125">
        <f t="shared" si="3"/>
        <v>1.0832657474993241</v>
      </c>
      <c r="R452" s="125">
        <f t="shared" si="3"/>
        <v>1.0924574209245743</v>
      </c>
      <c r="S452" s="125">
        <f t="shared" si="3"/>
        <v>1.1203027845363611</v>
      </c>
      <c r="T452" s="125">
        <f t="shared" si="3"/>
        <v>1.1389564747228982</v>
      </c>
      <c r="U452" s="125">
        <f t="shared" si="3"/>
        <v>1.1608542849418761</v>
      </c>
      <c r="V452" s="125">
        <f t="shared" si="3"/>
        <v>1.2051905920519059</v>
      </c>
      <c r="W452" s="125">
        <f t="shared" si="3"/>
        <v>1.228089213300892</v>
      </c>
      <c r="X452" s="125">
        <f t="shared" si="4"/>
        <v>1.3312487072181671</v>
      </c>
      <c r="Y452" s="125">
        <f t="shared" si="4"/>
        <v>1.3884924016285483</v>
      </c>
      <c r="Z452" s="125">
        <f t="shared" si="4"/>
        <v>1.4690249609230042</v>
      </c>
      <c r="AA452" s="125">
        <f t="shared" si="4"/>
        <v>1.5263169343990013</v>
      </c>
      <c r="AB452" s="125">
        <f t="shared" si="4"/>
        <v>1.5766853932341682</v>
      </c>
      <c r="AC452" s="125">
        <f t="shared" si="4"/>
        <v>1.6854766853673258</v>
      </c>
      <c r="AD452" s="125">
        <f t="shared" si="4"/>
        <v>1.7764924263771615</v>
      </c>
      <c r="AE452" s="125">
        <f t="shared" si="4"/>
        <v>1.9115058507818259</v>
      </c>
      <c r="AF452" s="125">
        <f t="shared" si="4"/>
        <v>2.0529572837396812</v>
      </c>
      <c r="AG452" s="125">
        <f t="shared" si="4"/>
        <v>2.2192468237225955</v>
      </c>
      <c r="AH452" s="125">
        <f t="shared" si="4"/>
        <v>2.43673301244741</v>
      </c>
      <c r="AI452" s="125">
        <f t="shared" si="4"/>
        <v>2.6974634447792827</v>
      </c>
      <c r="AJ452" s="125">
        <f t="shared" si="4"/>
        <v>2.9213529106959633</v>
      </c>
      <c r="AK452" s="125">
        <f t="shared" si="4"/>
        <v>3.1200049086232888</v>
      </c>
      <c r="AL452" s="125">
        <f t="shared" si="4"/>
        <v>3.2510451147854669</v>
      </c>
      <c r="AM452" s="125">
        <f t="shared" si="4"/>
        <v>3.3745848291473148</v>
      </c>
      <c r="AN452" s="125">
        <f t="shared" si="5"/>
        <v>3.6141803520167741</v>
      </c>
      <c r="AO452" s="125">
        <f t="shared" si="5"/>
        <v>3.8454878945458479</v>
      </c>
      <c r="AP452" s="125">
        <f t="shared" si="5"/>
        <v>4.0723716803240526</v>
      </c>
      <c r="AQ452" s="125">
        <f t="shared" si="5"/>
        <v>4.1782533440124778</v>
      </c>
      <c r="AR452" s="125">
        <f t="shared" si="5"/>
        <v>4.2952444376448273</v>
      </c>
      <c r="AS452" s="125">
        <f t="shared" si="5"/>
        <v>4.3940350597106583</v>
      </c>
      <c r="AT452" s="125">
        <f t="shared" si="5"/>
        <v>4.3720648844121053</v>
      </c>
      <c r="AU452" s="125">
        <f t="shared" si="5"/>
        <v>4.3808090141809295</v>
      </c>
      <c r="AV452" s="125">
        <f t="shared" si="5"/>
        <v>4.4202362953085572</v>
      </c>
      <c r="AW452" s="125">
        <f t="shared" si="5"/>
        <v>4.4688588945569512</v>
      </c>
      <c r="AX452" s="125">
        <f t="shared" si="5"/>
        <v>4.5761115080263179</v>
      </c>
      <c r="AY452" s="125">
        <f t="shared" si="5"/>
        <v>4.7866126373955291</v>
      </c>
      <c r="AZ452" s="125">
        <f t="shared" si="5"/>
        <v>4.9541440797043723</v>
      </c>
      <c r="BA452" s="125">
        <f t="shared" si="5"/>
        <v>5.0532269612984599</v>
      </c>
      <c r="BB452" s="125">
        <f t="shared" si="5"/>
        <v>5.18461086229222</v>
      </c>
      <c r="BC452" s="125">
        <f t="shared" si="5"/>
        <v>5.2623800252266024</v>
      </c>
      <c r="BD452" s="125">
        <f t="shared" si="6"/>
        <v>5.3623652457059077</v>
      </c>
      <c r="BE452" s="125">
        <f t="shared" si="6"/>
        <v>5.5017867420942617</v>
      </c>
      <c r="BF452" s="125">
        <f t="shared" si="6"/>
        <v>5.5953171167098636</v>
      </c>
      <c r="BG452" s="125">
        <f t="shared" si="6"/>
        <v>5.7407953617443201</v>
      </c>
      <c r="BH452" s="125">
        <f t="shared" si="6"/>
        <v>5.8843152457879278</v>
      </c>
      <c r="BI452" s="125">
        <f t="shared" si="6"/>
        <v>6.1608780623399602</v>
      </c>
      <c r="BJ452" s="125">
        <f t="shared" si="6"/>
        <v>6.3641870383971781</v>
      </c>
      <c r="BK452" s="125">
        <f t="shared" si="6"/>
        <v>6.4978349662035182</v>
      </c>
      <c r="BL452" s="125">
        <f t="shared" si="6"/>
        <v>6.5693111508317559</v>
      </c>
      <c r="BM452" s="125">
        <f t="shared" si="6"/>
        <v>6.6875587515467272</v>
      </c>
      <c r="BN452" s="125">
        <f t="shared" si="6"/>
        <v>6.7811845740683818</v>
      </c>
      <c r="BO452" s="125">
        <f t="shared" si="6"/>
        <v>6.8557776043831335</v>
      </c>
      <c r="BP452" s="125">
        <f t="shared" si="6"/>
        <v>7.0751624877233938</v>
      </c>
      <c r="BQ452" s="125">
        <f t="shared" si="6"/>
        <v>7.0963879751865635</v>
      </c>
      <c r="BR452" s="125">
        <f t="shared" si="6"/>
        <v>7.202833794814361</v>
      </c>
      <c r="BS452" s="125">
        <f t="shared" si="6"/>
        <v>7.3901074734795342</v>
      </c>
      <c r="BT452" s="125">
        <f t="shared" si="7"/>
        <v>7.5600799453695631</v>
      </c>
      <c r="BU452" s="125">
        <f t="shared" si="7"/>
        <v>7.7717621838399111</v>
      </c>
      <c r="BV452" s="125">
        <f t="shared" si="7"/>
        <v>7.8494798056783104</v>
      </c>
      <c r="BW452" s="125">
        <f t="shared" si="7"/>
        <v>7.9122756441237367</v>
      </c>
      <c r="BX452" s="125">
        <f t="shared" si="7"/>
        <v>7.9281001954119841</v>
      </c>
      <c r="BY452" s="125">
        <f t="shared" si="7"/>
        <v>8.0390935981477512</v>
      </c>
      <c r="BZ452" s="125">
        <f t="shared" si="7"/>
        <v>8.1355627213255239</v>
      </c>
      <c r="CA452" s="125">
        <f t="shared" si="7"/>
        <v>8.3470873520799884</v>
      </c>
      <c r="CB452" s="125">
        <f t="shared" si="7"/>
        <v>8.4806407497132685</v>
      </c>
      <c r="CC452" s="125">
        <f t="shared" si="7"/>
        <v>8.6332922832081067</v>
      </c>
      <c r="CD452" s="125">
        <f t="shared" si="7"/>
        <v>9.1685564047670098</v>
      </c>
      <c r="CE452" s="125">
        <f t="shared" si="7"/>
        <v>9.902040917148371</v>
      </c>
      <c r="CF452" s="125">
        <f t="shared" si="7"/>
        <v>10.070375612739893</v>
      </c>
      <c r="CG452" s="125">
        <f t="shared" si="7"/>
        <v>10.24157199815647</v>
      </c>
    </row>
    <row r="453" spans="1:85">
      <c r="A453" s="3"/>
      <c r="B453" s="123">
        <v>1957</v>
      </c>
      <c r="C453" s="123"/>
      <c r="D453" s="3"/>
      <c r="E453" s="126"/>
      <c r="F453" s="126"/>
      <c r="G453" s="126"/>
      <c r="H453" s="126"/>
      <c r="I453" s="126"/>
      <c r="J453" s="126"/>
      <c r="K453" s="126"/>
      <c r="L453" s="126"/>
      <c r="M453" s="126"/>
      <c r="N453" s="126"/>
      <c r="O453" s="126"/>
      <c r="P453" s="124">
        <v>1</v>
      </c>
      <c r="Q453" s="125">
        <f t="shared" si="3"/>
        <v>1.0172632647880173</v>
      </c>
      <c r="R453" s="125">
        <f t="shared" si="3"/>
        <v>1.0258948971820261</v>
      </c>
      <c r="S453" s="125">
        <f t="shared" si="3"/>
        <v>1.0520436659050521</v>
      </c>
      <c r="T453" s="125">
        <f t="shared" si="3"/>
        <v>1.0695608022340697</v>
      </c>
      <c r="U453" s="125">
        <f t="shared" si="3"/>
        <v>1.0901243970550902</v>
      </c>
      <c r="V453" s="125">
        <f t="shared" si="3"/>
        <v>1.131759329779132</v>
      </c>
      <c r="W453" s="125">
        <f t="shared" si="3"/>
        <v>1.1532627570449354</v>
      </c>
      <c r="X453" s="125">
        <f t="shared" si="4"/>
        <v>1.2501368286367101</v>
      </c>
      <c r="Y453" s="125">
        <f t="shared" si="4"/>
        <v>1.3038927122680886</v>
      </c>
      <c r="Z453" s="125">
        <f t="shared" si="4"/>
        <v>1.3795184895796377</v>
      </c>
      <c r="AA453" s="125">
        <f t="shared" si="4"/>
        <v>1.4333197106732436</v>
      </c>
      <c r="AB453" s="125">
        <f t="shared" si="4"/>
        <v>1.4806192611254605</v>
      </c>
      <c r="AC453" s="125">
        <f t="shared" si="4"/>
        <v>1.5827819901431173</v>
      </c>
      <c r="AD453" s="125">
        <f t="shared" si="4"/>
        <v>1.6682522176108456</v>
      </c>
      <c r="AE453" s="125">
        <f t="shared" si="4"/>
        <v>1.7950393861492699</v>
      </c>
      <c r="AF453" s="125">
        <f t="shared" si="4"/>
        <v>1.9278723007243161</v>
      </c>
      <c r="AG453" s="125">
        <f t="shared" si="4"/>
        <v>2.0840299570829859</v>
      </c>
      <c r="AH453" s="125">
        <f t="shared" si="4"/>
        <v>2.2882648928771188</v>
      </c>
      <c r="AI453" s="125">
        <f t="shared" si="4"/>
        <v>2.5331092364149703</v>
      </c>
      <c r="AJ453" s="125">
        <f t="shared" si="4"/>
        <v>2.7433573030374125</v>
      </c>
      <c r="AK453" s="125">
        <f t="shared" si="4"/>
        <v>2.9299055996439569</v>
      </c>
      <c r="AL453" s="125">
        <f t="shared" si="4"/>
        <v>3.0529616348290034</v>
      </c>
      <c r="AM453" s="125">
        <f t="shared" si="4"/>
        <v>3.1689741769525055</v>
      </c>
      <c r="AN453" s="125">
        <f t="shared" si="5"/>
        <v>3.3939713435161334</v>
      </c>
      <c r="AO453" s="125">
        <f t="shared" si="5"/>
        <v>3.611185509501166</v>
      </c>
      <c r="AP453" s="125">
        <f t="shared" si="5"/>
        <v>3.8242454545617348</v>
      </c>
      <c r="AQ453" s="125">
        <f t="shared" si="5"/>
        <v>3.9236758363803399</v>
      </c>
      <c r="AR453" s="125">
        <f t="shared" si="5"/>
        <v>4.0335387597989891</v>
      </c>
      <c r="AS453" s="125">
        <f t="shared" si="5"/>
        <v>4.1263101512743656</v>
      </c>
      <c r="AT453" s="125">
        <f t="shared" si="5"/>
        <v>4.1056786005179937</v>
      </c>
      <c r="AU453" s="125">
        <f t="shared" si="5"/>
        <v>4.1138899577190298</v>
      </c>
      <c r="AV453" s="125">
        <f t="shared" si="5"/>
        <v>4.1509149673385002</v>
      </c>
      <c r="AW453" s="125">
        <f t="shared" si="5"/>
        <v>4.196575031979223</v>
      </c>
      <c r="AX453" s="125">
        <f t="shared" si="5"/>
        <v>4.2972928327467246</v>
      </c>
      <c r="AY453" s="125">
        <f t="shared" si="5"/>
        <v>4.4949683030530743</v>
      </c>
      <c r="AZ453" s="125">
        <f t="shared" si="5"/>
        <v>4.6522921936599317</v>
      </c>
      <c r="BA453" s="125">
        <f t="shared" si="5"/>
        <v>4.7453380375331307</v>
      </c>
      <c r="BB453" s="125">
        <f t="shared" si="5"/>
        <v>4.868716826508992</v>
      </c>
      <c r="BC453" s="125">
        <f t="shared" si="5"/>
        <v>4.9417475789066261</v>
      </c>
      <c r="BD453" s="125">
        <f t="shared" si="6"/>
        <v>5.0356407829058512</v>
      </c>
      <c r="BE453" s="125">
        <f t="shared" si="6"/>
        <v>5.1665674432614033</v>
      </c>
      <c r="BF453" s="125">
        <f t="shared" si="6"/>
        <v>5.2543990897968467</v>
      </c>
      <c r="BG453" s="125">
        <f t="shared" si="6"/>
        <v>5.3910134661315645</v>
      </c>
      <c r="BH453" s="125">
        <f t="shared" si="6"/>
        <v>5.5257888027848532</v>
      </c>
      <c r="BI453" s="125">
        <f t="shared" si="6"/>
        <v>5.7855008765157407</v>
      </c>
      <c r="BJ453" s="125">
        <f t="shared" si="6"/>
        <v>5.9764224054407595</v>
      </c>
      <c r="BK453" s="125">
        <f t="shared" si="6"/>
        <v>6.1019272759550152</v>
      </c>
      <c r="BL453" s="125">
        <f t="shared" si="6"/>
        <v>6.16904847599052</v>
      </c>
      <c r="BM453" s="125">
        <f t="shared" si="6"/>
        <v>6.2800913485583498</v>
      </c>
      <c r="BN453" s="125">
        <f t="shared" si="6"/>
        <v>6.3680126274381665</v>
      </c>
      <c r="BO453" s="125">
        <f t="shared" si="6"/>
        <v>6.4380607663399854</v>
      </c>
      <c r="BP453" s="125">
        <f t="shared" si="6"/>
        <v>6.6440787108628649</v>
      </c>
      <c r="BQ453" s="125">
        <f t="shared" si="6"/>
        <v>6.6640109469954529</v>
      </c>
      <c r="BR453" s="125">
        <f t="shared" si="6"/>
        <v>6.7639711112003837</v>
      </c>
      <c r="BS453" s="125">
        <f t="shared" si="6"/>
        <v>6.9398343600915942</v>
      </c>
      <c r="BT453" s="125">
        <f t="shared" si="7"/>
        <v>7.0994505503737004</v>
      </c>
      <c r="BU453" s="125">
        <f t="shared" si="7"/>
        <v>7.2982351657841642</v>
      </c>
      <c r="BV453" s="125">
        <f t="shared" si="7"/>
        <v>7.3712175174420063</v>
      </c>
      <c r="BW453" s="125">
        <f t="shared" si="7"/>
        <v>7.430187257581542</v>
      </c>
      <c r="BX453" s="125">
        <f t="shared" si="7"/>
        <v>7.4450476320967054</v>
      </c>
      <c r="BY453" s="125">
        <f t="shared" si="7"/>
        <v>7.5492782989460592</v>
      </c>
      <c r="BZ453" s="125">
        <f t="shared" si="7"/>
        <v>7.6398696385334119</v>
      </c>
      <c r="CA453" s="125">
        <f t="shared" si="7"/>
        <v>7.838506249135281</v>
      </c>
      <c r="CB453" s="125">
        <f t="shared" si="7"/>
        <v>7.9639223491214457</v>
      </c>
      <c r="CC453" s="125">
        <f t="shared" si="7"/>
        <v>8.1072729514056316</v>
      </c>
      <c r="CD453" s="125">
        <f t="shared" si="7"/>
        <v>8.6099238743927806</v>
      </c>
      <c r="CE453" s="125">
        <f t="shared" si="7"/>
        <v>9.2987177843442037</v>
      </c>
      <c r="CF453" s="125">
        <f t="shared" si="7"/>
        <v>9.4567959866780544</v>
      </c>
      <c r="CG453" s="125">
        <f t="shared" si="7"/>
        <v>9.6175615184515806</v>
      </c>
    </row>
    <row r="454" spans="1:85">
      <c r="A454" s="3"/>
      <c r="B454" s="123">
        <v>1958</v>
      </c>
      <c r="C454" s="123"/>
      <c r="D454" s="3"/>
      <c r="E454" s="126"/>
      <c r="F454" s="126"/>
      <c r="G454" s="126"/>
      <c r="H454" s="126"/>
      <c r="I454" s="126"/>
      <c r="J454" s="126"/>
      <c r="K454" s="126"/>
      <c r="L454" s="126"/>
      <c r="M454" s="126"/>
      <c r="N454" s="126"/>
      <c r="O454" s="126"/>
      <c r="P454" s="126"/>
      <c r="Q454" s="124">
        <v>1</v>
      </c>
      <c r="R454" s="125">
        <f t="shared" si="3"/>
        <v>1.0084851509857751</v>
      </c>
      <c r="S454" s="125">
        <f t="shared" si="3"/>
        <v>1.0341901672073872</v>
      </c>
      <c r="T454" s="125">
        <f t="shared" si="3"/>
        <v>1.0514100324432247</v>
      </c>
      <c r="U454" s="125">
        <f t="shared" si="3"/>
        <v>1.0716246568505119</v>
      </c>
      <c r="V454" s="125">
        <f t="shared" si="3"/>
        <v>1.1125530321936614</v>
      </c>
      <c r="W454" s="125">
        <f t="shared" si="3"/>
        <v>1.1336915398053409</v>
      </c>
      <c r="X454" s="125">
        <f t="shared" si="4"/>
        <v>1.2289216291489895</v>
      </c>
      <c r="Y454" s="125">
        <f t="shared" si="4"/>
        <v>1.281765259202396</v>
      </c>
      <c r="Z454" s="125">
        <f t="shared" si="4"/>
        <v>1.3561076442361351</v>
      </c>
      <c r="AA454" s="125">
        <f t="shared" si="4"/>
        <v>1.4089958423613442</v>
      </c>
      <c r="AB454" s="125">
        <f t="shared" si="4"/>
        <v>1.4554927051592685</v>
      </c>
      <c r="AC454" s="125">
        <f t="shared" si="4"/>
        <v>1.555921701815258</v>
      </c>
      <c r="AD454" s="125">
        <f t="shared" si="4"/>
        <v>1.639941473713282</v>
      </c>
      <c r="AE454" s="125">
        <f t="shared" si="4"/>
        <v>1.7645770257154916</v>
      </c>
      <c r="AF454" s="125">
        <f t="shared" si="4"/>
        <v>1.8951557256184381</v>
      </c>
      <c r="AG454" s="125">
        <f t="shared" si="4"/>
        <v>2.0486633393935314</v>
      </c>
      <c r="AH454" s="125">
        <f t="shared" si="4"/>
        <v>2.2494323466540975</v>
      </c>
      <c r="AI454" s="125">
        <f t="shared" si="4"/>
        <v>2.4901216077460857</v>
      </c>
      <c r="AJ454" s="125">
        <f t="shared" si="4"/>
        <v>2.6968017011890106</v>
      </c>
      <c r="AK454" s="125">
        <f t="shared" si="4"/>
        <v>2.8801842168698637</v>
      </c>
      <c r="AL454" s="125">
        <f t="shared" si="4"/>
        <v>3.0011519539783982</v>
      </c>
      <c r="AM454" s="125">
        <f t="shared" si="4"/>
        <v>3.1151957282295775</v>
      </c>
      <c r="AN454" s="125">
        <f t="shared" si="5"/>
        <v>3.3363746249338773</v>
      </c>
      <c r="AO454" s="125">
        <f t="shared" si="5"/>
        <v>3.5499026009296455</v>
      </c>
      <c r="AP454" s="125">
        <f t="shared" si="5"/>
        <v>3.7593468543844946</v>
      </c>
      <c r="AQ454" s="125">
        <f t="shared" si="5"/>
        <v>3.8570898725984915</v>
      </c>
      <c r="AR454" s="125">
        <f t="shared" si="5"/>
        <v>3.9650883890312492</v>
      </c>
      <c r="AS454" s="125">
        <f t="shared" si="5"/>
        <v>4.0562854219789672</v>
      </c>
      <c r="AT454" s="125">
        <f t="shared" si="5"/>
        <v>4.0360039948690725</v>
      </c>
      <c r="AU454" s="125">
        <f t="shared" si="5"/>
        <v>4.0440760028588105</v>
      </c>
      <c r="AV454" s="125">
        <f t="shared" si="5"/>
        <v>4.0804726868845398</v>
      </c>
      <c r="AW454" s="125">
        <f t="shared" si="5"/>
        <v>4.1253578864402689</v>
      </c>
      <c r="AX454" s="125">
        <f t="shared" si="5"/>
        <v>4.2243664757148354</v>
      </c>
      <c r="AY454" s="125">
        <f t="shared" si="5"/>
        <v>4.4186873335977177</v>
      </c>
      <c r="AZ454" s="125">
        <f t="shared" si="5"/>
        <v>4.5733413902736375</v>
      </c>
      <c r="BA454" s="125">
        <f t="shared" si="5"/>
        <v>4.6648082180791102</v>
      </c>
      <c r="BB454" s="125">
        <f t="shared" si="5"/>
        <v>4.7860932317491676</v>
      </c>
      <c r="BC454" s="125">
        <f t="shared" si="5"/>
        <v>4.8578846302254046</v>
      </c>
      <c r="BD454" s="125">
        <f t="shared" si="6"/>
        <v>4.9501844381996865</v>
      </c>
      <c r="BE454" s="125">
        <f t="shared" si="6"/>
        <v>5.0788892335928786</v>
      </c>
      <c r="BF454" s="125">
        <f t="shared" si="6"/>
        <v>5.1652303505639567</v>
      </c>
      <c r="BG454" s="125">
        <f t="shared" si="6"/>
        <v>5.2995263396786196</v>
      </c>
      <c r="BH454" s="125">
        <f t="shared" si="6"/>
        <v>5.4320144981705845</v>
      </c>
      <c r="BI454" s="125">
        <f t="shared" si="6"/>
        <v>5.6873191795846019</v>
      </c>
      <c r="BJ454" s="125">
        <f t="shared" si="6"/>
        <v>5.875000712510893</v>
      </c>
      <c r="BK454" s="125">
        <f t="shared" si="6"/>
        <v>5.9983757274736211</v>
      </c>
      <c r="BL454" s="125">
        <f t="shared" si="6"/>
        <v>6.0643578604758304</v>
      </c>
      <c r="BM454" s="125">
        <f t="shared" si="6"/>
        <v>6.173516301964395</v>
      </c>
      <c r="BN454" s="125">
        <f t="shared" si="6"/>
        <v>6.2599455301918967</v>
      </c>
      <c r="BO454" s="125">
        <f t="shared" si="6"/>
        <v>6.3288049310240071</v>
      </c>
      <c r="BP454" s="125">
        <f t="shared" si="6"/>
        <v>6.5313266888167751</v>
      </c>
      <c r="BQ454" s="125">
        <f t="shared" si="6"/>
        <v>6.5509206688832249</v>
      </c>
      <c r="BR454" s="125">
        <f t="shared" si="6"/>
        <v>6.6491844789164727</v>
      </c>
      <c r="BS454" s="125">
        <f t="shared" si="6"/>
        <v>6.8220632753683015</v>
      </c>
      <c r="BT454" s="125">
        <f t="shared" si="7"/>
        <v>6.9789707307017714</v>
      </c>
      <c r="BU454" s="125">
        <f t="shared" si="7"/>
        <v>7.1743819111614213</v>
      </c>
      <c r="BV454" s="125">
        <f t="shared" si="7"/>
        <v>7.246125730273036</v>
      </c>
      <c r="BW454" s="125">
        <f t="shared" si="7"/>
        <v>7.3040947361152204</v>
      </c>
      <c r="BX454" s="125">
        <f t="shared" si="7"/>
        <v>7.3187029255874512</v>
      </c>
      <c r="BY454" s="125">
        <f t="shared" si="7"/>
        <v>7.4211647665456759</v>
      </c>
      <c r="BZ454" s="125">
        <f t="shared" si="7"/>
        <v>7.5102187437442245</v>
      </c>
      <c r="CA454" s="125">
        <f t="shared" si="7"/>
        <v>7.7054844310815742</v>
      </c>
      <c r="CB454" s="125">
        <f t="shared" si="7"/>
        <v>7.8287721819788798</v>
      </c>
      <c r="CC454" s="125">
        <f t="shared" si="7"/>
        <v>7.9696900812545</v>
      </c>
      <c r="CD454" s="125">
        <f t="shared" si="7"/>
        <v>8.4638108662922793</v>
      </c>
      <c r="CE454" s="125">
        <f t="shared" si="7"/>
        <v>9.1409157355956623</v>
      </c>
      <c r="CF454" s="125">
        <f t="shared" si="7"/>
        <v>9.2963113031007882</v>
      </c>
      <c r="CG454" s="125">
        <f t="shared" si="7"/>
        <v>9.4543485952535011</v>
      </c>
    </row>
    <row r="455" spans="1:85">
      <c r="A455" s="3"/>
      <c r="B455" s="123">
        <v>1959</v>
      </c>
      <c r="C455" s="123"/>
      <c r="D455" s="3"/>
      <c r="E455" s="126"/>
      <c r="F455" s="126"/>
      <c r="G455" s="126"/>
      <c r="H455" s="126"/>
      <c r="I455" s="126"/>
      <c r="J455" s="126"/>
      <c r="K455" s="126"/>
      <c r="L455" s="126"/>
      <c r="M455" s="126"/>
      <c r="N455" s="126"/>
      <c r="O455" s="126"/>
      <c r="P455" s="126"/>
      <c r="Q455" s="126"/>
      <c r="R455" s="124">
        <v>1</v>
      </c>
      <c r="S455" s="125">
        <f t="shared" si="3"/>
        <v>1.0254887404107893</v>
      </c>
      <c r="T455" s="125">
        <f t="shared" si="3"/>
        <v>1.0425637218510271</v>
      </c>
      <c r="U455" s="125">
        <f t="shared" si="3"/>
        <v>1.062608265280871</v>
      </c>
      <c r="V455" s="125">
        <f t="shared" si="3"/>
        <v>1.1031922791388271</v>
      </c>
      <c r="W455" s="125">
        <f t="shared" si="3"/>
        <v>1.1241529324424648</v>
      </c>
      <c r="X455" s="125">
        <f t="shared" si="4"/>
        <v>1.2185817787676321</v>
      </c>
      <c r="Y455" s="125">
        <f t="shared" si="4"/>
        <v>1.2709807952546401</v>
      </c>
      <c r="Z455" s="125">
        <f t="shared" si="4"/>
        <v>1.3446976813794094</v>
      </c>
      <c r="AA455" s="125">
        <f t="shared" si="4"/>
        <v>1.3971408909532061</v>
      </c>
      <c r="AB455" s="125">
        <f t="shared" si="4"/>
        <v>1.4432465403546619</v>
      </c>
      <c r="AC455" s="125">
        <f t="shared" si="4"/>
        <v>1.5428305516391336</v>
      </c>
      <c r="AD455" s="125">
        <f t="shared" si="4"/>
        <v>1.626143401427647</v>
      </c>
      <c r="AE455" s="125">
        <f t="shared" si="4"/>
        <v>1.7497302999361484</v>
      </c>
      <c r="AF455" s="125">
        <f t="shared" si="4"/>
        <v>1.8792103421314235</v>
      </c>
      <c r="AG455" s="125">
        <f t="shared" si="4"/>
        <v>2.0314263798440688</v>
      </c>
      <c r="AH455" s="125">
        <f t="shared" si="4"/>
        <v>2.2305061650687876</v>
      </c>
      <c r="AI455" s="125">
        <f t="shared" si="4"/>
        <v>2.4691703247311478</v>
      </c>
      <c r="AJ455" s="125">
        <f t="shared" si="4"/>
        <v>2.6741114616838328</v>
      </c>
      <c r="AK455" s="125">
        <f t="shared" si="4"/>
        <v>2.8559510410783338</v>
      </c>
      <c r="AL455" s="125">
        <f t="shared" si="4"/>
        <v>2.9759009848036237</v>
      </c>
      <c r="AM455" s="125">
        <f t="shared" si="4"/>
        <v>3.0889852222261616</v>
      </c>
      <c r="AN455" s="125">
        <f t="shared" si="5"/>
        <v>3.3083031730042189</v>
      </c>
      <c r="AO455" s="125">
        <f t="shared" si="5"/>
        <v>3.5200345760764891</v>
      </c>
      <c r="AP455" s="125">
        <f t="shared" si="5"/>
        <v>3.7277166160650017</v>
      </c>
      <c r="AQ455" s="125">
        <f t="shared" si="5"/>
        <v>3.8246372480826918</v>
      </c>
      <c r="AR455" s="125">
        <f t="shared" si="5"/>
        <v>3.9317270910290074</v>
      </c>
      <c r="AS455" s="125">
        <f t="shared" si="5"/>
        <v>4.022156814122674</v>
      </c>
      <c r="AT455" s="125">
        <f t="shared" si="5"/>
        <v>4.0020460300520604</v>
      </c>
      <c r="AU455" s="125">
        <f t="shared" si="5"/>
        <v>4.0100501221121645</v>
      </c>
      <c r="AV455" s="125">
        <f t="shared" si="5"/>
        <v>4.0461405732111739</v>
      </c>
      <c r="AW455" s="125">
        <f t="shared" si="5"/>
        <v>4.0906481195164961</v>
      </c>
      <c r="AX455" s="125">
        <f t="shared" si="5"/>
        <v>4.1888236743848921</v>
      </c>
      <c r="AY455" s="125">
        <f t="shared" si="5"/>
        <v>4.3815095634065973</v>
      </c>
      <c r="AZ455" s="125">
        <f t="shared" si="5"/>
        <v>4.5348623981258278</v>
      </c>
      <c r="BA455" s="125">
        <f t="shared" si="5"/>
        <v>4.6255596460883446</v>
      </c>
      <c r="BB455" s="125">
        <f t="shared" si="5"/>
        <v>4.7458241968866419</v>
      </c>
      <c r="BC455" s="125">
        <f t="shared" si="5"/>
        <v>4.8170115598399414</v>
      </c>
      <c r="BD455" s="125">
        <f t="shared" si="6"/>
        <v>4.9085347794769003</v>
      </c>
      <c r="BE455" s="125">
        <f t="shared" si="6"/>
        <v>5.0361566837432994</v>
      </c>
      <c r="BF455" s="125">
        <f t="shared" si="6"/>
        <v>5.1217713473669351</v>
      </c>
      <c r="BG455" s="125">
        <f t="shared" si="6"/>
        <v>5.2549374023984754</v>
      </c>
      <c r="BH455" s="125">
        <f t="shared" si="6"/>
        <v>5.3863108374584368</v>
      </c>
      <c r="BI455" s="125">
        <f t="shared" si="6"/>
        <v>5.6394674468189825</v>
      </c>
      <c r="BJ455" s="125">
        <f t="shared" si="6"/>
        <v>5.8255698725640084</v>
      </c>
      <c r="BK455" s="125">
        <f t="shared" si="6"/>
        <v>5.9479068398878523</v>
      </c>
      <c r="BL455" s="125">
        <f t="shared" si="6"/>
        <v>6.013333815126618</v>
      </c>
      <c r="BM455" s="125">
        <f t="shared" si="6"/>
        <v>6.1215738237988973</v>
      </c>
      <c r="BN455" s="125">
        <f t="shared" si="6"/>
        <v>6.2072758573320819</v>
      </c>
      <c r="BO455" s="125">
        <f t="shared" si="6"/>
        <v>6.2755558917627345</v>
      </c>
      <c r="BP455" s="125">
        <f t="shared" si="6"/>
        <v>6.4763736802991421</v>
      </c>
      <c r="BQ455" s="125">
        <f t="shared" si="6"/>
        <v>6.4958028013400391</v>
      </c>
      <c r="BR455" s="125">
        <f t="shared" si="6"/>
        <v>6.5932398433601387</v>
      </c>
      <c r="BS455" s="125">
        <f t="shared" si="6"/>
        <v>6.7646640792875026</v>
      </c>
      <c r="BT455" s="125">
        <f t="shared" si="7"/>
        <v>6.9202513531111149</v>
      </c>
      <c r="BU455" s="125">
        <f t="shared" si="7"/>
        <v>7.1140183909982264</v>
      </c>
      <c r="BV455" s="125">
        <f t="shared" si="7"/>
        <v>7.1851585749082085</v>
      </c>
      <c r="BW455" s="125">
        <f t="shared" si="7"/>
        <v>7.2426398435074741</v>
      </c>
      <c r="BX455" s="125">
        <f t="shared" si="7"/>
        <v>7.2571251231944887</v>
      </c>
      <c r="BY455" s="125">
        <f t="shared" si="7"/>
        <v>7.3587248749192113</v>
      </c>
      <c r="BZ455" s="125">
        <f t="shared" si="7"/>
        <v>7.4470295734182423</v>
      </c>
      <c r="CA455" s="125">
        <f t="shared" si="7"/>
        <v>7.6406523423271171</v>
      </c>
      <c r="CB455" s="125">
        <f t="shared" si="7"/>
        <v>7.7629027798043513</v>
      </c>
      <c r="CC455" s="125">
        <f t="shared" si="7"/>
        <v>7.9026350298408294</v>
      </c>
      <c r="CD455" s="125">
        <f t="shared" si="7"/>
        <v>8.3925984016909609</v>
      </c>
      <c r="CE455" s="125">
        <f t="shared" si="7"/>
        <v>9.064006273826239</v>
      </c>
      <c r="CF455" s="125">
        <f t="shared" si="7"/>
        <v>9.2180943804812845</v>
      </c>
      <c r="CG455" s="125">
        <f t="shared" si="7"/>
        <v>9.3748019849494657</v>
      </c>
    </row>
    <row r="456" spans="1:85">
      <c r="A456" s="3"/>
      <c r="B456" s="123">
        <v>1960</v>
      </c>
      <c r="C456" s="123"/>
      <c r="D456" s="3"/>
      <c r="E456" s="126"/>
      <c r="F456" s="126"/>
      <c r="G456" s="126"/>
      <c r="H456" s="126"/>
      <c r="I456" s="126"/>
      <c r="J456" s="126"/>
      <c r="K456" s="126"/>
      <c r="L456" s="126"/>
      <c r="M456" s="126"/>
      <c r="N456" s="126"/>
      <c r="O456" s="126"/>
      <c r="P456" s="126"/>
      <c r="Q456" s="126"/>
      <c r="R456" s="126"/>
      <c r="S456" s="124">
        <v>1</v>
      </c>
      <c r="T456" s="125">
        <f t="shared" si="3"/>
        <v>1.0166505791505793</v>
      </c>
      <c r="U456" s="125">
        <f t="shared" si="3"/>
        <v>1.0361969111969114</v>
      </c>
      <c r="V456" s="125">
        <f t="shared" si="3"/>
        <v>1.075772200772201</v>
      </c>
      <c r="W456" s="125">
        <f t="shared" si="3"/>
        <v>1.0962118725868728</v>
      </c>
      <c r="X456" s="125">
        <f t="shared" si="4"/>
        <v>1.1882936698841702</v>
      </c>
      <c r="Y456" s="125">
        <f t="shared" si="4"/>
        <v>1.2393902976891895</v>
      </c>
      <c r="Z456" s="125">
        <f t="shared" si="4"/>
        <v>1.3112749349551627</v>
      </c>
      <c r="AA456" s="125">
        <f t="shared" si="4"/>
        <v>1.3624146574184139</v>
      </c>
      <c r="AB456" s="125">
        <f t="shared" si="4"/>
        <v>1.4073743411132216</v>
      </c>
      <c r="AC456" s="125">
        <f t="shared" si="4"/>
        <v>1.5044831706500339</v>
      </c>
      <c r="AD456" s="125">
        <f t="shared" si="4"/>
        <v>1.5857252618651358</v>
      </c>
      <c r="AE456" s="125">
        <f t="shared" si="4"/>
        <v>1.7062403817668863</v>
      </c>
      <c r="AF456" s="125">
        <f t="shared" si="4"/>
        <v>1.832502170017636</v>
      </c>
      <c r="AG456" s="125">
        <f t="shared" si="4"/>
        <v>1.9809348457890645</v>
      </c>
      <c r="AH456" s="125">
        <f t="shared" si="4"/>
        <v>2.1750664606763932</v>
      </c>
      <c r="AI456" s="125">
        <f t="shared" si="4"/>
        <v>2.4077985719687671</v>
      </c>
      <c r="AJ456" s="125">
        <f t="shared" si="4"/>
        <v>2.6076458534421749</v>
      </c>
      <c r="AK456" s="125">
        <f t="shared" si="4"/>
        <v>2.784965771476243</v>
      </c>
      <c r="AL456" s="125">
        <f t="shared" si="4"/>
        <v>2.9019343338782453</v>
      </c>
      <c r="AM456" s="125">
        <f t="shared" si="4"/>
        <v>3.0122078385656188</v>
      </c>
      <c r="AN456" s="125">
        <f t="shared" si="5"/>
        <v>3.2260745951037775</v>
      </c>
      <c r="AO456" s="125">
        <f t="shared" si="5"/>
        <v>3.4325433691904195</v>
      </c>
      <c r="AP456" s="125">
        <f t="shared" si="5"/>
        <v>3.6350634279726539</v>
      </c>
      <c r="AQ456" s="125">
        <f t="shared" si="5"/>
        <v>3.729575077099943</v>
      </c>
      <c r="AR456" s="125">
        <f t="shared" si="5"/>
        <v>3.8340031792587412</v>
      </c>
      <c r="AS456" s="125">
        <f t="shared" si="5"/>
        <v>3.9221852523816918</v>
      </c>
      <c r="AT456" s="125">
        <f t="shared" si="5"/>
        <v>3.9025743261197832</v>
      </c>
      <c r="AU456" s="125">
        <f t="shared" si="5"/>
        <v>3.9103794747720229</v>
      </c>
      <c r="AV456" s="125">
        <f t="shared" si="5"/>
        <v>3.9455728900449705</v>
      </c>
      <c r="AW456" s="125">
        <f t="shared" si="5"/>
        <v>3.9889741918354646</v>
      </c>
      <c r="AX456" s="125">
        <f t="shared" si="5"/>
        <v>4.0847095724395155</v>
      </c>
      <c r="AY456" s="125">
        <f t="shared" si="5"/>
        <v>4.2726062127717332</v>
      </c>
      <c r="AZ456" s="125">
        <f t="shared" si="5"/>
        <v>4.422147430218744</v>
      </c>
      <c r="BA456" s="125">
        <f t="shared" si="5"/>
        <v>4.5105903788231192</v>
      </c>
      <c r="BB456" s="125">
        <f t="shared" si="5"/>
        <v>4.6278657286725204</v>
      </c>
      <c r="BC456" s="125">
        <f t="shared" si="5"/>
        <v>4.6972837146026079</v>
      </c>
      <c r="BD456" s="125">
        <f t="shared" si="6"/>
        <v>4.7865321051800569</v>
      </c>
      <c r="BE456" s="125">
        <f t="shared" si="6"/>
        <v>4.9109819399147385</v>
      </c>
      <c r="BF456" s="125">
        <f t="shared" si="6"/>
        <v>4.9944686328932884</v>
      </c>
      <c r="BG456" s="125">
        <f t="shared" si="6"/>
        <v>5.1243248173485139</v>
      </c>
      <c r="BH456" s="125">
        <f t="shared" si="6"/>
        <v>5.2524329377822259</v>
      </c>
      <c r="BI456" s="125">
        <f t="shared" si="6"/>
        <v>5.49929728585799</v>
      </c>
      <c r="BJ456" s="125">
        <f t="shared" si="6"/>
        <v>5.6807740962913034</v>
      </c>
      <c r="BK456" s="125">
        <f t="shared" si="6"/>
        <v>5.8000703523134201</v>
      </c>
      <c r="BL456" s="125">
        <f t="shared" si="6"/>
        <v>5.863871126188867</v>
      </c>
      <c r="BM456" s="125">
        <f t="shared" si="6"/>
        <v>5.969420806460267</v>
      </c>
      <c r="BN456" s="125">
        <f t="shared" si="6"/>
        <v>6.0529926977507111</v>
      </c>
      <c r="BO456" s="125">
        <f t="shared" si="6"/>
        <v>6.1195756174259683</v>
      </c>
      <c r="BP456" s="125">
        <f t="shared" si="6"/>
        <v>6.3154020371835999</v>
      </c>
      <c r="BQ456" s="125">
        <f t="shared" si="6"/>
        <v>6.3343482432951497</v>
      </c>
      <c r="BR456" s="125">
        <f t="shared" si="6"/>
        <v>6.4293634669445767</v>
      </c>
      <c r="BS456" s="125">
        <f t="shared" si="6"/>
        <v>6.5965269170851357</v>
      </c>
      <c r="BT456" s="125">
        <f t="shared" si="7"/>
        <v>6.7482470361780935</v>
      </c>
      <c r="BU456" s="125">
        <f t="shared" si="7"/>
        <v>6.9371979531910801</v>
      </c>
      <c r="BV456" s="125">
        <f t="shared" si="7"/>
        <v>7.0065699327229911</v>
      </c>
      <c r="BW456" s="125">
        <f t="shared" si="7"/>
        <v>7.0626224921847749</v>
      </c>
      <c r="BX456" s="125">
        <f t="shared" si="7"/>
        <v>7.0767477371691445</v>
      </c>
      <c r="BY456" s="125">
        <f t="shared" si="7"/>
        <v>7.1758222054895127</v>
      </c>
      <c r="BZ456" s="125">
        <f t="shared" si="7"/>
        <v>7.2619320719553873</v>
      </c>
      <c r="CA456" s="125">
        <f t="shared" si="7"/>
        <v>7.4507423058262274</v>
      </c>
      <c r="CB456" s="125">
        <f t="shared" si="7"/>
        <v>7.5699541827194468</v>
      </c>
      <c r="CC456" s="125">
        <f t="shared" si="7"/>
        <v>7.7062133580083971</v>
      </c>
      <c r="CD456" s="125">
        <f t="shared" si="7"/>
        <v>8.1839985862049183</v>
      </c>
      <c r="CE456" s="125">
        <f t="shared" si="7"/>
        <v>8.8387184731013129</v>
      </c>
      <c r="CF456" s="125">
        <f t="shared" si="7"/>
        <v>8.9889766871440351</v>
      </c>
      <c r="CG456" s="125">
        <f t="shared" si="7"/>
        <v>9.1417892908254821</v>
      </c>
    </row>
    <row r="457" spans="1:85">
      <c r="A457" s="3"/>
      <c r="B457" s="123">
        <v>1961</v>
      </c>
      <c r="C457" s="123"/>
      <c r="D457" s="3"/>
      <c r="E457" s="126"/>
      <c r="F457" s="126"/>
      <c r="G457" s="126"/>
      <c r="H457" s="126"/>
      <c r="I457" s="126"/>
      <c r="J457" s="126"/>
      <c r="K457" s="126"/>
      <c r="L457" s="126"/>
      <c r="M457" s="126"/>
      <c r="N457" s="126"/>
      <c r="O457" s="126"/>
      <c r="P457" s="126"/>
      <c r="Q457" s="126"/>
      <c r="R457" s="126"/>
      <c r="S457" s="126"/>
      <c r="T457" s="124">
        <v>1</v>
      </c>
      <c r="U457" s="125">
        <f t="shared" si="3"/>
        <v>1.0192262046047946</v>
      </c>
      <c r="V457" s="125">
        <f t="shared" si="3"/>
        <v>1.058153334915737</v>
      </c>
      <c r="W457" s="125">
        <f t="shared" si="3"/>
        <v>1.0782582482791359</v>
      </c>
      <c r="X457" s="125">
        <f t="shared" si="4"/>
        <v>1.1688319411345833</v>
      </c>
      <c r="Y457" s="125">
        <f t="shared" si="4"/>
        <v>1.2190917146033704</v>
      </c>
      <c r="Z457" s="125">
        <f t="shared" si="4"/>
        <v>1.289799034050366</v>
      </c>
      <c r="AA457" s="125">
        <f t="shared" si="4"/>
        <v>1.3401011963783303</v>
      </c>
      <c r="AB457" s="125">
        <f t="shared" si="4"/>
        <v>1.384324535858815</v>
      </c>
      <c r="AC457" s="125">
        <f t="shared" si="4"/>
        <v>1.4798429288330732</v>
      </c>
      <c r="AD457" s="125">
        <f t="shared" si="4"/>
        <v>1.5597544469900593</v>
      </c>
      <c r="AE457" s="125">
        <f t="shared" si="4"/>
        <v>1.6782957849613038</v>
      </c>
      <c r="AF457" s="125">
        <f t="shared" si="4"/>
        <v>1.8024896730484403</v>
      </c>
      <c r="AG457" s="125">
        <f t="shared" si="4"/>
        <v>1.948491336565364</v>
      </c>
      <c r="AH457" s="125">
        <f t="shared" si="4"/>
        <v>2.1394434875487698</v>
      </c>
      <c r="AI457" s="125">
        <f t="shared" si="4"/>
        <v>2.3683639407164883</v>
      </c>
      <c r="AJ457" s="125">
        <f t="shared" si="4"/>
        <v>2.5649381477959565</v>
      </c>
      <c r="AK457" s="125">
        <f t="shared" si="4"/>
        <v>2.7393539418460819</v>
      </c>
      <c r="AL457" s="125">
        <f t="shared" si="4"/>
        <v>2.8544068074036173</v>
      </c>
      <c r="AM457" s="125">
        <f t="shared" si="4"/>
        <v>2.9628742660849547</v>
      </c>
      <c r="AN457" s="125">
        <f t="shared" si="5"/>
        <v>3.1732383389769865</v>
      </c>
      <c r="AO457" s="125">
        <f t="shared" si="5"/>
        <v>3.3763255926715137</v>
      </c>
      <c r="AP457" s="125">
        <f t="shared" si="5"/>
        <v>3.5755288026391328</v>
      </c>
      <c r="AQ457" s="125">
        <f t="shared" si="5"/>
        <v>3.6684925515077502</v>
      </c>
      <c r="AR457" s="125">
        <f t="shared" si="5"/>
        <v>3.7712103429499675</v>
      </c>
      <c r="AS457" s="125">
        <f t="shared" si="5"/>
        <v>3.8579481808378162</v>
      </c>
      <c r="AT457" s="125">
        <f t="shared" si="5"/>
        <v>3.838658439933627</v>
      </c>
      <c r="AU457" s="125">
        <f t="shared" si="5"/>
        <v>3.8463357568134944</v>
      </c>
      <c r="AV457" s="125">
        <f t="shared" si="5"/>
        <v>3.8809527786248155</v>
      </c>
      <c r="AW457" s="125">
        <f t="shared" si="5"/>
        <v>3.9236432591896881</v>
      </c>
      <c r="AX457" s="125">
        <f t="shared" si="5"/>
        <v>4.0178106974102406</v>
      </c>
      <c r="AY457" s="125">
        <f t="shared" si="5"/>
        <v>4.2026299894911121</v>
      </c>
      <c r="AZ457" s="125">
        <f t="shared" si="5"/>
        <v>4.3497220391233009</v>
      </c>
      <c r="BA457" s="125">
        <f t="shared" si="5"/>
        <v>4.4367164799057672</v>
      </c>
      <c r="BB457" s="125">
        <f t="shared" si="5"/>
        <v>4.5520711083833172</v>
      </c>
      <c r="BC457" s="125">
        <f t="shared" ref="BC457:BQ457" si="8">BB457*BC$439</f>
        <v>4.6203521750090664</v>
      </c>
      <c r="BD457" s="125">
        <f t="shared" si="8"/>
        <v>4.7081388663342381</v>
      </c>
      <c r="BE457" s="125">
        <f t="shared" si="8"/>
        <v>4.830550476858928</v>
      </c>
      <c r="BF457" s="125">
        <f t="shared" si="8"/>
        <v>4.9126698349655289</v>
      </c>
      <c r="BG457" s="125">
        <f t="shared" si="8"/>
        <v>5.0403992506746329</v>
      </c>
      <c r="BH457" s="125">
        <f t="shared" si="8"/>
        <v>5.1664092319414987</v>
      </c>
      <c r="BI457" s="125">
        <f t="shared" si="8"/>
        <v>5.4092304658427484</v>
      </c>
      <c r="BJ457" s="125">
        <f t="shared" si="8"/>
        <v>5.5877350712155582</v>
      </c>
      <c r="BK457" s="125">
        <f t="shared" si="8"/>
        <v>5.705077507711084</v>
      </c>
      <c r="BL457" s="125">
        <f t="shared" si="8"/>
        <v>5.7678333602959055</v>
      </c>
      <c r="BM457" s="125">
        <f t="shared" si="8"/>
        <v>5.8716543607812319</v>
      </c>
      <c r="BN457" s="125">
        <f t="shared" si="8"/>
        <v>5.9538575218321697</v>
      </c>
      <c r="BO457" s="125">
        <f t="shared" si="8"/>
        <v>6.0193499545723226</v>
      </c>
      <c r="BP457" s="125">
        <f t="shared" si="8"/>
        <v>6.2119691531186367</v>
      </c>
      <c r="BQ457" s="125">
        <f t="shared" si="8"/>
        <v>6.2306050605779921</v>
      </c>
      <c r="BR457" s="125">
        <f t="shared" si="6"/>
        <v>6.324064136486661</v>
      </c>
      <c r="BS457" s="125">
        <f t="shared" si="6"/>
        <v>6.4884898040353143</v>
      </c>
      <c r="BT457" s="125">
        <f t="shared" si="7"/>
        <v>6.637725069528126</v>
      </c>
      <c r="BU457" s="125">
        <f t="shared" si="7"/>
        <v>6.8235813714749138</v>
      </c>
      <c r="BV457" s="125">
        <f t="shared" si="7"/>
        <v>6.8918171851896632</v>
      </c>
      <c r="BW457" s="125">
        <f t="shared" si="7"/>
        <v>6.946951722671181</v>
      </c>
      <c r="BX457" s="125">
        <f t="shared" si="7"/>
        <v>6.960845626116523</v>
      </c>
      <c r="BY457" s="125">
        <f t="shared" si="7"/>
        <v>7.0582974648821546</v>
      </c>
      <c r="BZ457" s="125">
        <f t="shared" si="7"/>
        <v>7.1429970344607403</v>
      </c>
      <c r="CA457" s="125">
        <f t="shared" si="7"/>
        <v>7.3287149573567199</v>
      </c>
      <c r="CB457" s="125">
        <f t="shared" si="7"/>
        <v>7.4459743966744272</v>
      </c>
      <c r="CC457" s="125">
        <f t="shared" si="7"/>
        <v>7.5800019358145674</v>
      </c>
      <c r="CD457" s="125">
        <f t="shared" si="7"/>
        <v>8.0499620558350706</v>
      </c>
      <c r="CE457" s="125">
        <f t="shared" si="7"/>
        <v>8.6939590203018771</v>
      </c>
      <c r="CF457" s="125">
        <f t="shared" si="7"/>
        <v>8.841756323647008</v>
      </c>
      <c r="CG457" s="125">
        <f t="shared" si="7"/>
        <v>8.9920661811490064</v>
      </c>
    </row>
    <row r="458" spans="1:85">
      <c r="A458" s="3"/>
      <c r="B458" s="123">
        <v>1962</v>
      </c>
      <c r="C458" s="123"/>
      <c r="D458" s="3"/>
      <c r="E458" s="126"/>
      <c r="F458" s="126"/>
      <c r="G458" s="126"/>
      <c r="H458" s="126"/>
      <c r="I458" s="126"/>
      <c r="J458" s="126"/>
      <c r="K458" s="126"/>
      <c r="L458" s="126"/>
      <c r="M458" s="126"/>
      <c r="N458" s="126"/>
      <c r="O458" s="126"/>
      <c r="P458" s="126"/>
      <c r="Q458" s="126"/>
      <c r="R458" s="126"/>
      <c r="S458" s="126"/>
      <c r="T458" s="126"/>
      <c r="U458" s="124">
        <v>1</v>
      </c>
      <c r="V458" s="125">
        <f t="shared" ref="V458:AK473" si="9">U458*V$439</f>
        <v>1.0381928272007452</v>
      </c>
      <c r="W458" s="125">
        <f t="shared" si="9"/>
        <v>1.0579184909175594</v>
      </c>
      <c r="X458" s="125">
        <f t="shared" si="9"/>
        <v>1.1467836441546344</v>
      </c>
      <c r="Y458" s="125">
        <f t="shared" si="9"/>
        <v>1.1960953408532835</v>
      </c>
      <c r="Z458" s="125">
        <f t="shared" si="9"/>
        <v>1.2654688706227739</v>
      </c>
      <c r="AA458" s="125">
        <f t="shared" si="9"/>
        <v>1.3148221565770619</v>
      </c>
      <c r="AB458" s="125">
        <f t="shared" si="9"/>
        <v>1.3582112877441048</v>
      </c>
      <c r="AC458" s="125">
        <f t="shared" si="9"/>
        <v>1.4519278665984481</v>
      </c>
      <c r="AD458" s="125">
        <f t="shared" si="9"/>
        <v>1.5303319713947643</v>
      </c>
      <c r="AE458" s="125">
        <f t="shared" si="9"/>
        <v>1.6466372012207664</v>
      </c>
      <c r="AF458" s="125">
        <f t="shared" si="9"/>
        <v>1.7684883541111032</v>
      </c>
      <c r="AG458" s="125">
        <f t="shared" si="9"/>
        <v>1.9117359107941025</v>
      </c>
      <c r="AH458" s="125">
        <f t="shared" si="9"/>
        <v>2.0990860300519247</v>
      </c>
      <c r="AI458" s="125">
        <f t="shared" si="9"/>
        <v>2.3236882352674808</v>
      </c>
      <c r="AJ458" s="125">
        <f t="shared" si="9"/>
        <v>2.5165543587946817</v>
      </c>
      <c r="AK458" s="125">
        <f t="shared" si="9"/>
        <v>2.68768005519272</v>
      </c>
      <c r="AL458" s="125">
        <f t="shared" ref="AL458:BA473" si="10">AK458*AL$439</f>
        <v>2.8005626175108143</v>
      </c>
      <c r="AM458" s="125">
        <f t="shared" si="10"/>
        <v>2.9069839969762254</v>
      </c>
      <c r="AN458" s="125">
        <f t="shared" si="10"/>
        <v>3.1133798607615373</v>
      </c>
      <c r="AO458" s="125">
        <f t="shared" si="10"/>
        <v>3.3126361718502757</v>
      </c>
      <c r="AP458" s="125">
        <f t="shared" si="10"/>
        <v>3.5080817059894418</v>
      </c>
      <c r="AQ458" s="125">
        <f t="shared" si="10"/>
        <v>3.5992918303451673</v>
      </c>
      <c r="AR458" s="125">
        <f t="shared" si="10"/>
        <v>3.7000720015948323</v>
      </c>
      <c r="AS458" s="125">
        <f t="shared" si="10"/>
        <v>3.7851736576315131</v>
      </c>
      <c r="AT458" s="125">
        <f t="shared" si="10"/>
        <v>3.7662477893433555</v>
      </c>
      <c r="AU458" s="125">
        <f t="shared" si="10"/>
        <v>3.7737802849220423</v>
      </c>
      <c r="AV458" s="125">
        <f t="shared" si="10"/>
        <v>3.8077443074863404</v>
      </c>
      <c r="AW458" s="125">
        <f t="shared" si="10"/>
        <v>3.8496294948686898</v>
      </c>
      <c r="AX458" s="125">
        <f t="shared" si="10"/>
        <v>3.9420206027455382</v>
      </c>
      <c r="AY458" s="125">
        <f t="shared" si="10"/>
        <v>4.1233535504718333</v>
      </c>
      <c r="AZ458" s="125">
        <f t="shared" si="10"/>
        <v>4.2676709247383471</v>
      </c>
      <c r="BA458" s="125">
        <f t="shared" si="10"/>
        <v>4.3530243432331144</v>
      </c>
      <c r="BB458" s="125">
        <f t="shared" ref="BB458:BQ473" si="11">BA458*BB$439</f>
        <v>4.4662029761571755</v>
      </c>
      <c r="BC458" s="125">
        <f t="shared" si="11"/>
        <v>4.533196020799533</v>
      </c>
      <c r="BD458" s="125">
        <f t="shared" si="11"/>
        <v>4.6193267451947237</v>
      </c>
      <c r="BE458" s="125">
        <f t="shared" si="11"/>
        <v>4.7394292405697866</v>
      </c>
      <c r="BF458" s="125">
        <f t="shared" si="11"/>
        <v>4.8199995376594726</v>
      </c>
      <c r="BG458" s="125">
        <f t="shared" si="11"/>
        <v>4.9453195256386193</v>
      </c>
      <c r="BH458" s="125">
        <f t="shared" si="11"/>
        <v>5.0689525137795846</v>
      </c>
      <c r="BI458" s="125">
        <f t="shared" si="11"/>
        <v>5.3071932819272245</v>
      </c>
      <c r="BJ458" s="125">
        <f t="shared" si="11"/>
        <v>5.4823306602308222</v>
      </c>
      <c r="BK458" s="125">
        <f t="shared" si="11"/>
        <v>5.5974596040956692</v>
      </c>
      <c r="BL458" s="125">
        <f t="shared" si="11"/>
        <v>5.6590316597407213</v>
      </c>
      <c r="BM458" s="125">
        <f t="shared" si="11"/>
        <v>5.7608942296160546</v>
      </c>
      <c r="BN458" s="125">
        <f t="shared" si="11"/>
        <v>5.8415467488306794</v>
      </c>
      <c r="BO458" s="125">
        <f t="shared" si="11"/>
        <v>5.9058037630678166</v>
      </c>
      <c r="BP458" s="125">
        <f t="shared" si="11"/>
        <v>6.0947894834859868</v>
      </c>
      <c r="BQ458" s="125">
        <f t="shared" si="11"/>
        <v>6.113073851936444</v>
      </c>
      <c r="BR458" s="125">
        <f t="shared" ref="BR458:CG473" si="12">BQ458*BR$439</f>
        <v>6.2047699597154899</v>
      </c>
      <c r="BS458" s="125">
        <f t="shared" si="12"/>
        <v>6.3660939786680926</v>
      </c>
      <c r="BT458" s="125">
        <f t="shared" si="12"/>
        <v>6.5125141401774584</v>
      </c>
      <c r="BU458" s="125">
        <f t="shared" si="12"/>
        <v>6.6948645361024273</v>
      </c>
      <c r="BV458" s="125">
        <f t="shared" si="12"/>
        <v>6.7618131814634514</v>
      </c>
      <c r="BW458" s="125">
        <f t="shared" si="12"/>
        <v>6.8159076869151587</v>
      </c>
      <c r="BX458" s="125">
        <f t="shared" si="12"/>
        <v>6.8295395022889887</v>
      </c>
      <c r="BY458" s="125">
        <f t="shared" si="12"/>
        <v>6.9251530553210348</v>
      </c>
      <c r="BZ458" s="125">
        <f t="shared" si="12"/>
        <v>7.0082548919848868</v>
      </c>
      <c r="CA458" s="125">
        <f t="shared" si="12"/>
        <v>7.190469519176494</v>
      </c>
      <c r="CB458" s="125">
        <f t="shared" si="12"/>
        <v>7.3055170314833182</v>
      </c>
      <c r="CC458" s="125">
        <f t="shared" si="12"/>
        <v>7.437016338050018</v>
      </c>
      <c r="CD458" s="125">
        <f t="shared" si="12"/>
        <v>7.8981113510091197</v>
      </c>
      <c r="CE458" s="125">
        <f t="shared" si="12"/>
        <v>8.5299602590898491</v>
      </c>
      <c r="CF458" s="125">
        <f t="shared" si="12"/>
        <v>8.6749695834943754</v>
      </c>
      <c r="CG458" s="125">
        <f t="shared" si="12"/>
        <v>8.8224440664137784</v>
      </c>
    </row>
    <row r="459" spans="1:85">
      <c r="A459" s="3"/>
      <c r="B459" s="123">
        <v>1963</v>
      </c>
      <c r="C459" s="123"/>
      <c r="D459" s="3"/>
      <c r="E459" s="126"/>
      <c r="F459" s="126"/>
      <c r="G459" s="126"/>
      <c r="H459" s="126"/>
      <c r="I459" s="126"/>
      <c r="J459" s="126"/>
      <c r="K459" s="126"/>
      <c r="L459" s="126"/>
      <c r="M459" s="126"/>
      <c r="N459" s="126"/>
      <c r="O459" s="126"/>
      <c r="P459" s="126"/>
      <c r="Q459" s="126"/>
      <c r="R459" s="126"/>
      <c r="S459" s="126"/>
      <c r="T459" s="126"/>
      <c r="U459" s="126"/>
      <c r="V459" s="124">
        <v>1</v>
      </c>
      <c r="W459" s="125">
        <f t="shared" si="9"/>
        <v>1.0189999999999999</v>
      </c>
      <c r="X459" s="125">
        <f t="shared" si="9"/>
        <v>1.1045959999999999</v>
      </c>
      <c r="Y459" s="125">
        <f t="shared" si="9"/>
        <v>1.1520936279999998</v>
      </c>
      <c r="Z459" s="125">
        <f t="shared" si="9"/>
        <v>1.2189150584239998</v>
      </c>
      <c r="AA459" s="125">
        <f t="shared" si="9"/>
        <v>1.2664527457025356</v>
      </c>
      <c r="AB459" s="125">
        <f t="shared" si="9"/>
        <v>1.3082456863107192</v>
      </c>
      <c r="AC459" s="125">
        <f t="shared" si="9"/>
        <v>1.3985146386661589</v>
      </c>
      <c r="AD459" s="125">
        <f t="shared" si="9"/>
        <v>1.4740344291541316</v>
      </c>
      <c r="AE459" s="125">
        <f t="shared" si="9"/>
        <v>1.5860610457698456</v>
      </c>
      <c r="AF459" s="125">
        <f t="shared" si="9"/>
        <v>1.7034295631568144</v>
      </c>
      <c r="AG459" s="125">
        <f t="shared" si="9"/>
        <v>1.8414073577725163</v>
      </c>
      <c r="AH459" s="125">
        <f t="shared" si="9"/>
        <v>2.0218652788342228</v>
      </c>
      <c r="AI459" s="125">
        <f t="shared" si="9"/>
        <v>2.2382048636694845</v>
      </c>
      <c r="AJ459" s="125">
        <f t="shared" si="9"/>
        <v>2.4239758673540517</v>
      </c>
      <c r="AK459" s="125">
        <f t="shared" si="9"/>
        <v>2.5888062263341274</v>
      </c>
      <c r="AL459" s="125">
        <f t="shared" si="10"/>
        <v>2.6975360878401609</v>
      </c>
      <c r="AM459" s="125">
        <f t="shared" si="10"/>
        <v>2.800042459178087</v>
      </c>
      <c r="AN459" s="125">
        <f t="shared" si="10"/>
        <v>2.9988454737797312</v>
      </c>
      <c r="AO459" s="125">
        <f t="shared" si="10"/>
        <v>3.190771584101634</v>
      </c>
      <c r="AP459" s="125">
        <f t="shared" si="10"/>
        <v>3.3790271075636302</v>
      </c>
      <c r="AQ459" s="125">
        <f t="shared" si="10"/>
        <v>3.4668818123602847</v>
      </c>
      <c r="AR459" s="125">
        <f t="shared" si="10"/>
        <v>3.5639545031063729</v>
      </c>
      <c r="AS459" s="125">
        <f t="shared" si="10"/>
        <v>3.6459254566778192</v>
      </c>
      <c r="AT459" s="125">
        <f t="shared" si="10"/>
        <v>3.6276958293944301</v>
      </c>
      <c r="AU459" s="125">
        <f t="shared" si="10"/>
        <v>3.6349512210532189</v>
      </c>
      <c r="AV459" s="125">
        <f t="shared" si="10"/>
        <v>3.6676657820426977</v>
      </c>
      <c r="AW459" s="125">
        <f t="shared" si="10"/>
        <v>3.7080101056451671</v>
      </c>
      <c r="AX459" s="125">
        <f t="shared" si="10"/>
        <v>3.797002348180651</v>
      </c>
      <c r="AY459" s="125">
        <f t="shared" si="10"/>
        <v>3.9716644561969612</v>
      </c>
      <c r="AZ459" s="125">
        <f t="shared" si="10"/>
        <v>4.1106727121638542</v>
      </c>
      <c r="BA459" s="125">
        <f t="shared" si="10"/>
        <v>4.1928861664071313</v>
      </c>
      <c r="BB459" s="125">
        <f t="shared" si="11"/>
        <v>4.3019012067337172</v>
      </c>
      <c r="BC459" s="125">
        <f t="shared" si="11"/>
        <v>4.3664297248347221</v>
      </c>
      <c r="BD459" s="125">
        <f t="shared" si="11"/>
        <v>4.4493918896065816</v>
      </c>
      <c r="BE459" s="125">
        <f t="shared" si="11"/>
        <v>4.5650760787363529</v>
      </c>
      <c r="BF459" s="125">
        <f t="shared" si="11"/>
        <v>4.6426823720748702</v>
      </c>
      <c r="BG459" s="125">
        <f t="shared" si="11"/>
        <v>4.7633921137488171</v>
      </c>
      <c r="BH459" s="125">
        <f t="shared" si="11"/>
        <v>4.8824769165925375</v>
      </c>
      <c r="BI459" s="125">
        <f t="shared" si="11"/>
        <v>5.1119533316723862</v>
      </c>
      <c r="BJ459" s="125">
        <f t="shared" si="11"/>
        <v>5.2806477916175742</v>
      </c>
      <c r="BK459" s="125">
        <f t="shared" si="11"/>
        <v>5.3915413952415427</v>
      </c>
      <c r="BL459" s="125">
        <f t="shared" si="11"/>
        <v>5.4508483505891991</v>
      </c>
      <c r="BM459" s="125">
        <f t="shared" si="11"/>
        <v>5.548963620899805</v>
      </c>
      <c r="BN459" s="125">
        <f t="shared" si="11"/>
        <v>5.6266491115924024</v>
      </c>
      <c r="BO459" s="125">
        <f t="shared" si="11"/>
        <v>5.6885422518199187</v>
      </c>
      <c r="BP459" s="125">
        <f t="shared" si="11"/>
        <v>5.870575603878156</v>
      </c>
      <c r="BQ459" s="125">
        <f t="shared" si="11"/>
        <v>5.8881873306897896</v>
      </c>
      <c r="BR459" s="125">
        <f t="shared" si="12"/>
        <v>5.9765101406501362</v>
      </c>
      <c r="BS459" s="125">
        <f t="shared" si="12"/>
        <v>6.1318994043070401</v>
      </c>
      <c r="BT459" s="125">
        <f t="shared" si="12"/>
        <v>6.2729330906061014</v>
      </c>
      <c r="BU459" s="125">
        <f t="shared" si="12"/>
        <v>6.4485752171430724</v>
      </c>
      <c r="BV459" s="125">
        <f t="shared" si="12"/>
        <v>6.5130609693145027</v>
      </c>
      <c r="BW459" s="125">
        <f t="shared" si="12"/>
        <v>6.5651654570690186</v>
      </c>
      <c r="BX459" s="125">
        <f t="shared" si="12"/>
        <v>6.5782957879831567</v>
      </c>
      <c r="BY459" s="125">
        <f t="shared" si="12"/>
        <v>6.6703919290149214</v>
      </c>
      <c r="BZ459" s="125">
        <f t="shared" si="12"/>
        <v>6.7504366321631002</v>
      </c>
      <c r="CA459" s="125">
        <f t="shared" si="12"/>
        <v>6.9259479845993406</v>
      </c>
      <c r="CB459" s="125">
        <f t="shared" si="12"/>
        <v>7.0367631523529299</v>
      </c>
      <c r="CC459" s="125">
        <f t="shared" si="12"/>
        <v>7.1634248890952827</v>
      </c>
      <c r="CD459" s="125">
        <f t="shared" si="12"/>
        <v>7.6075572322191904</v>
      </c>
      <c r="CE459" s="125">
        <f t="shared" si="12"/>
        <v>8.2161618107967254</v>
      </c>
      <c r="CF459" s="125">
        <f t="shared" si="12"/>
        <v>8.3558365615802686</v>
      </c>
      <c r="CG459" s="125">
        <f t="shared" si="12"/>
        <v>8.4978857831271331</v>
      </c>
    </row>
    <row r="460" spans="1:85">
      <c r="A460" s="3"/>
      <c r="B460" s="123">
        <v>1964</v>
      </c>
      <c r="C460" s="123"/>
      <c r="D460" s="3"/>
      <c r="E460" s="126"/>
      <c r="F460" s="126"/>
      <c r="G460" s="126"/>
      <c r="H460" s="126"/>
      <c r="I460" s="126"/>
      <c r="J460" s="126"/>
      <c r="K460" s="126"/>
      <c r="L460" s="126"/>
      <c r="M460" s="126"/>
      <c r="N460" s="126"/>
      <c r="O460" s="126"/>
      <c r="P460" s="126"/>
      <c r="Q460" s="126"/>
      <c r="R460" s="126"/>
      <c r="S460" s="126"/>
      <c r="T460" s="126"/>
      <c r="U460" s="126"/>
      <c r="V460" s="126"/>
      <c r="W460" s="124">
        <v>1</v>
      </c>
      <c r="X460" s="125">
        <f t="shared" si="9"/>
        <v>1.0840000000000001</v>
      </c>
      <c r="Y460" s="125">
        <f t="shared" si="9"/>
        <v>1.130612</v>
      </c>
      <c r="Z460" s="125">
        <f t="shared" si="9"/>
        <v>1.1961874960000001</v>
      </c>
      <c r="AA460" s="125">
        <f t="shared" si="9"/>
        <v>1.2428388083440001</v>
      </c>
      <c r="AB460" s="125">
        <f t="shared" si="9"/>
        <v>1.2838524890193519</v>
      </c>
      <c r="AC460" s="125">
        <f t="shared" si="9"/>
        <v>1.3724383107616871</v>
      </c>
      <c r="AD460" s="125">
        <f t="shared" si="9"/>
        <v>1.4465499795428183</v>
      </c>
      <c r="AE460" s="125">
        <f t="shared" si="9"/>
        <v>1.5564877779880726</v>
      </c>
      <c r="AF460" s="125">
        <f t="shared" si="9"/>
        <v>1.6716678735591901</v>
      </c>
      <c r="AG460" s="125">
        <f t="shared" si="9"/>
        <v>1.8070729713174845</v>
      </c>
      <c r="AH460" s="125">
        <f t="shared" si="9"/>
        <v>1.9841661225065981</v>
      </c>
      <c r="AI460" s="125">
        <f t="shared" si="9"/>
        <v>2.1964718976148041</v>
      </c>
      <c r="AJ460" s="125">
        <f t="shared" si="9"/>
        <v>2.3787790651168326</v>
      </c>
      <c r="AK460" s="125">
        <f t="shared" si="9"/>
        <v>2.5405360415447773</v>
      </c>
      <c r="AL460" s="125">
        <f t="shared" si="10"/>
        <v>2.647238555289658</v>
      </c>
      <c r="AM460" s="125">
        <f t="shared" si="10"/>
        <v>2.747833620390665</v>
      </c>
      <c r="AN460" s="125">
        <f t="shared" si="10"/>
        <v>2.9429298074384023</v>
      </c>
      <c r="AO460" s="125">
        <f t="shared" si="10"/>
        <v>3.1312773151144602</v>
      </c>
      <c r="AP460" s="125">
        <f t="shared" si="10"/>
        <v>3.3160226767062131</v>
      </c>
      <c r="AQ460" s="125">
        <f t="shared" si="10"/>
        <v>3.4022392663005747</v>
      </c>
      <c r="AR460" s="125">
        <f t="shared" si="10"/>
        <v>3.497501965756991</v>
      </c>
      <c r="AS460" s="125">
        <f t="shared" si="10"/>
        <v>3.5779445109694015</v>
      </c>
      <c r="AT460" s="125">
        <f t="shared" si="10"/>
        <v>3.5600547884145546</v>
      </c>
      <c r="AU460" s="125">
        <f t="shared" si="10"/>
        <v>3.5671748979913835</v>
      </c>
      <c r="AV460" s="125">
        <f t="shared" si="10"/>
        <v>3.5992794720733055</v>
      </c>
      <c r="AW460" s="125">
        <f t="shared" si="10"/>
        <v>3.6388715462661114</v>
      </c>
      <c r="AX460" s="125">
        <f t="shared" si="10"/>
        <v>3.7262044633764981</v>
      </c>
      <c r="AY460" s="125">
        <f t="shared" si="10"/>
        <v>3.8976098686918172</v>
      </c>
      <c r="AZ460" s="125">
        <f t="shared" si="10"/>
        <v>4.0340262140960306</v>
      </c>
      <c r="BA460" s="125">
        <f t="shared" si="10"/>
        <v>4.1147067383779516</v>
      </c>
      <c r="BB460" s="125">
        <f t="shared" si="11"/>
        <v>4.2216891135757786</v>
      </c>
      <c r="BC460" s="125">
        <f t="shared" si="11"/>
        <v>4.285014450279415</v>
      </c>
      <c r="BD460" s="125">
        <f t="shared" si="11"/>
        <v>4.366429724834723</v>
      </c>
      <c r="BE460" s="125">
        <f t="shared" si="11"/>
        <v>4.4799568976804256</v>
      </c>
      <c r="BF460" s="125">
        <f t="shared" si="11"/>
        <v>4.5561161649409927</v>
      </c>
      <c r="BG460" s="125">
        <f t="shared" si="11"/>
        <v>4.6745751852294584</v>
      </c>
      <c r="BH460" s="125">
        <f t="shared" si="11"/>
        <v>4.7914395648601946</v>
      </c>
      <c r="BI460" s="125">
        <f t="shared" si="11"/>
        <v>5.0166372244086235</v>
      </c>
      <c r="BJ460" s="125">
        <f t="shared" si="11"/>
        <v>5.1821862528141081</v>
      </c>
      <c r="BK460" s="125">
        <f t="shared" si="11"/>
        <v>5.2910121641232042</v>
      </c>
      <c r="BL460" s="125">
        <f t="shared" si="11"/>
        <v>5.3492132979285589</v>
      </c>
      <c r="BM460" s="125">
        <f t="shared" si="11"/>
        <v>5.4454991372912733</v>
      </c>
      <c r="BN460" s="125">
        <f t="shared" si="11"/>
        <v>5.5217361252133514</v>
      </c>
      <c r="BO460" s="125">
        <f t="shared" si="11"/>
        <v>5.5824752225906975</v>
      </c>
      <c r="BP460" s="125">
        <f t="shared" si="11"/>
        <v>5.7611144297135999</v>
      </c>
      <c r="BQ460" s="125">
        <f t="shared" si="11"/>
        <v>5.77839777300274</v>
      </c>
      <c r="BR460" s="125">
        <f t="shared" si="12"/>
        <v>5.865073739597781</v>
      </c>
      <c r="BS460" s="125">
        <f t="shared" si="12"/>
        <v>6.0175656568273235</v>
      </c>
      <c r="BT460" s="125">
        <f t="shared" si="12"/>
        <v>6.1559696669343511</v>
      </c>
      <c r="BU460" s="125">
        <f t="shared" si="12"/>
        <v>6.3283368176085135</v>
      </c>
      <c r="BV460" s="125">
        <f t="shared" si="12"/>
        <v>6.3916201857845989</v>
      </c>
      <c r="BW460" s="125">
        <f t="shared" si="12"/>
        <v>6.4427531472708761</v>
      </c>
      <c r="BX460" s="125">
        <f t="shared" si="12"/>
        <v>6.4556386535654182</v>
      </c>
      <c r="BY460" s="125">
        <f t="shared" si="12"/>
        <v>6.5460175947153338</v>
      </c>
      <c r="BZ460" s="125">
        <f t="shared" si="12"/>
        <v>6.6245698058519178</v>
      </c>
      <c r="CA460" s="125">
        <f t="shared" si="12"/>
        <v>6.7968086208040681</v>
      </c>
      <c r="CB460" s="125">
        <f t="shared" si="12"/>
        <v>6.9055575587369331</v>
      </c>
      <c r="CC460" s="125">
        <f t="shared" si="12"/>
        <v>7.0298575947941977</v>
      </c>
      <c r="CD460" s="125">
        <f t="shared" si="12"/>
        <v>7.4657087656714385</v>
      </c>
      <c r="CE460" s="125">
        <f t="shared" si="12"/>
        <v>8.0629654669251547</v>
      </c>
      <c r="CF460" s="125">
        <f t="shared" si="12"/>
        <v>8.200035879862881</v>
      </c>
      <c r="CG460" s="125">
        <f t="shared" si="12"/>
        <v>8.3394364898205495</v>
      </c>
    </row>
    <row r="461" spans="1:85">
      <c r="A461" s="3"/>
      <c r="B461" s="123">
        <v>1965</v>
      </c>
      <c r="C461" s="123"/>
      <c r="D461" s="3"/>
      <c r="E461" s="126"/>
      <c r="F461" s="126"/>
      <c r="G461" s="126"/>
      <c r="H461" s="126"/>
      <c r="I461" s="126"/>
      <c r="J461" s="126"/>
      <c r="K461" s="126"/>
      <c r="L461" s="126"/>
      <c r="M461" s="126"/>
      <c r="N461" s="126"/>
      <c r="O461" s="126"/>
      <c r="P461" s="126"/>
      <c r="Q461" s="126"/>
      <c r="R461" s="126"/>
      <c r="S461" s="126"/>
      <c r="T461" s="126"/>
      <c r="U461" s="126"/>
      <c r="V461" s="126"/>
      <c r="W461" s="126"/>
      <c r="X461" s="124">
        <v>1</v>
      </c>
      <c r="Y461" s="125">
        <f t="shared" si="9"/>
        <v>1.0429999999999999</v>
      </c>
      <c r="Z461" s="125">
        <f t="shared" si="9"/>
        <v>1.103494</v>
      </c>
      <c r="AA461" s="125">
        <f t="shared" si="9"/>
        <v>1.1465302659999999</v>
      </c>
      <c r="AB461" s="125">
        <f t="shared" si="9"/>
        <v>1.1843657647779997</v>
      </c>
      <c r="AC461" s="125">
        <f t="shared" si="9"/>
        <v>1.2660870025476816</v>
      </c>
      <c r="AD461" s="125">
        <f t="shared" si="9"/>
        <v>1.3344557006852564</v>
      </c>
      <c r="AE461" s="125">
        <f t="shared" si="9"/>
        <v>1.4358743339373361</v>
      </c>
      <c r="AF461" s="125">
        <f t="shared" si="9"/>
        <v>1.5421290346486991</v>
      </c>
      <c r="AG461" s="125">
        <f t="shared" si="9"/>
        <v>1.6670414864552436</v>
      </c>
      <c r="AH461" s="125">
        <f t="shared" si="9"/>
        <v>1.8304115521278577</v>
      </c>
      <c r="AI461" s="125">
        <f t="shared" si="9"/>
        <v>2.0262655882055385</v>
      </c>
      <c r="AJ461" s="125">
        <f t="shared" si="9"/>
        <v>2.1944456320265981</v>
      </c>
      <c r="AK461" s="125">
        <f t="shared" si="9"/>
        <v>2.3436679350044067</v>
      </c>
      <c r="AL461" s="125">
        <f t="shared" si="10"/>
        <v>2.442101988274592</v>
      </c>
      <c r="AM461" s="125">
        <f t="shared" si="10"/>
        <v>2.5349018638290266</v>
      </c>
      <c r="AN461" s="125">
        <f t="shared" si="10"/>
        <v>2.7148798961608875</v>
      </c>
      <c r="AO461" s="125">
        <f t="shared" si="10"/>
        <v>2.8886322095151846</v>
      </c>
      <c r="AP461" s="125">
        <f t="shared" si="10"/>
        <v>3.0590615098765803</v>
      </c>
      <c r="AQ461" s="125">
        <f t="shared" si="10"/>
        <v>3.1385971091333715</v>
      </c>
      <c r="AR461" s="125">
        <f t="shared" si="10"/>
        <v>3.2264778281891062</v>
      </c>
      <c r="AS461" s="125">
        <f t="shared" si="10"/>
        <v>3.3006868182374554</v>
      </c>
      <c r="AT461" s="125">
        <f t="shared" si="10"/>
        <v>3.2841833841462682</v>
      </c>
      <c r="AU461" s="125">
        <f t="shared" si="10"/>
        <v>3.290751750914561</v>
      </c>
      <c r="AV461" s="125">
        <f t="shared" si="10"/>
        <v>3.3203685166727919</v>
      </c>
      <c r="AW461" s="125">
        <f t="shared" si="10"/>
        <v>3.3568925703561923</v>
      </c>
      <c r="AX461" s="125">
        <f t="shared" si="10"/>
        <v>3.4374579920447408</v>
      </c>
      <c r="AY461" s="125">
        <f t="shared" si="10"/>
        <v>3.5955810596787989</v>
      </c>
      <c r="AZ461" s="125">
        <f t="shared" si="10"/>
        <v>3.7214263967675567</v>
      </c>
      <c r="BA461" s="125">
        <f t="shared" si="10"/>
        <v>3.7958549247029079</v>
      </c>
      <c r="BB461" s="125">
        <f t="shared" si="11"/>
        <v>3.8945471527451834</v>
      </c>
      <c r="BC461" s="125">
        <f t="shared" si="11"/>
        <v>3.9529653600363606</v>
      </c>
      <c r="BD461" s="125">
        <f t="shared" si="11"/>
        <v>4.0280717018770513</v>
      </c>
      <c r="BE461" s="125">
        <f t="shared" si="11"/>
        <v>4.1328015661258544</v>
      </c>
      <c r="BF461" s="125">
        <f t="shared" si="11"/>
        <v>4.2030591927499934</v>
      </c>
      <c r="BG461" s="125">
        <f t="shared" si="11"/>
        <v>4.3123387317614936</v>
      </c>
      <c r="BH461" s="125">
        <f t="shared" si="11"/>
        <v>4.4201472000555304</v>
      </c>
      <c r="BI461" s="125">
        <f t="shared" si="11"/>
        <v>4.6278941184581397</v>
      </c>
      <c r="BJ461" s="125">
        <f t="shared" si="11"/>
        <v>4.7806146243672583</v>
      </c>
      <c r="BK461" s="125">
        <f t="shared" si="11"/>
        <v>4.8810075314789705</v>
      </c>
      <c r="BL461" s="125">
        <f t="shared" si="11"/>
        <v>4.9346986143252387</v>
      </c>
      <c r="BM461" s="125">
        <f t="shared" si="11"/>
        <v>5.0235231893830932</v>
      </c>
      <c r="BN461" s="125">
        <f t="shared" si="11"/>
        <v>5.0938525140344568</v>
      </c>
      <c r="BO461" s="125">
        <f t="shared" si="11"/>
        <v>5.1498848916888349</v>
      </c>
      <c r="BP461" s="125">
        <f t="shared" si="11"/>
        <v>5.3146812082228774</v>
      </c>
      <c r="BQ461" s="125">
        <f t="shared" si="11"/>
        <v>5.330625251847545</v>
      </c>
      <c r="BR461" s="125">
        <f t="shared" si="12"/>
        <v>5.4105846306252579</v>
      </c>
      <c r="BS461" s="125">
        <f t="shared" si="12"/>
        <v>5.5512598310215147</v>
      </c>
      <c r="BT461" s="125">
        <f t="shared" si="12"/>
        <v>5.6789388071350091</v>
      </c>
      <c r="BU461" s="125">
        <f t="shared" si="12"/>
        <v>5.8379490937347898</v>
      </c>
      <c r="BV461" s="125">
        <f t="shared" si="12"/>
        <v>5.8963285846721378</v>
      </c>
      <c r="BW461" s="125">
        <f t="shared" si="12"/>
        <v>5.943499213349515</v>
      </c>
      <c r="BX461" s="125">
        <f t="shared" si="12"/>
        <v>5.9553862117762142</v>
      </c>
      <c r="BY461" s="125">
        <f t="shared" si="12"/>
        <v>6.0387616187410815</v>
      </c>
      <c r="BZ461" s="125">
        <f t="shared" si="12"/>
        <v>6.1112267581659747</v>
      </c>
      <c r="CA461" s="125">
        <f t="shared" si="12"/>
        <v>6.2701186538782903</v>
      </c>
      <c r="CB461" s="125">
        <f t="shared" si="12"/>
        <v>6.3704405523403427</v>
      </c>
      <c r="CC461" s="125">
        <f t="shared" si="12"/>
        <v>6.4851084822824694</v>
      </c>
      <c r="CD461" s="125">
        <f t="shared" si="12"/>
        <v>6.8871852081839826</v>
      </c>
      <c r="CE461" s="125">
        <f t="shared" si="12"/>
        <v>7.4381600248387016</v>
      </c>
      <c r="CF461" s="125">
        <f t="shared" si="12"/>
        <v>7.5646087452609585</v>
      </c>
      <c r="CG461" s="125">
        <f t="shared" si="12"/>
        <v>7.6932070939303943</v>
      </c>
    </row>
    <row r="462" spans="1:85">
      <c r="A462" s="3"/>
      <c r="B462" s="123">
        <v>1966</v>
      </c>
      <c r="C462" s="123"/>
      <c r="D462" s="3"/>
      <c r="E462" s="126"/>
      <c r="F462" s="126"/>
      <c r="G462" s="126"/>
      <c r="H462" s="126"/>
      <c r="I462" s="126"/>
      <c r="J462" s="126"/>
      <c r="K462" s="126"/>
      <c r="L462" s="126"/>
      <c r="M462" s="126"/>
      <c r="N462" s="126"/>
      <c r="O462" s="126"/>
      <c r="P462" s="126"/>
      <c r="Q462" s="126"/>
      <c r="R462" s="126"/>
      <c r="S462" s="126"/>
      <c r="T462" s="126"/>
      <c r="U462" s="126"/>
      <c r="V462" s="126"/>
      <c r="W462" s="126"/>
      <c r="X462" s="126"/>
      <c r="Y462" s="124">
        <v>1</v>
      </c>
      <c r="Z462" s="125">
        <f t="shared" si="9"/>
        <v>1.0580000000000001</v>
      </c>
      <c r="AA462" s="125">
        <f t="shared" si="9"/>
        <v>1.099262</v>
      </c>
      <c r="AB462" s="125">
        <f t="shared" si="9"/>
        <v>1.135537646</v>
      </c>
      <c r="AC462" s="125">
        <f t="shared" si="9"/>
        <v>1.2138897435739999</v>
      </c>
      <c r="AD462" s="125">
        <f t="shared" si="9"/>
        <v>1.279439789726996</v>
      </c>
      <c r="AE462" s="125">
        <f t="shared" si="9"/>
        <v>1.3766772137462477</v>
      </c>
      <c r="AF462" s="125">
        <f t="shared" si="9"/>
        <v>1.4785513275634701</v>
      </c>
      <c r="AG462" s="125">
        <f t="shared" si="9"/>
        <v>1.598313985096111</v>
      </c>
      <c r="AH462" s="125">
        <f t="shared" si="9"/>
        <v>1.7549487556355301</v>
      </c>
      <c r="AI462" s="125">
        <f t="shared" si="9"/>
        <v>1.9427282724885317</v>
      </c>
      <c r="AJ462" s="125">
        <f t="shared" si="9"/>
        <v>2.1039747191050799</v>
      </c>
      <c r="AK462" s="125">
        <f t="shared" si="9"/>
        <v>2.2470450000042255</v>
      </c>
      <c r="AL462" s="125">
        <f t="shared" si="10"/>
        <v>2.3414208900044029</v>
      </c>
      <c r="AM462" s="125">
        <f t="shared" si="10"/>
        <v>2.4303948838245701</v>
      </c>
      <c r="AN462" s="125">
        <f t="shared" si="10"/>
        <v>2.6029529205761146</v>
      </c>
      <c r="AO462" s="125">
        <f t="shared" si="10"/>
        <v>2.7695419074929859</v>
      </c>
      <c r="AP462" s="125">
        <f t="shared" si="10"/>
        <v>2.9329448800350719</v>
      </c>
      <c r="AQ462" s="125">
        <f t="shared" si="10"/>
        <v>3.0092014469159838</v>
      </c>
      <c r="AR462" s="125">
        <f t="shared" si="10"/>
        <v>3.0934590874296313</v>
      </c>
      <c r="AS462" s="125">
        <f t="shared" si="10"/>
        <v>3.1646086464405125</v>
      </c>
      <c r="AT462" s="125">
        <f t="shared" si="10"/>
        <v>3.1487856032083101</v>
      </c>
      <c r="AU462" s="125">
        <f t="shared" si="10"/>
        <v>3.155083174414727</v>
      </c>
      <c r="AV462" s="125">
        <f t="shared" si="10"/>
        <v>3.1834789229844591</v>
      </c>
      <c r="AW462" s="125">
        <f t="shared" si="10"/>
        <v>3.2184971911372879</v>
      </c>
      <c r="AX462" s="125">
        <f t="shared" si="10"/>
        <v>3.2957411237245831</v>
      </c>
      <c r="AY462" s="125">
        <f t="shared" si="10"/>
        <v>3.4473452154159139</v>
      </c>
      <c r="AZ462" s="125">
        <f t="shared" si="10"/>
        <v>3.5680022979554704</v>
      </c>
      <c r="BA462" s="125">
        <f t="shared" si="10"/>
        <v>3.6393623439145797</v>
      </c>
      <c r="BB462" s="125">
        <f t="shared" si="11"/>
        <v>3.7339857648563588</v>
      </c>
      <c r="BC462" s="125">
        <f t="shared" si="11"/>
        <v>3.7899955513292038</v>
      </c>
      <c r="BD462" s="125">
        <f t="shared" si="11"/>
        <v>3.8620054668044586</v>
      </c>
      <c r="BE462" s="125">
        <f t="shared" si="11"/>
        <v>3.9624176089413745</v>
      </c>
      <c r="BF462" s="125">
        <f t="shared" si="11"/>
        <v>4.0297787082933771</v>
      </c>
      <c r="BG462" s="125">
        <f t="shared" si="11"/>
        <v>4.1345529547090054</v>
      </c>
      <c r="BH462" s="125">
        <f t="shared" si="11"/>
        <v>4.2379167785767304</v>
      </c>
      <c r="BI462" s="125">
        <f t="shared" si="11"/>
        <v>4.4370988671698361</v>
      </c>
      <c r="BJ462" s="125">
        <f t="shared" si="11"/>
        <v>4.5835231297864407</v>
      </c>
      <c r="BK462" s="125">
        <f t="shared" si="11"/>
        <v>4.6797771155119552</v>
      </c>
      <c r="BL462" s="125">
        <f t="shared" si="11"/>
        <v>4.7312546637825861</v>
      </c>
      <c r="BM462" s="125">
        <f t="shared" si="11"/>
        <v>4.8164172477306728</v>
      </c>
      <c r="BN462" s="125">
        <f t="shared" si="11"/>
        <v>4.8838470891989019</v>
      </c>
      <c r="BO462" s="125">
        <f t="shared" si="11"/>
        <v>4.9375694071800895</v>
      </c>
      <c r="BP462" s="125">
        <f t="shared" si="11"/>
        <v>5.0955716282098527</v>
      </c>
      <c r="BQ462" s="125">
        <f t="shared" si="11"/>
        <v>5.1108583430944821</v>
      </c>
      <c r="BR462" s="125">
        <f t="shared" si="12"/>
        <v>5.1875212182408985</v>
      </c>
      <c r="BS462" s="125">
        <f t="shared" si="12"/>
        <v>5.3223967699151622</v>
      </c>
      <c r="BT462" s="125">
        <f t="shared" si="12"/>
        <v>5.4448118956232108</v>
      </c>
      <c r="BU462" s="125">
        <f t="shared" si="12"/>
        <v>5.5972666287006607</v>
      </c>
      <c r="BV462" s="125">
        <f t="shared" si="12"/>
        <v>5.6532392949876673</v>
      </c>
      <c r="BW462" s="125">
        <f t="shared" si="12"/>
        <v>5.6984652093475683</v>
      </c>
      <c r="BX462" s="125">
        <f t="shared" si="12"/>
        <v>5.7098621397662637</v>
      </c>
      <c r="BY462" s="125">
        <f t="shared" si="12"/>
        <v>5.7898002097229915</v>
      </c>
      <c r="BZ462" s="125">
        <f t="shared" si="12"/>
        <v>5.8592778122396671</v>
      </c>
      <c r="CA462" s="125">
        <f t="shared" si="12"/>
        <v>6.0116190353578984</v>
      </c>
      <c r="CB462" s="125">
        <f t="shared" si="12"/>
        <v>6.1078049399236249</v>
      </c>
      <c r="CC462" s="125">
        <f t="shared" si="12"/>
        <v>6.2177454288422505</v>
      </c>
      <c r="CD462" s="125">
        <f t="shared" si="12"/>
        <v>6.6032456454304702</v>
      </c>
      <c r="CE462" s="125">
        <f t="shared" si="12"/>
        <v>7.1315052970649084</v>
      </c>
      <c r="CF462" s="125">
        <f t="shared" si="12"/>
        <v>7.252740887115011</v>
      </c>
      <c r="CG462" s="125">
        <f t="shared" si="12"/>
        <v>7.3760374821959651</v>
      </c>
    </row>
    <row r="463" spans="1:85">
      <c r="A463" s="3"/>
      <c r="B463" s="123">
        <v>1967</v>
      </c>
      <c r="C463" s="123"/>
      <c r="D463" s="3"/>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4">
        <v>1</v>
      </c>
      <c r="AA463" s="125">
        <f t="shared" si="9"/>
        <v>1.0389999999999999</v>
      </c>
      <c r="AB463" s="125">
        <f t="shared" si="9"/>
        <v>1.0732869999999999</v>
      </c>
      <c r="AC463" s="125">
        <f t="shared" si="9"/>
        <v>1.1473438029999998</v>
      </c>
      <c r="AD463" s="125">
        <f t="shared" si="9"/>
        <v>1.2093003683619998</v>
      </c>
      <c r="AE463" s="125">
        <f t="shared" si="9"/>
        <v>1.3012071963575118</v>
      </c>
      <c r="AF463" s="125">
        <f t="shared" si="9"/>
        <v>1.3974965288879677</v>
      </c>
      <c r="AG463" s="125">
        <f t="shared" si="9"/>
        <v>1.510693747727893</v>
      </c>
      <c r="AH463" s="125">
        <f t="shared" si="9"/>
        <v>1.6587417350052267</v>
      </c>
      <c r="AI463" s="125">
        <f t="shared" si="9"/>
        <v>1.836227100650786</v>
      </c>
      <c r="AJ463" s="125">
        <f t="shared" si="9"/>
        <v>1.9886339500048011</v>
      </c>
      <c r="AK463" s="125">
        <f t="shared" si="9"/>
        <v>2.1238610586051276</v>
      </c>
      <c r="AL463" s="125">
        <f t="shared" si="10"/>
        <v>2.213063223066543</v>
      </c>
      <c r="AM463" s="125">
        <f t="shared" si="10"/>
        <v>2.2971596255430717</v>
      </c>
      <c r="AN463" s="125">
        <f t="shared" si="10"/>
        <v>2.4602579589566296</v>
      </c>
      <c r="AO463" s="125">
        <f t="shared" si="10"/>
        <v>2.6177144683298539</v>
      </c>
      <c r="AP463" s="125">
        <f t="shared" si="10"/>
        <v>2.7721596219613152</v>
      </c>
      <c r="AQ463" s="125">
        <f t="shared" si="10"/>
        <v>2.8442357721323095</v>
      </c>
      <c r="AR463" s="125">
        <f t="shared" si="10"/>
        <v>2.9238743737520143</v>
      </c>
      <c r="AS463" s="125">
        <f t="shared" si="10"/>
        <v>2.9911234843483103</v>
      </c>
      <c r="AT463" s="125">
        <f t="shared" si="10"/>
        <v>2.9761678669265685</v>
      </c>
      <c r="AU463" s="125">
        <f t="shared" si="10"/>
        <v>2.9821202026604219</v>
      </c>
      <c r="AV463" s="125">
        <f t="shared" si="10"/>
        <v>3.0089592844843653</v>
      </c>
      <c r="AW463" s="125">
        <f t="shared" si="10"/>
        <v>3.0420578366136932</v>
      </c>
      <c r="AX463" s="125">
        <f t="shared" si="10"/>
        <v>3.1150672246924218</v>
      </c>
      <c r="AY463" s="125">
        <f t="shared" si="10"/>
        <v>3.2583603170282736</v>
      </c>
      <c r="AZ463" s="125">
        <f t="shared" si="10"/>
        <v>3.3724029281242629</v>
      </c>
      <c r="BA463" s="125">
        <f t="shared" si="10"/>
        <v>3.4398509866867482</v>
      </c>
      <c r="BB463" s="125">
        <f t="shared" si="11"/>
        <v>3.5292871123406035</v>
      </c>
      <c r="BC463" s="125">
        <f t="shared" si="11"/>
        <v>3.5822264190257123</v>
      </c>
      <c r="BD463" s="125">
        <f t="shared" si="11"/>
        <v>3.6502887209872004</v>
      </c>
      <c r="BE463" s="125">
        <f t="shared" si="11"/>
        <v>3.7451962277328676</v>
      </c>
      <c r="BF463" s="125">
        <f t="shared" si="11"/>
        <v>3.8088645636043261</v>
      </c>
      <c r="BG463" s="125">
        <f t="shared" si="11"/>
        <v>3.9078950422580387</v>
      </c>
      <c r="BH463" s="125">
        <f t="shared" si="11"/>
        <v>4.0055924183144898</v>
      </c>
      <c r="BI463" s="125">
        <f t="shared" si="11"/>
        <v>4.1938552619752709</v>
      </c>
      <c r="BJ463" s="125">
        <f t="shared" si="11"/>
        <v>4.3322524856204545</v>
      </c>
      <c r="BK463" s="125">
        <f t="shared" si="11"/>
        <v>4.4232297878184834</v>
      </c>
      <c r="BL463" s="125">
        <f t="shared" si="11"/>
        <v>4.471885315484486</v>
      </c>
      <c r="BM463" s="125">
        <f t="shared" si="11"/>
        <v>4.5523792511632069</v>
      </c>
      <c r="BN463" s="125">
        <f t="shared" si="11"/>
        <v>4.6161125606794915</v>
      </c>
      <c r="BO463" s="125">
        <f t="shared" si="11"/>
        <v>4.6668897988469658</v>
      </c>
      <c r="BP463" s="125">
        <f t="shared" si="11"/>
        <v>4.8162302724100687</v>
      </c>
      <c r="BQ463" s="125">
        <f t="shared" si="11"/>
        <v>4.8306789632272986</v>
      </c>
      <c r="BR463" s="125">
        <f t="shared" si="12"/>
        <v>4.9031391476757076</v>
      </c>
      <c r="BS463" s="125">
        <f t="shared" si="12"/>
        <v>5.0306207655152759</v>
      </c>
      <c r="BT463" s="125">
        <f t="shared" si="12"/>
        <v>5.1463250431221272</v>
      </c>
      <c r="BU463" s="125">
        <f t="shared" si="12"/>
        <v>5.2904221443295469</v>
      </c>
      <c r="BV463" s="125">
        <f t="shared" si="12"/>
        <v>5.3433263657728425</v>
      </c>
      <c r="BW463" s="125">
        <f t="shared" si="12"/>
        <v>5.3860729766990252</v>
      </c>
      <c r="BX463" s="125">
        <f t="shared" si="12"/>
        <v>5.3968451226524232</v>
      </c>
      <c r="BY463" s="125">
        <f t="shared" si="12"/>
        <v>5.4724009543695571</v>
      </c>
      <c r="BZ463" s="125">
        <f t="shared" si="12"/>
        <v>5.5380697658219917</v>
      </c>
      <c r="CA463" s="125">
        <f t="shared" si="12"/>
        <v>5.6820595797333633</v>
      </c>
      <c r="CB463" s="125">
        <f t="shared" si="12"/>
        <v>5.7729725330090975</v>
      </c>
      <c r="CC463" s="125">
        <f t="shared" si="12"/>
        <v>5.8768860386032618</v>
      </c>
      <c r="CD463" s="125">
        <f t="shared" si="12"/>
        <v>6.2412529729966639</v>
      </c>
      <c r="CE463" s="125">
        <f t="shared" si="12"/>
        <v>6.7405532108363975</v>
      </c>
      <c r="CF463" s="125">
        <f t="shared" si="12"/>
        <v>6.8551426154206156</v>
      </c>
      <c r="CG463" s="125">
        <f t="shared" si="12"/>
        <v>6.9716800398827656</v>
      </c>
    </row>
    <row r="464" spans="1:85">
      <c r="A464" s="3"/>
      <c r="B464" s="123">
        <v>1968</v>
      </c>
      <c r="C464" s="123"/>
      <c r="D464" s="3"/>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4">
        <v>1</v>
      </c>
      <c r="AB464" s="125">
        <f t="shared" si="9"/>
        <v>1.0329999999999999</v>
      </c>
      <c r="AC464" s="125">
        <f t="shared" si="9"/>
        <v>1.104277</v>
      </c>
      <c r="AD464" s="125">
        <f t="shared" si="9"/>
        <v>1.163907958</v>
      </c>
      <c r="AE464" s="125">
        <f t="shared" si="9"/>
        <v>1.252364962808</v>
      </c>
      <c r="AF464" s="125">
        <f t="shared" si="9"/>
        <v>1.345039970055792</v>
      </c>
      <c r="AG464" s="125">
        <f t="shared" si="9"/>
        <v>1.453988207630311</v>
      </c>
      <c r="AH464" s="125">
        <f t="shared" si="9"/>
        <v>1.5964790519780816</v>
      </c>
      <c r="AI464" s="125">
        <f t="shared" si="9"/>
        <v>1.7673023105397363</v>
      </c>
      <c r="AJ464" s="125">
        <f t="shared" si="9"/>
        <v>1.9139884023145344</v>
      </c>
      <c r="AK464" s="125">
        <f t="shared" si="9"/>
        <v>2.044139613671923</v>
      </c>
      <c r="AL464" s="125">
        <f t="shared" si="10"/>
        <v>2.1299934774461438</v>
      </c>
      <c r="AM464" s="125">
        <f t="shared" si="10"/>
        <v>2.2109332295890973</v>
      </c>
      <c r="AN464" s="125">
        <f t="shared" si="10"/>
        <v>2.3679094888899233</v>
      </c>
      <c r="AO464" s="125">
        <f t="shared" si="10"/>
        <v>2.5194556961788783</v>
      </c>
      <c r="AP464" s="125">
        <f t="shared" si="10"/>
        <v>2.668103582253432</v>
      </c>
      <c r="AQ464" s="125">
        <f t="shared" si="10"/>
        <v>2.7374742753920214</v>
      </c>
      <c r="AR464" s="125">
        <f t="shared" si="10"/>
        <v>2.8141235551029982</v>
      </c>
      <c r="AS464" s="125">
        <f t="shared" si="10"/>
        <v>2.8788483968703669</v>
      </c>
      <c r="AT464" s="125">
        <f t="shared" si="10"/>
        <v>2.864454154886015</v>
      </c>
      <c r="AU464" s="125">
        <f t="shared" si="10"/>
        <v>2.8701830631957872</v>
      </c>
      <c r="AV464" s="125">
        <f t="shared" si="10"/>
        <v>2.8960147107645491</v>
      </c>
      <c r="AW464" s="125">
        <f t="shared" si="10"/>
        <v>2.9278708725829588</v>
      </c>
      <c r="AX464" s="125">
        <f t="shared" si="10"/>
        <v>2.99813977352495</v>
      </c>
      <c r="AY464" s="125">
        <f t="shared" si="10"/>
        <v>3.1360542031070979</v>
      </c>
      <c r="AZ464" s="125">
        <f t="shared" si="10"/>
        <v>3.2458161002158463</v>
      </c>
      <c r="BA464" s="125">
        <f t="shared" si="10"/>
        <v>3.3107324222201635</v>
      </c>
      <c r="BB464" s="125">
        <f t="shared" si="11"/>
        <v>3.3968114651978878</v>
      </c>
      <c r="BC464" s="125">
        <f t="shared" si="11"/>
        <v>3.4477636371758558</v>
      </c>
      <c r="BD464" s="125">
        <f t="shared" si="11"/>
        <v>3.5132711462821966</v>
      </c>
      <c r="BE464" s="125">
        <f t="shared" si="11"/>
        <v>3.6046161960855336</v>
      </c>
      <c r="BF464" s="125">
        <f t="shared" si="11"/>
        <v>3.6658946714189873</v>
      </c>
      <c r="BG464" s="125">
        <f t="shared" si="11"/>
        <v>3.7612079328758812</v>
      </c>
      <c r="BH464" s="125">
        <f t="shared" si="11"/>
        <v>3.8552381311977779</v>
      </c>
      <c r="BI464" s="125">
        <f t="shared" si="11"/>
        <v>4.0364343233640732</v>
      </c>
      <c r="BJ464" s="125">
        <f t="shared" si="11"/>
        <v>4.1696366560350873</v>
      </c>
      <c r="BK464" s="125">
        <f t="shared" si="11"/>
        <v>4.2571990258118237</v>
      </c>
      <c r="BL464" s="125">
        <f t="shared" si="11"/>
        <v>4.3040282150957534</v>
      </c>
      <c r="BM464" s="125">
        <f t="shared" si="11"/>
        <v>4.3815007229674769</v>
      </c>
      <c r="BN464" s="125">
        <f t="shared" si="11"/>
        <v>4.442841733089022</v>
      </c>
      <c r="BO464" s="125">
        <f t="shared" si="11"/>
        <v>4.4917129921530004</v>
      </c>
      <c r="BP464" s="125">
        <f t="shared" si="11"/>
        <v>4.6354478079018966</v>
      </c>
      <c r="BQ464" s="125">
        <f t="shared" si="11"/>
        <v>4.6493541513256016</v>
      </c>
      <c r="BR464" s="125">
        <f t="shared" si="12"/>
        <v>4.7190944635954848</v>
      </c>
      <c r="BS464" s="125">
        <f t="shared" si="12"/>
        <v>4.8417909196489672</v>
      </c>
      <c r="BT464" s="125">
        <f t="shared" si="12"/>
        <v>4.9531521108008931</v>
      </c>
      <c r="BU464" s="125">
        <f t="shared" si="12"/>
        <v>5.0918403699033181</v>
      </c>
      <c r="BV464" s="125">
        <f t="shared" si="12"/>
        <v>5.1427587736023517</v>
      </c>
      <c r="BW464" s="125">
        <f t="shared" si="12"/>
        <v>5.1839008437911707</v>
      </c>
      <c r="BX464" s="125">
        <f t="shared" si="12"/>
        <v>5.1942686454787532</v>
      </c>
      <c r="BY464" s="125">
        <f t="shared" si="12"/>
        <v>5.2669884065154555</v>
      </c>
      <c r="BZ464" s="125">
        <f t="shared" si="12"/>
        <v>5.3301922673936408</v>
      </c>
      <c r="CA464" s="125">
        <f t="shared" si="12"/>
        <v>5.4687772663458754</v>
      </c>
      <c r="CB464" s="125">
        <f t="shared" si="12"/>
        <v>5.5562777026074093</v>
      </c>
      <c r="CC464" s="125">
        <f t="shared" si="12"/>
        <v>5.6562907012543429</v>
      </c>
      <c r="CD464" s="125">
        <f t="shared" si="12"/>
        <v>6.0069807247321121</v>
      </c>
      <c r="CE464" s="125">
        <f t="shared" si="12"/>
        <v>6.4875391827106812</v>
      </c>
      <c r="CF464" s="125">
        <f t="shared" si="12"/>
        <v>6.5978273488167618</v>
      </c>
      <c r="CG464" s="125">
        <f t="shared" si="12"/>
        <v>6.7099904137466462</v>
      </c>
    </row>
    <row r="465" spans="1:85">
      <c r="A465" s="3"/>
      <c r="B465" s="123">
        <v>1969</v>
      </c>
      <c r="C465" s="123"/>
      <c r="D465" s="3"/>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4">
        <v>1</v>
      </c>
      <c r="AC465" s="125">
        <f t="shared" si="9"/>
        <v>1.069</v>
      </c>
      <c r="AD465" s="125">
        <f t="shared" si="9"/>
        <v>1.1267259999999999</v>
      </c>
      <c r="AE465" s="125">
        <f t="shared" si="9"/>
        <v>1.212357176</v>
      </c>
      <c r="AF465" s="125">
        <f t="shared" si="9"/>
        <v>1.3020716070240002</v>
      </c>
      <c r="AG465" s="125">
        <f t="shared" si="9"/>
        <v>1.4075394071929441</v>
      </c>
      <c r="AH465" s="125">
        <f t="shared" si="9"/>
        <v>1.5454782690978528</v>
      </c>
      <c r="AI465" s="125">
        <f t="shared" si="9"/>
        <v>1.7108444438913231</v>
      </c>
      <c r="AJ465" s="125">
        <f t="shared" si="9"/>
        <v>1.8528445327343028</v>
      </c>
      <c r="AK465" s="125">
        <f t="shared" si="9"/>
        <v>1.9788379609602356</v>
      </c>
      <c r="AL465" s="125">
        <f t="shared" si="10"/>
        <v>2.0619491553205656</v>
      </c>
      <c r="AM465" s="125">
        <f t="shared" si="10"/>
        <v>2.1403032232227472</v>
      </c>
      <c r="AN465" s="125">
        <f t="shared" si="10"/>
        <v>2.2922647520715622</v>
      </c>
      <c r="AO465" s="125">
        <f t="shared" si="10"/>
        <v>2.4389696962041425</v>
      </c>
      <c r="AP465" s="125">
        <f t="shared" si="10"/>
        <v>2.5828689082801866</v>
      </c>
      <c r="AQ465" s="125">
        <f t="shared" si="10"/>
        <v>2.6500234998954713</v>
      </c>
      <c r="AR465" s="125">
        <f t="shared" si="10"/>
        <v>2.7242241578925444</v>
      </c>
      <c r="AS465" s="125">
        <f t="shared" si="10"/>
        <v>2.7868813135240726</v>
      </c>
      <c r="AT465" s="125">
        <f t="shared" si="10"/>
        <v>2.7729469069564523</v>
      </c>
      <c r="AU465" s="125">
        <f t="shared" si="10"/>
        <v>2.7784928007703651</v>
      </c>
      <c r="AV465" s="125">
        <f t="shared" si="10"/>
        <v>2.8034992359772981</v>
      </c>
      <c r="AW465" s="125">
        <f t="shared" si="10"/>
        <v>2.8343377275730481</v>
      </c>
      <c r="AX465" s="125">
        <f t="shared" si="10"/>
        <v>2.9023618330348016</v>
      </c>
      <c r="AY465" s="125">
        <f t="shared" si="10"/>
        <v>3.0358704773544027</v>
      </c>
      <c r="AZ465" s="125">
        <f t="shared" si="10"/>
        <v>3.1421259440618066</v>
      </c>
      <c r="BA465" s="125">
        <f t="shared" si="10"/>
        <v>3.2049684629430426</v>
      </c>
      <c r="BB465" s="125">
        <f t="shared" si="11"/>
        <v>3.2882976429795616</v>
      </c>
      <c r="BC465" s="125">
        <f t="shared" si="11"/>
        <v>3.3376221076242549</v>
      </c>
      <c r="BD465" s="125">
        <f t="shared" si="11"/>
        <v>3.4010369276691153</v>
      </c>
      <c r="BE465" s="125">
        <f t="shared" si="11"/>
        <v>3.4894638877885122</v>
      </c>
      <c r="BF465" s="125">
        <f t="shared" si="11"/>
        <v>3.5487847738809166</v>
      </c>
      <c r="BG465" s="125">
        <f t="shared" si="11"/>
        <v>3.6410531780018207</v>
      </c>
      <c r="BH465" s="125">
        <f t="shared" si="11"/>
        <v>3.732079507451866</v>
      </c>
      <c r="BI465" s="125">
        <f t="shared" si="11"/>
        <v>3.9074872443021036</v>
      </c>
      <c r="BJ465" s="125">
        <f t="shared" si="11"/>
        <v>4.0364343233640723</v>
      </c>
      <c r="BK465" s="125">
        <f t="shared" si="11"/>
        <v>4.1211994441547173</v>
      </c>
      <c r="BL465" s="125">
        <f t="shared" si="11"/>
        <v>4.1665326380404188</v>
      </c>
      <c r="BM465" s="125">
        <f t="shared" si="11"/>
        <v>4.2415302255251461</v>
      </c>
      <c r="BN465" s="125">
        <f t="shared" si="11"/>
        <v>4.3009116486824981</v>
      </c>
      <c r="BO465" s="125">
        <f t="shared" si="11"/>
        <v>4.3482216768180049</v>
      </c>
      <c r="BP465" s="125">
        <f t="shared" si="11"/>
        <v>4.487364770476181</v>
      </c>
      <c r="BQ465" s="125">
        <f t="shared" si="11"/>
        <v>4.5008268647876086</v>
      </c>
      <c r="BR465" s="125">
        <f t="shared" si="12"/>
        <v>4.5683392677594226</v>
      </c>
      <c r="BS465" s="125">
        <f t="shared" si="12"/>
        <v>4.6871160887211678</v>
      </c>
      <c r="BT465" s="125">
        <f t="shared" si="12"/>
        <v>4.794919758761754</v>
      </c>
      <c r="BU465" s="125">
        <f t="shared" si="12"/>
        <v>4.9291775120070831</v>
      </c>
      <c r="BV465" s="125">
        <f t="shared" si="12"/>
        <v>4.9784692871271536</v>
      </c>
      <c r="BW465" s="125">
        <f t="shared" si="12"/>
        <v>5.0182970414241712</v>
      </c>
      <c r="BX465" s="125">
        <f t="shared" si="12"/>
        <v>5.0283336355070194</v>
      </c>
      <c r="BY465" s="125">
        <f t="shared" si="12"/>
        <v>5.0987303064041178</v>
      </c>
      <c r="BZ465" s="125">
        <f t="shared" si="12"/>
        <v>5.1599150700809675</v>
      </c>
      <c r="CA465" s="125">
        <f t="shared" si="12"/>
        <v>5.2940728619030724</v>
      </c>
      <c r="CB465" s="125">
        <f t="shared" si="12"/>
        <v>5.3787780276935218</v>
      </c>
      <c r="CC465" s="125">
        <f t="shared" si="12"/>
        <v>5.475596032192005</v>
      </c>
      <c r="CD465" s="125">
        <f t="shared" si="12"/>
        <v>5.8150829861879094</v>
      </c>
      <c r="CE465" s="125">
        <f t="shared" si="12"/>
        <v>6.2802896250829425</v>
      </c>
      <c r="CF465" s="125">
        <f t="shared" si="12"/>
        <v>6.3870545487093517</v>
      </c>
      <c r="CG465" s="125">
        <f t="shared" si="12"/>
        <v>6.4956344760374103</v>
      </c>
    </row>
    <row r="466" spans="1:85">
      <c r="A466" s="3"/>
      <c r="B466" s="123">
        <v>1970</v>
      </c>
      <c r="C466" s="123"/>
      <c r="D466" s="3"/>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4">
        <v>1</v>
      </c>
      <c r="AD466" s="125">
        <f t="shared" si="9"/>
        <v>1.054</v>
      </c>
      <c r="AE466" s="125">
        <f t="shared" si="9"/>
        <v>1.1341040000000002</v>
      </c>
      <c r="AF466" s="125">
        <f t="shared" si="9"/>
        <v>1.2180276960000003</v>
      </c>
      <c r="AG466" s="125">
        <f t="shared" si="9"/>
        <v>1.3166879393760003</v>
      </c>
      <c r="AH466" s="125">
        <f t="shared" si="9"/>
        <v>1.4457233574348485</v>
      </c>
      <c r="AI466" s="125">
        <f t="shared" si="9"/>
        <v>1.6004157566803772</v>
      </c>
      <c r="AJ466" s="125">
        <f t="shared" si="9"/>
        <v>1.7332502644848484</v>
      </c>
      <c r="AK466" s="125">
        <f t="shared" si="9"/>
        <v>1.8511112824698182</v>
      </c>
      <c r="AL466" s="125">
        <f t="shared" si="10"/>
        <v>1.9288579563335506</v>
      </c>
      <c r="AM466" s="125">
        <f t="shared" si="10"/>
        <v>2.0021545586742255</v>
      </c>
      <c r="AN466" s="125">
        <f t="shared" si="10"/>
        <v>2.1443075323400955</v>
      </c>
      <c r="AO466" s="125">
        <f t="shared" si="10"/>
        <v>2.281543214409862</v>
      </c>
      <c r="AP466" s="125">
        <f t="shared" si="10"/>
        <v>2.4161542640600437</v>
      </c>
      <c r="AQ466" s="125">
        <f t="shared" si="10"/>
        <v>2.478974274925605</v>
      </c>
      <c r="AR466" s="125">
        <f t="shared" si="10"/>
        <v>2.5483855546235219</v>
      </c>
      <c r="AS466" s="125">
        <f t="shared" si="10"/>
        <v>2.6069984223798626</v>
      </c>
      <c r="AT466" s="125">
        <f t="shared" si="10"/>
        <v>2.5939634302679631</v>
      </c>
      <c r="AU466" s="125">
        <f t="shared" si="10"/>
        <v>2.5991513571284992</v>
      </c>
      <c r="AV466" s="125">
        <f t="shared" si="10"/>
        <v>2.6225437193426555</v>
      </c>
      <c r="AW466" s="125">
        <f t="shared" si="10"/>
        <v>2.6513917002554246</v>
      </c>
      <c r="AX466" s="125">
        <f t="shared" si="10"/>
        <v>2.7150251010615549</v>
      </c>
      <c r="AY466" s="125">
        <f t="shared" si="10"/>
        <v>2.8399162557103867</v>
      </c>
      <c r="AZ466" s="125">
        <f t="shared" si="10"/>
        <v>2.9393133246602501</v>
      </c>
      <c r="BA466" s="125">
        <f t="shared" si="10"/>
        <v>2.9980995911534549</v>
      </c>
      <c r="BB466" s="125">
        <f t="shared" si="11"/>
        <v>3.076050180523445</v>
      </c>
      <c r="BC466" s="125">
        <f t="shared" si="11"/>
        <v>3.1221909332312965</v>
      </c>
      <c r="BD466" s="125">
        <f t="shared" si="11"/>
        <v>3.1815125609626906</v>
      </c>
      <c r="BE466" s="125">
        <f t="shared" si="11"/>
        <v>3.2642318875477208</v>
      </c>
      <c r="BF466" s="125">
        <f t="shared" si="11"/>
        <v>3.3197238296360316</v>
      </c>
      <c r="BG466" s="125">
        <f t="shared" si="11"/>
        <v>3.4060366492065683</v>
      </c>
      <c r="BH466" s="125">
        <f t="shared" si="11"/>
        <v>3.4911875654367321</v>
      </c>
      <c r="BI466" s="125">
        <f t="shared" si="11"/>
        <v>3.6552733810122584</v>
      </c>
      <c r="BJ466" s="125">
        <f t="shared" si="11"/>
        <v>3.7758974025856626</v>
      </c>
      <c r="BK466" s="125">
        <f t="shared" si="11"/>
        <v>3.855191248039961</v>
      </c>
      <c r="BL466" s="125">
        <f t="shared" si="11"/>
        <v>3.8975983517684001</v>
      </c>
      <c r="BM466" s="125">
        <f t="shared" si="11"/>
        <v>3.9677551221002312</v>
      </c>
      <c r="BN466" s="125">
        <f t="shared" si="11"/>
        <v>4.023303693809634</v>
      </c>
      <c r="BO466" s="125">
        <f t="shared" si="11"/>
        <v>4.0675600344415397</v>
      </c>
      <c r="BP466" s="125">
        <f t="shared" si="11"/>
        <v>4.1977219555436687</v>
      </c>
      <c r="BQ466" s="125">
        <f t="shared" si="11"/>
        <v>4.2103151214102992</v>
      </c>
      <c r="BR466" s="125">
        <f t="shared" si="12"/>
        <v>4.2734698482314535</v>
      </c>
      <c r="BS466" s="125">
        <f t="shared" si="12"/>
        <v>4.3845800642854718</v>
      </c>
      <c r="BT466" s="125">
        <f t="shared" si="12"/>
        <v>4.4854254057640368</v>
      </c>
      <c r="BU466" s="125">
        <f t="shared" si="12"/>
        <v>4.6110173171254303</v>
      </c>
      <c r="BV466" s="125">
        <f t="shared" si="12"/>
        <v>4.657127490296685</v>
      </c>
      <c r="BW466" s="125">
        <f t="shared" si="12"/>
        <v>4.6943845102190584</v>
      </c>
      <c r="BX466" s="125">
        <f t="shared" si="12"/>
        <v>4.7037732792394964</v>
      </c>
      <c r="BY466" s="125">
        <f t="shared" si="12"/>
        <v>4.7696261051488493</v>
      </c>
      <c r="BZ466" s="125">
        <f t="shared" si="12"/>
        <v>4.8268616184106357</v>
      </c>
      <c r="CA466" s="125">
        <f t="shared" si="12"/>
        <v>4.9523600204893121</v>
      </c>
      <c r="CB466" s="125">
        <f t="shared" si="12"/>
        <v>5.0315977808171413</v>
      </c>
      <c r="CC466" s="125">
        <f t="shared" si="12"/>
        <v>5.1221665408718495</v>
      </c>
      <c r="CD466" s="125">
        <f t="shared" si="12"/>
        <v>5.4397408664059048</v>
      </c>
      <c r="CE466" s="125">
        <f t="shared" si="12"/>
        <v>5.8749201357183773</v>
      </c>
      <c r="CF466" s="125">
        <f t="shared" si="12"/>
        <v>5.9747937780255889</v>
      </c>
      <c r="CG466" s="125">
        <f t="shared" si="12"/>
        <v>6.0763652722520236</v>
      </c>
    </row>
    <row r="467" spans="1:85">
      <c r="A467" s="3"/>
      <c r="B467" s="123">
        <v>1971</v>
      </c>
      <c r="C467" s="123"/>
      <c r="D467" s="3"/>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4">
        <v>1</v>
      </c>
      <c r="AE467" s="125">
        <f t="shared" si="9"/>
        <v>1.0760000000000001</v>
      </c>
      <c r="AF467" s="125">
        <f t="shared" si="9"/>
        <v>1.1556240000000002</v>
      </c>
      <c r="AG467" s="125">
        <f t="shared" si="9"/>
        <v>1.2492295440000001</v>
      </c>
      <c r="AH467" s="125">
        <f t="shared" si="9"/>
        <v>1.3716540393120003</v>
      </c>
      <c r="AI467" s="125">
        <f t="shared" si="9"/>
        <v>1.5184210215183842</v>
      </c>
      <c r="AJ467" s="125">
        <f t="shared" si="9"/>
        <v>1.6444499663044101</v>
      </c>
      <c r="AK467" s="125">
        <f t="shared" si="9"/>
        <v>1.75627256401311</v>
      </c>
      <c r="AL467" s="125">
        <f t="shared" si="10"/>
        <v>1.8300360117016607</v>
      </c>
      <c r="AM467" s="125">
        <f t="shared" si="10"/>
        <v>1.8995773801463238</v>
      </c>
      <c r="AN467" s="125">
        <f t="shared" si="10"/>
        <v>2.0344473741367128</v>
      </c>
      <c r="AO467" s="125">
        <f t="shared" si="10"/>
        <v>2.1646520060814627</v>
      </c>
      <c r="AP467" s="125">
        <f t="shared" si="10"/>
        <v>2.2923664744402688</v>
      </c>
      <c r="AQ467" s="125">
        <f t="shared" si="10"/>
        <v>2.3519680027757159</v>
      </c>
      <c r="AR467" s="125">
        <f t="shared" si="10"/>
        <v>2.4178231068534362</v>
      </c>
      <c r="AS467" s="125">
        <f t="shared" si="10"/>
        <v>2.473433038311065</v>
      </c>
      <c r="AT467" s="125">
        <f t="shared" si="10"/>
        <v>2.4610658731195096</v>
      </c>
      <c r="AU467" s="125">
        <f t="shared" si="10"/>
        <v>2.4659880048657485</v>
      </c>
      <c r="AV467" s="125">
        <f t="shared" si="10"/>
        <v>2.4881818969095399</v>
      </c>
      <c r="AW467" s="125">
        <f t="shared" si="10"/>
        <v>2.5155518977755444</v>
      </c>
      <c r="AX467" s="125">
        <f t="shared" si="10"/>
        <v>2.5759251433221575</v>
      </c>
      <c r="AY467" s="125">
        <f t="shared" si="10"/>
        <v>2.6944176999149767</v>
      </c>
      <c r="AZ467" s="125">
        <f t="shared" si="10"/>
        <v>2.7887223194120008</v>
      </c>
      <c r="BA467" s="125">
        <f t="shared" si="10"/>
        <v>2.8444967658002409</v>
      </c>
      <c r="BB467" s="125">
        <f t="shared" si="11"/>
        <v>2.9184536817110471</v>
      </c>
      <c r="BC467" s="125">
        <f t="shared" si="11"/>
        <v>2.9622304869367126</v>
      </c>
      <c r="BD467" s="125">
        <f t="shared" si="11"/>
        <v>3.0185128661885101</v>
      </c>
      <c r="BE467" s="125">
        <f t="shared" si="11"/>
        <v>3.0969942007094113</v>
      </c>
      <c r="BF467" s="125">
        <f t="shared" si="11"/>
        <v>3.149643102121471</v>
      </c>
      <c r="BG467" s="125">
        <f t="shared" si="11"/>
        <v>3.2315338227766293</v>
      </c>
      <c r="BH467" s="125">
        <f t="shared" si="11"/>
        <v>3.3123221683460446</v>
      </c>
      <c r="BI467" s="125">
        <f t="shared" si="11"/>
        <v>3.4680013102583085</v>
      </c>
      <c r="BJ467" s="125">
        <f t="shared" si="11"/>
        <v>3.5824453534968326</v>
      </c>
      <c r="BK467" s="125">
        <f t="shared" si="11"/>
        <v>3.6576767059202657</v>
      </c>
      <c r="BL467" s="125">
        <f t="shared" si="11"/>
        <v>3.6979111496853885</v>
      </c>
      <c r="BM467" s="125">
        <f t="shared" si="11"/>
        <v>3.7644735503797255</v>
      </c>
      <c r="BN467" s="125">
        <f t="shared" si="11"/>
        <v>3.8171761800850419</v>
      </c>
      <c r="BO467" s="125">
        <f t="shared" si="11"/>
        <v>3.859165118065977</v>
      </c>
      <c r="BP467" s="125">
        <f t="shared" si="11"/>
        <v>3.9826584018440885</v>
      </c>
      <c r="BQ467" s="125">
        <f t="shared" si="11"/>
        <v>3.9946063770496205</v>
      </c>
      <c r="BR467" s="125">
        <f t="shared" si="12"/>
        <v>4.0545254727053646</v>
      </c>
      <c r="BS467" s="125">
        <f t="shared" si="12"/>
        <v>4.1599431349957046</v>
      </c>
      <c r="BT467" s="125">
        <f t="shared" si="12"/>
        <v>4.2556218271006054</v>
      </c>
      <c r="BU467" s="125">
        <f t="shared" si="12"/>
        <v>4.3747792382594222</v>
      </c>
      <c r="BV467" s="125">
        <f t="shared" si="12"/>
        <v>4.4185270306420161</v>
      </c>
      <c r="BW467" s="125">
        <f t="shared" si="12"/>
        <v>4.4538752468871525</v>
      </c>
      <c r="BX467" s="125">
        <f t="shared" si="12"/>
        <v>4.462782997380927</v>
      </c>
      <c r="BY467" s="125">
        <f t="shared" si="12"/>
        <v>4.5252619593442605</v>
      </c>
      <c r="BZ467" s="125">
        <f t="shared" si="12"/>
        <v>4.5795651028563915</v>
      </c>
      <c r="CA467" s="125">
        <f t="shared" si="12"/>
        <v>4.6986337955306574</v>
      </c>
      <c r="CB467" s="125">
        <f t="shared" si="12"/>
        <v>4.7738119362591478</v>
      </c>
      <c r="CC467" s="125">
        <f t="shared" si="12"/>
        <v>4.8597405511118126</v>
      </c>
      <c r="CD467" s="125">
        <f t="shared" si="12"/>
        <v>5.161044465280745</v>
      </c>
      <c r="CE467" s="125">
        <f t="shared" si="12"/>
        <v>5.5739280225032051</v>
      </c>
      <c r="CF467" s="125">
        <f t="shared" si="12"/>
        <v>5.6686847988857592</v>
      </c>
      <c r="CG467" s="125">
        <f t="shared" si="12"/>
        <v>5.7650524404668166</v>
      </c>
    </row>
    <row r="468" spans="1:85">
      <c r="A468" s="3"/>
      <c r="B468" s="123">
        <v>1972</v>
      </c>
      <c r="C468" s="123"/>
      <c r="D468" s="3"/>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4">
        <v>1</v>
      </c>
      <c r="AF468" s="125">
        <f t="shared" si="9"/>
        <v>1.0740000000000001</v>
      </c>
      <c r="AG468" s="125">
        <f t="shared" si="9"/>
        <v>1.1609940000000001</v>
      </c>
      <c r="AH468" s="125">
        <f t="shared" si="9"/>
        <v>1.2747714120000002</v>
      </c>
      <c r="AI468" s="125">
        <f t="shared" si="9"/>
        <v>1.4111719530840001</v>
      </c>
      <c r="AJ468" s="125">
        <f t="shared" si="9"/>
        <v>1.5282992251899721</v>
      </c>
      <c r="AK468" s="125">
        <f t="shared" si="9"/>
        <v>1.6322235725028902</v>
      </c>
      <c r="AL468" s="125">
        <f t="shared" si="10"/>
        <v>1.7007769625480116</v>
      </c>
      <c r="AM468" s="125">
        <f t="shared" si="10"/>
        <v>1.7654064871248361</v>
      </c>
      <c r="AN468" s="125">
        <f t="shared" si="10"/>
        <v>1.8907503477106993</v>
      </c>
      <c r="AO468" s="125">
        <f t="shared" si="10"/>
        <v>2.0117583699641841</v>
      </c>
      <c r="AP468" s="125">
        <f t="shared" si="10"/>
        <v>2.1304521137920709</v>
      </c>
      <c r="AQ468" s="125">
        <f t="shared" si="10"/>
        <v>2.1858438687506649</v>
      </c>
      <c r="AR468" s="125">
        <f t="shared" si="10"/>
        <v>2.2470474970756835</v>
      </c>
      <c r="AS468" s="125">
        <f t="shared" si="10"/>
        <v>2.2987295895084241</v>
      </c>
      <c r="AT468" s="125">
        <f t="shared" si="10"/>
        <v>2.2872359415608821</v>
      </c>
      <c r="AU468" s="125">
        <f t="shared" si="10"/>
        <v>2.2918104134440038</v>
      </c>
      <c r="AV468" s="125">
        <f t="shared" si="10"/>
        <v>2.3124367071649998</v>
      </c>
      <c r="AW468" s="125">
        <f t="shared" si="10"/>
        <v>2.3378735109438145</v>
      </c>
      <c r="AX468" s="125">
        <f t="shared" si="10"/>
        <v>2.393982475206466</v>
      </c>
      <c r="AY468" s="125">
        <f t="shared" si="10"/>
        <v>2.5041056690659635</v>
      </c>
      <c r="AZ468" s="125">
        <f t="shared" si="10"/>
        <v>2.5917493674832719</v>
      </c>
      <c r="BA468" s="125">
        <f t="shared" si="10"/>
        <v>2.6435843548329374</v>
      </c>
      <c r="BB468" s="125">
        <f t="shared" si="11"/>
        <v>2.7123175480585937</v>
      </c>
      <c r="BC468" s="125">
        <f t="shared" si="11"/>
        <v>2.7530023112794724</v>
      </c>
      <c r="BD468" s="125">
        <f t="shared" si="11"/>
        <v>2.8053093551937822</v>
      </c>
      <c r="BE468" s="125">
        <f t="shared" si="11"/>
        <v>2.8782473984288206</v>
      </c>
      <c r="BF468" s="125">
        <f t="shared" si="11"/>
        <v>2.9271776042021105</v>
      </c>
      <c r="BG468" s="125">
        <f t="shared" si="11"/>
        <v>3.0032842219113656</v>
      </c>
      <c r="BH468" s="125">
        <f t="shared" si="11"/>
        <v>3.0783663274591495</v>
      </c>
      <c r="BI468" s="125">
        <f t="shared" si="11"/>
        <v>3.2230495448497294</v>
      </c>
      <c r="BJ468" s="125">
        <f t="shared" si="11"/>
        <v>3.3294101798297704</v>
      </c>
      <c r="BK468" s="125">
        <f t="shared" si="11"/>
        <v>3.3993277936061954</v>
      </c>
      <c r="BL468" s="125">
        <f t="shared" si="11"/>
        <v>3.4367203993358633</v>
      </c>
      <c r="BM468" s="125">
        <f t="shared" si="11"/>
        <v>3.4985813665239087</v>
      </c>
      <c r="BN468" s="125">
        <f t="shared" si="11"/>
        <v>3.5475615056552434</v>
      </c>
      <c r="BO468" s="125">
        <f t="shared" si="11"/>
        <v>3.5865846822174507</v>
      </c>
      <c r="BP468" s="125">
        <f t="shared" si="11"/>
        <v>3.7013553920484092</v>
      </c>
      <c r="BQ468" s="125">
        <f t="shared" si="11"/>
        <v>3.7124594582245543</v>
      </c>
      <c r="BR468" s="125">
        <f t="shared" si="12"/>
        <v>3.7681463500979224</v>
      </c>
      <c r="BS468" s="125">
        <f t="shared" si="12"/>
        <v>3.8661181552004686</v>
      </c>
      <c r="BT468" s="125">
        <f t="shared" si="12"/>
        <v>3.9550388727700789</v>
      </c>
      <c r="BU468" s="125">
        <f t="shared" si="12"/>
        <v>4.0657799612076415</v>
      </c>
      <c r="BV468" s="125">
        <f t="shared" si="12"/>
        <v>4.106437760819718</v>
      </c>
      <c r="BW468" s="125">
        <f t="shared" si="12"/>
        <v>4.1392892629062761</v>
      </c>
      <c r="BX468" s="125">
        <f t="shared" si="12"/>
        <v>4.1475678414320889</v>
      </c>
      <c r="BY468" s="125">
        <f t="shared" si="12"/>
        <v>4.2056337912121382</v>
      </c>
      <c r="BZ468" s="125">
        <f t="shared" si="12"/>
        <v>4.2561013967066836</v>
      </c>
      <c r="CA468" s="125">
        <f t="shared" si="12"/>
        <v>4.3667600330210572</v>
      </c>
      <c r="CB468" s="125">
        <f t="shared" si="12"/>
        <v>4.4366281935493941</v>
      </c>
      <c r="CC468" s="125">
        <f t="shared" si="12"/>
        <v>4.516487501033283</v>
      </c>
      <c r="CD468" s="125">
        <f t="shared" si="12"/>
        <v>4.796509726097347</v>
      </c>
      <c r="CE468" s="125">
        <f t="shared" si="12"/>
        <v>5.1802305041851353</v>
      </c>
      <c r="CF468" s="125">
        <f t="shared" si="12"/>
        <v>5.2682944227562825</v>
      </c>
      <c r="CG468" s="125">
        <f t="shared" si="12"/>
        <v>5.3578554279431385</v>
      </c>
    </row>
    <row r="469" spans="1:85">
      <c r="A469" s="3"/>
      <c r="B469" s="123">
        <v>1973</v>
      </c>
      <c r="C469" s="123"/>
      <c r="D469" s="3"/>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4">
        <v>1</v>
      </c>
      <c r="AG469" s="125">
        <f t="shared" si="9"/>
        <v>1.081</v>
      </c>
      <c r="AH469" s="125">
        <f t="shared" si="9"/>
        <v>1.186938</v>
      </c>
      <c r="AI469" s="125">
        <f t="shared" si="9"/>
        <v>1.313940366</v>
      </c>
      <c r="AJ469" s="125">
        <f t="shared" si="9"/>
        <v>1.4229974163779999</v>
      </c>
      <c r="AK469" s="125">
        <f t="shared" si="9"/>
        <v>1.519761240691704</v>
      </c>
      <c r="AL469" s="125">
        <f t="shared" si="10"/>
        <v>1.5835912128007557</v>
      </c>
      <c r="AM469" s="125">
        <f t="shared" si="10"/>
        <v>1.6437676788871844</v>
      </c>
      <c r="AN469" s="125">
        <f t="shared" si="10"/>
        <v>1.7604751840881745</v>
      </c>
      <c r="AO469" s="125">
        <f t="shared" si="10"/>
        <v>1.8731455958698178</v>
      </c>
      <c r="AP469" s="125">
        <f t="shared" si="10"/>
        <v>1.9836611860261368</v>
      </c>
      <c r="AQ469" s="125">
        <f t="shared" si="10"/>
        <v>2.0352363768628163</v>
      </c>
      <c r="AR469" s="125">
        <f t="shared" si="10"/>
        <v>2.0922229954149754</v>
      </c>
      <c r="AS469" s="125">
        <f t="shared" si="10"/>
        <v>2.1403441243095198</v>
      </c>
      <c r="AT469" s="125">
        <f t="shared" si="10"/>
        <v>2.1296424036879724</v>
      </c>
      <c r="AU469" s="125">
        <f t="shared" si="10"/>
        <v>2.1339016884953486</v>
      </c>
      <c r="AV469" s="125">
        <f t="shared" si="10"/>
        <v>2.1531068036918066</v>
      </c>
      <c r="AW469" s="125">
        <f t="shared" si="10"/>
        <v>2.1767909785324164</v>
      </c>
      <c r="AX469" s="125">
        <f t="shared" si="10"/>
        <v>2.2290339620171946</v>
      </c>
      <c r="AY469" s="125">
        <f t="shared" si="10"/>
        <v>2.3315695242699856</v>
      </c>
      <c r="AZ469" s="125">
        <f t="shared" si="10"/>
        <v>2.4131744576194349</v>
      </c>
      <c r="BA469" s="125">
        <f t="shared" si="10"/>
        <v>2.4614379467718237</v>
      </c>
      <c r="BB469" s="125">
        <f t="shared" si="11"/>
        <v>2.5254353333878914</v>
      </c>
      <c r="BC469" s="125">
        <f t="shared" si="11"/>
        <v>2.5633168633887093</v>
      </c>
      <c r="BD469" s="125">
        <f t="shared" si="11"/>
        <v>2.6120198837930948</v>
      </c>
      <c r="BE469" s="125">
        <f t="shared" si="11"/>
        <v>2.6799324007717154</v>
      </c>
      <c r="BF469" s="125">
        <f t="shared" si="11"/>
        <v>2.7254912515848342</v>
      </c>
      <c r="BG469" s="125">
        <f t="shared" si="11"/>
        <v>2.7963540241260398</v>
      </c>
      <c r="BH469" s="125">
        <f t="shared" si="11"/>
        <v>2.8662628747291907</v>
      </c>
      <c r="BI469" s="125">
        <f t="shared" si="11"/>
        <v>3.0009772298414625</v>
      </c>
      <c r="BJ469" s="125">
        <f t="shared" si="11"/>
        <v>3.1000094784262306</v>
      </c>
      <c r="BK469" s="125">
        <f t="shared" si="11"/>
        <v>3.1651096774731813</v>
      </c>
      <c r="BL469" s="125">
        <f t="shared" si="11"/>
        <v>3.1999258839253861</v>
      </c>
      <c r="BM469" s="125">
        <f t="shared" si="11"/>
        <v>3.257524549836043</v>
      </c>
      <c r="BN469" s="125">
        <f t="shared" si="11"/>
        <v>3.3031298935337476</v>
      </c>
      <c r="BO469" s="125">
        <f t="shared" si="11"/>
        <v>3.3394643223626184</v>
      </c>
      <c r="BP469" s="125">
        <f t="shared" si="11"/>
        <v>3.4463271806782223</v>
      </c>
      <c r="BQ469" s="125">
        <f t="shared" si="11"/>
        <v>3.4566661622202566</v>
      </c>
      <c r="BR469" s="125">
        <f t="shared" si="12"/>
        <v>3.5085161546535599</v>
      </c>
      <c r="BS469" s="125">
        <f t="shared" si="12"/>
        <v>3.5997375746745526</v>
      </c>
      <c r="BT469" s="125">
        <f t="shared" si="12"/>
        <v>3.682531538892067</v>
      </c>
      <c r="BU469" s="125">
        <f t="shared" si="12"/>
        <v>3.7856424219810449</v>
      </c>
      <c r="BV469" s="125">
        <f t="shared" si="12"/>
        <v>3.8234988462008554</v>
      </c>
      <c r="BW469" s="125">
        <f t="shared" si="12"/>
        <v>3.8540868369704624</v>
      </c>
      <c r="BX469" s="125">
        <f t="shared" si="12"/>
        <v>3.8617950106444034</v>
      </c>
      <c r="BY469" s="125">
        <f t="shared" si="12"/>
        <v>3.9158601407934253</v>
      </c>
      <c r="BZ469" s="125">
        <f t="shared" si="12"/>
        <v>3.9628504624829466</v>
      </c>
      <c r="CA469" s="125">
        <f t="shared" si="12"/>
        <v>4.0658845745075034</v>
      </c>
      <c r="CB469" s="125">
        <f t="shared" si="12"/>
        <v>4.1309387276996237</v>
      </c>
      <c r="CC469" s="125">
        <f t="shared" si="12"/>
        <v>4.2052956247982172</v>
      </c>
      <c r="CD469" s="125">
        <f t="shared" si="12"/>
        <v>4.4660239535357071</v>
      </c>
      <c r="CE469" s="125">
        <f t="shared" si="12"/>
        <v>4.8233058698185642</v>
      </c>
      <c r="CF469" s="125">
        <f t="shared" si="12"/>
        <v>4.9053020696054794</v>
      </c>
      <c r="CG469" s="125">
        <f t="shared" si="12"/>
        <v>4.9886922047887721</v>
      </c>
    </row>
    <row r="470" spans="1:85">
      <c r="A470" s="3"/>
      <c r="B470" s="123">
        <v>1974</v>
      </c>
      <c r="C470" s="123"/>
      <c r="D470" s="3"/>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4">
        <v>1</v>
      </c>
      <c r="AH470" s="125">
        <f t="shared" si="9"/>
        <v>1.0980000000000001</v>
      </c>
      <c r="AI470" s="125">
        <f t="shared" si="9"/>
        <v>1.2154860000000001</v>
      </c>
      <c r="AJ470" s="125">
        <f t="shared" si="9"/>
        <v>1.3163713379999999</v>
      </c>
      <c r="AK470" s="125">
        <f t="shared" si="9"/>
        <v>1.4058845889839999</v>
      </c>
      <c r="AL470" s="125">
        <f t="shared" si="10"/>
        <v>1.4649317417213279</v>
      </c>
      <c r="AM470" s="125">
        <f t="shared" si="10"/>
        <v>1.5205991479067384</v>
      </c>
      <c r="AN470" s="125">
        <f t="shared" si="10"/>
        <v>1.6285616874081168</v>
      </c>
      <c r="AO470" s="125">
        <f t="shared" si="10"/>
        <v>1.7327896354022363</v>
      </c>
      <c r="AP470" s="125">
        <f t="shared" si="10"/>
        <v>1.8350242238909682</v>
      </c>
      <c r="AQ470" s="125">
        <f t="shared" si="10"/>
        <v>1.8827348537121333</v>
      </c>
      <c r="AR470" s="125">
        <f t="shared" si="10"/>
        <v>1.9354514296160732</v>
      </c>
      <c r="AS470" s="125">
        <f t="shared" si="10"/>
        <v>1.9799668124972427</v>
      </c>
      <c r="AT470" s="125">
        <f t="shared" si="10"/>
        <v>1.9700669784347564</v>
      </c>
      <c r="AU470" s="125">
        <f t="shared" si="10"/>
        <v>1.9740071123916259</v>
      </c>
      <c r="AV470" s="125">
        <f t="shared" si="10"/>
        <v>1.9917731764031503</v>
      </c>
      <c r="AW470" s="125">
        <f t="shared" si="10"/>
        <v>2.0136826813435849</v>
      </c>
      <c r="AX470" s="125">
        <f t="shared" si="10"/>
        <v>2.062011065695831</v>
      </c>
      <c r="AY470" s="125">
        <f t="shared" si="10"/>
        <v>2.1568635747178395</v>
      </c>
      <c r="AZ470" s="125">
        <f t="shared" si="10"/>
        <v>2.2323537998329637</v>
      </c>
      <c r="BA470" s="125">
        <f t="shared" si="10"/>
        <v>2.2770008758296232</v>
      </c>
      <c r="BB470" s="125">
        <f t="shared" si="11"/>
        <v>2.3362028986011936</v>
      </c>
      <c r="BC470" s="125">
        <f t="shared" si="11"/>
        <v>2.3712459420802112</v>
      </c>
      <c r="BD470" s="125">
        <f t="shared" si="11"/>
        <v>2.4162996149797351</v>
      </c>
      <c r="BE470" s="125">
        <f t="shared" si="11"/>
        <v>2.4791234049692084</v>
      </c>
      <c r="BF470" s="125">
        <f t="shared" si="11"/>
        <v>2.5212685028536845</v>
      </c>
      <c r="BG470" s="125">
        <f t="shared" si="11"/>
        <v>2.5868214839278805</v>
      </c>
      <c r="BH470" s="125">
        <f t="shared" si="11"/>
        <v>2.6514920210260771</v>
      </c>
      <c r="BI470" s="125">
        <f t="shared" si="11"/>
        <v>2.7761121460143023</v>
      </c>
      <c r="BJ470" s="125">
        <f t="shared" si="11"/>
        <v>2.8677238468327739</v>
      </c>
      <c r="BK470" s="125">
        <f t="shared" si="11"/>
        <v>2.927946047616262</v>
      </c>
      <c r="BL470" s="125">
        <f t="shared" si="11"/>
        <v>2.9601534541400407</v>
      </c>
      <c r="BM470" s="125">
        <f t="shared" si="11"/>
        <v>3.0134362163145614</v>
      </c>
      <c r="BN470" s="125">
        <f t="shared" si="11"/>
        <v>3.0556243233429652</v>
      </c>
      <c r="BO470" s="125">
        <f t="shared" si="11"/>
        <v>3.0892361908997374</v>
      </c>
      <c r="BP470" s="125">
        <f t="shared" si="11"/>
        <v>3.188091749008529</v>
      </c>
      <c r="BQ470" s="125">
        <f t="shared" si="11"/>
        <v>3.1976560242555543</v>
      </c>
      <c r="BR470" s="125">
        <f t="shared" si="12"/>
        <v>3.2456208646193874</v>
      </c>
      <c r="BS470" s="125">
        <f t="shared" si="12"/>
        <v>3.3300070070994914</v>
      </c>
      <c r="BT470" s="125">
        <f t="shared" si="12"/>
        <v>3.4065971682627794</v>
      </c>
      <c r="BU470" s="125">
        <f t="shared" si="12"/>
        <v>3.5019818889741372</v>
      </c>
      <c r="BV470" s="125">
        <f t="shared" si="12"/>
        <v>3.5370017078638787</v>
      </c>
      <c r="BW470" s="125">
        <f t="shared" si="12"/>
        <v>3.5652977215267896</v>
      </c>
      <c r="BX470" s="125">
        <f t="shared" si="12"/>
        <v>3.5724283169698432</v>
      </c>
      <c r="BY470" s="125">
        <f t="shared" si="12"/>
        <v>3.6224423134074208</v>
      </c>
      <c r="BZ470" s="125">
        <f t="shared" si="12"/>
        <v>3.66591162116831</v>
      </c>
      <c r="CA470" s="125">
        <f>BZ470*CA$439</f>
        <v>3.7612253233186861</v>
      </c>
      <c r="CB470" s="125">
        <f t="shared" si="12"/>
        <v>3.821404928491785</v>
      </c>
      <c r="CC470" s="125">
        <f t="shared" si="12"/>
        <v>3.8901902172046374</v>
      </c>
      <c r="CD470" s="125">
        <f t="shared" si="12"/>
        <v>4.1313820106713255</v>
      </c>
      <c r="CE470" s="125">
        <f t="shared" si="12"/>
        <v>4.4618925715250315</v>
      </c>
      <c r="CF470" s="125">
        <f t="shared" si="12"/>
        <v>4.5377447452409569</v>
      </c>
      <c r="CG470" s="125">
        <f t="shared" si="12"/>
        <v>4.6148864059100525</v>
      </c>
    </row>
    <row r="471" spans="1:85">
      <c r="A471" s="3"/>
      <c r="B471" s="123">
        <v>1975</v>
      </c>
      <c r="C471" s="123"/>
      <c r="D471" s="3"/>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4">
        <v>1</v>
      </c>
      <c r="AI471" s="125">
        <f t="shared" si="9"/>
        <v>1.107</v>
      </c>
      <c r="AJ471" s="125">
        <f t="shared" si="9"/>
        <v>1.1988809999999999</v>
      </c>
      <c r="AK471" s="125">
        <f t="shared" si="9"/>
        <v>1.280404908</v>
      </c>
      <c r="AL471" s="125">
        <f t="shared" si="10"/>
        <v>1.3341819141360001</v>
      </c>
      <c r="AM471" s="125">
        <f t="shared" si="10"/>
        <v>1.384880826873168</v>
      </c>
      <c r="AN471" s="125">
        <f t="shared" si="10"/>
        <v>1.4832073655811628</v>
      </c>
      <c r="AO471" s="125">
        <f t="shared" si="10"/>
        <v>1.5781326369783573</v>
      </c>
      <c r="AP471" s="125">
        <f t="shared" si="10"/>
        <v>1.6712424625600804</v>
      </c>
      <c r="AQ471" s="125">
        <f t="shared" si="10"/>
        <v>1.7146947665866425</v>
      </c>
      <c r="AR471" s="125">
        <f t="shared" si="10"/>
        <v>1.7627062200510686</v>
      </c>
      <c r="AS471" s="125">
        <f t="shared" si="10"/>
        <v>1.803248463112243</v>
      </c>
      <c r="AT471" s="125">
        <f t="shared" si="10"/>
        <v>1.7942322207966817</v>
      </c>
      <c r="AU471" s="125">
        <f t="shared" si="10"/>
        <v>1.797820685238275</v>
      </c>
      <c r="AV471" s="125">
        <f t="shared" si="10"/>
        <v>1.8140010714054193</v>
      </c>
      <c r="AW471" s="125">
        <f t="shared" si="10"/>
        <v>1.8339550831908789</v>
      </c>
      <c r="AX471" s="125">
        <f t="shared" si="10"/>
        <v>1.8779700051874599</v>
      </c>
      <c r="AY471" s="125">
        <f t="shared" si="10"/>
        <v>1.9643566254260831</v>
      </c>
      <c r="AZ471" s="125">
        <f t="shared" si="10"/>
        <v>2.0331091073159957</v>
      </c>
      <c r="BA471" s="125">
        <f t="shared" si="10"/>
        <v>2.0737712894623157</v>
      </c>
      <c r="BB471" s="125">
        <f t="shared" si="11"/>
        <v>2.1276893429883361</v>
      </c>
      <c r="BC471" s="125">
        <f t="shared" si="11"/>
        <v>2.159604683133161</v>
      </c>
      <c r="BD471" s="125">
        <f t="shared" si="11"/>
        <v>2.2006371721126907</v>
      </c>
      <c r="BE471" s="125">
        <f t="shared" si="11"/>
        <v>2.2578537385876207</v>
      </c>
      <c r="BF471" s="125">
        <f t="shared" si="11"/>
        <v>2.2962372521436101</v>
      </c>
      <c r="BG471" s="125">
        <f t="shared" si="11"/>
        <v>2.355939420699344</v>
      </c>
      <c r="BH471" s="125">
        <f t="shared" si="11"/>
        <v>2.4148379062168273</v>
      </c>
      <c r="BI471" s="125">
        <f t="shared" si="11"/>
        <v>2.5283352878090182</v>
      </c>
      <c r="BJ471" s="125">
        <f t="shared" si="11"/>
        <v>2.6117703523067157</v>
      </c>
      <c r="BK471" s="125">
        <f t="shared" si="11"/>
        <v>2.6666175297051566</v>
      </c>
      <c r="BL471" s="125">
        <f t="shared" si="11"/>
        <v>2.695950322531913</v>
      </c>
      <c r="BM471" s="125">
        <f t="shared" si="11"/>
        <v>2.7444774283374875</v>
      </c>
      <c r="BN471" s="125">
        <f t="shared" si="11"/>
        <v>2.7829001123342123</v>
      </c>
      <c r="BO471" s="125">
        <f t="shared" si="11"/>
        <v>2.8135120135698886</v>
      </c>
      <c r="BP471" s="125">
        <f t="shared" si="11"/>
        <v>2.9035443980041249</v>
      </c>
      <c r="BQ471" s="125">
        <f t="shared" si="11"/>
        <v>2.912255031198137</v>
      </c>
      <c r="BR471" s="125">
        <f t="shared" si="12"/>
        <v>2.9559388566661089</v>
      </c>
      <c r="BS471" s="125">
        <f t="shared" si="12"/>
        <v>3.0327932669394277</v>
      </c>
      <c r="BT471" s="125">
        <f t="shared" si="12"/>
        <v>3.1025475120790342</v>
      </c>
      <c r="BU471" s="125">
        <f t="shared" si="12"/>
        <v>3.1894188424172474</v>
      </c>
      <c r="BV471" s="125">
        <f t="shared" si="12"/>
        <v>3.22131303084142</v>
      </c>
      <c r="BW471" s="125">
        <f t="shared" si="12"/>
        <v>3.2470835350881515</v>
      </c>
      <c r="BX471" s="125">
        <f t="shared" si="12"/>
        <v>3.2535777021583279</v>
      </c>
      <c r="BY471" s="125">
        <f t="shared" si="12"/>
        <v>3.2991277899885443</v>
      </c>
      <c r="BZ471" s="125">
        <f t="shared" si="12"/>
        <v>3.3387173234684067</v>
      </c>
      <c r="CA471" s="125">
        <f t="shared" si="12"/>
        <v>3.4255239738785854</v>
      </c>
      <c r="CB471" s="125">
        <f t="shared" si="12"/>
        <v>3.4803323574606426</v>
      </c>
      <c r="CC471" s="125">
        <f t="shared" si="12"/>
        <v>3.5429783398949342</v>
      </c>
      <c r="CD471" s="125">
        <f t="shared" si="12"/>
        <v>3.7626429969684203</v>
      </c>
      <c r="CE471" s="125">
        <f t="shared" si="12"/>
        <v>4.0636544367258942</v>
      </c>
      <c r="CF471" s="125">
        <f t="shared" si="12"/>
        <v>4.1327365621502343</v>
      </c>
      <c r="CG471" s="125">
        <f t="shared" si="12"/>
        <v>4.2029930837067875</v>
      </c>
    </row>
    <row r="472" spans="1:85">
      <c r="A472" s="3"/>
      <c r="B472" s="123">
        <v>1976</v>
      </c>
      <c r="C472" s="123"/>
      <c r="D472" s="3"/>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4">
        <v>1</v>
      </c>
      <c r="AJ472" s="125">
        <f t="shared" si="9"/>
        <v>1.083</v>
      </c>
      <c r="AK472" s="125">
        <f t="shared" si="9"/>
        <v>1.156644</v>
      </c>
      <c r="AL472" s="125">
        <f t="shared" si="10"/>
        <v>1.2052230480000001</v>
      </c>
      <c r="AM472" s="125">
        <f t="shared" si="10"/>
        <v>1.2510215238240001</v>
      </c>
      <c r="AN472" s="125">
        <f t="shared" si="10"/>
        <v>1.3398440520155042</v>
      </c>
      <c r="AO472" s="125">
        <f t="shared" si="10"/>
        <v>1.4255940713444966</v>
      </c>
      <c r="AP472" s="125">
        <f t="shared" si="10"/>
        <v>1.5097041215538218</v>
      </c>
      <c r="AQ472" s="125">
        <f t="shared" si="10"/>
        <v>1.5489564287142212</v>
      </c>
      <c r="AR472" s="125">
        <f t="shared" si="10"/>
        <v>1.5923272087182194</v>
      </c>
      <c r="AS472" s="125">
        <f t="shared" si="10"/>
        <v>1.6289507345187384</v>
      </c>
      <c r="AT472" s="125">
        <f t="shared" si="10"/>
        <v>1.6208059808461448</v>
      </c>
      <c r="AU472" s="125">
        <f t="shared" si="10"/>
        <v>1.6240475928078371</v>
      </c>
      <c r="AV472" s="125">
        <f t="shared" si="10"/>
        <v>1.6386640211431074</v>
      </c>
      <c r="AW472" s="125">
        <f t="shared" si="10"/>
        <v>1.6566893253756814</v>
      </c>
      <c r="AX472" s="125">
        <f t="shared" si="10"/>
        <v>1.6964498691846976</v>
      </c>
      <c r="AY472" s="125">
        <f t="shared" si="10"/>
        <v>1.7744865631671938</v>
      </c>
      <c r="AZ472" s="125">
        <f t="shared" si="10"/>
        <v>1.8365935928780455</v>
      </c>
      <c r="BA472" s="125">
        <f t="shared" si="10"/>
        <v>1.8733254647356063</v>
      </c>
      <c r="BB472" s="125">
        <f t="shared" si="11"/>
        <v>1.9220319268187323</v>
      </c>
      <c r="BC472" s="125">
        <f t="shared" si="11"/>
        <v>1.9508624057210131</v>
      </c>
      <c r="BD472" s="125">
        <f t="shared" si="11"/>
        <v>1.9879287914297121</v>
      </c>
      <c r="BE472" s="125">
        <f t="shared" si="11"/>
        <v>2.0396149400068846</v>
      </c>
      <c r="BF472" s="125">
        <f t="shared" si="11"/>
        <v>2.0742883939870014</v>
      </c>
      <c r="BG472" s="125">
        <f t="shared" si="11"/>
        <v>2.1282198922306637</v>
      </c>
      <c r="BH472" s="125">
        <f t="shared" si="11"/>
        <v>2.1814253895364302</v>
      </c>
      <c r="BI472" s="125">
        <f t="shared" si="11"/>
        <v>2.2839523828446424</v>
      </c>
      <c r="BJ472" s="125">
        <f t="shared" si="11"/>
        <v>2.3593228114785156</v>
      </c>
      <c r="BK472" s="125">
        <f t="shared" si="11"/>
        <v>2.4088685905195644</v>
      </c>
      <c r="BL472" s="125">
        <f t="shared" si="11"/>
        <v>2.4353661450152795</v>
      </c>
      <c r="BM472" s="125">
        <f t="shared" si="11"/>
        <v>2.4792027356255546</v>
      </c>
      <c r="BN472" s="125">
        <f t="shared" si="11"/>
        <v>2.5139115739243123</v>
      </c>
      <c r="BO472" s="125">
        <f t="shared" si="11"/>
        <v>2.5415646012374795</v>
      </c>
      <c r="BP472" s="125">
        <f t="shared" si="11"/>
        <v>2.6228946684770791</v>
      </c>
      <c r="BQ472" s="125">
        <f t="shared" si="11"/>
        <v>2.6307633524825103</v>
      </c>
      <c r="BR472" s="125">
        <f t="shared" si="12"/>
        <v>2.6702248027697477</v>
      </c>
      <c r="BS472" s="125">
        <f t="shared" si="12"/>
        <v>2.7396506476417612</v>
      </c>
      <c r="BT472" s="125">
        <f t="shared" si="12"/>
        <v>2.8026626125375214</v>
      </c>
      <c r="BU472" s="125">
        <f t="shared" si="12"/>
        <v>2.881137165688572</v>
      </c>
      <c r="BV472" s="125">
        <f t="shared" si="12"/>
        <v>2.9099485373454579</v>
      </c>
      <c r="BW472" s="125">
        <f t="shared" si="12"/>
        <v>2.9332281256442214</v>
      </c>
      <c r="BX472" s="125">
        <f t="shared" si="12"/>
        <v>2.9390945818955099</v>
      </c>
      <c r="BY472" s="125">
        <f t="shared" si="12"/>
        <v>2.9802419060420471</v>
      </c>
      <c r="BZ472" s="125">
        <f t="shared" si="12"/>
        <v>3.0160048089145515</v>
      </c>
      <c r="CA472" s="125">
        <f t="shared" si="12"/>
        <v>3.09442093394633</v>
      </c>
      <c r="CB472" s="125">
        <f t="shared" si="12"/>
        <v>3.1439316688894712</v>
      </c>
      <c r="CC472" s="125">
        <f t="shared" si="12"/>
        <v>3.2005224389294815</v>
      </c>
      <c r="CD472" s="125">
        <f t="shared" si="12"/>
        <v>3.3989548301431096</v>
      </c>
      <c r="CE472" s="125">
        <f t="shared" si="12"/>
        <v>3.6708712165545587</v>
      </c>
      <c r="CF472" s="125">
        <f t="shared" si="12"/>
        <v>3.7332760272359859</v>
      </c>
      <c r="CG472" s="125">
        <f t="shared" si="12"/>
        <v>3.7967417196989972</v>
      </c>
    </row>
    <row r="473" spans="1:85">
      <c r="A473" s="3"/>
      <c r="B473" s="123">
        <v>1977</v>
      </c>
      <c r="C473" s="123"/>
      <c r="D473" s="3"/>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4">
        <v>1</v>
      </c>
      <c r="AK473" s="125">
        <f t="shared" si="9"/>
        <v>1.0680000000000001</v>
      </c>
      <c r="AL473" s="125">
        <f t="shared" si="10"/>
        <v>1.1128560000000001</v>
      </c>
      <c r="AM473" s="125">
        <f t="shared" si="10"/>
        <v>1.1551445280000001</v>
      </c>
      <c r="AN473" s="125">
        <f t="shared" si="10"/>
        <v>1.237159789488</v>
      </c>
      <c r="AO473" s="125">
        <f t="shared" si="10"/>
        <v>1.316338016015232</v>
      </c>
      <c r="AP473" s="125">
        <f t="shared" si="10"/>
        <v>1.3940019589601307</v>
      </c>
      <c r="AQ473" s="125">
        <f t="shared" si="10"/>
        <v>1.430246009893094</v>
      </c>
      <c r="AR473" s="125">
        <f t="shared" si="10"/>
        <v>1.4702928981701007</v>
      </c>
      <c r="AS473" s="125">
        <f t="shared" si="10"/>
        <v>1.5041096348280127</v>
      </c>
      <c r="AT473" s="125">
        <f t="shared" si="10"/>
        <v>1.4965890866538727</v>
      </c>
      <c r="AU473" s="125">
        <f t="shared" si="10"/>
        <v>1.4995822648271804</v>
      </c>
      <c r="AV473" s="125">
        <f t="shared" si="10"/>
        <v>1.5130785052106248</v>
      </c>
      <c r="AW473" s="125">
        <f t="shared" si="10"/>
        <v>1.5297223687679415</v>
      </c>
      <c r="AX473" s="125">
        <f t="shared" si="10"/>
        <v>1.5664357056183722</v>
      </c>
      <c r="AY473" s="125">
        <f t="shared" si="10"/>
        <v>1.6384917480768173</v>
      </c>
      <c r="AZ473" s="125">
        <f t="shared" si="10"/>
        <v>1.6958389592595058</v>
      </c>
      <c r="BA473" s="125">
        <f t="shared" ref="BA473:BO489" si="13">AZ473*BA$439</f>
        <v>1.729755738444696</v>
      </c>
      <c r="BB473" s="125">
        <f t="shared" si="11"/>
        <v>1.774729387644258</v>
      </c>
      <c r="BC473" s="125">
        <f t="shared" si="11"/>
        <v>1.8013503284589216</v>
      </c>
      <c r="BD473" s="125">
        <f t="shared" si="11"/>
        <v>1.8355759846996409</v>
      </c>
      <c r="BE473" s="125">
        <f t="shared" si="11"/>
        <v>1.8833009603018316</v>
      </c>
      <c r="BF473" s="125">
        <f t="shared" si="11"/>
        <v>1.9153170766269625</v>
      </c>
      <c r="BG473" s="125">
        <f t="shared" si="11"/>
        <v>1.9651153206192635</v>
      </c>
      <c r="BH473" s="125">
        <f t="shared" si="11"/>
        <v>2.0142432036347451</v>
      </c>
      <c r="BI473" s="125">
        <f t="shared" si="11"/>
        <v>2.108912634205578</v>
      </c>
      <c r="BJ473" s="125">
        <f t="shared" si="11"/>
        <v>2.1785067511343619</v>
      </c>
      <c r="BK473" s="125">
        <f t="shared" si="11"/>
        <v>2.2242553929081832</v>
      </c>
      <c r="BL473" s="125">
        <f t="shared" si="11"/>
        <v>2.2487222022301729</v>
      </c>
      <c r="BM473" s="125">
        <f t="shared" si="11"/>
        <v>2.289199201870316</v>
      </c>
      <c r="BN473" s="125">
        <f t="shared" si="11"/>
        <v>2.3212479906965005</v>
      </c>
      <c r="BO473" s="125">
        <f t="shared" si="11"/>
        <v>2.3467817185941615</v>
      </c>
      <c r="BP473" s="125">
        <f t="shared" si="11"/>
        <v>2.4218787335891747</v>
      </c>
      <c r="BQ473" s="125">
        <f t="shared" ref="BP473:CE489" si="14">BP473*BQ$439</f>
        <v>2.4291443697899422</v>
      </c>
      <c r="BR473" s="125">
        <f t="shared" si="12"/>
        <v>2.4655815353367911</v>
      </c>
      <c r="BS473" s="125">
        <f t="shared" si="12"/>
        <v>2.5296866552555479</v>
      </c>
      <c r="BT473" s="125">
        <f t="shared" si="12"/>
        <v>2.5878694483264253</v>
      </c>
      <c r="BU473" s="125">
        <f t="shared" si="12"/>
        <v>2.6603297928795651</v>
      </c>
      <c r="BV473" s="125">
        <f t="shared" si="12"/>
        <v>2.6869330908083606</v>
      </c>
      <c r="BW473" s="125">
        <f t="shared" si="12"/>
        <v>2.7084285555348275</v>
      </c>
      <c r="BX473" s="125">
        <f t="shared" si="12"/>
        <v>2.7138454126458971</v>
      </c>
      <c r="BY473" s="125">
        <f t="shared" si="12"/>
        <v>2.7518392484229395</v>
      </c>
      <c r="BZ473" s="125">
        <f t="shared" si="12"/>
        <v>2.7848613194040146</v>
      </c>
      <c r="CA473" s="125">
        <f t="shared" si="12"/>
        <v>2.8572677137085192</v>
      </c>
      <c r="CB473" s="125">
        <f t="shared" si="12"/>
        <v>2.9029839971278557</v>
      </c>
      <c r="CC473" s="125">
        <f t="shared" si="12"/>
        <v>2.9552377090761572</v>
      </c>
      <c r="CD473" s="125">
        <f t="shared" si="12"/>
        <v>3.1384624470388793</v>
      </c>
      <c r="CE473" s="125">
        <f t="shared" si="12"/>
        <v>3.3895394428019898</v>
      </c>
      <c r="CF473" s="125">
        <f t="shared" si="12"/>
        <v>3.4471616133296235</v>
      </c>
      <c r="CG473" s="125">
        <f t="shared" si="12"/>
        <v>3.5057633607562266</v>
      </c>
    </row>
    <row r="474" spans="1:85">
      <c r="A474" s="3"/>
      <c r="B474" s="123">
        <v>1978</v>
      </c>
      <c r="C474" s="123"/>
      <c r="D474" s="3"/>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4">
        <v>1</v>
      </c>
      <c r="AL474" s="125">
        <f t="shared" ref="AL474:AZ488" si="15">AK474*AL$439</f>
        <v>1.042</v>
      </c>
      <c r="AM474" s="125">
        <f t="shared" si="15"/>
        <v>1.081596</v>
      </c>
      <c r="AN474" s="125">
        <f t="shared" si="15"/>
        <v>1.1583893160000001</v>
      </c>
      <c r="AO474" s="125">
        <f t="shared" si="15"/>
        <v>1.232526232224</v>
      </c>
      <c r="AP474" s="125">
        <f t="shared" si="15"/>
        <v>1.3052452799252159</v>
      </c>
      <c r="AQ474" s="125">
        <f t="shared" si="15"/>
        <v>1.3391816572032715</v>
      </c>
      <c r="AR474" s="125">
        <f t="shared" si="15"/>
        <v>1.3766787436049632</v>
      </c>
      <c r="AS474" s="125">
        <f t="shared" si="15"/>
        <v>1.4083423547078773</v>
      </c>
      <c r="AT474" s="125">
        <f t="shared" si="15"/>
        <v>1.401300642934338</v>
      </c>
      <c r="AU474" s="125">
        <f t="shared" si="15"/>
        <v>1.4041032442202066</v>
      </c>
      <c r="AV474" s="125">
        <f t="shared" si="15"/>
        <v>1.4167401734181884</v>
      </c>
      <c r="AW474" s="125">
        <f t="shared" si="15"/>
        <v>1.4323243153257883</v>
      </c>
      <c r="AX474" s="125">
        <f t="shared" si="15"/>
        <v>1.4667000988936072</v>
      </c>
      <c r="AY474" s="125">
        <f t="shared" si="15"/>
        <v>1.5341683034427132</v>
      </c>
      <c r="AZ474" s="125">
        <f t="shared" si="15"/>
        <v>1.5878641940632079</v>
      </c>
      <c r="BA474" s="125">
        <f t="shared" si="13"/>
        <v>1.619621477944472</v>
      </c>
      <c r="BB474" s="125">
        <f t="shared" si="13"/>
        <v>1.6617316363710284</v>
      </c>
      <c r="BC474" s="125">
        <f t="shared" si="13"/>
        <v>1.6866576109165936</v>
      </c>
      <c r="BD474" s="125">
        <f t="shared" si="13"/>
        <v>1.7187041055240087</v>
      </c>
      <c r="BE474" s="125">
        <f t="shared" si="13"/>
        <v>1.7633904122676329</v>
      </c>
      <c r="BF474" s="125">
        <f t="shared" si="13"/>
        <v>1.7933680492761825</v>
      </c>
      <c r="BG474" s="125">
        <f t="shared" si="13"/>
        <v>1.8399956185573634</v>
      </c>
      <c r="BH474" s="125">
        <f t="shared" si="13"/>
        <v>1.8859955090212972</v>
      </c>
      <c r="BI474" s="125">
        <f t="shared" si="13"/>
        <v>1.974637297945298</v>
      </c>
      <c r="BJ474" s="125">
        <f t="shared" si="13"/>
        <v>2.0398003287774928</v>
      </c>
      <c r="BK474" s="125">
        <f t="shared" si="13"/>
        <v>2.0826361356818199</v>
      </c>
      <c r="BL474" s="125">
        <f t="shared" si="13"/>
        <v>2.1055451331743198</v>
      </c>
      <c r="BM474" s="125">
        <f t="shared" si="13"/>
        <v>2.1434449455714577</v>
      </c>
      <c r="BN474" s="125">
        <f t="shared" si="13"/>
        <v>2.1734531748094583</v>
      </c>
      <c r="BO474" s="125">
        <f t="shared" si="13"/>
        <v>2.1973611597323623</v>
      </c>
      <c r="BP474" s="125">
        <f t="shared" si="14"/>
        <v>2.2676767168437979</v>
      </c>
      <c r="BQ474" s="125">
        <f t="shared" si="14"/>
        <v>2.274479746994329</v>
      </c>
      <c r="BR474" s="125">
        <f t="shared" si="14"/>
        <v>2.3085969431992437</v>
      </c>
      <c r="BS474" s="125">
        <f t="shared" si="14"/>
        <v>2.368620463722424</v>
      </c>
      <c r="BT474" s="125">
        <f t="shared" si="14"/>
        <v>2.4230987343880397</v>
      </c>
      <c r="BU474" s="125">
        <f t="shared" si="14"/>
        <v>2.490945498950905</v>
      </c>
      <c r="BV474" s="125">
        <f t="shared" si="14"/>
        <v>2.5158549539404143</v>
      </c>
      <c r="BW474" s="125">
        <f t="shared" si="14"/>
        <v>2.5359817935719375</v>
      </c>
      <c r="BX474" s="125">
        <f t="shared" si="14"/>
        <v>2.5410537571590814</v>
      </c>
      <c r="BY474" s="125">
        <f t="shared" si="14"/>
        <v>2.5766285097593085</v>
      </c>
      <c r="BZ474" s="125">
        <f t="shared" si="14"/>
        <v>2.60754805187642</v>
      </c>
      <c r="CA474" s="125">
        <f t="shared" si="14"/>
        <v>2.6753443012252069</v>
      </c>
      <c r="CB474" s="125">
        <f t="shared" si="14"/>
        <v>2.7181498100448103</v>
      </c>
      <c r="CC474" s="125">
        <f t="shared" si="14"/>
        <v>2.7670765066256169</v>
      </c>
      <c r="CD474" s="125">
        <f t="shared" si="14"/>
        <v>2.9386352500364055</v>
      </c>
      <c r="CE474" s="125">
        <f t="shared" si="14"/>
        <v>3.1737260700393182</v>
      </c>
      <c r="CF474" s="125">
        <f t="shared" ref="CF474:CG505" si="16">CE474*CF$439</f>
        <v>3.2276794132299864</v>
      </c>
      <c r="CG474" s="125">
        <f t="shared" si="16"/>
        <v>3.2825499632548958</v>
      </c>
    </row>
    <row r="475" spans="1:85">
      <c r="A475" s="3"/>
      <c r="B475" s="123">
        <v>1979</v>
      </c>
      <c r="C475" s="123"/>
      <c r="D475" s="3"/>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4">
        <v>1</v>
      </c>
      <c r="AM475" s="125">
        <f t="shared" si="15"/>
        <v>1.038</v>
      </c>
      <c r="AN475" s="125">
        <f t="shared" si="15"/>
        <v>1.1116980000000001</v>
      </c>
      <c r="AO475" s="125">
        <f t="shared" si="15"/>
        <v>1.1828466720000002</v>
      </c>
      <c r="AP475" s="125">
        <f t="shared" si="15"/>
        <v>1.2526346256480001</v>
      </c>
      <c r="AQ475" s="125">
        <f t="shared" si="15"/>
        <v>1.2852031259148482</v>
      </c>
      <c r="AR475" s="125">
        <f t="shared" si="15"/>
        <v>1.3211888134404639</v>
      </c>
      <c r="AS475" s="125">
        <f t="shared" si="15"/>
        <v>1.3515761561495945</v>
      </c>
      <c r="AT475" s="125">
        <f t="shared" si="15"/>
        <v>1.3448182753688465</v>
      </c>
      <c r="AU475" s="125">
        <f t="shared" si="15"/>
        <v>1.3475079119195841</v>
      </c>
      <c r="AV475" s="125">
        <f t="shared" si="15"/>
        <v>1.3596354831268602</v>
      </c>
      <c r="AW475" s="125">
        <f t="shared" si="15"/>
        <v>1.3745914734412557</v>
      </c>
      <c r="AX475" s="125">
        <f t="shared" si="15"/>
        <v>1.4075816688038458</v>
      </c>
      <c r="AY475" s="125">
        <f t="shared" si="15"/>
        <v>1.4723304255688228</v>
      </c>
      <c r="AZ475" s="125">
        <f t="shared" si="15"/>
        <v>1.5238619904637314</v>
      </c>
      <c r="BA475" s="125">
        <f t="shared" si="13"/>
        <v>1.5543392302730061</v>
      </c>
      <c r="BB475" s="125">
        <f t="shared" si="13"/>
        <v>1.5947520502601042</v>
      </c>
      <c r="BC475" s="125">
        <f t="shared" si="13"/>
        <v>1.6186733310140056</v>
      </c>
      <c r="BD475" s="125">
        <f t="shared" si="13"/>
        <v>1.6494281243032716</v>
      </c>
      <c r="BE475" s="125">
        <f t="shared" si="13"/>
        <v>1.6923132555351568</v>
      </c>
      <c r="BF475" s="125">
        <f t="shared" si="13"/>
        <v>1.7210825808792543</v>
      </c>
      <c r="BG475" s="125">
        <f t="shared" si="13"/>
        <v>1.7658307279821148</v>
      </c>
      <c r="BH475" s="125">
        <f t="shared" si="13"/>
        <v>1.8099764961816676</v>
      </c>
      <c r="BI475" s="125">
        <f t="shared" si="13"/>
        <v>1.8950453915022059</v>
      </c>
      <c r="BJ475" s="125">
        <f t="shared" si="13"/>
        <v>1.9575818894217785</v>
      </c>
      <c r="BK475" s="125">
        <f t="shared" si="13"/>
        <v>1.9986911090996355</v>
      </c>
      <c r="BL475" s="125">
        <f t="shared" si="13"/>
        <v>2.0206767112997315</v>
      </c>
      <c r="BM475" s="125">
        <f t="shared" si="13"/>
        <v>2.0570488921031265</v>
      </c>
      <c r="BN475" s="125">
        <f t="shared" si="13"/>
        <v>2.0858475765925704</v>
      </c>
      <c r="BO475" s="125">
        <f t="shared" si="13"/>
        <v>2.1087918999350883</v>
      </c>
      <c r="BP475" s="125">
        <f t="shared" si="14"/>
        <v>2.176273240733011</v>
      </c>
      <c r="BQ475" s="125">
        <f t="shared" si="14"/>
        <v>2.1828020604552099</v>
      </c>
      <c r="BR475" s="125">
        <f t="shared" si="14"/>
        <v>2.2155440913620379</v>
      </c>
      <c r="BS475" s="125">
        <f t="shared" si="14"/>
        <v>2.273148237737451</v>
      </c>
      <c r="BT475" s="125">
        <f t="shared" si="14"/>
        <v>2.3254306472054123</v>
      </c>
      <c r="BU475" s="125">
        <f t="shared" si="14"/>
        <v>2.3905427053271637</v>
      </c>
      <c r="BV475" s="125">
        <f t="shared" si="14"/>
        <v>2.4144481323804352</v>
      </c>
      <c r="BW475" s="125">
        <f t="shared" si="14"/>
        <v>2.4337637174394788</v>
      </c>
      <c r="BX475" s="125">
        <f t="shared" si="14"/>
        <v>2.4386312448743577</v>
      </c>
      <c r="BY475" s="125">
        <f t="shared" si="14"/>
        <v>2.4727720823025989</v>
      </c>
      <c r="BZ475" s="125">
        <f t="shared" si="14"/>
        <v>2.5024453472902302</v>
      </c>
      <c r="CA475" s="125">
        <f t="shared" si="14"/>
        <v>2.5675089263197761</v>
      </c>
      <c r="CB475" s="125">
        <f t="shared" si="14"/>
        <v>2.6085890691408924</v>
      </c>
      <c r="CC475" s="125">
        <f t="shared" si="14"/>
        <v>2.6555436723854284</v>
      </c>
      <c r="CD475" s="125">
        <f t="shared" si="14"/>
        <v>2.820187380073325</v>
      </c>
      <c r="CE475" s="125">
        <f t="shared" si="14"/>
        <v>3.0458023704791914</v>
      </c>
      <c r="CF475" s="125">
        <f t="shared" si="16"/>
        <v>3.0975810107773376</v>
      </c>
      <c r="CG475" s="125">
        <f t="shared" si="16"/>
        <v>3.1502398879605522</v>
      </c>
    </row>
    <row r="476" spans="1:85">
      <c r="A476" s="3"/>
      <c r="B476" s="123">
        <v>1980</v>
      </c>
      <c r="C476" s="123"/>
      <c r="D476" s="3"/>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4">
        <v>1</v>
      </c>
      <c r="AN476" s="125">
        <f t="shared" si="15"/>
        <v>1.071</v>
      </c>
      <c r="AO476" s="125">
        <f t="shared" si="15"/>
        <v>1.1395440000000001</v>
      </c>
      <c r="AP476" s="125">
        <f t="shared" si="15"/>
        <v>1.2067770960000002</v>
      </c>
      <c r="AQ476" s="125">
        <f t="shared" si="15"/>
        <v>1.2381533004960001</v>
      </c>
      <c r="AR476" s="125">
        <f t="shared" si="15"/>
        <v>1.2728215929098883</v>
      </c>
      <c r="AS476" s="125">
        <f t="shared" si="15"/>
        <v>1.3020964895468157</v>
      </c>
      <c r="AT476" s="125">
        <f t="shared" si="15"/>
        <v>1.2955860070990817</v>
      </c>
      <c r="AU476" s="125">
        <f t="shared" si="15"/>
        <v>1.2981771791132799</v>
      </c>
      <c r="AV476" s="125">
        <f t="shared" si="15"/>
        <v>1.3098607737252992</v>
      </c>
      <c r="AW476" s="125">
        <f t="shared" si="15"/>
        <v>1.3242692422362774</v>
      </c>
      <c r="AX476" s="125">
        <f t="shared" si="15"/>
        <v>1.356051704049948</v>
      </c>
      <c r="AY476" s="125">
        <f t="shared" si="15"/>
        <v>1.4184300824362457</v>
      </c>
      <c r="AZ476" s="125">
        <f t="shared" si="15"/>
        <v>1.4680751353215142</v>
      </c>
      <c r="BA476" s="125">
        <f t="shared" si="13"/>
        <v>1.4974366380279445</v>
      </c>
      <c r="BB476" s="125">
        <f t="shared" si="13"/>
        <v>1.536369990616671</v>
      </c>
      <c r="BC476" s="125">
        <f t="shared" si="13"/>
        <v>1.5594155404759209</v>
      </c>
      <c r="BD476" s="125">
        <f t="shared" si="13"/>
        <v>1.5890444357449633</v>
      </c>
      <c r="BE476" s="125">
        <f t="shared" si="13"/>
        <v>1.6303595910743325</v>
      </c>
      <c r="BF476" s="125">
        <f t="shared" si="13"/>
        <v>1.658075704122596</v>
      </c>
      <c r="BG476" s="125">
        <f t="shared" si="13"/>
        <v>1.7011856724297836</v>
      </c>
      <c r="BH476" s="125">
        <f t="shared" si="13"/>
        <v>1.7437153142405279</v>
      </c>
      <c r="BI476" s="125">
        <f t="shared" si="13"/>
        <v>1.8256699340098326</v>
      </c>
      <c r="BJ476" s="125">
        <f t="shared" si="13"/>
        <v>1.8859170418321569</v>
      </c>
      <c r="BK476" s="125">
        <f t="shared" si="13"/>
        <v>1.9255212997106321</v>
      </c>
      <c r="BL476" s="125">
        <f t="shared" si="13"/>
        <v>1.9467020340074488</v>
      </c>
      <c r="BM476" s="125">
        <f t="shared" si="13"/>
        <v>1.9817426706195829</v>
      </c>
      <c r="BN476" s="125">
        <f t="shared" si="13"/>
        <v>2.0094870680082573</v>
      </c>
      <c r="BO476" s="125">
        <f t="shared" si="13"/>
        <v>2.0315914257563481</v>
      </c>
      <c r="BP476" s="125">
        <f t="shared" si="14"/>
        <v>2.0966023513805512</v>
      </c>
      <c r="BQ476" s="125">
        <f t="shared" si="14"/>
        <v>2.1028921584346927</v>
      </c>
      <c r="BR476" s="125">
        <f t="shared" si="14"/>
        <v>2.134435540811213</v>
      </c>
      <c r="BS476" s="125">
        <f t="shared" si="14"/>
        <v>2.1899308648723044</v>
      </c>
      <c r="BT476" s="125">
        <f t="shared" si="14"/>
        <v>2.2402992747643671</v>
      </c>
      <c r="BU476" s="125">
        <f t="shared" si="14"/>
        <v>2.3030276544577695</v>
      </c>
      <c r="BV476" s="125">
        <f t="shared" si="14"/>
        <v>2.3260579310023473</v>
      </c>
      <c r="BW476" s="125">
        <f t="shared" si="14"/>
        <v>2.3446663944503658</v>
      </c>
      <c r="BX476" s="125">
        <f t="shared" si="14"/>
        <v>2.3493557272392667</v>
      </c>
      <c r="BY476" s="125">
        <f t="shared" si="14"/>
        <v>2.3822467074206166</v>
      </c>
      <c r="BZ476" s="125">
        <f t="shared" si="14"/>
        <v>2.4108336679096642</v>
      </c>
      <c r="CA476" s="125">
        <f t="shared" si="14"/>
        <v>2.4735153432753156</v>
      </c>
      <c r="CB476" s="125">
        <f t="shared" si="14"/>
        <v>2.5130915887677205</v>
      </c>
      <c r="CC476" s="125">
        <f t="shared" si="14"/>
        <v>2.5583272373655395</v>
      </c>
      <c r="CD476" s="125">
        <f t="shared" si="14"/>
        <v>2.7169435260822032</v>
      </c>
      <c r="CE476" s="125">
        <f t="shared" si="14"/>
        <v>2.9342990081687796</v>
      </c>
      <c r="CF476" s="125">
        <f t="shared" si="16"/>
        <v>2.9841820913076487</v>
      </c>
      <c r="CG476" s="125">
        <f t="shared" si="16"/>
        <v>3.0349131868598782</v>
      </c>
    </row>
    <row r="477" spans="1:85">
      <c r="A477" s="3"/>
      <c r="B477" s="123">
        <v>1981</v>
      </c>
      <c r="C477" s="123"/>
      <c r="D477" s="3"/>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4">
        <v>1</v>
      </c>
      <c r="AO477" s="125">
        <f t="shared" si="15"/>
        <v>1.0640000000000001</v>
      </c>
      <c r="AP477" s="125">
        <f t="shared" si="15"/>
        <v>1.126776</v>
      </c>
      <c r="AQ477" s="125">
        <f t="shared" si="15"/>
        <v>1.1560721760000001</v>
      </c>
      <c r="AR477" s="125">
        <f t="shared" si="15"/>
        <v>1.1884421969280001</v>
      </c>
      <c r="AS477" s="125">
        <f t="shared" si="15"/>
        <v>1.2157763674573441</v>
      </c>
      <c r="AT477" s="125">
        <f t="shared" si="15"/>
        <v>1.2096974856200573</v>
      </c>
      <c r="AU477" s="125">
        <f t="shared" si="15"/>
        <v>1.2121168805912974</v>
      </c>
      <c r="AV477" s="125">
        <f t="shared" si="15"/>
        <v>1.2230259325166191</v>
      </c>
      <c r="AW477" s="125">
        <f t="shared" si="15"/>
        <v>1.2364792177743018</v>
      </c>
      <c r="AX477" s="125">
        <f t="shared" si="15"/>
        <v>1.2661547190008851</v>
      </c>
      <c r="AY477" s="125">
        <f t="shared" si="15"/>
        <v>1.3243978360749258</v>
      </c>
      <c r="AZ477" s="125">
        <f t="shared" si="15"/>
        <v>1.3707517603375481</v>
      </c>
      <c r="BA477" s="125">
        <f t="shared" si="13"/>
        <v>1.3981667955442991</v>
      </c>
      <c r="BB477" s="125">
        <f t="shared" si="13"/>
        <v>1.434519132228451</v>
      </c>
      <c r="BC477" s="125">
        <f t="shared" si="13"/>
        <v>1.4560369192118776</v>
      </c>
      <c r="BD477" s="125">
        <f t="shared" si="13"/>
        <v>1.4837016206769031</v>
      </c>
      <c r="BE477" s="125">
        <f t="shared" si="13"/>
        <v>1.5222778628145026</v>
      </c>
      <c r="BF477" s="125">
        <f t="shared" si="13"/>
        <v>1.548156586482349</v>
      </c>
      <c r="BG477" s="125">
        <f t="shared" si="13"/>
        <v>1.58840865773089</v>
      </c>
      <c r="BH477" s="125">
        <f t="shared" si="13"/>
        <v>1.6281188741741621</v>
      </c>
      <c r="BI477" s="125">
        <f t="shared" si="13"/>
        <v>1.7046404612603476</v>
      </c>
      <c r="BJ477" s="125">
        <f t="shared" si="13"/>
        <v>1.760893596481939</v>
      </c>
      <c r="BK477" s="125">
        <f t="shared" si="13"/>
        <v>1.7978723620080594</v>
      </c>
      <c r="BL477" s="125">
        <f t="shared" si="13"/>
        <v>1.8176489579901478</v>
      </c>
      <c r="BM477" s="125">
        <f t="shared" si="13"/>
        <v>1.8503666392339706</v>
      </c>
      <c r="BN477" s="125">
        <f t="shared" si="13"/>
        <v>1.8762717721832463</v>
      </c>
      <c r="BO477" s="125">
        <f t="shared" si="13"/>
        <v>1.8969107616772618</v>
      </c>
      <c r="BP477" s="125">
        <f t="shared" si="14"/>
        <v>1.9576119060509343</v>
      </c>
      <c r="BQ477" s="125">
        <f t="shared" si="14"/>
        <v>1.9634847417690868</v>
      </c>
      <c r="BR477" s="125">
        <f t="shared" si="14"/>
        <v>1.992937012895623</v>
      </c>
      <c r="BS477" s="125">
        <f t="shared" si="14"/>
        <v>2.0447533752309091</v>
      </c>
      <c r="BT477" s="125">
        <f t="shared" si="14"/>
        <v>2.0917827028612197</v>
      </c>
      <c r="BU477" s="125">
        <f t="shared" si="14"/>
        <v>2.150352618541334</v>
      </c>
      <c r="BV477" s="125">
        <f t="shared" si="14"/>
        <v>2.1718561447267475</v>
      </c>
      <c r="BW477" s="125">
        <f t="shared" si="14"/>
        <v>2.1892309938845615</v>
      </c>
      <c r="BX477" s="125">
        <f t="shared" si="14"/>
        <v>2.1936094558723305</v>
      </c>
      <c r="BY477" s="125">
        <f t="shared" si="14"/>
        <v>2.224319988254543</v>
      </c>
      <c r="BZ477" s="125">
        <f t="shared" si="14"/>
        <v>2.2510118281135973</v>
      </c>
      <c r="CA477" s="125">
        <f t="shared" si="14"/>
        <v>2.309538135644551</v>
      </c>
      <c r="CB477" s="125">
        <f t="shared" si="14"/>
        <v>2.3464907458148638</v>
      </c>
      <c r="CC477" s="125">
        <f t="shared" si="14"/>
        <v>2.3887275792395313</v>
      </c>
      <c r="CD477" s="125">
        <f t="shared" si="14"/>
        <v>2.5368286891523821</v>
      </c>
      <c r="CE477" s="125">
        <f t="shared" si="14"/>
        <v>2.7397749842845727</v>
      </c>
      <c r="CF477" s="125">
        <f t="shared" si="16"/>
        <v>2.7863511590174102</v>
      </c>
      <c r="CG477" s="125">
        <f t="shared" si="16"/>
        <v>2.833719128720706</v>
      </c>
    </row>
    <row r="478" spans="1:85">
      <c r="A478" s="3"/>
      <c r="B478" s="123">
        <v>1982</v>
      </c>
      <c r="C478" s="123"/>
      <c r="D478" s="3"/>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4">
        <v>1</v>
      </c>
      <c r="AP478" s="125">
        <f t="shared" si="15"/>
        <v>1.0589999999999999</v>
      </c>
      <c r="AQ478" s="125">
        <f t="shared" si="15"/>
        <v>1.0865339999999999</v>
      </c>
      <c r="AR478" s="125">
        <f t="shared" si="15"/>
        <v>1.116956952</v>
      </c>
      <c r="AS478" s="125">
        <f t="shared" si="15"/>
        <v>1.1426469618959998</v>
      </c>
      <c r="AT478" s="125">
        <f t="shared" si="15"/>
        <v>1.1369337270865199</v>
      </c>
      <c r="AU478" s="125">
        <f t="shared" si="15"/>
        <v>1.139207594540693</v>
      </c>
      <c r="AV478" s="125">
        <f t="shared" si="15"/>
        <v>1.149460462891559</v>
      </c>
      <c r="AW478" s="125">
        <f t="shared" si="15"/>
        <v>1.1621045279833659</v>
      </c>
      <c r="AX478" s="125">
        <f t="shared" si="15"/>
        <v>1.1899950366549668</v>
      </c>
      <c r="AY478" s="125">
        <f t="shared" si="15"/>
        <v>1.2447348083410952</v>
      </c>
      <c r="AZ478" s="125">
        <f t="shared" si="15"/>
        <v>1.2883005266330334</v>
      </c>
      <c r="BA478" s="125">
        <f t="shared" si="13"/>
        <v>1.3140665371656941</v>
      </c>
      <c r="BB478" s="125">
        <f t="shared" si="13"/>
        <v>1.3482322671320022</v>
      </c>
      <c r="BC478" s="125">
        <f t="shared" si="13"/>
        <v>1.3684557511389821</v>
      </c>
      <c r="BD478" s="125">
        <f t="shared" si="13"/>
        <v>1.3944564104106227</v>
      </c>
      <c r="BE478" s="125">
        <f t="shared" si="13"/>
        <v>1.430712277081299</v>
      </c>
      <c r="BF478" s="125">
        <f t="shared" si="13"/>
        <v>1.455034385791681</v>
      </c>
      <c r="BG478" s="125">
        <f t="shared" si="13"/>
        <v>1.4928652798222648</v>
      </c>
      <c r="BH478" s="125">
        <f t="shared" si="13"/>
        <v>1.5301869118178213</v>
      </c>
      <c r="BI478" s="125">
        <f t="shared" si="13"/>
        <v>1.6021056966732588</v>
      </c>
      <c r="BJ478" s="125">
        <f t="shared" si="13"/>
        <v>1.6549751846634762</v>
      </c>
      <c r="BK478" s="125">
        <f t="shared" si="13"/>
        <v>1.689729663541409</v>
      </c>
      <c r="BL478" s="125">
        <f t="shared" si="13"/>
        <v>1.7083166898403643</v>
      </c>
      <c r="BM478" s="125">
        <f t="shared" si="13"/>
        <v>1.739066390257491</v>
      </c>
      <c r="BN478" s="125">
        <f t="shared" si="13"/>
        <v>1.7634133197210959</v>
      </c>
      <c r="BO478" s="125">
        <f t="shared" si="13"/>
        <v>1.7828108662380278</v>
      </c>
      <c r="BP478" s="125">
        <f t="shared" si="14"/>
        <v>1.8398608139576447</v>
      </c>
      <c r="BQ478" s="125">
        <f t="shared" si="14"/>
        <v>1.8453803963995175</v>
      </c>
      <c r="BR478" s="125">
        <f t="shared" si="14"/>
        <v>1.8730611023455099</v>
      </c>
      <c r="BS478" s="125">
        <f t="shared" si="14"/>
        <v>1.9217606910064933</v>
      </c>
      <c r="BT478" s="125">
        <f t="shared" si="14"/>
        <v>1.9659611868996425</v>
      </c>
      <c r="BU478" s="125">
        <f t="shared" si="14"/>
        <v>2.0210081001328324</v>
      </c>
      <c r="BV478" s="125">
        <f t="shared" si="14"/>
        <v>2.0412181811341608</v>
      </c>
      <c r="BW478" s="125">
        <f t="shared" si="14"/>
        <v>2.0575479265832342</v>
      </c>
      <c r="BX478" s="125">
        <f t="shared" si="14"/>
        <v>2.0616630224364005</v>
      </c>
      <c r="BY478" s="125">
        <f t="shared" si="14"/>
        <v>2.0905263047505103</v>
      </c>
      <c r="BZ478" s="125">
        <f t="shared" si="14"/>
        <v>2.1156126204075165</v>
      </c>
      <c r="CA478" s="125">
        <f t="shared" si="14"/>
        <v>2.170618548538112</v>
      </c>
      <c r="CB478" s="125">
        <f t="shared" si="14"/>
        <v>2.2053484453147219</v>
      </c>
      <c r="CC478" s="125">
        <f t="shared" si="14"/>
        <v>2.2450447173303867</v>
      </c>
      <c r="CD478" s="125">
        <f t="shared" si="14"/>
        <v>2.3842374898048706</v>
      </c>
      <c r="CE478" s="125">
        <f t="shared" si="14"/>
        <v>2.5749764889892606</v>
      </c>
      <c r="CF478" s="125">
        <f t="shared" si="16"/>
        <v>2.6187510893020778</v>
      </c>
      <c r="CG478" s="125">
        <f t="shared" si="16"/>
        <v>2.6632698578202127</v>
      </c>
    </row>
    <row r="479" spans="1:85">
      <c r="A479" s="3"/>
      <c r="B479" s="123">
        <v>1983</v>
      </c>
      <c r="C479" s="123"/>
      <c r="D479" s="3"/>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4">
        <v>1</v>
      </c>
      <c r="AQ479" s="125">
        <f t="shared" si="15"/>
        <v>1.026</v>
      </c>
      <c r="AR479" s="125">
        <f t="shared" si="15"/>
        <v>1.0547280000000001</v>
      </c>
      <c r="AS479" s="125">
        <f t="shared" si="15"/>
        <v>1.0789867440000001</v>
      </c>
      <c r="AT479" s="125">
        <f t="shared" si="15"/>
        <v>1.0735918102799999</v>
      </c>
      <c r="AU479" s="125">
        <f t="shared" si="15"/>
        <v>1.0757389939005599</v>
      </c>
      <c r="AV479" s="125">
        <f t="shared" si="15"/>
        <v>1.0854206448456649</v>
      </c>
      <c r="AW479" s="125">
        <f t="shared" si="15"/>
        <v>1.097360271938967</v>
      </c>
      <c r="AX479" s="125">
        <f t="shared" si="15"/>
        <v>1.1236969184655023</v>
      </c>
      <c r="AY479" s="125">
        <f t="shared" si="15"/>
        <v>1.1753869767149154</v>
      </c>
      <c r="AZ479" s="125">
        <f t="shared" si="15"/>
        <v>1.2165255208999375</v>
      </c>
      <c r="BA479" s="125">
        <f t="shared" si="13"/>
        <v>1.2408560313179362</v>
      </c>
      <c r="BB479" s="125">
        <f t="shared" si="13"/>
        <v>1.2731182881322025</v>
      </c>
      <c r="BC479" s="125">
        <f t="shared" si="13"/>
        <v>1.2922150624541855</v>
      </c>
      <c r="BD479" s="125">
        <f t="shared" si="13"/>
        <v>1.3167671486408148</v>
      </c>
      <c r="BE479" s="125">
        <f t="shared" si="13"/>
        <v>1.3510030945054761</v>
      </c>
      <c r="BF479" s="125">
        <f t="shared" si="13"/>
        <v>1.3739701471120691</v>
      </c>
      <c r="BG479" s="125">
        <f t="shared" si="13"/>
        <v>1.409693370936983</v>
      </c>
      <c r="BH479" s="125">
        <f t="shared" si="13"/>
        <v>1.4449357052104075</v>
      </c>
      <c r="BI479" s="125">
        <f t="shared" si="13"/>
        <v>1.5128476833552966</v>
      </c>
      <c r="BJ479" s="125">
        <f t="shared" si="13"/>
        <v>1.5627716569060213</v>
      </c>
      <c r="BK479" s="125">
        <f t="shared" si="13"/>
        <v>1.5955898617010476</v>
      </c>
      <c r="BL479" s="125">
        <f t="shared" si="13"/>
        <v>1.6131413501797589</v>
      </c>
      <c r="BM479" s="125">
        <f t="shared" si="13"/>
        <v>1.6421778944829946</v>
      </c>
      <c r="BN479" s="125">
        <f t="shared" si="13"/>
        <v>1.6651683850057566</v>
      </c>
      <c r="BO479" s="125">
        <f t="shared" si="13"/>
        <v>1.6834852372408198</v>
      </c>
      <c r="BP479" s="125">
        <f t="shared" si="14"/>
        <v>1.7373567648325261</v>
      </c>
      <c r="BQ479" s="125">
        <f t="shared" si="14"/>
        <v>1.7425688351270234</v>
      </c>
      <c r="BR479" s="125">
        <f t="shared" si="14"/>
        <v>1.7687073676539287</v>
      </c>
      <c r="BS479" s="125">
        <f t="shared" si="14"/>
        <v>1.8146937592129309</v>
      </c>
      <c r="BT479" s="125">
        <f t="shared" si="14"/>
        <v>1.856431715674828</v>
      </c>
      <c r="BU479" s="125">
        <f t="shared" si="14"/>
        <v>1.9084118037137232</v>
      </c>
      <c r="BV479" s="125">
        <f t="shared" si="14"/>
        <v>1.9274959217508605</v>
      </c>
      <c r="BW479" s="125">
        <f t="shared" si="14"/>
        <v>1.9429158891248675</v>
      </c>
      <c r="BX479" s="125">
        <f t="shared" si="14"/>
        <v>1.9468017209031172</v>
      </c>
      <c r="BY479" s="125">
        <f t="shared" si="14"/>
        <v>1.9740569449957608</v>
      </c>
      <c r="BZ479" s="125">
        <f t="shared" si="14"/>
        <v>1.99774562833571</v>
      </c>
      <c r="CA479" s="125">
        <f t="shared" si="14"/>
        <v>2.0496870146724384</v>
      </c>
      <c r="CB479" s="125">
        <f t="shared" si="14"/>
        <v>2.0824820069071976</v>
      </c>
      <c r="CC479" s="125">
        <f t="shared" si="14"/>
        <v>2.1199666830315271</v>
      </c>
      <c r="CD479" s="125">
        <f t="shared" si="14"/>
        <v>2.2514046173794817</v>
      </c>
      <c r="CE479" s="125">
        <f t="shared" si="14"/>
        <v>2.4315169867698403</v>
      </c>
      <c r="CF479" s="125">
        <f t="shared" si="16"/>
        <v>2.4728527755449274</v>
      </c>
      <c r="CG479" s="125">
        <f t="shared" si="16"/>
        <v>2.5148912727291908</v>
      </c>
    </row>
    <row r="480" spans="1:85">
      <c r="A480" s="3"/>
      <c r="B480" s="123">
        <v>1984</v>
      </c>
      <c r="C480" s="123"/>
      <c r="D480" s="3"/>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4">
        <v>1</v>
      </c>
      <c r="AR480" s="125">
        <f t="shared" si="15"/>
        <v>1.028</v>
      </c>
      <c r="AS480" s="125">
        <f t="shared" si="15"/>
        <v>1.051644</v>
      </c>
      <c r="AT480" s="125">
        <f t="shared" si="15"/>
        <v>1.04638578</v>
      </c>
      <c r="AU480" s="125">
        <f t="shared" si="15"/>
        <v>1.0484785515600001</v>
      </c>
      <c r="AV480" s="125">
        <f t="shared" si="15"/>
        <v>1.0579148585240401</v>
      </c>
      <c r="AW480" s="125">
        <f t="shared" si="15"/>
        <v>1.0695519219678045</v>
      </c>
      <c r="AX480" s="125">
        <f t="shared" si="15"/>
        <v>1.0952211680950319</v>
      </c>
      <c r="AY480" s="125">
        <f t="shared" si="15"/>
        <v>1.1456013418274034</v>
      </c>
      <c r="AZ480" s="125">
        <f t="shared" si="15"/>
        <v>1.1856973887913624</v>
      </c>
      <c r="BA480" s="125">
        <f t="shared" si="13"/>
        <v>1.2094113365671897</v>
      </c>
      <c r="BB480" s="125">
        <f t="shared" si="13"/>
        <v>1.2408560313179366</v>
      </c>
      <c r="BC480" s="125">
        <f t="shared" si="13"/>
        <v>1.2594688717877056</v>
      </c>
      <c r="BD480" s="125">
        <f t="shared" si="13"/>
        <v>1.283398780351672</v>
      </c>
      <c r="BE480" s="125">
        <f t="shared" si="13"/>
        <v>1.3167671486408155</v>
      </c>
      <c r="BF480" s="125">
        <f t="shared" si="13"/>
        <v>1.3391521901677093</v>
      </c>
      <c r="BG480" s="125">
        <f t="shared" si="13"/>
        <v>1.3739701471120698</v>
      </c>
      <c r="BH480" s="125">
        <f t="shared" si="13"/>
        <v>1.4083194007898714</v>
      </c>
      <c r="BI480" s="125">
        <f t="shared" si="13"/>
        <v>1.4745104126269952</v>
      </c>
      <c r="BJ480" s="125">
        <f t="shared" si="13"/>
        <v>1.523169256243686</v>
      </c>
      <c r="BK480" s="125">
        <f t="shared" si="13"/>
        <v>1.5551558106248033</v>
      </c>
      <c r="BL480" s="125">
        <f t="shared" si="13"/>
        <v>1.5722625245416759</v>
      </c>
      <c r="BM480" s="125">
        <f t="shared" si="13"/>
        <v>1.6005632499834261</v>
      </c>
      <c r="BN480" s="125">
        <f t="shared" si="13"/>
        <v>1.6229711354831942</v>
      </c>
      <c r="BO480" s="125">
        <f t="shared" si="13"/>
        <v>1.6408238179735091</v>
      </c>
      <c r="BP480" s="125">
        <f t="shared" si="14"/>
        <v>1.6933301801486613</v>
      </c>
      <c r="BQ480" s="125">
        <f t="shared" si="14"/>
        <v>1.698410170689107</v>
      </c>
      <c r="BR480" s="125">
        <f t="shared" si="14"/>
        <v>1.7238863232494435</v>
      </c>
      <c r="BS480" s="125">
        <f t="shared" si="14"/>
        <v>1.7687073676539291</v>
      </c>
      <c r="BT480" s="125">
        <f t="shared" si="14"/>
        <v>1.8093876371099693</v>
      </c>
      <c r="BU480" s="125">
        <f t="shared" si="14"/>
        <v>1.8600504909490485</v>
      </c>
      <c r="BV480" s="125">
        <f t="shared" si="14"/>
        <v>1.8786509958585391</v>
      </c>
      <c r="BW480" s="125">
        <f t="shared" si="14"/>
        <v>1.8936802038254075</v>
      </c>
      <c r="BX480" s="125">
        <f t="shared" si="14"/>
        <v>1.8974675642330583</v>
      </c>
      <c r="BY480" s="125">
        <f t="shared" si="14"/>
        <v>1.9240321101323212</v>
      </c>
      <c r="BZ480" s="125">
        <f t="shared" si="14"/>
        <v>1.9471204954539092</v>
      </c>
      <c r="CA480" s="125">
        <f t="shared" si="14"/>
        <v>1.9977456283357109</v>
      </c>
      <c r="CB480" s="125">
        <f t="shared" si="14"/>
        <v>2.0297095583890825</v>
      </c>
      <c r="CC480" s="125">
        <f t="shared" si="14"/>
        <v>2.0662443304400862</v>
      </c>
      <c r="CD480" s="125">
        <f t="shared" si="14"/>
        <v>2.1943514789273717</v>
      </c>
      <c r="CE480" s="125">
        <f t="shared" si="14"/>
        <v>2.3698995972415617</v>
      </c>
      <c r="CF480" s="125">
        <f t="shared" si="16"/>
        <v>2.4101878903946679</v>
      </c>
      <c r="CG480" s="125">
        <f t="shared" si="16"/>
        <v>2.4511610845313769</v>
      </c>
    </row>
    <row r="481" spans="1:85">
      <c r="A481" s="3"/>
      <c r="B481" s="123">
        <v>1985</v>
      </c>
      <c r="C481" s="123"/>
      <c r="D481" s="3"/>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4">
        <v>1</v>
      </c>
      <c r="AS481" s="125">
        <f t="shared" si="15"/>
        <v>1.0229999999999999</v>
      </c>
      <c r="AT481" s="125">
        <f t="shared" si="15"/>
        <v>1.0178849999999999</v>
      </c>
      <c r="AU481" s="125">
        <f t="shared" si="15"/>
        <v>1.0199207699999999</v>
      </c>
      <c r="AV481" s="125">
        <f t="shared" si="15"/>
        <v>1.0291000569299997</v>
      </c>
      <c r="AW481" s="125">
        <f t="shared" si="15"/>
        <v>1.0404201575562295</v>
      </c>
      <c r="AX481" s="125">
        <f t="shared" si="15"/>
        <v>1.0653902413375791</v>
      </c>
      <c r="AY481" s="125">
        <f t="shared" si="15"/>
        <v>1.1143981924391078</v>
      </c>
      <c r="AZ481" s="125">
        <f t="shared" si="15"/>
        <v>1.1534021291744765</v>
      </c>
      <c r="BA481" s="125">
        <f t="shared" si="13"/>
        <v>1.176470171757966</v>
      </c>
      <c r="BB481" s="125">
        <f t="shared" si="13"/>
        <v>1.2070583962236732</v>
      </c>
      <c r="BC481" s="125">
        <f t="shared" si="13"/>
        <v>1.2251642721670282</v>
      </c>
      <c r="BD481" s="125">
        <f t="shared" si="13"/>
        <v>1.2484423933382016</v>
      </c>
      <c r="BE481" s="125">
        <f t="shared" si="13"/>
        <v>1.2809018955649949</v>
      </c>
      <c r="BF481" s="125">
        <f t="shared" si="13"/>
        <v>1.3026772277895997</v>
      </c>
      <c r="BG481" s="125">
        <f t="shared" si="13"/>
        <v>1.3365468357121293</v>
      </c>
      <c r="BH481" s="125">
        <f t="shared" si="13"/>
        <v>1.3699605066049323</v>
      </c>
      <c r="BI481" s="125">
        <f t="shared" si="13"/>
        <v>1.434348650415364</v>
      </c>
      <c r="BJ481" s="125">
        <f t="shared" si="13"/>
        <v>1.4816821558790709</v>
      </c>
      <c r="BK481" s="125">
        <f t="shared" si="13"/>
        <v>1.5127974811525313</v>
      </c>
      <c r="BL481" s="125">
        <f t="shared" si="13"/>
        <v>1.5294382534452091</v>
      </c>
      <c r="BM481" s="125">
        <f t="shared" si="13"/>
        <v>1.556968142007223</v>
      </c>
      <c r="BN481" s="125">
        <f t="shared" si="13"/>
        <v>1.5787656959953242</v>
      </c>
      <c r="BO481" s="125">
        <f t="shared" si="13"/>
        <v>1.5961321186512727</v>
      </c>
      <c r="BP481" s="125">
        <f t="shared" si="14"/>
        <v>1.6472083464481135</v>
      </c>
      <c r="BQ481" s="125">
        <f t="shared" si="14"/>
        <v>1.6521499714874577</v>
      </c>
      <c r="BR481" s="125">
        <f t="shared" si="14"/>
        <v>1.6769322210597695</v>
      </c>
      <c r="BS481" s="125">
        <f t="shared" si="14"/>
        <v>1.7205324588073234</v>
      </c>
      <c r="BT481" s="125">
        <f t="shared" si="14"/>
        <v>1.7601047053598917</v>
      </c>
      <c r="BU481" s="125">
        <f t="shared" si="14"/>
        <v>1.8093876371099686</v>
      </c>
      <c r="BV481" s="125">
        <f t="shared" si="14"/>
        <v>1.8274815134810682</v>
      </c>
      <c r="BW481" s="125">
        <f t="shared" si="14"/>
        <v>1.8421013655889169</v>
      </c>
      <c r="BX481" s="125">
        <f t="shared" si="14"/>
        <v>1.8457855683200948</v>
      </c>
      <c r="BY481" s="125">
        <f t="shared" si="14"/>
        <v>1.8716265662765761</v>
      </c>
      <c r="BZ481" s="125">
        <f t="shared" si="14"/>
        <v>1.894086085071895</v>
      </c>
      <c r="CA481" s="125">
        <f t="shared" si="14"/>
        <v>1.9433323232837643</v>
      </c>
      <c r="CB481" s="125">
        <f t="shared" si="14"/>
        <v>1.9744256404563045</v>
      </c>
      <c r="CC481" s="125">
        <f t="shared" si="14"/>
        <v>2.0099653019845181</v>
      </c>
      <c r="CD481" s="125">
        <f t="shared" si="14"/>
        <v>2.1345831507075581</v>
      </c>
      <c r="CE481" s="125">
        <f t="shared" si="14"/>
        <v>2.3053498027641628</v>
      </c>
      <c r="CF481" s="125">
        <f t="shared" si="16"/>
        <v>2.3445407494111534</v>
      </c>
      <c r="CG481" s="125">
        <f t="shared" si="16"/>
        <v>2.3843979421511428</v>
      </c>
    </row>
    <row r="482" spans="1:85">
      <c r="A482" s="3"/>
      <c r="B482" s="123">
        <v>1986</v>
      </c>
      <c r="C482" s="123"/>
      <c r="D482" s="3"/>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4">
        <v>1</v>
      </c>
      <c r="AT482" s="125">
        <f t="shared" si="15"/>
        <v>0.995</v>
      </c>
      <c r="AU482" s="125">
        <f t="shared" si="15"/>
        <v>0.99699000000000004</v>
      </c>
      <c r="AV482" s="125">
        <f t="shared" si="15"/>
        <v>1.00596291</v>
      </c>
      <c r="AW482" s="125">
        <f t="shared" si="15"/>
        <v>1.0170285020099998</v>
      </c>
      <c r="AX482" s="125">
        <f t="shared" si="15"/>
        <v>1.0414371860582399</v>
      </c>
      <c r="AY482" s="125">
        <f t="shared" si="15"/>
        <v>1.089343296616919</v>
      </c>
      <c r="AZ482" s="125">
        <f t="shared" si="15"/>
        <v>1.127470311998511</v>
      </c>
      <c r="BA482" s="125">
        <f t="shared" si="13"/>
        <v>1.1500197182384813</v>
      </c>
      <c r="BB482" s="125">
        <f t="shared" si="13"/>
        <v>1.1799202309126817</v>
      </c>
      <c r="BC482" s="125">
        <f t="shared" si="13"/>
        <v>1.1976190343763717</v>
      </c>
      <c r="BD482" s="125">
        <f t="shared" si="13"/>
        <v>1.2203737960295227</v>
      </c>
      <c r="BE482" s="125">
        <f t="shared" si="13"/>
        <v>1.2521035147262902</v>
      </c>
      <c r="BF482" s="125">
        <f t="shared" si="13"/>
        <v>1.2733892744766371</v>
      </c>
      <c r="BG482" s="125">
        <f t="shared" si="13"/>
        <v>1.3064973956130297</v>
      </c>
      <c r="BH482" s="125">
        <f t="shared" si="13"/>
        <v>1.3391598305033554</v>
      </c>
      <c r="BI482" s="125">
        <f t="shared" si="13"/>
        <v>1.4021003425370131</v>
      </c>
      <c r="BJ482" s="125">
        <f t="shared" si="13"/>
        <v>1.4483696538407345</v>
      </c>
      <c r="BK482" s="125">
        <f t="shared" si="13"/>
        <v>1.4787854165713898</v>
      </c>
      <c r="BL482" s="125">
        <f t="shared" si="13"/>
        <v>1.4950520561536751</v>
      </c>
      <c r="BM482" s="125">
        <f t="shared" si="13"/>
        <v>1.5219629931644412</v>
      </c>
      <c r="BN482" s="125">
        <f t="shared" si="13"/>
        <v>1.5432704750687434</v>
      </c>
      <c r="BO482" s="125">
        <f t="shared" si="13"/>
        <v>1.5602464502944995</v>
      </c>
      <c r="BP482" s="125">
        <f t="shared" si="14"/>
        <v>1.6101743367039236</v>
      </c>
      <c r="BQ482" s="125">
        <f t="shared" si="14"/>
        <v>1.6150048597140352</v>
      </c>
      <c r="BR482" s="125">
        <f t="shared" si="14"/>
        <v>1.6392299326097455</v>
      </c>
      <c r="BS482" s="125">
        <f t="shared" si="14"/>
        <v>1.6818499108575988</v>
      </c>
      <c r="BT482" s="125">
        <f t="shared" si="14"/>
        <v>1.7205324588073234</v>
      </c>
      <c r="BU482" s="125">
        <f t="shared" si="14"/>
        <v>1.7687073676539284</v>
      </c>
      <c r="BV482" s="125">
        <f t="shared" si="14"/>
        <v>1.7863944413304678</v>
      </c>
      <c r="BW482" s="125">
        <f t="shared" si="14"/>
        <v>1.8006855968611115</v>
      </c>
      <c r="BX482" s="125">
        <f t="shared" si="14"/>
        <v>1.8042869680548337</v>
      </c>
      <c r="BY482" s="125">
        <f t="shared" si="14"/>
        <v>1.8295469856076014</v>
      </c>
      <c r="BZ482" s="125">
        <f t="shared" si="14"/>
        <v>1.8515015494348928</v>
      </c>
      <c r="CA482" s="125">
        <f t="shared" si="14"/>
        <v>1.8996405897202</v>
      </c>
      <c r="CB482" s="125">
        <f t="shared" si="14"/>
        <v>1.9300348391557232</v>
      </c>
      <c r="CC482" s="125">
        <f t="shared" si="14"/>
        <v>1.9647754662605261</v>
      </c>
      <c r="CD482" s="125">
        <f t="shared" si="14"/>
        <v>2.086591545168679</v>
      </c>
      <c r="CE482" s="125">
        <f t="shared" si="14"/>
        <v>2.2535188687821734</v>
      </c>
      <c r="CF482" s="125">
        <f t="shared" si="16"/>
        <v>2.2918286895514703</v>
      </c>
      <c r="CG482" s="125">
        <f t="shared" si="16"/>
        <v>2.3307897772738451</v>
      </c>
    </row>
    <row r="483" spans="1:85">
      <c r="A483" s="3"/>
      <c r="B483" s="123">
        <v>1987</v>
      </c>
      <c r="C483" s="123"/>
      <c r="D483" s="3"/>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4">
        <v>1</v>
      </c>
      <c r="AU483" s="125">
        <f t="shared" si="15"/>
        <v>1.002</v>
      </c>
      <c r="AV483" s="125">
        <f t="shared" si="15"/>
        <v>1.011018</v>
      </c>
      <c r="AW483" s="125">
        <f t="shared" si="15"/>
        <v>1.0221391979999999</v>
      </c>
      <c r="AX483" s="125">
        <f t="shared" si="15"/>
        <v>1.0466705387519999</v>
      </c>
      <c r="AY483" s="125">
        <f t="shared" si="15"/>
        <v>1.094817383534592</v>
      </c>
      <c r="AZ483" s="125">
        <f t="shared" si="15"/>
        <v>1.1331359919583026</v>
      </c>
      <c r="BA483" s="125">
        <f t="shared" si="13"/>
        <v>1.1557987117974686</v>
      </c>
      <c r="BB483" s="125">
        <f t="shared" si="13"/>
        <v>1.1858494783042028</v>
      </c>
      <c r="BC483" s="125">
        <f t="shared" si="13"/>
        <v>1.2036372204787658</v>
      </c>
      <c r="BD483" s="125">
        <f t="shared" si="13"/>
        <v>1.2265063276678623</v>
      </c>
      <c r="BE483" s="125">
        <f t="shared" si="13"/>
        <v>1.2583954921872267</v>
      </c>
      <c r="BF483" s="125">
        <f t="shared" si="13"/>
        <v>1.2797882155544094</v>
      </c>
      <c r="BG483" s="125">
        <f t="shared" si="13"/>
        <v>1.3130627091588241</v>
      </c>
      <c r="BH483" s="125">
        <f t="shared" si="13"/>
        <v>1.3458892768877946</v>
      </c>
      <c r="BI483" s="125">
        <f t="shared" si="13"/>
        <v>1.4091460729015208</v>
      </c>
      <c r="BJ483" s="125">
        <f t="shared" si="13"/>
        <v>1.455647893307271</v>
      </c>
      <c r="BK483" s="125">
        <f t="shared" si="13"/>
        <v>1.4862164990667235</v>
      </c>
      <c r="BL483" s="125">
        <f t="shared" si="13"/>
        <v>1.5025648805564573</v>
      </c>
      <c r="BM483" s="125">
        <f t="shared" si="13"/>
        <v>1.5296110484064736</v>
      </c>
      <c r="BN483" s="125">
        <f t="shared" si="13"/>
        <v>1.5510256030841643</v>
      </c>
      <c r="BO483" s="125">
        <f t="shared" si="13"/>
        <v>1.56808688471809</v>
      </c>
      <c r="BP483" s="125">
        <f t="shared" si="14"/>
        <v>1.618265665029069</v>
      </c>
      <c r="BQ483" s="125">
        <f t="shared" si="14"/>
        <v>1.6231204620241559</v>
      </c>
      <c r="BR483" s="125">
        <f t="shared" si="14"/>
        <v>1.6474672689545182</v>
      </c>
      <c r="BS483" s="125">
        <f t="shared" si="14"/>
        <v>1.6903014179473357</v>
      </c>
      <c r="BT483" s="125">
        <f t="shared" si="14"/>
        <v>1.7291783505601241</v>
      </c>
      <c r="BU483" s="125">
        <f t="shared" si="14"/>
        <v>1.7775953443758077</v>
      </c>
      <c r="BV483" s="125">
        <f t="shared" si="14"/>
        <v>1.7953712978195657</v>
      </c>
      <c r="BW483" s="125">
        <f t="shared" si="14"/>
        <v>1.8097342682021222</v>
      </c>
      <c r="BX483" s="125">
        <f t="shared" si="14"/>
        <v>1.8133537367385264</v>
      </c>
      <c r="BY483" s="125">
        <f t="shared" si="14"/>
        <v>1.8387406890528657</v>
      </c>
      <c r="BZ483" s="125">
        <f t="shared" si="14"/>
        <v>1.8608055773215002</v>
      </c>
      <c r="CA483" s="125">
        <f t="shared" si="14"/>
        <v>1.9091865223318591</v>
      </c>
      <c r="CB483" s="125">
        <f t="shared" si="14"/>
        <v>1.939733506689169</v>
      </c>
      <c r="CC483" s="125">
        <f t="shared" si="14"/>
        <v>1.974648709809574</v>
      </c>
      <c r="CD483" s="125">
        <f t="shared" si="14"/>
        <v>2.0970769298177676</v>
      </c>
      <c r="CE483" s="125">
        <f t="shared" si="14"/>
        <v>2.2648430842031892</v>
      </c>
      <c r="CF483" s="125">
        <f t="shared" si="16"/>
        <v>2.3033454166346434</v>
      </c>
      <c r="CG483" s="125">
        <f t="shared" si="16"/>
        <v>2.3425022887174323</v>
      </c>
    </row>
    <row r="484" spans="1:85">
      <c r="A484" s="3"/>
      <c r="B484" s="123">
        <v>1988</v>
      </c>
      <c r="C484" s="123"/>
      <c r="D484" s="3"/>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4">
        <v>1</v>
      </c>
      <c r="AV484" s="125">
        <f t="shared" si="15"/>
        <v>1.0089999999999999</v>
      </c>
      <c r="AW484" s="125">
        <f t="shared" si="15"/>
        <v>1.0200989999999999</v>
      </c>
      <c r="AX484" s="125">
        <f t="shared" si="15"/>
        <v>1.0445813759999998</v>
      </c>
      <c r="AY484" s="125">
        <f t="shared" si="15"/>
        <v>1.0926321192959998</v>
      </c>
      <c r="AZ484" s="125">
        <f t="shared" si="15"/>
        <v>1.1308742434713597</v>
      </c>
      <c r="BA484" s="125">
        <f t="shared" si="13"/>
        <v>1.1534917283407868</v>
      </c>
      <c r="BB484" s="125">
        <f t="shared" si="13"/>
        <v>1.1834825132776474</v>
      </c>
      <c r="BC484" s="125">
        <f t="shared" si="13"/>
        <v>1.201234750976812</v>
      </c>
      <c r="BD484" s="125">
        <f t="shared" si="13"/>
        <v>1.2240582112453713</v>
      </c>
      <c r="BE484" s="125">
        <f t="shared" si="13"/>
        <v>1.255883724737751</v>
      </c>
      <c r="BF484" s="125">
        <f t="shared" si="13"/>
        <v>1.2772337480582927</v>
      </c>
      <c r="BG484" s="125">
        <f t="shared" si="13"/>
        <v>1.3104418255078083</v>
      </c>
      <c r="BH484" s="125">
        <f t="shared" si="13"/>
        <v>1.3432028711455033</v>
      </c>
      <c r="BI484" s="125">
        <f t="shared" si="13"/>
        <v>1.4063334060893418</v>
      </c>
      <c r="BJ484" s="125">
        <f t="shared" si="13"/>
        <v>1.45274240849029</v>
      </c>
      <c r="BK484" s="125">
        <f t="shared" si="13"/>
        <v>1.4832499990685859</v>
      </c>
      <c r="BL484" s="125">
        <f t="shared" si="13"/>
        <v>1.4995657490583403</v>
      </c>
      <c r="BM484" s="125">
        <f t="shared" si="13"/>
        <v>1.5265579325413905</v>
      </c>
      <c r="BN484" s="125">
        <f t="shared" si="13"/>
        <v>1.5479297435969699</v>
      </c>
      <c r="BO484" s="125">
        <f t="shared" si="13"/>
        <v>1.5649569707765365</v>
      </c>
      <c r="BP484" s="125">
        <f t="shared" si="14"/>
        <v>1.6150355938413856</v>
      </c>
      <c r="BQ484" s="125">
        <f t="shared" si="14"/>
        <v>1.6198807006229097</v>
      </c>
      <c r="BR484" s="125">
        <f t="shared" si="14"/>
        <v>1.6441789111322531</v>
      </c>
      <c r="BS484" s="125">
        <f t="shared" si="14"/>
        <v>1.6869275628216918</v>
      </c>
      <c r="BT484" s="125">
        <f t="shared" si="14"/>
        <v>1.7257268967665904</v>
      </c>
      <c r="BU484" s="125">
        <f t="shared" si="14"/>
        <v>1.7740472498760549</v>
      </c>
      <c r="BV484" s="125">
        <f t="shared" si="14"/>
        <v>1.7917877223748155</v>
      </c>
      <c r="BW484" s="125">
        <f t="shared" si="14"/>
        <v>1.8061220241538141</v>
      </c>
      <c r="BX484" s="125">
        <f t="shared" si="14"/>
        <v>1.8097342682021218</v>
      </c>
      <c r="BY484" s="125">
        <f t="shared" si="14"/>
        <v>1.8350705479569516</v>
      </c>
      <c r="BZ484" s="125">
        <f t="shared" si="14"/>
        <v>1.857091394532435</v>
      </c>
      <c r="CA484" s="125">
        <f t="shared" si="14"/>
        <v>1.9053757707902783</v>
      </c>
      <c r="CB484" s="125">
        <f t="shared" si="14"/>
        <v>1.9358617831229228</v>
      </c>
      <c r="CC484" s="125">
        <f t="shared" si="14"/>
        <v>1.9707072952191353</v>
      </c>
      <c r="CD484" s="125">
        <f t="shared" si="14"/>
        <v>2.0928911475227219</v>
      </c>
      <c r="CE484" s="125">
        <f t="shared" si="14"/>
        <v>2.2603224393245398</v>
      </c>
      <c r="CF484" s="125">
        <f t="shared" si="16"/>
        <v>2.2987479207930566</v>
      </c>
      <c r="CG484" s="125">
        <f t="shared" si="16"/>
        <v>2.3378266354465382</v>
      </c>
    </row>
    <row r="485" spans="1:85">
      <c r="A485" s="3"/>
      <c r="B485" s="123">
        <v>1989</v>
      </c>
      <c r="C485" s="123"/>
      <c r="D485" s="3"/>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4">
        <v>1</v>
      </c>
      <c r="AW485" s="125">
        <f t="shared" si="15"/>
        <v>1.0109999999999999</v>
      </c>
      <c r="AX485" s="125">
        <f t="shared" si="15"/>
        <v>1.035264</v>
      </c>
      <c r="AY485" s="125">
        <f t="shared" si="15"/>
        <v>1.0828861439999999</v>
      </c>
      <c r="AZ485" s="125">
        <f t="shared" si="15"/>
        <v>1.1207871590399998</v>
      </c>
      <c r="BA485" s="125">
        <f t="shared" si="13"/>
        <v>1.1432029022207999</v>
      </c>
      <c r="BB485" s="125">
        <f t="shared" si="13"/>
        <v>1.1729261776785407</v>
      </c>
      <c r="BC485" s="125">
        <f t="shared" si="13"/>
        <v>1.1905200703437187</v>
      </c>
      <c r="BD485" s="125">
        <f t="shared" si="13"/>
        <v>1.2131399516802492</v>
      </c>
      <c r="BE485" s="125">
        <f t="shared" si="13"/>
        <v>1.2446815904239357</v>
      </c>
      <c r="BF485" s="125">
        <f t="shared" si="13"/>
        <v>1.2658411774611424</v>
      </c>
      <c r="BG485" s="125">
        <f t="shared" si="13"/>
        <v>1.2987530480751321</v>
      </c>
      <c r="BH485" s="125">
        <f t="shared" si="13"/>
        <v>1.3312218742770103</v>
      </c>
      <c r="BI485" s="125">
        <f t="shared" si="13"/>
        <v>1.3937893023680297</v>
      </c>
      <c r="BJ485" s="125">
        <f t="shared" si="13"/>
        <v>1.4397843493461746</v>
      </c>
      <c r="BK485" s="125">
        <f t="shared" si="13"/>
        <v>1.4700198206824442</v>
      </c>
      <c r="BL485" s="125">
        <f t="shared" si="13"/>
        <v>1.4861900387099509</v>
      </c>
      <c r="BM485" s="125">
        <f t="shared" si="13"/>
        <v>1.5129414594067301</v>
      </c>
      <c r="BN485" s="125">
        <f t="shared" si="13"/>
        <v>1.5341226398384242</v>
      </c>
      <c r="BO485" s="125">
        <f t="shared" si="13"/>
        <v>1.5509979888766467</v>
      </c>
      <c r="BP485" s="125">
        <f t="shared" si="14"/>
        <v>1.6006299245206994</v>
      </c>
      <c r="BQ485" s="125">
        <f t="shared" si="14"/>
        <v>1.6054318142942614</v>
      </c>
      <c r="BR485" s="125">
        <f t="shared" si="14"/>
        <v>1.6295132915086752</v>
      </c>
      <c r="BS485" s="125">
        <f t="shared" si="14"/>
        <v>1.6718806370879007</v>
      </c>
      <c r="BT485" s="125">
        <f t="shared" si="14"/>
        <v>1.7103338917409223</v>
      </c>
      <c r="BU485" s="125">
        <f t="shared" si="14"/>
        <v>1.7582232407096683</v>
      </c>
      <c r="BV485" s="125">
        <f t="shared" si="14"/>
        <v>1.775805473116765</v>
      </c>
      <c r="BW485" s="125">
        <f t="shared" si="14"/>
        <v>1.790011916901699</v>
      </c>
      <c r="BX485" s="125">
        <f t="shared" si="14"/>
        <v>1.7935919407355023</v>
      </c>
      <c r="BY485" s="125">
        <f t="shared" si="14"/>
        <v>1.8187022279057994</v>
      </c>
      <c r="BZ485" s="125">
        <f t="shared" si="14"/>
        <v>1.8405266546406689</v>
      </c>
      <c r="CA485" s="125">
        <f t="shared" si="14"/>
        <v>1.8883803476613263</v>
      </c>
      <c r="CB485" s="125">
        <f t="shared" si="14"/>
        <v>1.9185944332239075</v>
      </c>
      <c r="CC485" s="125">
        <f t="shared" si="14"/>
        <v>1.953129133021938</v>
      </c>
      <c r="CD485" s="125">
        <f t="shared" si="14"/>
        <v>2.0742231392692982</v>
      </c>
      <c r="CE485" s="125">
        <f t="shared" si="14"/>
        <v>2.2401609904108422</v>
      </c>
      <c r="CF485" s="125">
        <f t="shared" si="16"/>
        <v>2.2782437272478262</v>
      </c>
      <c r="CG485" s="125">
        <f t="shared" si="16"/>
        <v>2.3169738706110392</v>
      </c>
    </row>
    <row r="486" spans="1:85">
      <c r="A486" s="3"/>
      <c r="B486" s="123">
        <v>1990</v>
      </c>
      <c r="C486" s="123"/>
      <c r="D486" s="3"/>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4">
        <v>1</v>
      </c>
      <c r="AX486" s="125">
        <f t="shared" si="15"/>
        <v>1.024</v>
      </c>
      <c r="AY486" s="125">
        <f t="shared" si="15"/>
        <v>1.0711040000000001</v>
      </c>
      <c r="AZ486" s="125">
        <f t="shared" si="15"/>
        <v>1.1085926399999999</v>
      </c>
      <c r="BA486" s="125">
        <f t="shared" si="13"/>
        <v>1.1307644928</v>
      </c>
      <c r="BB486" s="125">
        <f t="shared" si="13"/>
        <v>1.1601643696128001</v>
      </c>
      <c r="BC486" s="125">
        <f t="shared" si="13"/>
        <v>1.1775668351569919</v>
      </c>
      <c r="BD486" s="125">
        <f t="shared" si="13"/>
        <v>1.1999406050249746</v>
      </c>
      <c r="BE486" s="125">
        <f t="shared" si="13"/>
        <v>1.2311390607556238</v>
      </c>
      <c r="BF486" s="125">
        <f t="shared" si="13"/>
        <v>1.2520684247884692</v>
      </c>
      <c r="BG486" s="125">
        <f t="shared" si="13"/>
        <v>1.2846222038329695</v>
      </c>
      <c r="BH486" s="125">
        <f t="shared" si="13"/>
        <v>1.3167377589287936</v>
      </c>
      <c r="BI486" s="125">
        <f t="shared" si="13"/>
        <v>1.3786244335984468</v>
      </c>
      <c r="BJ486" s="125">
        <f t="shared" si="13"/>
        <v>1.4241190399071955</v>
      </c>
      <c r="BK486" s="125">
        <f t="shared" si="13"/>
        <v>1.4540255397452464</v>
      </c>
      <c r="BL486" s="125">
        <f t="shared" si="13"/>
        <v>1.470019820682444</v>
      </c>
      <c r="BM486" s="125">
        <f t="shared" si="13"/>
        <v>1.4964801774547281</v>
      </c>
      <c r="BN486" s="125">
        <f t="shared" si="13"/>
        <v>1.5174308999390942</v>
      </c>
      <c r="BO486" s="125">
        <f t="shared" si="13"/>
        <v>1.534122639838424</v>
      </c>
      <c r="BP486" s="125">
        <f t="shared" si="14"/>
        <v>1.5832145643132536</v>
      </c>
      <c r="BQ486" s="125">
        <f t="shared" si="14"/>
        <v>1.5879642080061931</v>
      </c>
      <c r="BR486" s="125">
        <f t="shared" si="14"/>
        <v>1.6117836711262858</v>
      </c>
      <c r="BS486" s="125">
        <f t="shared" si="14"/>
        <v>1.6536900465755693</v>
      </c>
      <c r="BT486" s="125">
        <f t="shared" si="14"/>
        <v>1.6917249176468072</v>
      </c>
      <c r="BU486" s="125">
        <f t="shared" si="14"/>
        <v>1.7390932153409178</v>
      </c>
      <c r="BV486" s="125">
        <f t="shared" si="14"/>
        <v>1.7564841474943269</v>
      </c>
      <c r="BW486" s="125">
        <f t="shared" si="14"/>
        <v>1.7705360206742815</v>
      </c>
      <c r="BX486" s="125">
        <f t="shared" si="14"/>
        <v>1.77407709271563</v>
      </c>
      <c r="BY486" s="125">
        <f t="shared" si="14"/>
        <v>1.7989141720136488</v>
      </c>
      <c r="BZ486" s="125">
        <f t="shared" si="14"/>
        <v>1.8205011420778126</v>
      </c>
      <c r="CA486" s="125">
        <f t="shared" si="14"/>
        <v>1.8678341717718356</v>
      </c>
      <c r="CB486" s="125">
        <f t="shared" si="14"/>
        <v>1.8977195185201849</v>
      </c>
      <c r="CC486" s="125">
        <f t="shared" si="14"/>
        <v>1.9318784698535483</v>
      </c>
      <c r="CD486" s="125">
        <f t="shared" si="14"/>
        <v>2.0516549349844682</v>
      </c>
      <c r="CE486" s="125">
        <f t="shared" si="14"/>
        <v>2.2157873297832258</v>
      </c>
      <c r="CF486" s="125">
        <f t="shared" si="16"/>
        <v>2.2534557143895406</v>
      </c>
      <c r="CG486" s="125">
        <f t="shared" si="16"/>
        <v>2.2917644615341626</v>
      </c>
    </row>
    <row r="487" spans="1:85">
      <c r="A487" s="3"/>
      <c r="B487" s="123">
        <v>1991</v>
      </c>
      <c r="C487" s="123"/>
      <c r="D487" s="3"/>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4">
        <v>1</v>
      </c>
      <c r="AY487" s="125">
        <f t="shared" si="15"/>
        <v>1.046</v>
      </c>
      <c r="AZ487" s="125">
        <f t="shared" si="15"/>
        <v>1.0826099999999999</v>
      </c>
      <c r="BA487" s="125">
        <f t="shared" si="13"/>
        <v>1.1042622</v>
      </c>
      <c r="BB487" s="125">
        <f t="shared" si="13"/>
        <v>1.1329730172000001</v>
      </c>
      <c r="BC487" s="125">
        <f t="shared" si="13"/>
        <v>1.1499676124580001</v>
      </c>
      <c r="BD487" s="125">
        <f t="shared" si="13"/>
        <v>1.1718169970947019</v>
      </c>
      <c r="BE487" s="125">
        <f t="shared" si="13"/>
        <v>1.2022842390191641</v>
      </c>
      <c r="BF487" s="125">
        <f t="shared" si="13"/>
        <v>1.2227230710824899</v>
      </c>
      <c r="BG487" s="125">
        <f t="shared" si="13"/>
        <v>1.2545138709306347</v>
      </c>
      <c r="BH487" s="125">
        <f t="shared" si="13"/>
        <v>1.2858767177039006</v>
      </c>
      <c r="BI487" s="125">
        <f t="shared" si="13"/>
        <v>1.3463129234359839</v>
      </c>
      <c r="BJ487" s="125">
        <f t="shared" si="13"/>
        <v>1.3907412499093712</v>
      </c>
      <c r="BK487" s="125">
        <f t="shared" si="13"/>
        <v>1.4199468161574678</v>
      </c>
      <c r="BL487" s="125">
        <f t="shared" si="13"/>
        <v>1.4355662311351998</v>
      </c>
      <c r="BM487" s="125">
        <f t="shared" si="13"/>
        <v>1.4614064232956334</v>
      </c>
      <c r="BN487" s="125">
        <f t="shared" si="13"/>
        <v>1.4818661132217723</v>
      </c>
      <c r="BO487" s="125">
        <f t="shared" si="13"/>
        <v>1.4981666404672116</v>
      </c>
      <c r="BP487" s="125">
        <f t="shared" si="14"/>
        <v>1.5461079729621625</v>
      </c>
      <c r="BQ487" s="125">
        <f t="shared" si="14"/>
        <v>1.5507462968810488</v>
      </c>
      <c r="BR487" s="125">
        <f t="shared" si="14"/>
        <v>1.5740074913342643</v>
      </c>
      <c r="BS487" s="125">
        <f t="shared" si="14"/>
        <v>1.6149316861089553</v>
      </c>
      <c r="BT487" s="125">
        <f t="shared" si="14"/>
        <v>1.6520751148894612</v>
      </c>
      <c r="BU487" s="125">
        <f t="shared" si="14"/>
        <v>1.6983332181063662</v>
      </c>
      <c r="BV487" s="125">
        <f t="shared" si="14"/>
        <v>1.7153165502874299</v>
      </c>
      <c r="BW487" s="125">
        <f t="shared" si="14"/>
        <v>1.7290390826897293</v>
      </c>
      <c r="BX487" s="125">
        <f t="shared" si="14"/>
        <v>1.7324971608551087</v>
      </c>
      <c r="BY487" s="125">
        <f t="shared" si="14"/>
        <v>1.7567521211070802</v>
      </c>
      <c r="BZ487" s="125">
        <f t="shared" si="14"/>
        <v>1.7778331465603652</v>
      </c>
      <c r="CA487" s="125">
        <f t="shared" si="14"/>
        <v>1.8240568083709348</v>
      </c>
      <c r="CB487" s="125">
        <f t="shared" si="14"/>
        <v>1.8532417173048696</v>
      </c>
      <c r="CC487" s="125">
        <f t="shared" si="14"/>
        <v>1.8866000682163573</v>
      </c>
      <c r="CD487" s="125">
        <f t="shared" si="14"/>
        <v>2.0035692724457714</v>
      </c>
      <c r="CE487" s="125">
        <f t="shared" si="14"/>
        <v>2.1638548142414331</v>
      </c>
      <c r="CF487" s="125">
        <f t="shared" si="16"/>
        <v>2.2006403460835373</v>
      </c>
      <c r="CG487" s="125">
        <f t="shared" si="16"/>
        <v>2.2380512319669572</v>
      </c>
    </row>
    <row r="488" spans="1:85">
      <c r="A488" s="3"/>
      <c r="B488" s="123">
        <v>1992</v>
      </c>
      <c r="C488" s="123"/>
      <c r="D488" s="3"/>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4">
        <v>1</v>
      </c>
      <c r="AZ488" s="125">
        <f t="shared" si="15"/>
        <v>1.0349999999999999</v>
      </c>
      <c r="BA488" s="125">
        <f t="shared" si="13"/>
        <v>1.0556999999999999</v>
      </c>
      <c r="BB488" s="125">
        <f t="shared" si="13"/>
        <v>1.0831481999999999</v>
      </c>
      <c r="BC488" s="125">
        <f t="shared" si="13"/>
        <v>1.0993954229999998</v>
      </c>
      <c r="BD488" s="125">
        <f t="shared" si="13"/>
        <v>1.1202839360369996</v>
      </c>
      <c r="BE488" s="125">
        <f t="shared" si="13"/>
        <v>1.1494113183739616</v>
      </c>
      <c r="BF488" s="125">
        <f t="shared" si="13"/>
        <v>1.1689513107863188</v>
      </c>
      <c r="BG488" s="125">
        <f t="shared" si="13"/>
        <v>1.1993440448667632</v>
      </c>
      <c r="BH488" s="125">
        <f t="shared" si="13"/>
        <v>1.2293276459884321</v>
      </c>
      <c r="BI488" s="125">
        <f t="shared" si="13"/>
        <v>1.2871060453498884</v>
      </c>
      <c r="BJ488" s="125">
        <f t="shared" si="13"/>
        <v>1.3295805448464346</v>
      </c>
      <c r="BK488" s="125">
        <f t="shared" si="13"/>
        <v>1.3575017362882096</v>
      </c>
      <c r="BL488" s="125">
        <f t="shared" si="13"/>
        <v>1.3724342553873798</v>
      </c>
      <c r="BM488" s="125">
        <f t="shared" si="13"/>
        <v>1.3971380719843527</v>
      </c>
      <c r="BN488" s="125">
        <f t="shared" si="13"/>
        <v>1.4166980049921336</v>
      </c>
      <c r="BO488" s="125">
        <f t="shared" si="13"/>
        <v>1.4322816830470468</v>
      </c>
      <c r="BP488" s="125">
        <f t="shared" si="14"/>
        <v>1.4781146969045524</v>
      </c>
      <c r="BQ488" s="125">
        <f t="shared" si="14"/>
        <v>1.482549040995266</v>
      </c>
      <c r="BR488" s="125">
        <f t="shared" si="14"/>
        <v>1.5047872766101948</v>
      </c>
      <c r="BS488" s="125">
        <f t="shared" si="14"/>
        <v>1.5439117458020599</v>
      </c>
      <c r="BT488" s="125">
        <f t="shared" si="14"/>
        <v>1.5794217159555071</v>
      </c>
      <c r="BU488" s="125">
        <f t="shared" si="14"/>
        <v>1.6236455240022614</v>
      </c>
      <c r="BV488" s="125">
        <f t="shared" si="14"/>
        <v>1.6398819792422841</v>
      </c>
      <c r="BW488" s="125">
        <f t="shared" si="14"/>
        <v>1.6530010350762223</v>
      </c>
      <c r="BX488" s="125">
        <f t="shared" si="14"/>
        <v>1.6563070371463748</v>
      </c>
      <c r="BY488" s="125">
        <f t="shared" si="14"/>
        <v>1.6794953356664242</v>
      </c>
      <c r="BZ488" s="125">
        <f t="shared" si="14"/>
        <v>1.6996492796944214</v>
      </c>
      <c r="CA488" s="125">
        <f t="shared" si="14"/>
        <v>1.7438401609664764</v>
      </c>
      <c r="CB488" s="125">
        <f t="shared" si="14"/>
        <v>1.77174160354194</v>
      </c>
      <c r="CC488" s="125">
        <f t="shared" si="14"/>
        <v>1.8036329524056949</v>
      </c>
      <c r="CD488" s="125">
        <f t="shared" si="14"/>
        <v>1.915458195454848</v>
      </c>
      <c r="CE488" s="125">
        <f t="shared" si="14"/>
        <v>2.068694851091236</v>
      </c>
      <c r="CF488" s="125">
        <f t="shared" si="16"/>
        <v>2.1038626635597866</v>
      </c>
      <c r="CG488" s="125">
        <f t="shared" si="16"/>
        <v>2.1396283288403026</v>
      </c>
    </row>
    <row r="489" spans="1:85">
      <c r="A489" s="3"/>
      <c r="B489" s="123">
        <v>1993</v>
      </c>
      <c r="C489" s="127"/>
      <c r="D489" s="3"/>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4">
        <v>1</v>
      </c>
      <c r="BA489" s="125">
        <f t="shared" si="13"/>
        <v>1.02</v>
      </c>
      <c r="BB489" s="125">
        <f t="shared" si="13"/>
        <v>1.0465200000000001</v>
      </c>
      <c r="BC489" s="125">
        <f t="shared" si="13"/>
        <v>1.0622178</v>
      </c>
      <c r="BD489" s="125">
        <f t="shared" si="13"/>
        <v>1.0823999381999998</v>
      </c>
      <c r="BE489" s="125">
        <f t="shared" si="13"/>
        <v>1.1105423365931999</v>
      </c>
      <c r="BF489" s="125">
        <f t="shared" si="13"/>
        <v>1.1294215563152843</v>
      </c>
      <c r="BG489" s="125">
        <f t="shared" si="13"/>
        <v>1.1587865167794817</v>
      </c>
      <c r="BH489" s="125">
        <f t="shared" si="13"/>
        <v>1.1877561796989686</v>
      </c>
      <c r="BI489" s="125">
        <f t="shared" si="13"/>
        <v>1.2435807201448201</v>
      </c>
      <c r="BJ489" s="125">
        <f t="shared" si="13"/>
        <v>1.2846188839095991</v>
      </c>
      <c r="BK489" s="125">
        <f t="shared" si="13"/>
        <v>1.3115958804717005</v>
      </c>
      <c r="BL489" s="125">
        <f t="shared" si="13"/>
        <v>1.3260234351568891</v>
      </c>
      <c r="BM489" s="125">
        <f t="shared" si="13"/>
        <v>1.3498918569897131</v>
      </c>
      <c r="BN489" s="125">
        <f t="shared" si="13"/>
        <v>1.3687903429875692</v>
      </c>
      <c r="BO489" s="125">
        <f t="shared" si="13"/>
        <v>1.3838470367604323</v>
      </c>
      <c r="BP489" s="125">
        <f t="shared" si="14"/>
        <v>1.4281301419367662</v>
      </c>
      <c r="BQ489" s="125">
        <f t="shared" si="14"/>
        <v>1.4324145323625763</v>
      </c>
      <c r="BR489" s="125">
        <f t="shared" si="14"/>
        <v>1.4539007503480148</v>
      </c>
      <c r="BS489" s="125">
        <f t="shared" si="14"/>
        <v>1.4917021698570632</v>
      </c>
      <c r="BT489" s="125">
        <f t="shared" si="14"/>
        <v>1.5260113197637755</v>
      </c>
      <c r="BU489" s="125">
        <f t="shared" si="14"/>
        <v>1.5687396367171613</v>
      </c>
      <c r="BV489" s="125">
        <f t="shared" si="14"/>
        <v>1.5844270330843329</v>
      </c>
      <c r="BW489" s="125">
        <f t="shared" si="14"/>
        <v>1.5971024493490076</v>
      </c>
      <c r="BX489" s="125">
        <f t="shared" si="14"/>
        <v>1.6002966542477055</v>
      </c>
      <c r="BY489" s="125">
        <f t="shared" si="14"/>
        <v>1.6227008074071734</v>
      </c>
      <c r="BZ489" s="125">
        <f t="shared" si="14"/>
        <v>1.6421732170960595</v>
      </c>
      <c r="CA489" s="125">
        <f t="shared" si="14"/>
        <v>1.684869720740557</v>
      </c>
      <c r="CB489" s="125">
        <f t="shared" si="14"/>
        <v>1.7118276362724059</v>
      </c>
      <c r="CC489" s="125">
        <f t="shared" si="14"/>
        <v>1.7426405337253092</v>
      </c>
      <c r="CD489" s="125">
        <f t="shared" ref="CC489:CG517" si="17">CC489*CD$439</f>
        <v>1.8506842468162785</v>
      </c>
      <c r="CE489" s="125">
        <f t="shared" si="17"/>
        <v>1.998738986561581</v>
      </c>
      <c r="CF489" s="125">
        <f t="shared" si="16"/>
        <v>2.0327175493331278</v>
      </c>
      <c r="CG489" s="125">
        <f t="shared" si="16"/>
        <v>2.0672737476717908</v>
      </c>
    </row>
    <row r="490" spans="1:85">
      <c r="A490" s="3"/>
      <c r="B490" s="123">
        <v>1994</v>
      </c>
      <c r="C490" s="3"/>
      <c r="D490" s="3"/>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4">
        <v>1</v>
      </c>
      <c r="BB490" s="125">
        <f t="shared" ref="BB490:BQ505" si="18">BA490*BB$439</f>
        <v>1.026</v>
      </c>
      <c r="BC490" s="125">
        <f t="shared" si="18"/>
        <v>1.0413899999999998</v>
      </c>
      <c r="BD490" s="125">
        <f t="shared" si="18"/>
        <v>1.0611764099999996</v>
      </c>
      <c r="BE490" s="125">
        <f t="shared" si="18"/>
        <v>1.0887669966599995</v>
      </c>
      <c r="BF490" s="125">
        <f t="shared" si="18"/>
        <v>1.1072760356032194</v>
      </c>
      <c r="BG490" s="125">
        <f t="shared" si="18"/>
        <v>1.1360652125289032</v>
      </c>
      <c r="BH490" s="125">
        <f t="shared" si="18"/>
        <v>1.1644668428421256</v>
      </c>
      <c r="BI490" s="125">
        <f t="shared" si="18"/>
        <v>1.2191967844557055</v>
      </c>
      <c r="BJ490" s="125">
        <f t="shared" si="18"/>
        <v>1.2594302783427436</v>
      </c>
      <c r="BK490" s="125">
        <f t="shared" si="18"/>
        <v>1.2858783141879411</v>
      </c>
      <c r="BL490" s="125">
        <f t="shared" si="18"/>
        <v>1.3000229756440083</v>
      </c>
      <c r="BM490" s="125">
        <f t="shared" si="18"/>
        <v>1.3234233892056004</v>
      </c>
      <c r="BN490" s="125">
        <f t="shared" si="18"/>
        <v>1.3419513166544788</v>
      </c>
      <c r="BO490" s="125">
        <f t="shared" si="18"/>
        <v>1.3567127811376778</v>
      </c>
      <c r="BP490" s="125">
        <f t="shared" si="18"/>
        <v>1.4001275901340835</v>
      </c>
      <c r="BQ490" s="125">
        <f t="shared" si="18"/>
        <v>1.4043279729044855</v>
      </c>
      <c r="BR490" s="125">
        <f t="shared" ref="BR490:CB516" si="19">BQ490*BR$439</f>
        <v>1.4253928924980526</v>
      </c>
      <c r="BS490" s="125">
        <f t="shared" si="19"/>
        <v>1.4624531077030021</v>
      </c>
      <c r="BT490" s="125">
        <f t="shared" si="19"/>
        <v>1.496089529180171</v>
      </c>
      <c r="BU490" s="125">
        <f t="shared" si="19"/>
        <v>1.5379800359972158</v>
      </c>
      <c r="BV490" s="125">
        <f t="shared" si="19"/>
        <v>1.5533598363571879</v>
      </c>
      <c r="BW490" s="125">
        <f t="shared" si="19"/>
        <v>1.5657867150480453</v>
      </c>
      <c r="BX490" s="125">
        <f t="shared" si="19"/>
        <v>1.5689182884781414</v>
      </c>
      <c r="BY490" s="125">
        <f t="shared" si="19"/>
        <v>1.5908831445168354</v>
      </c>
      <c r="BZ490" s="125">
        <f t="shared" si="19"/>
        <v>1.6099737422510374</v>
      </c>
      <c r="CA490" s="125">
        <f t="shared" si="19"/>
        <v>1.6518330595495645</v>
      </c>
      <c r="CB490" s="125">
        <f t="shared" si="19"/>
        <v>1.6782623885023575</v>
      </c>
      <c r="CC490" s="125">
        <f t="shared" si="17"/>
        <v>1.7084711114954001</v>
      </c>
      <c r="CD490" s="125">
        <f t="shared" si="17"/>
        <v>1.814396320408115</v>
      </c>
      <c r="CE490" s="125">
        <f t="shared" si="17"/>
        <v>1.9595480260407643</v>
      </c>
      <c r="CF490" s="125">
        <f t="shared" si="16"/>
        <v>1.992860342483457</v>
      </c>
      <c r="CG490" s="125">
        <f t="shared" si="16"/>
        <v>2.0267389683056756</v>
      </c>
    </row>
    <row r="491" spans="1:85">
      <c r="A491" s="3"/>
      <c r="B491" s="123">
        <v>1995</v>
      </c>
      <c r="C491" s="3"/>
      <c r="D491" s="3"/>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4">
        <v>1</v>
      </c>
      <c r="BC491" s="125">
        <f t="shared" si="18"/>
        <v>1.0149999999999999</v>
      </c>
      <c r="BD491" s="125">
        <f t="shared" si="18"/>
        <v>1.0342849999999999</v>
      </c>
      <c r="BE491" s="125">
        <f t="shared" si="18"/>
        <v>1.0611764099999998</v>
      </c>
      <c r="BF491" s="125">
        <f t="shared" si="18"/>
        <v>1.0792164089699998</v>
      </c>
      <c r="BG491" s="125">
        <f t="shared" si="18"/>
        <v>1.1072760356032199</v>
      </c>
      <c r="BH491" s="125">
        <f t="shared" si="18"/>
        <v>1.1349579364933002</v>
      </c>
      <c r="BI491" s="125">
        <f t="shared" si="18"/>
        <v>1.1883009595084852</v>
      </c>
      <c r="BJ491" s="125">
        <f t="shared" si="18"/>
        <v>1.2275148911722651</v>
      </c>
      <c r="BK491" s="125">
        <f t="shared" si="18"/>
        <v>1.2532927038868826</v>
      </c>
      <c r="BL491" s="125">
        <f t="shared" si="18"/>
        <v>1.2670789236296383</v>
      </c>
      <c r="BM491" s="125">
        <f t="shared" si="18"/>
        <v>1.2898863442549717</v>
      </c>
      <c r="BN491" s="125">
        <f t="shared" si="18"/>
        <v>1.3079447530745414</v>
      </c>
      <c r="BO491" s="125">
        <f t="shared" si="18"/>
        <v>1.3223321453583612</v>
      </c>
      <c r="BP491" s="125">
        <f t="shared" si="18"/>
        <v>1.3646467740098287</v>
      </c>
      <c r="BQ491" s="125">
        <f t="shared" si="18"/>
        <v>1.368740714331858</v>
      </c>
      <c r="BR491" s="125">
        <f t="shared" si="19"/>
        <v>1.3892718250468357</v>
      </c>
      <c r="BS491" s="125">
        <f t="shared" si="19"/>
        <v>1.4253928924980535</v>
      </c>
      <c r="BT491" s="125">
        <f t="shared" si="19"/>
        <v>1.4581769290255087</v>
      </c>
      <c r="BU491" s="125">
        <f t="shared" si="19"/>
        <v>1.4990058830382229</v>
      </c>
      <c r="BV491" s="125">
        <f t="shared" si="19"/>
        <v>1.5139959418686051</v>
      </c>
      <c r="BW491" s="125">
        <f t="shared" si="19"/>
        <v>1.5261079094035539</v>
      </c>
      <c r="BX491" s="125">
        <f t="shared" si="19"/>
        <v>1.529160125222361</v>
      </c>
      <c r="BY491" s="125">
        <f t="shared" si="19"/>
        <v>1.5505683669754742</v>
      </c>
      <c r="BZ491" s="125">
        <f t="shared" si="19"/>
        <v>1.5691751873791799</v>
      </c>
      <c r="CA491" s="125">
        <f t="shared" si="19"/>
        <v>1.6099737422510387</v>
      </c>
      <c r="CB491" s="125">
        <f t="shared" si="19"/>
        <v>1.6357333221270554</v>
      </c>
      <c r="CC491" s="125">
        <f t="shared" si="17"/>
        <v>1.6651765219253423</v>
      </c>
      <c r="CD491" s="125">
        <f t="shared" si="17"/>
        <v>1.7684174662847136</v>
      </c>
      <c r="CE491" s="125">
        <f t="shared" si="17"/>
        <v>1.9098908635874909</v>
      </c>
      <c r="CF491" s="125">
        <f t="shared" si="16"/>
        <v>1.9423590082684781</v>
      </c>
      <c r="CG491" s="125">
        <f t="shared" si="16"/>
        <v>1.975379111409042</v>
      </c>
    </row>
    <row r="492" spans="1:85">
      <c r="A492" s="128"/>
      <c r="B492" s="123">
        <v>1996</v>
      </c>
      <c r="C492" s="128"/>
      <c r="D492" s="128"/>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4">
        <v>1</v>
      </c>
      <c r="BD492" s="125">
        <f t="shared" si="18"/>
        <v>1.0189999999999999</v>
      </c>
      <c r="BE492" s="125">
        <f t="shared" si="18"/>
        <v>1.0454939999999999</v>
      </c>
      <c r="BF492" s="125">
        <f t="shared" si="18"/>
        <v>1.0632673979999998</v>
      </c>
      <c r="BG492" s="125">
        <f t="shared" si="18"/>
        <v>1.0909123503479998</v>
      </c>
      <c r="BH492" s="125">
        <f t="shared" si="18"/>
        <v>1.1181851591066998</v>
      </c>
      <c r="BI492" s="125">
        <f t="shared" si="18"/>
        <v>1.1707398615847147</v>
      </c>
      <c r="BJ492" s="125">
        <f t="shared" si="18"/>
        <v>1.2093742770170102</v>
      </c>
      <c r="BK492" s="125">
        <f t="shared" si="18"/>
        <v>1.2347711368343672</v>
      </c>
      <c r="BL492" s="125">
        <f t="shared" si="18"/>
        <v>1.2483536193395453</v>
      </c>
      <c r="BM492" s="125">
        <f t="shared" si="18"/>
        <v>1.270823984487657</v>
      </c>
      <c r="BN492" s="125">
        <f t="shared" si="18"/>
        <v>1.2886155202704841</v>
      </c>
      <c r="BO492" s="125">
        <f t="shared" si="18"/>
        <v>1.3027902909934592</v>
      </c>
      <c r="BP492" s="125">
        <f t="shared" si="18"/>
        <v>1.3444795803052501</v>
      </c>
      <c r="BQ492" s="125">
        <f t="shared" si="18"/>
        <v>1.3485130190461656</v>
      </c>
      <c r="BR492" s="125">
        <f t="shared" si="19"/>
        <v>1.368740714331858</v>
      </c>
      <c r="BS492" s="125">
        <f t="shared" si="19"/>
        <v>1.4043279729044862</v>
      </c>
      <c r="BT492" s="125">
        <f t="shared" si="19"/>
        <v>1.4366275162812892</v>
      </c>
      <c r="BU492" s="125">
        <f t="shared" si="19"/>
        <v>1.4768530867371652</v>
      </c>
      <c r="BV492" s="125">
        <f t="shared" si="19"/>
        <v>1.4916216176045369</v>
      </c>
      <c r="BW492" s="125">
        <f t="shared" si="19"/>
        <v>1.5035545905453733</v>
      </c>
      <c r="BX492" s="125">
        <f t="shared" si="19"/>
        <v>1.5065616997264641</v>
      </c>
      <c r="BY492" s="125">
        <f t="shared" si="19"/>
        <v>1.5276535635226347</v>
      </c>
      <c r="BZ492" s="125">
        <f t="shared" si="19"/>
        <v>1.5459854062849063</v>
      </c>
      <c r="CA492" s="125">
        <f t="shared" si="19"/>
        <v>1.5861810268483139</v>
      </c>
      <c r="CB492" s="125">
        <f t="shared" si="19"/>
        <v>1.611559923277887</v>
      </c>
      <c r="CC492" s="125">
        <f t="shared" si="17"/>
        <v>1.6405680018968889</v>
      </c>
      <c r="CD492" s="125">
        <f t="shared" si="17"/>
        <v>1.742283218014496</v>
      </c>
      <c r="CE492" s="125">
        <f t="shared" si="17"/>
        <v>1.8816658754556559</v>
      </c>
      <c r="CF492" s="125">
        <f t="shared" si="16"/>
        <v>1.9136541953384019</v>
      </c>
      <c r="CG492" s="125">
        <f t="shared" si="16"/>
        <v>1.9461863166591544</v>
      </c>
    </row>
    <row r="493" spans="1:85">
      <c r="A493" s="3"/>
      <c r="B493" s="123">
        <v>1997</v>
      </c>
      <c r="C493" s="3"/>
      <c r="D493" s="3"/>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4">
        <v>1</v>
      </c>
      <c r="BE493" s="125">
        <f t="shared" si="18"/>
        <v>1.026</v>
      </c>
      <c r="BF493" s="125">
        <f t="shared" si="18"/>
        <v>1.043442</v>
      </c>
      <c r="BG493" s="125">
        <f t="shared" si="18"/>
        <v>1.070571492</v>
      </c>
      <c r="BH493" s="125">
        <f t="shared" si="18"/>
        <v>1.0973357792999998</v>
      </c>
      <c r="BI493" s="125">
        <f t="shared" si="18"/>
        <v>1.1489105609270998</v>
      </c>
      <c r="BJ493" s="125">
        <f t="shared" si="18"/>
        <v>1.186824609437694</v>
      </c>
      <c r="BK493" s="125">
        <f t="shared" si="18"/>
        <v>1.2117479262358855</v>
      </c>
      <c r="BL493" s="125">
        <f t="shared" si="18"/>
        <v>1.22507715342448</v>
      </c>
      <c r="BM493" s="125">
        <f t="shared" si="18"/>
        <v>1.2471285421861207</v>
      </c>
      <c r="BN493" s="125">
        <f t="shared" si="18"/>
        <v>1.2645883417767263</v>
      </c>
      <c r="BO493" s="125">
        <f t="shared" si="18"/>
        <v>1.2784988135362703</v>
      </c>
      <c r="BP493" s="125">
        <f t="shared" si="18"/>
        <v>1.3194107755694309</v>
      </c>
      <c r="BQ493" s="125">
        <f t="shared" si="18"/>
        <v>1.3233690078961391</v>
      </c>
      <c r="BR493" s="125">
        <f t="shared" si="19"/>
        <v>1.343219543014581</v>
      </c>
      <c r="BS493" s="125">
        <f t="shared" si="19"/>
        <v>1.3781432511329601</v>
      </c>
      <c r="BT493" s="125">
        <f t="shared" si="19"/>
        <v>1.409840545909018</v>
      </c>
      <c r="BU493" s="125">
        <f t="shared" si="19"/>
        <v>1.4493160811944705</v>
      </c>
      <c r="BV493" s="125">
        <f t="shared" si="19"/>
        <v>1.4638092420064153</v>
      </c>
      <c r="BW493" s="125">
        <f t="shared" si="19"/>
        <v>1.4755197159424667</v>
      </c>
      <c r="BX493" s="125">
        <f t="shared" si="19"/>
        <v>1.4784707553743517</v>
      </c>
      <c r="BY493" s="125">
        <f t="shared" si="19"/>
        <v>1.4991693459495927</v>
      </c>
      <c r="BZ493" s="125">
        <f t="shared" si="19"/>
        <v>1.5171593781009878</v>
      </c>
      <c r="CA493" s="125">
        <f t="shared" si="19"/>
        <v>1.5566055219316135</v>
      </c>
      <c r="CB493" s="125">
        <f t="shared" si="19"/>
        <v>1.5815112102825193</v>
      </c>
      <c r="CC493" s="125">
        <f t="shared" si="17"/>
        <v>1.6099784120676046</v>
      </c>
      <c r="CD493" s="125">
        <f t="shared" si="17"/>
        <v>1.7097970736157961</v>
      </c>
      <c r="CE493" s="125">
        <f t="shared" si="17"/>
        <v>1.84658083950506</v>
      </c>
      <c r="CF493" s="125">
        <f t="shared" si="16"/>
        <v>1.8779727137766458</v>
      </c>
      <c r="CG493" s="125">
        <f t="shared" si="16"/>
        <v>1.9098982499108486</v>
      </c>
    </row>
    <row r="494" spans="1:85">
      <c r="A494" s="3"/>
      <c r="B494" s="123">
        <v>1998</v>
      </c>
      <c r="C494" s="3"/>
      <c r="D494" s="3"/>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4">
        <v>1</v>
      </c>
      <c r="BF494" s="125">
        <f t="shared" si="18"/>
        <v>1.0169999999999999</v>
      </c>
      <c r="BG494" s="125">
        <f t="shared" si="18"/>
        <v>1.043442</v>
      </c>
      <c r="BH494" s="125">
        <f t="shared" si="18"/>
        <v>1.06952805</v>
      </c>
      <c r="BI494" s="125">
        <f t="shared" si="18"/>
        <v>1.1197958683499998</v>
      </c>
      <c r="BJ494" s="125">
        <f t="shared" si="18"/>
        <v>1.1567491320055496</v>
      </c>
      <c r="BK494" s="125">
        <f t="shared" si="18"/>
        <v>1.1810408637776662</v>
      </c>
      <c r="BL494" s="125">
        <f t="shared" si="18"/>
        <v>1.1940323132792203</v>
      </c>
      <c r="BM494" s="125">
        <f t="shared" si="18"/>
        <v>1.2155248949182462</v>
      </c>
      <c r="BN494" s="125">
        <f t="shared" si="18"/>
        <v>1.2325422434471016</v>
      </c>
      <c r="BO494" s="125">
        <f t="shared" si="18"/>
        <v>1.2461002081250196</v>
      </c>
      <c r="BP494" s="125">
        <f t="shared" si="18"/>
        <v>1.2859754147850204</v>
      </c>
      <c r="BQ494" s="125">
        <f t="shared" si="18"/>
        <v>1.2898333410293754</v>
      </c>
      <c r="BR494" s="125">
        <f t="shared" si="19"/>
        <v>1.3091808411448158</v>
      </c>
      <c r="BS494" s="125">
        <f t="shared" si="19"/>
        <v>1.343219543014581</v>
      </c>
      <c r="BT494" s="125">
        <f t="shared" si="19"/>
        <v>1.3741135925039163</v>
      </c>
      <c r="BU494" s="125">
        <f t="shared" si="19"/>
        <v>1.4125887730940261</v>
      </c>
      <c r="BV494" s="125">
        <f t="shared" si="19"/>
        <v>1.4267146608249663</v>
      </c>
      <c r="BW494" s="125">
        <f t="shared" si="19"/>
        <v>1.4381283781115661</v>
      </c>
      <c r="BX494" s="125">
        <f t="shared" si="19"/>
        <v>1.4410046348677892</v>
      </c>
      <c r="BY494" s="125">
        <f t="shared" si="19"/>
        <v>1.4611786997559382</v>
      </c>
      <c r="BZ494" s="125">
        <f t="shared" si="19"/>
        <v>1.4787128441530095</v>
      </c>
      <c r="CA494" s="125">
        <f t="shared" si="19"/>
        <v>1.5171593781009878</v>
      </c>
      <c r="CB494" s="125">
        <f t="shared" si="19"/>
        <v>1.5414339281506035</v>
      </c>
      <c r="CC494" s="125">
        <f t="shared" si="17"/>
        <v>1.5691797388573143</v>
      </c>
      <c r="CD494" s="125">
        <f t="shared" si="17"/>
        <v>1.666468882666468</v>
      </c>
      <c r="CE494" s="125">
        <f t="shared" si="17"/>
        <v>1.7997863932797855</v>
      </c>
      <c r="CF494" s="125">
        <f t="shared" si="16"/>
        <v>1.8303827619655417</v>
      </c>
      <c r="CG494" s="125">
        <f t="shared" si="16"/>
        <v>1.8614992689189558</v>
      </c>
    </row>
    <row r="495" spans="1:85">
      <c r="A495" s="3"/>
      <c r="B495" s="123">
        <v>1999</v>
      </c>
      <c r="C495" s="3"/>
      <c r="D495" s="3"/>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4">
        <v>1</v>
      </c>
      <c r="BG495" s="125">
        <f t="shared" si="18"/>
        <v>1.026</v>
      </c>
      <c r="BH495" s="125">
        <f t="shared" si="18"/>
        <v>1.05165</v>
      </c>
      <c r="BI495" s="125">
        <f t="shared" si="18"/>
        <v>1.1010775499999998</v>
      </c>
      <c r="BJ495" s="125">
        <f t="shared" si="18"/>
        <v>1.1374131091499997</v>
      </c>
      <c r="BK495" s="125">
        <f t="shared" si="18"/>
        <v>1.1612987844421496</v>
      </c>
      <c r="BL495" s="125">
        <f t="shared" si="18"/>
        <v>1.1740730710710132</v>
      </c>
      <c r="BM495" s="125">
        <f t="shared" si="18"/>
        <v>1.1952063863502915</v>
      </c>
      <c r="BN495" s="125">
        <f t="shared" si="18"/>
        <v>1.2119392757591956</v>
      </c>
      <c r="BO495" s="125">
        <f t="shared" si="18"/>
        <v>1.2252706077925466</v>
      </c>
      <c r="BP495" s="125">
        <f t="shared" si="18"/>
        <v>1.2644792672419081</v>
      </c>
      <c r="BQ495" s="125">
        <f t="shared" si="18"/>
        <v>1.2682727050436338</v>
      </c>
      <c r="BR495" s="125">
        <f t="shared" si="19"/>
        <v>1.2872967956192882</v>
      </c>
      <c r="BS495" s="125">
        <f t="shared" si="19"/>
        <v>1.3207665123053898</v>
      </c>
      <c r="BT495" s="125">
        <f t="shared" si="19"/>
        <v>1.3511441420884136</v>
      </c>
      <c r="BU495" s="125">
        <f t="shared" si="19"/>
        <v>1.3889761780668892</v>
      </c>
      <c r="BV495" s="125">
        <f t="shared" si="19"/>
        <v>1.402865939847558</v>
      </c>
      <c r="BW495" s="125">
        <f t="shared" si="19"/>
        <v>1.4140888673663385</v>
      </c>
      <c r="BX495" s="125">
        <f t="shared" si="19"/>
        <v>1.4169170451010713</v>
      </c>
      <c r="BY495" s="125">
        <f t="shared" si="19"/>
        <v>1.4367538837324862</v>
      </c>
      <c r="BZ495" s="125">
        <f t="shared" si="19"/>
        <v>1.4539949303372761</v>
      </c>
      <c r="CA495" s="125">
        <f t="shared" si="19"/>
        <v>1.4917987985260452</v>
      </c>
      <c r="CB495" s="125">
        <f t="shared" si="19"/>
        <v>1.5156675793024621</v>
      </c>
      <c r="CC495" s="125">
        <f t="shared" si="17"/>
        <v>1.5429495957299064</v>
      </c>
      <c r="CD495" s="125">
        <f t="shared" si="17"/>
        <v>1.6386124706651608</v>
      </c>
      <c r="CE495" s="125">
        <f t="shared" si="17"/>
        <v>1.7697014683183738</v>
      </c>
      <c r="CF495" s="125">
        <f t="shared" si="16"/>
        <v>1.799786393279786</v>
      </c>
      <c r="CG495" s="125">
        <f t="shared" si="16"/>
        <v>1.8303827619655422</v>
      </c>
    </row>
    <row r="496" spans="1:85">
      <c r="A496" s="3"/>
      <c r="B496" s="123">
        <v>2000</v>
      </c>
      <c r="C496" s="3"/>
      <c r="D496" s="3"/>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4">
        <v>1</v>
      </c>
      <c r="BH496" s="125">
        <f t="shared" si="18"/>
        <v>1.0249999999999999</v>
      </c>
      <c r="BI496" s="125">
        <f t="shared" si="18"/>
        <v>1.0731749999999998</v>
      </c>
      <c r="BJ496" s="125">
        <f t="shared" si="18"/>
        <v>1.1085897749999998</v>
      </c>
      <c r="BK496" s="125">
        <f t="shared" si="18"/>
        <v>1.1318701602749996</v>
      </c>
      <c r="BL496" s="125">
        <f t="shared" si="18"/>
        <v>1.1443207320380244</v>
      </c>
      <c r="BM496" s="125">
        <f t="shared" si="18"/>
        <v>1.1649185052147089</v>
      </c>
      <c r="BN496" s="125">
        <f t="shared" si="18"/>
        <v>1.1812273642877147</v>
      </c>
      <c r="BO496" s="125">
        <f t="shared" si="18"/>
        <v>1.1942208652948794</v>
      </c>
      <c r="BP496" s="125">
        <f t="shared" si="18"/>
        <v>1.2324359329843155</v>
      </c>
      <c r="BQ496" s="125">
        <f t="shared" si="18"/>
        <v>1.2361332407832684</v>
      </c>
      <c r="BR496" s="125">
        <f t="shared" si="19"/>
        <v>1.2546752393950173</v>
      </c>
      <c r="BS496" s="125">
        <f t="shared" si="19"/>
        <v>1.2872967956192878</v>
      </c>
      <c r="BT496" s="125">
        <f t="shared" si="19"/>
        <v>1.3169046219185312</v>
      </c>
      <c r="BU496" s="125">
        <f t="shared" si="19"/>
        <v>1.3537779513322501</v>
      </c>
      <c r="BV496" s="125">
        <f t="shared" si="19"/>
        <v>1.3673157308455726</v>
      </c>
      <c r="BW496" s="125">
        <f t="shared" si="19"/>
        <v>1.3782542566923373</v>
      </c>
      <c r="BX496" s="125">
        <f t="shared" si="19"/>
        <v>1.381010765205722</v>
      </c>
      <c r="BY496" s="125">
        <f t="shared" si="19"/>
        <v>1.4003449159186021</v>
      </c>
      <c r="BZ496" s="125">
        <f t="shared" si="19"/>
        <v>1.4171490549096253</v>
      </c>
      <c r="CA496" s="125">
        <f t="shared" si="19"/>
        <v>1.4539949303372757</v>
      </c>
      <c r="CB496" s="125">
        <f t="shared" si="19"/>
        <v>1.4772588492226721</v>
      </c>
      <c r="CC496" s="125">
        <f t="shared" si="17"/>
        <v>1.5038495085086803</v>
      </c>
      <c r="CD496" s="125">
        <f t="shared" si="17"/>
        <v>1.5970881780362185</v>
      </c>
      <c r="CE496" s="125">
        <f t="shared" si="17"/>
        <v>1.7248552322791162</v>
      </c>
      <c r="CF496" s="125">
        <f t="shared" si="16"/>
        <v>1.754177771227861</v>
      </c>
      <c r="CG496" s="125">
        <f t="shared" si="16"/>
        <v>1.7839987933387345</v>
      </c>
    </row>
    <row r="497" spans="1:85">
      <c r="A497" s="3"/>
      <c r="B497" s="123">
        <v>2001</v>
      </c>
      <c r="C497" s="3"/>
      <c r="D497" s="3"/>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4">
        <v>1</v>
      </c>
      <c r="BI497" s="125">
        <f t="shared" si="18"/>
        <v>1.0469999999999999</v>
      </c>
      <c r="BJ497" s="125">
        <f t="shared" si="18"/>
        <v>1.0815509999999999</v>
      </c>
      <c r="BK497" s="125">
        <f t="shared" si="18"/>
        <v>1.1042635709999997</v>
      </c>
      <c r="BL497" s="125">
        <f t="shared" si="18"/>
        <v>1.1164104702809996</v>
      </c>
      <c r="BM497" s="125">
        <f t="shared" si="18"/>
        <v>1.1365058587460577</v>
      </c>
      <c r="BN497" s="125">
        <f t="shared" si="18"/>
        <v>1.1524169407685025</v>
      </c>
      <c r="BO497" s="125">
        <f t="shared" si="18"/>
        <v>1.165093527116956</v>
      </c>
      <c r="BP497" s="125">
        <f t="shared" si="18"/>
        <v>1.2023765199846987</v>
      </c>
      <c r="BQ497" s="125">
        <f t="shared" si="18"/>
        <v>1.2059836495446528</v>
      </c>
      <c r="BR497" s="125">
        <f t="shared" si="19"/>
        <v>1.2240734042878225</v>
      </c>
      <c r="BS497" s="125">
        <f t="shared" si="19"/>
        <v>1.2558993127993059</v>
      </c>
      <c r="BT497" s="125">
        <f t="shared" si="19"/>
        <v>1.2847849969936898</v>
      </c>
      <c r="BU497" s="125">
        <f t="shared" si="19"/>
        <v>1.3207589769095132</v>
      </c>
      <c r="BV497" s="125">
        <f t="shared" si="19"/>
        <v>1.3339665666786082</v>
      </c>
      <c r="BW497" s="125">
        <f t="shared" si="19"/>
        <v>1.3446382992120371</v>
      </c>
      <c r="BX497" s="125">
        <f t="shared" si="19"/>
        <v>1.3473275758104613</v>
      </c>
      <c r="BY497" s="125">
        <f t="shared" si="19"/>
        <v>1.3661901618718078</v>
      </c>
      <c r="BZ497" s="125">
        <f t="shared" si="19"/>
        <v>1.3825844438142694</v>
      </c>
      <c r="CA497" s="125">
        <f t="shared" si="19"/>
        <v>1.4185316393534404</v>
      </c>
      <c r="CB497" s="125">
        <f t="shared" si="19"/>
        <v>1.4412281455830955</v>
      </c>
      <c r="CC497" s="125">
        <f t="shared" si="17"/>
        <v>1.4671702522035912</v>
      </c>
      <c r="CD497" s="125">
        <f t="shared" si="17"/>
        <v>1.558134807840214</v>
      </c>
      <c r="CE497" s="125">
        <f t="shared" si="17"/>
        <v>1.6827855924674311</v>
      </c>
      <c r="CF497" s="125">
        <f t="shared" si="16"/>
        <v>1.7113929475393772</v>
      </c>
      <c r="CG497" s="125">
        <f t="shared" si="16"/>
        <v>1.7404866276475464</v>
      </c>
    </row>
    <row r="498" spans="1:85">
      <c r="A498" s="3"/>
      <c r="B498" s="123">
        <v>2002</v>
      </c>
      <c r="C498" s="3"/>
      <c r="D498" s="3"/>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4">
        <v>1</v>
      </c>
      <c r="BJ498" s="125">
        <f t="shared" si="18"/>
        <v>1.0329999999999999</v>
      </c>
      <c r="BK498" s="125">
        <f t="shared" si="18"/>
        <v>1.0546929999999999</v>
      </c>
      <c r="BL498" s="125">
        <f t="shared" si="18"/>
        <v>1.0662946229999997</v>
      </c>
      <c r="BM498" s="125">
        <f t="shared" si="18"/>
        <v>1.0854879262139996</v>
      </c>
      <c r="BN498" s="125">
        <f t="shared" si="18"/>
        <v>1.1006847571809957</v>
      </c>
      <c r="BO498" s="125">
        <f t="shared" si="18"/>
        <v>1.1127922895099864</v>
      </c>
      <c r="BP498" s="125">
        <f t="shared" si="18"/>
        <v>1.148401642774306</v>
      </c>
      <c r="BQ498" s="125">
        <f t="shared" si="18"/>
        <v>1.1518468477026289</v>
      </c>
      <c r="BR498" s="125">
        <f t="shared" si="19"/>
        <v>1.1691245504181682</v>
      </c>
      <c r="BS498" s="125">
        <f t="shared" si="19"/>
        <v>1.1995217887290406</v>
      </c>
      <c r="BT498" s="125">
        <f t="shared" si="19"/>
        <v>1.2271107898698084</v>
      </c>
      <c r="BU498" s="125">
        <f t="shared" si="19"/>
        <v>1.2614698919861631</v>
      </c>
      <c r="BV498" s="125">
        <f t="shared" si="19"/>
        <v>1.2740845909060248</v>
      </c>
      <c r="BW498" s="125">
        <f t="shared" si="19"/>
        <v>1.284277267633273</v>
      </c>
      <c r="BX498" s="125">
        <f t="shared" si="19"/>
        <v>1.2868458221685395</v>
      </c>
      <c r="BY498" s="125">
        <f t="shared" si="19"/>
        <v>1.304861663678899</v>
      </c>
      <c r="BZ498" s="125">
        <f t="shared" si="19"/>
        <v>1.3205200036430458</v>
      </c>
      <c r="CA498" s="125">
        <f t="shared" si="19"/>
        <v>1.354853523737765</v>
      </c>
      <c r="CB498" s="125">
        <f t="shared" si="19"/>
        <v>1.3765311801175693</v>
      </c>
      <c r="CC498" s="125">
        <f t="shared" si="17"/>
        <v>1.4013087413596854</v>
      </c>
      <c r="CD498" s="125">
        <f t="shared" si="17"/>
        <v>1.4881898833239859</v>
      </c>
      <c r="CE498" s="125">
        <f t="shared" si="17"/>
        <v>1.6072450739899049</v>
      </c>
      <c r="CF498" s="125">
        <f t="shared" si="16"/>
        <v>1.6345682402477331</v>
      </c>
      <c r="CG498" s="125">
        <f t="shared" si="16"/>
        <v>1.6623559003319444</v>
      </c>
    </row>
    <row r="499" spans="1:85">
      <c r="A499" s="3"/>
      <c r="B499" s="123">
        <v>2003</v>
      </c>
      <c r="C499" s="3"/>
      <c r="D499" s="3"/>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4">
        <v>1</v>
      </c>
      <c r="BK499" s="125">
        <f t="shared" si="18"/>
        <v>1.0209999999999999</v>
      </c>
      <c r="BL499" s="125">
        <f t="shared" si="18"/>
        <v>1.0322309999999999</v>
      </c>
      <c r="BM499" s="125">
        <f t="shared" si="18"/>
        <v>1.0508111579999999</v>
      </c>
      <c r="BN499" s="125">
        <f t="shared" si="18"/>
        <v>1.0655225142119999</v>
      </c>
      <c r="BO499" s="125">
        <f t="shared" si="18"/>
        <v>1.0772432618683319</v>
      </c>
      <c r="BP499" s="125">
        <f t="shared" si="18"/>
        <v>1.1117150462481185</v>
      </c>
      <c r="BQ499" s="125">
        <f t="shared" si="18"/>
        <v>1.1150501913868627</v>
      </c>
      <c r="BR499" s="125">
        <f t="shared" si="19"/>
        <v>1.1317759442576656</v>
      </c>
      <c r="BS499" s="125">
        <f t="shared" si="19"/>
        <v>1.161202118808365</v>
      </c>
      <c r="BT499" s="125">
        <f t="shared" si="19"/>
        <v>1.1879097675409573</v>
      </c>
      <c r="BU499" s="125">
        <f t="shared" si="19"/>
        <v>1.2211712410321043</v>
      </c>
      <c r="BV499" s="125">
        <f t="shared" si="19"/>
        <v>1.2333829534424254</v>
      </c>
      <c r="BW499" s="125">
        <f t="shared" si="19"/>
        <v>1.2432500170699647</v>
      </c>
      <c r="BX499" s="125">
        <f t="shared" si="19"/>
        <v>1.2457365171041046</v>
      </c>
      <c r="BY499" s="125">
        <f t="shared" si="19"/>
        <v>1.263176828343562</v>
      </c>
      <c r="BZ499" s="125">
        <f t="shared" si="19"/>
        <v>1.2783349502836847</v>
      </c>
      <c r="CA499" s="125">
        <f t="shared" si="19"/>
        <v>1.3115716589910607</v>
      </c>
      <c r="CB499" s="125">
        <f t="shared" si="19"/>
        <v>1.3325568055349177</v>
      </c>
      <c r="CC499" s="125">
        <f t="shared" si="17"/>
        <v>1.3565428280345462</v>
      </c>
      <c r="CD499" s="125">
        <f t="shared" si="17"/>
        <v>1.440648483372688</v>
      </c>
      <c r="CE499" s="125">
        <f t="shared" si="17"/>
        <v>1.5559003620425031</v>
      </c>
      <c r="CF499" s="125">
        <f t="shared" si="16"/>
        <v>1.5823506681972255</v>
      </c>
      <c r="CG499" s="125">
        <f t="shared" si="16"/>
        <v>1.609250629556578</v>
      </c>
    </row>
    <row r="500" spans="1:85">
      <c r="A500" s="3"/>
      <c r="B500" s="123">
        <v>2004</v>
      </c>
      <c r="C500" s="3"/>
      <c r="D500" s="3"/>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4">
        <v>1</v>
      </c>
      <c r="BL500" s="125">
        <f t="shared" si="18"/>
        <v>1.0109999999999999</v>
      </c>
      <c r="BM500" s="125">
        <f t="shared" si="18"/>
        <v>1.0291979999999998</v>
      </c>
      <c r="BN500" s="125">
        <f t="shared" si="18"/>
        <v>1.0436067719999997</v>
      </c>
      <c r="BO500" s="125">
        <f t="shared" si="18"/>
        <v>1.0550864464919996</v>
      </c>
      <c r="BP500" s="125">
        <f t="shared" si="18"/>
        <v>1.0888492127797436</v>
      </c>
      <c r="BQ500" s="125">
        <f t="shared" si="18"/>
        <v>1.0921157604180827</v>
      </c>
      <c r="BR500" s="125">
        <f t="shared" si="19"/>
        <v>1.1084974968243537</v>
      </c>
      <c r="BS500" s="125">
        <f t="shared" si="19"/>
        <v>1.137318431741787</v>
      </c>
      <c r="BT500" s="125">
        <f t="shared" si="19"/>
        <v>1.1634767556718479</v>
      </c>
      <c r="BU500" s="125">
        <f t="shared" si="19"/>
        <v>1.1960541048306597</v>
      </c>
      <c r="BV500" s="125">
        <f t="shared" si="19"/>
        <v>1.2080146458789662</v>
      </c>
      <c r="BW500" s="125">
        <f t="shared" si="19"/>
        <v>1.217678763045998</v>
      </c>
      <c r="BX500" s="125">
        <f t="shared" si="19"/>
        <v>1.22011412057209</v>
      </c>
      <c r="BY500" s="125">
        <f t="shared" si="19"/>
        <v>1.2371957182600992</v>
      </c>
      <c r="BZ500" s="125">
        <f t="shared" si="19"/>
        <v>1.2520420668792205</v>
      </c>
      <c r="CA500" s="125">
        <f t="shared" si="19"/>
        <v>1.2845951606180803</v>
      </c>
      <c r="CB500" s="125">
        <f t="shared" si="19"/>
        <v>1.3051486831879697</v>
      </c>
      <c r="CC500" s="125">
        <f t="shared" si="17"/>
        <v>1.3286413594853532</v>
      </c>
      <c r="CD500" s="125">
        <f t="shared" si="17"/>
        <v>1.4110171237734452</v>
      </c>
      <c r="CE500" s="125">
        <f t="shared" si="17"/>
        <v>1.523898493675321</v>
      </c>
      <c r="CF500" s="125">
        <f t="shared" si="16"/>
        <v>1.5498047680678013</v>
      </c>
      <c r="CG500" s="125">
        <f t="shared" si="16"/>
        <v>1.5761514491249538</v>
      </c>
    </row>
    <row r="501" spans="1:85">
      <c r="A501" s="3"/>
      <c r="B501" s="123">
        <v>2005</v>
      </c>
      <c r="C501" s="3"/>
      <c r="D501" s="3"/>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4">
        <v>1</v>
      </c>
      <c r="BM501" s="125">
        <f t="shared" si="18"/>
        <v>1.018</v>
      </c>
      <c r="BN501" s="125">
        <f t="shared" si="18"/>
        <v>1.0322519999999999</v>
      </c>
      <c r="BO501" s="125">
        <f t="shared" si="18"/>
        <v>1.0436067719999997</v>
      </c>
      <c r="BP501" s="125">
        <f t="shared" si="18"/>
        <v>1.0770021887039998</v>
      </c>
      <c r="BQ501" s="125">
        <f t="shared" si="18"/>
        <v>1.0802331952701116</v>
      </c>
      <c r="BR501" s="125">
        <f t="shared" si="19"/>
        <v>1.0964366931991631</v>
      </c>
      <c r="BS501" s="125">
        <f t="shared" si="19"/>
        <v>1.1249440472223413</v>
      </c>
      <c r="BT501" s="125">
        <f t="shared" si="19"/>
        <v>1.1508177603084551</v>
      </c>
      <c r="BU501" s="125">
        <f t="shared" si="19"/>
        <v>1.1830406575970918</v>
      </c>
      <c r="BV501" s="125">
        <f t="shared" si="19"/>
        <v>1.1948710641730627</v>
      </c>
      <c r="BW501" s="125">
        <f t="shared" si="19"/>
        <v>1.2044300326864472</v>
      </c>
      <c r="BX501" s="125">
        <f t="shared" si="19"/>
        <v>1.2068388927518201</v>
      </c>
      <c r="BY501" s="125">
        <f t="shared" si="19"/>
        <v>1.2237346372503457</v>
      </c>
      <c r="BZ501" s="125">
        <f t="shared" si="19"/>
        <v>1.2384194528973498</v>
      </c>
      <c r="CA501" s="125">
        <f t="shared" si="19"/>
        <v>1.2706183586726809</v>
      </c>
      <c r="CB501" s="125">
        <f t="shared" si="19"/>
        <v>1.2909482524114437</v>
      </c>
      <c r="CC501" s="125">
        <f t="shared" si="17"/>
        <v>1.3141853209548497</v>
      </c>
      <c r="CD501" s="125">
        <f t="shared" si="17"/>
        <v>1.3956648108540506</v>
      </c>
      <c r="CE501" s="125">
        <f t="shared" si="17"/>
        <v>1.5073179957223748</v>
      </c>
      <c r="CF501" s="125">
        <f t="shared" si="16"/>
        <v>1.5329424016496551</v>
      </c>
      <c r="CG501" s="125">
        <f t="shared" si="16"/>
        <v>1.559002422477699</v>
      </c>
    </row>
    <row r="502" spans="1:85">
      <c r="A502" s="3"/>
      <c r="B502" s="123">
        <v>2006</v>
      </c>
      <c r="C502" s="3"/>
      <c r="D502" s="3"/>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4">
        <v>1</v>
      </c>
      <c r="BN502" s="125">
        <f t="shared" si="18"/>
        <v>1.014</v>
      </c>
      <c r="BO502" s="125">
        <f t="shared" si="18"/>
        <v>1.0251539999999999</v>
      </c>
      <c r="BP502" s="125">
        <f t="shared" si="18"/>
        <v>1.0579589279999999</v>
      </c>
      <c r="BQ502" s="125">
        <f t="shared" si="18"/>
        <v>1.0611328047839999</v>
      </c>
      <c r="BR502" s="125">
        <f t="shared" si="19"/>
        <v>1.0770497968557597</v>
      </c>
      <c r="BS502" s="125">
        <f t="shared" si="19"/>
        <v>1.1050530915740095</v>
      </c>
      <c r="BT502" s="125">
        <f t="shared" si="19"/>
        <v>1.1304693126802117</v>
      </c>
      <c r="BU502" s="125">
        <f t="shared" si="19"/>
        <v>1.1621224534352577</v>
      </c>
      <c r="BV502" s="125">
        <f t="shared" si="19"/>
        <v>1.1737436779696102</v>
      </c>
      <c r="BW502" s="125">
        <f t="shared" si="19"/>
        <v>1.183133627393367</v>
      </c>
      <c r="BX502" s="125">
        <f t="shared" si="19"/>
        <v>1.1854998946481539</v>
      </c>
      <c r="BY502" s="125">
        <f t="shared" si="19"/>
        <v>1.2020968931732281</v>
      </c>
      <c r="BZ502" s="125">
        <f t="shared" si="19"/>
        <v>1.2165220558913068</v>
      </c>
      <c r="CA502" s="125">
        <f t="shared" si="19"/>
        <v>1.2481516293444808</v>
      </c>
      <c r="CB502" s="125">
        <f t="shared" si="19"/>
        <v>1.2681220554139925</v>
      </c>
      <c r="CC502" s="125">
        <f t="shared" si="17"/>
        <v>1.2909482524114444</v>
      </c>
      <c r="CD502" s="125">
        <f t="shared" si="17"/>
        <v>1.370987044060954</v>
      </c>
      <c r="CE502" s="125">
        <f t="shared" si="17"/>
        <v>1.4806660075858304</v>
      </c>
      <c r="CF502" s="125">
        <f t="shared" si="16"/>
        <v>1.5058373297147893</v>
      </c>
      <c r="CG502" s="125">
        <f t="shared" si="16"/>
        <v>1.5314365643199406</v>
      </c>
    </row>
    <row r="503" spans="1:85">
      <c r="A503" s="3"/>
      <c r="B503" s="123">
        <v>2007</v>
      </c>
      <c r="C503" s="3"/>
      <c r="D503" s="3"/>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4">
        <v>1</v>
      </c>
      <c r="BO503" s="125">
        <f t="shared" si="18"/>
        <v>1.0109999999999999</v>
      </c>
      <c r="BP503" s="125">
        <f t="shared" si="18"/>
        <v>1.0433519999999998</v>
      </c>
      <c r="BQ503" s="125">
        <f t="shared" si="18"/>
        <v>1.0464820559999997</v>
      </c>
      <c r="BR503" s="125">
        <f t="shared" si="19"/>
        <v>1.0621792868399995</v>
      </c>
      <c r="BS503" s="125">
        <f t="shared" si="19"/>
        <v>1.0897959482978394</v>
      </c>
      <c r="BT503" s="125">
        <f t="shared" si="19"/>
        <v>1.1148612551086896</v>
      </c>
      <c r="BU503" s="125">
        <f t="shared" si="19"/>
        <v>1.1460773702517328</v>
      </c>
      <c r="BV503" s="125">
        <f t="shared" si="19"/>
        <v>1.1575381439542503</v>
      </c>
      <c r="BW503" s="125">
        <f t="shared" si="19"/>
        <v>1.1667984491058843</v>
      </c>
      <c r="BX503" s="125">
        <f t="shared" si="19"/>
        <v>1.1691320460040959</v>
      </c>
      <c r="BY503" s="125">
        <f t="shared" si="19"/>
        <v>1.1854998946481532</v>
      </c>
      <c r="BZ503" s="125">
        <f t="shared" si="19"/>
        <v>1.199725893383931</v>
      </c>
      <c r="CA503" s="125">
        <f t="shared" si="19"/>
        <v>1.2309187666119132</v>
      </c>
      <c r="CB503" s="125">
        <f t="shared" si="19"/>
        <v>1.2506134668777038</v>
      </c>
      <c r="CC503" s="125">
        <f t="shared" si="17"/>
        <v>1.2731245092815024</v>
      </c>
      <c r="CD503" s="125">
        <f t="shared" si="17"/>
        <v>1.3520582288569556</v>
      </c>
      <c r="CE503" s="125">
        <f t="shared" si="17"/>
        <v>1.4602228871655121</v>
      </c>
      <c r="CF503" s="125">
        <f t="shared" si="16"/>
        <v>1.4850466762473256</v>
      </c>
      <c r="CG503" s="125">
        <f t="shared" si="16"/>
        <v>1.51029246974353</v>
      </c>
    </row>
    <row r="504" spans="1:85">
      <c r="A504" s="3"/>
      <c r="B504" s="123">
        <v>2008</v>
      </c>
      <c r="C504" s="3"/>
      <c r="D504" s="3"/>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4">
        <v>1</v>
      </c>
      <c r="BP504" s="125">
        <f t="shared" si="18"/>
        <v>1.032</v>
      </c>
      <c r="BQ504" s="125">
        <f t="shared" si="18"/>
        <v>1.035096</v>
      </c>
      <c r="BR504" s="125">
        <f t="shared" si="19"/>
        <v>1.0506224399999999</v>
      </c>
      <c r="BS504" s="125">
        <f t="shared" si="19"/>
        <v>1.0779386234399999</v>
      </c>
      <c r="BT504" s="125">
        <f t="shared" si="19"/>
        <v>1.1027312117791197</v>
      </c>
      <c r="BU504" s="125">
        <f t="shared" si="19"/>
        <v>1.133607685708935</v>
      </c>
      <c r="BV504" s="125">
        <f t="shared" si="19"/>
        <v>1.1449437625660244</v>
      </c>
      <c r="BW504" s="125">
        <f t="shared" si="19"/>
        <v>1.1541033126665525</v>
      </c>
      <c r="BX504" s="125">
        <f t="shared" si="19"/>
        <v>1.1564115192918856</v>
      </c>
      <c r="BY504" s="125">
        <f t="shared" si="19"/>
        <v>1.1726012805619719</v>
      </c>
      <c r="BZ504" s="125">
        <f t="shared" si="19"/>
        <v>1.1866724959287156</v>
      </c>
      <c r="CA504" s="125">
        <f t="shared" si="19"/>
        <v>1.2175259808228622</v>
      </c>
      <c r="CB504" s="125">
        <f t="shared" si="19"/>
        <v>1.2370063965160281</v>
      </c>
      <c r="CC504" s="125">
        <f t="shared" si="17"/>
        <v>1.2592725116533166</v>
      </c>
      <c r="CD504" s="125">
        <f t="shared" si="17"/>
        <v>1.3373474073758223</v>
      </c>
      <c r="CE504" s="125">
        <f t="shared" si="17"/>
        <v>1.4443351999658882</v>
      </c>
      <c r="CF504" s="125">
        <f t="shared" si="16"/>
        <v>1.4688888983653081</v>
      </c>
      <c r="CG504" s="125">
        <f t="shared" si="16"/>
        <v>1.4938600096375183</v>
      </c>
    </row>
    <row r="505" spans="1:85">
      <c r="A505" s="3"/>
      <c r="B505" s="123">
        <v>2009</v>
      </c>
      <c r="C505" s="3"/>
      <c r="D505" s="3"/>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4">
        <v>1</v>
      </c>
      <c r="BQ505" s="125">
        <f t="shared" si="18"/>
        <v>1.0029999999999999</v>
      </c>
      <c r="BR505" s="125">
        <f t="shared" si="19"/>
        <v>1.0180449999999999</v>
      </c>
      <c r="BS505" s="125">
        <f t="shared" si="19"/>
        <v>1.0445141699999998</v>
      </c>
      <c r="BT505" s="125">
        <f t="shared" si="19"/>
        <v>1.0685379959099996</v>
      </c>
      <c r="BU505" s="125">
        <f t="shared" si="19"/>
        <v>1.0984570597954797</v>
      </c>
      <c r="BV505" s="125">
        <f t="shared" si="19"/>
        <v>1.1094416303934345</v>
      </c>
      <c r="BW505" s="125">
        <f t="shared" si="19"/>
        <v>1.1183171634365821</v>
      </c>
      <c r="BX505" s="125">
        <f t="shared" si="19"/>
        <v>1.1205537977634552</v>
      </c>
      <c r="BY505" s="125">
        <f t="shared" si="19"/>
        <v>1.1362415509321435</v>
      </c>
      <c r="BZ505" s="125">
        <f t="shared" si="19"/>
        <v>1.1498764495433293</v>
      </c>
      <c r="CA505" s="125">
        <f t="shared" si="19"/>
        <v>1.179773237231456</v>
      </c>
      <c r="CB505" s="125">
        <f t="shared" si="19"/>
        <v>1.1986496090271592</v>
      </c>
      <c r="CC505" s="125">
        <f t="shared" si="17"/>
        <v>1.2202253019896481</v>
      </c>
      <c r="CD505" s="125">
        <f t="shared" si="17"/>
        <v>1.2958792707130062</v>
      </c>
      <c r="CE505" s="125">
        <f t="shared" si="17"/>
        <v>1.3995496123700468</v>
      </c>
      <c r="CF505" s="125">
        <f t="shared" si="16"/>
        <v>1.4233419557803375</v>
      </c>
      <c r="CG505" s="125">
        <f t="shared" si="16"/>
        <v>1.447538769028603</v>
      </c>
    </row>
    <row r="506" spans="1:85">
      <c r="A506" s="3"/>
      <c r="B506" s="123">
        <v>2010</v>
      </c>
      <c r="C506" s="3"/>
      <c r="D506" s="3"/>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4">
        <v>1</v>
      </c>
      <c r="BR506" s="125">
        <f t="shared" si="19"/>
        <v>1.0149999999999999</v>
      </c>
      <c r="BS506" s="125">
        <f t="shared" si="19"/>
        <v>1.0413899999999998</v>
      </c>
      <c r="BT506" s="125">
        <f t="shared" si="19"/>
        <v>1.0653419699999997</v>
      </c>
      <c r="BU506" s="125">
        <f t="shared" si="19"/>
        <v>1.0951715451599997</v>
      </c>
      <c r="BV506" s="125">
        <f t="shared" si="19"/>
        <v>1.1061232606115996</v>
      </c>
      <c r="BW506" s="125">
        <f t="shared" si="19"/>
        <v>1.1149722466964924</v>
      </c>
      <c r="BX506" s="125">
        <f t="shared" si="19"/>
        <v>1.1172021911898855</v>
      </c>
      <c r="BY506" s="125">
        <f t="shared" si="19"/>
        <v>1.132843021866544</v>
      </c>
      <c r="BZ506" s="125">
        <f t="shared" si="19"/>
        <v>1.1464371381289424</v>
      </c>
      <c r="CA506" s="125">
        <f t="shared" si="19"/>
        <v>1.1762445037202949</v>
      </c>
      <c r="CB506" s="125">
        <f t="shared" si="19"/>
        <v>1.1950644157798196</v>
      </c>
      <c r="CC506" s="125">
        <f t="shared" si="17"/>
        <v>1.2165755752638563</v>
      </c>
      <c r="CD506" s="125">
        <f t="shared" si="17"/>
        <v>1.2920032609302154</v>
      </c>
      <c r="CE506" s="125">
        <f t="shared" si="17"/>
        <v>1.3953635218046327</v>
      </c>
      <c r="CF506" s="125">
        <f t="shared" si="17"/>
        <v>1.4190847016753114</v>
      </c>
      <c r="CG506" s="125">
        <f t="shared" si="17"/>
        <v>1.4432091416037915</v>
      </c>
    </row>
    <row r="507" spans="1:85">
      <c r="A507" s="3"/>
      <c r="B507" s="123">
        <v>2011</v>
      </c>
      <c r="C507" s="3"/>
      <c r="D507" s="3"/>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4">
        <v>1</v>
      </c>
      <c r="BS507" s="125">
        <f t="shared" si="19"/>
        <v>1.026</v>
      </c>
      <c r="BT507" s="125">
        <f t="shared" si="19"/>
        <v>1.049598</v>
      </c>
      <c r="BU507" s="125">
        <f t="shared" si="19"/>
        <v>1.0789867440000001</v>
      </c>
      <c r="BV507" s="125">
        <f t="shared" si="19"/>
        <v>1.08977661144</v>
      </c>
      <c r="BW507" s="125">
        <f t="shared" si="19"/>
        <v>1.09849482433152</v>
      </c>
      <c r="BX507" s="125">
        <f t="shared" si="19"/>
        <v>1.1006918139801831</v>
      </c>
      <c r="BY507" s="125">
        <f t="shared" si="19"/>
        <v>1.1161014993759057</v>
      </c>
      <c r="BZ507" s="125">
        <f t="shared" si="19"/>
        <v>1.1294947173684167</v>
      </c>
      <c r="CA507" s="125">
        <f t="shared" si="19"/>
        <v>1.1588615800199955</v>
      </c>
      <c r="CB507" s="125">
        <f t="shared" si="19"/>
        <v>1.1774033653003155</v>
      </c>
      <c r="CC507" s="125">
        <f t="shared" si="17"/>
        <v>1.1985966258757212</v>
      </c>
      <c r="CD507" s="125">
        <f t="shared" si="17"/>
        <v>1.272909616680016</v>
      </c>
      <c r="CE507" s="125">
        <f t="shared" si="17"/>
        <v>1.3747423860144175</v>
      </c>
      <c r="CF507" s="125">
        <f t="shared" si="17"/>
        <v>1.3981130065766625</v>
      </c>
      <c r="CG507" s="125">
        <f t="shared" si="17"/>
        <v>1.4218809276884656</v>
      </c>
    </row>
    <row r="508" spans="1:85">
      <c r="A508" s="3"/>
      <c r="B508" s="123">
        <v>2012</v>
      </c>
      <c r="C508" s="3"/>
      <c r="D508" s="3"/>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4">
        <v>1</v>
      </c>
      <c r="BT508" s="125">
        <f t="shared" si="19"/>
        <v>1.0229999999999999</v>
      </c>
      <c r="BU508" s="125">
        <f t="shared" si="19"/>
        <v>1.051644</v>
      </c>
      <c r="BV508" s="125">
        <f t="shared" si="19"/>
        <v>1.06216044</v>
      </c>
      <c r="BW508" s="125">
        <f t="shared" si="19"/>
        <v>1.0706577235199999</v>
      </c>
      <c r="BX508" s="125">
        <f t="shared" si="19"/>
        <v>1.0727990389670399</v>
      </c>
      <c r="BY508" s="125">
        <f t="shared" si="19"/>
        <v>1.0878182255125783</v>
      </c>
      <c r="BZ508" s="125">
        <f t="shared" si="19"/>
        <v>1.1008720442187292</v>
      </c>
      <c r="CA508" s="125">
        <f t="shared" si="19"/>
        <v>1.1294947173684162</v>
      </c>
      <c r="CB508" s="125">
        <f t="shared" si="19"/>
        <v>1.147566632846311</v>
      </c>
      <c r="CC508" s="125">
        <f t="shared" si="17"/>
        <v>1.1682228322375445</v>
      </c>
      <c r="CD508" s="125">
        <f t="shared" si="17"/>
        <v>1.2406526478362723</v>
      </c>
      <c r="CE508" s="125">
        <f t="shared" si="17"/>
        <v>1.3399048596631742</v>
      </c>
      <c r="CF508" s="125">
        <f t="shared" si="17"/>
        <v>1.362683242277448</v>
      </c>
      <c r="CG508" s="125">
        <f t="shared" si="17"/>
        <v>1.3858488573961645</v>
      </c>
    </row>
    <row r="509" spans="1:85">
      <c r="A509" s="3"/>
      <c r="B509" s="123">
        <v>2013</v>
      </c>
      <c r="C509" s="3"/>
      <c r="D509" s="3"/>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4">
        <v>1</v>
      </c>
      <c r="BU509" s="125">
        <f t="shared" si="19"/>
        <v>1.028</v>
      </c>
      <c r="BV509" s="125">
        <f t="shared" si="19"/>
        <v>1.0382800000000001</v>
      </c>
      <c r="BW509" s="125">
        <f t="shared" si="19"/>
        <v>1.0465862400000001</v>
      </c>
      <c r="BX509" s="125">
        <f t="shared" si="19"/>
        <v>1.0486794124800001</v>
      </c>
      <c r="BY509" s="125">
        <f t="shared" si="19"/>
        <v>1.0633609242547202</v>
      </c>
      <c r="BZ509" s="125">
        <f t="shared" si="19"/>
        <v>1.0761212553457769</v>
      </c>
      <c r="CA509" s="125">
        <f t="shared" si="19"/>
        <v>1.1041004079847672</v>
      </c>
      <c r="CB509" s="125">
        <f t="shared" si="19"/>
        <v>1.1217660145125234</v>
      </c>
      <c r="CC509" s="125">
        <f t="shared" si="17"/>
        <v>1.1419578027737489</v>
      </c>
      <c r="CD509" s="125">
        <f t="shared" si="17"/>
        <v>1.2127591865457215</v>
      </c>
      <c r="CE509" s="125">
        <f t="shared" si="17"/>
        <v>1.3097799214693793</v>
      </c>
      <c r="CF509" s="125">
        <f t="shared" si="17"/>
        <v>1.3320461801343586</v>
      </c>
      <c r="CG509" s="125">
        <f t="shared" si="17"/>
        <v>1.3546909651966426</v>
      </c>
    </row>
    <row r="510" spans="1:85">
      <c r="A510" s="3"/>
      <c r="B510" s="123">
        <v>2014</v>
      </c>
      <c r="C510" s="3"/>
      <c r="D510" s="3"/>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4">
        <v>1</v>
      </c>
      <c r="BV510" s="125">
        <f t="shared" si="19"/>
        <v>1.01</v>
      </c>
      <c r="BW510" s="125">
        <f t="shared" si="19"/>
        <v>1.0180800000000001</v>
      </c>
      <c r="BX510" s="125">
        <f t="shared" si="19"/>
        <v>1.0201161600000002</v>
      </c>
      <c r="BY510" s="125">
        <f t="shared" si="19"/>
        <v>1.0343977862400002</v>
      </c>
      <c r="BZ510" s="125">
        <f t="shared" si="19"/>
        <v>1.0468105596748802</v>
      </c>
      <c r="CA510" s="125">
        <f t="shared" si="19"/>
        <v>1.0740276342264272</v>
      </c>
      <c r="CB510" s="125">
        <f t="shared" si="19"/>
        <v>1.09121207637405</v>
      </c>
      <c r="CC510" s="125">
        <f t="shared" si="17"/>
        <v>1.1108538937487831</v>
      </c>
      <c r="CD510" s="125">
        <f t="shared" si="17"/>
        <v>1.1797268351612076</v>
      </c>
      <c r="CE510" s="125">
        <f t="shared" si="17"/>
        <v>1.2741049819741042</v>
      </c>
      <c r="CF510" s="125">
        <f t="shared" si="17"/>
        <v>1.2957647666676637</v>
      </c>
      <c r="CG510" s="125">
        <f t="shared" si="17"/>
        <v>1.3177927677010139</v>
      </c>
    </row>
    <row r="511" spans="1:85">
      <c r="A511" s="3"/>
      <c r="B511" s="123">
        <v>2015</v>
      </c>
      <c r="C511" s="3"/>
      <c r="D511" s="3"/>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4">
        <v>1</v>
      </c>
      <c r="BW511" s="125">
        <f t="shared" si="19"/>
        <v>1.008</v>
      </c>
      <c r="BX511" s="125">
        <f t="shared" si="19"/>
        <v>1.010016</v>
      </c>
      <c r="BY511" s="125">
        <f t="shared" si="19"/>
        <v>1.0241562239999999</v>
      </c>
      <c r="BZ511" s="125">
        <f t="shared" si="19"/>
        <v>1.036446098688</v>
      </c>
      <c r="CA511" s="125">
        <f t="shared" si="19"/>
        <v>1.063393697253888</v>
      </c>
      <c r="CB511" s="125">
        <f t="shared" si="19"/>
        <v>1.0804079964099502</v>
      </c>
      <c r="CC511" s="125">
        <f t="shared" si="17"/>
        <v>1.0998553403453293</v>
      </c>
      <c r="CD511" s="125">
        <f t="shared" si="17"/>
        <v>1.1680463714467397</v>
      </c>
      <c r="CE511" s="125">
        <f t="shared" si="17"/>
        <v>1.261490081162479</v>
      </c>
      <c r="CF511" s="125">
        <f t="shared" si="17"/>
        <v>1.282935412542241</v>
      </c>
      <c r="CG511" s="125">
        <f t="shared" si="17"/>
        <v>1.3047453145554588</v>
      </c>
    </row>
    <row r="512" spans="1:85">
      <c r="A512" s="3"/>
      <c r="B512" s="123">
        <v>2016</v>
      </c>
      <c r="C512" s="3"/>
      <c r="D512" s="3"/>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4">
        <v>1</v>
      </c>
      <c r="BX512" s="125">
        <f t="shared" si="19"/>
        <v>1.002</v>
      </c>
      <c r="BY512" s="125">
        <f t="shared" si="19"/>
        <v>1.0160279999999999</v>
      </c>
      <c r="BZ512" s="125">
        <f t="shared" si="19"/>
        <v>1.028220336</v>
      </c>
      <c r="CA512" s="125">
        <f t="shared" si="19"/>
        <v>1.0549540647360001</v>
      </c>
      <c r="CB512" s="125">
        <f t="shared" si="19"/>
        <v>1.0718333297717761</v>
      </c>
      <c r="CC512" s="125">
        <f t="shared" si="17"/>
        <v>1.0911263297076681</v>
      </c>
      <c r="CD512" s="125">
        <f t="shared" si="17"/>
        <v>1.1587761621495436</v>
      </c>
      <c r="CE512" s="125">
        <f t="shared" si="17"/>
        <v>1.2514782551215071</v>
      </c>
      <c r="CF512" s="125">
        <f t="shared" si="17"/>
        <v>1.2727533854585726</v>
      </c>
      <c r="CG512" s="125">
        <f t="shared" si="17"/>
        <v>1.2943901930113682</v>
      </c>
    </row>
    <row r="513" spans="1:16383">
      <c r="A513" s="3"/>
      <c r="B513" s="123">
        <v>2017</v>
      </c>
      <c r="C513" s="3"/>
      <c r="D513" s="3"/>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4">
        <v>1</v>
      </c>
      <c r="BY513" s="125">
        <f t="shared" si="19"/>
        <v>1.014</v>
      </c>
      <c r="BZ513" s="125">
        <f t="shared" si="19"/>
        <v>1.026168</v>
      </c>
      <c r="CA513" s="125">
        <f t="shared" si="19"/>
        <v>1.052848368</v>
      </c>
      <c r="CB513" s="125">
        <f t="shared" si="19"/>
        <v>1.069693941888</v>
      </c>
      <c r="CC513" s="125">
        <f t="shared" si="17"/>
        <v>1.0889484328419841</v>
      </c>
      <c r="CD513" s="125">
        <f t="shared" si="17"/>
        <v>1.1564632356781872</v>
      </c>
      <c r="CE513" s="125">
        <f t="shared" si="17"/>
        <v>1.2489802945324422</v>
      </c>
      <c r="CF513" s="125">
        <f t="shared" si="17"/>
        <v>1.2702129595394935</v>
      </c>
      <c r="CG513" s="125">
        <f t="shared" si="17"/>
        <v>1.2918065798516647</v>
      </c>
    </row>
    <row r="514" spans="1:16383">
      <c r="A514" s="3"/>
      <c r="B514" s="123">
        <v>2018</v>
      </c>
      <c r="C514" s="3"/>
      <c r="D514" s="3"/>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c r="BY514" s="124">
        <v>1</v>
      </c>
      <c r="BZ514" s="125">
        <f t="shared" si="19"/>
        <v>1.012</v>
      </c>
      <c r="CA514" s="125">
        <f t="shared" si="19"/>
        <v>1.0383120000000001</v>
      </c>
      <c r="CB514" s="125">
        <f t="shared" si="19"/>
        <v>1.0549249920000001</v>
      </c>
      <c r="CC514" s="125">
        <f t="shared" si="17"/>
        <v>1.0739136418560002</v>
      </c>
      <c r="CD514" s="125">
        <f t="shared" si="17"/>
        <v>1.1404962876510722</v>
      </c>
      <c r="CE514" s="125">
        <f t="shared" si="17"/>
        <v>1.2317359906631582</v>
      </c>
      <c r="CF514" s="125">
        <f t="shared" si="17"/>
        <v>1.2526755025044318</v>
      </c>
      <c r="CG514" s="125">
        <f t="shared" si="17"/>
        <v>1.273970986047007</v>
      </c>
    </row>
    <row r="515" spans="1:16383">
      <c r="A515" s="3"/>
      <c r="B515" s="123">
        <v>2019</v>
      </c>
      <c r="C515" s="3"/>
      <c r="D515" s="3"/>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4">
        <v>1</v>
      </c>
      <c r="CA515" s="125">
        <f t="shared" si="19"/>
        <v>1.026</v>
      </c>
      <c r="CB515" s="125">
        <f t="shared" si="19"/>
        <v>1.042416</v>
      </c>
      <c r="CC515" s="125">
        <f t="shared" si="17"/>
        <v>1.0611794880000001</v>
      </c>
      <c r="CD515" s="125">
        <f t="shared" si="17"/>
        <v>1.1269726162560001</v>
      </c>
      <c r="CE515" s="125">
        <f t="shared" si="17"/>
        <v>1.2171304255564801</v>
      </c>
      <c r="CF515" s="125">
        <f t="shared" si="17"/>
        <v>1.2378216427909401</v>
      </c>
      <c r="CG515" s="125">
        <f t="shared" si="17"/>
        <v>1.2588646107183858</v>
      </c>
    </row>
    <row r="516" spans="1:16383">
      <c r="A516" s="3"/>
      <c r="B516" s="123">
        <v>2020</v>
      </c>
      <c r="C516" s="3"/>
      <c r="D516" s="3"/>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c r="BY516" s="126"/>
      <c r="BZ516" s="126"/>
      <c r="CA516" s="124">
        <v>1</v>
      </c>
      <c r="CB516" s="125">
        <f t="shared" si="19"/>
        <v>1.016</v>
      </c>
      <c r="CC516" s="125">
        <f t="shared" si="17"/>
        <v>1.0342880000000001</v>
      </c>
      <c r="CD516" s="125">
        <f t="shared" si="17"/>
        <v>1.0984138560000001</v>
      </c>
      <c r="CE516" s="125">
        <f t="shared" si="17"/>
        <v>1.1862869644800003</v>
      </c>
      <c r="CF516" s="125">
        <f t="shared" si="17"/>
        <v>1.2064538428761602</v>
      </c>
      <c r="CG516" s="125">
        <f t="shared" si="17"/>
        <v>1.2269635582050549</v>
      </c>
    </row>
    <row r="517" spans="1:16383">
      <c r="A517" s="3"/>
      <c r="B517" s="123">
        <v>2021</v>
      </c>
      <c r="C517" s="3"/>
      <c r="D517" s="3"/>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c r="BY517" s="126"/>
      <c r="BZ517" s="126"/>
      <c r="CA517" s="126"/>
      <c r="CB517" s="124">
        <v>1</v>
      </c>
      <c r="CC517" s="125">
        <f t="shared" si="17"/>
        <v>1.018</v>
      </c>
      <c r="CD517" s="125">
        <f t="shared" si="17"/>
        <v>1.081116</v>
      </c>
      <c r="CE517" s="125">
        <f t="shared" si="17"/>
        <v>1.1676052800000001</v>
      </c>
      <c r="CF517" s="125">
        <f t="shared" si="17"/>
        <v>1.1874545697600001</v>
      </c>
      <c r="CG517" s="125">
        <f t="shared" si="17"/>
        <v>1.2076412974459199</v>
      </c>
    </row>
    <row r="518" spans="1:16383">
      <c r="A518" s="3"/>
      <c r="B518" s="123">
        <v>2022</v>
      </c>
      <c r="C518" s="3"/>
      <c r="D518" s="3"/>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4">
        <v>1</v>
      </c>
      <c r="CD518" s="125">
        <f>CC518*CD$439</f>
        <v>1.0620000000000001</v>
      </c>
      <c r="CE518" s="125">
        <f>CD518*CE$439</f>
        <v>1.1469600000000002</v>
      </c>
      <c r="CF518" s="125">
        <f t="shared" ref="CF518:CG521" si="20">CE518*CF$439</f>
        <v>1.16645832</v>
      </c>
      <c r="CG518" s="125">
        <f t="shared" si="20"/>
        <v>1.1862881114399999</v>
      </c>
    </row>
    <row r="519" spans="1:16383">
      <c r="A519" s="3"/>
      <c r="B519" s="123">
        <v>2023</v>
      </c>
      <c r="C519" s="3"/>
      <c r="D519" s="3"/>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4">
        <v>1</v>
      </c>
      <c r="CE519" s="125">
        <f>CD519*CE$439</f>
        <v>1.08</v>
      </c>
      <c r="CF519" s="125">
        <f t="shared" si="20"/>
        <v>1.09836</v>
      </c>
      <c r="CG519" s="125">
        <f t="shared" si="20"/>
        <v>1.11703212</v>
      </c>
    </row>
    <row r="520" spans="1:16383">
      <c r="A520" s="3"/>
      <c r="B520" s="123">
        <v>2024</v>
      </c>
      <c r="C520" s="3"/>
      <c r="D520" s="3"/>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c r="CE520" s="124">
        <v>1</v>
      </c>
      <c r="CF520" s="125">
        <f t="shared" si="20"/>
        <v>1.0169999999999999</v>
      </c>
      <c r="CG520" s="125">
        <f t="shared" si="20"/>
        <v>1.0342889999999998</v>
      </c>
    </row>
    <row r="521" spans="1:16383" ht="13.5" customHeight="1">
      <c r="A521" s="3"/>
      <c r="B521" s="123">
        <v>2025</v>
      </c>
      <c r="C521" s="3"/>
      <c r="D521" s="3"/>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c r="CE521" s="126"/>
      <c r="CF521" s="124">
        <v>1</v>
      </c>
      <c r="CG521" s="125">
        <f t="shared" si="20"/>
        <v>1.0169999999999999</v>
      </c>
    </row>
    <row r="522" spans="1:16383">
      <c r="A522" s="3"/>
      <c r="B522" s="123">
        <v>2026</v>
      </c>
      <c r="C522" s="3"/>
      <c r="D522" s="3"/>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c r="CE522" s="126"/>
      <c r="CF522" s="126"/>
      <c r="CG522" s="124">
        <v>1</v>
      </c>
    </row>
    <row r="524" spans="1:16383" s="132" customFormat="1">
      <c r="A524" s="106"/>
      <c r="B524" s="39" t="s">
        <v>870</v>
      </c>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131"/>
      <c r="CT524" s="131"/>
      <c r="CU524" s="131"/>
      <c r="CV524" s="131"/>
      <c r="CW524" s="131"/>
      <c r="CX524" s="131"/>
      <c r="CY524" s="131"/>
      <c r="CZ524" s="131"/>
      <c r="DA524" s="131"/>
      <c r="DB524" s="131"/>
      <c r="DC524" s="131"/>
      <c r="DD524" s="131"/>
      <c r="DE524" s="131"/>
      <c r="DF524" s="131"/>
      <c r="DG524" s="131"/>
      <c r="DH524" s="131"/>
      <c r="DI524" s="131"/>
      <c r="DJ524" s="131"/>
      <c r="DK524" s="131"/>
      <c r="DL524" s="131"/>
      <c r="DM524" s="131"/>
      <c r="DN524" s="131"/>
      <c r="DO524" s="131"/>
      <c r="DP524" s="131"/>
      <c r="DQ524" s="131"/>
      <c r="DR524" s="131"/>
      <c r="DS524" s="131"/>
      <c r="DT524" s="131"/>
      <c r="DU524" s="131"/>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1"/>
      <c r="EU524" s="131"/>
      <c r="EV524" s="131"/>
      <c r="EW524" s="131"/>
      <c r="EX524" s="131"/>
      <c r="EY524" s="131"/>
      <c r="EZ524" s="131"/>
      <c r="FA524" s="131"/>
      <c r="FB524" s="131"/>
      <c r="FC524" s="131"/>
      <c r="FD524" s="131"/>
      <c r="FE524" s="131"/>
      <c r="FF524" s="131"/>
      <c r="FG524" s="131"/>
      <c r="FH524" s="131"/>
      <c r="FI524" s="131"/>
      <c r="FJ524" s="131"/>
      <c r="FK524" s="131"/>
      <c r="FL524" s="131"/>
      <c r="FM524" s="131"/>
      <c r="FN524" s="131"/>
      <c r="FO524" s="131"/>
      <c r="FP524" s="131"/>
      <c r="FQ524" s="131"/>
      <c r="FR524" s="131"/>
      <c r="FS524" s="131"/>
      <c r="FT524" s="131"/>
      <c r="FU524" s="131"/>
      <c r="FV524" s="131"/>
      <c r="FW524" s="131"/>
      <c r="FX524" s="131"/>
      <c r="FY524" s="131"/>
      <c r="FZ524" s="131"/>
      <c r="GA524" s="131"/>
      <c r="GB524" s="131"/>
      <c r="GC524" s="131"/>
      <c r="GD524" s="131"/>
      <c r="GE524" s="131"/>
      <c r="GF524" s="131"/>
      <c r="GG524" s="131"/>
      <c r="GH524" s="131"/>
      <c r="GI524" s="131"/>
      <c r="GJ524" s="131"/>
      <c r="GK524" s="131"/>
      <c r="GL524" s="131"/>
      <c r="GM524" s="131"/>
      <c r="GN524" s="131"/>
      <c r="GO524" s="131"/>
      <c r="GP524" s="131"/>
      <c r="GQ524" s="131"/>
      <c r="GR524" s="131"/>
      <c r="GS524" s="131"/>
      <c r="GT524" s="131"/>
      <c r="GU524" s="131"/>
      <c r="GV524" s="131"/>
      <c r="GW524" s="131"/>
      <c r="GX524" s="131"/>
      <c r="GY524" s="131"/>
      <c r="GZ524" s="131"/>
      <c r="HA524" s="131"/>
      <c r="HB524" s="131"/>
      <c r="HC524" s="131"/>
      <c r="HD524" s="131"/>
      <c r="HE524" s="131"/>
      <c r="HF524" s="131"/>
      <c r="HG524" s="131"/>
      <c r="HH524" s="131"/>
      <c r="HI524" s="131"/>
      <c r="HJ524" s="131"/>
      <c r="HK524" s="131"/>
      <c r="HL524" s="131"/>
      <c r="HM524" s="131"/>
      <c r="HN524" s="131"/>
      <c r="HO524" s="131"/>
      <c r="HP524" s="131"/>
      <c r="HQ524" s="131"/>
      <c r="HR524" s="131"/>
      <c r="HS524" s="131"/>
      <c r="HT524" s="131"/>
      <c r="HU524" s="131"/>
      <c r="HV524" s="131"/>
      <c r="HW524" s="131"/>
      <c r="HX524" s="131"/>
      <c r="HY524" s="131"/>
      <c r="HZ524" s="131"/>
      <c r="IA524" s="131"/>
      <c r="IB524" s="131"/>
      <c r="IC524" s="131"/>
      <c r="ID524" s="131"/>
      <c r="IE524" s="131"/>
      <c r="IF524" s="131"/>
      <c r="IG524" s="131"/>
      <c r="IH524" s="131"/>
      <c r="II524" s="131"/>
      <c r="IJ524" s="131"/>
      <c r="IK524" s="131"/>
      <c r="IL524" s="131"/>
      <c r="IM524" s="131"/>
      <c r="IN524" s="131"/>
      <c r="IO524" s="131"/>
      <c r="IP524" s="131"/>
      <c r="IQ524" s="131"/>
      <c r="IR524" s="131"/>
      <c r="IS524" s="131"/>
      <c r="IT524" s="131"/>
      <c r="IU524" s="131"/>
      <c r="IV524" s="131"/>
      <c r="IW524" s="131"/>
      <c r="IX524" s="131"/>
      <c r="IY524" s="131"/>
      <c r="IZ524" s="131"/>
      <c r="JA524" s="131"/>
      <c r="JB524" s="131"/>
      <c r="JC524" s="131"/>
      <c r="JD524" s="131"/>
      <c r="JE524" s="131"/>
      <c r="JF524" s="131"/>
      <c r="JG524" s="131"/>
      <c r="JH524" s="131"/>
      <c r="JI524" s="131"/>
      <c r="JJ524" s="131"/>
      <c r="JK524" s="131"/>
      <c r="JL524" s="131"/>
      <c r="JM524" s="131"/>
      <c r="JN524" s="131"/>
      <c r="JO524" s="131"/>
      <c r="JP524" s="131"/>
      <c r="JQ524" s="131"/>
      <c r="JR524" s="131"/>
      <c r="JS524" s="131"/>
      <c r="JT524" s="131"/>
      <c r="JU524" s="131"/>
      <c r="JV524" s="131"/>
      <c r="JW524" s="131"/>
      <c r="JX524" s="131"/>
      <c r="JY524" s="131"/>
      <c r="JZ524" s="131"/>
      <c r="KA524" s="131"/>
      <c r="KB524" s="131"/>
      <c r="KC524" s="131"/>
      <c r="KD524" s="131"/>
      <c r="KE524" s="131"/>
      <c r="KF524" s="131"/>
      <c r="KG524" s="131"/>
      <c r="KH524" s="131"/>
      <c r="KI524" s="131"/>
      <c r="KJ524" s="131"/>
      <c r="KK524" s="131"/>
      <c r="KL524" s="131"/>
      <c r="KM524" s="131"/>
      <c r="KN524" s="131"/>
      <c r="KO524" s="131"/>
      <c r="KP524" s="131"/>
      <c r="KQ524" s="131"/>
      <c r="KR524" s="131"/>
      <c r="KS524" s="131"/>
      <c r="KT524" s="131"/>
      <c r="KU524" s="131"/>
      <c r="KV524" s="131"/>
      <c r="KW524" s="131"/>
      <c r="KX524" s="131"/>
      <c r="KY524" s="131"/>
      <c r="KZ524" s="131"/>
      <c r="LA524" s="131"/>
      <c r="LB524" s="131"/>
      <c r="LC524" s="131"/>
      <c r="LD524" s="131"/>
      <c r="LE524" s="131"/>
      <c r="LF524" s="131"/>
      <c r="LG524" s="131"/>
      <c r="LH524" s="131"/>
      <c r="LI524" s="131"/>
      <c r="LJ524" s="131"/>
      <c r="LK524" s="131"/>
      <c r="LL524" s="131"/>
      <c r="LM524" s="131"/>
      <c r="LN524" s="131"/>
      <c r="LO524" s="131"/>
      <c r="LP524" s="131"/>
      <c r="LQ524" s="131"/>
      <c r="LR524" s="131"/>
      <c r="LS524" s="131"/>
      <c r="LT524" s="131"/>
      <c r="LU524" s="131"/>
      <c r="LV524" s="131"/>
      <c r="LW524" s="131"/>
      <c r="LX524" s="131"/>
      <c r="LY524" s="131"/>
      <c r="LZ524" s="131"/>
      <c r="MA524" s="131"/>
      <c r="MB524" s="131"/>
      <c r="MC524" s="131"/>
      <c r="MD524" s="131"/>
      <c r="ME524" s="131"/>
      <c r="MF524" s="131"/>
      <c r="MG524" s="131"/>
      <c r="MH524" s="131"/>
      <c r="MI524" s="131"/>
      <c r="MJ524" s="131"/>
      <c r="MK524" s="131"/>
      <c r="ML524" s="131"/>
      <c r="MM524" s="131"/>
      <c r="MN524" s="131"/>
      <c r="MO524" s="131"/>
      <c r="MP524" s="131"/>
      <c r="MQ524" s="131"/>
      <c r="MR524" s="131"/>
      <c r="MS524" s="131"/>
      <c r="MT524" s="131"/>
      <c r="MU524" s="131"/>
      <c r="MV524" s="131"/>
      <c r="MW524" s="131"/>
      <c r="MX524" s="131"/>
      <c r="MY524" s="131"/>
      <c r="MZ524" s="131"/>
      <c r="NA524" s="131"/>
      <c r="NB524" s="131"/>
      <c r="NC524" s="131"/>
      <c r="ND524" s="131"/>
      <c r="NE524" s="131"/>
      <c r="NF524" s="131"/>
      <c r="NG524" s="131"/>
      <c r="NH524" s="131"/>
      <c r="NI524" s="131"/>
      <c r="NJ524" s="131"/>
      <c r="NK524" s="131"/>
      <c r="NL524" s="131"/>
      <c r="NM524" s="131"/>
      <c r="NN524" s="131"/>
      <c r="NO524" s="131"/>
      <c r="NP524" s="131"/>
      <c r="NQ524" s="131"/>
      <c r="NR524" s="131"/>
      <c r="NS524" s="131"/>
      <c r="NT524" s="131"/>
      <c r="NU524" s="131"/>
      <c r="NV524" s="131"/>
      <c r="NW524" s="131"/>
      <c r="NX524" s="131"/>
      <c r="NY524" s="131"/>
      <c r="NZ524" s="131"/>
      <c r="OA524" s="131"/>
      <c r="OB524" s="131"/>
      <c r="OC524" s="131"/>
      <c r="OD524" s="131"/>
      <c r="OE524" s="131"/>
      <c r="OF524" s="131"/>
      <c r="OG524" s="131"/>
      <c r="OH524" s="131"/>
      <c r="OI524" s="131"/>
      <c r="OJ524" s="131"/>
      <c r="OK524" s="131"/>
      <c r="OL524" s="131"/>
      <c r="OM524" s="131"/>
      <c r="ON524" s="131"/>
      <c r="OO524" s="131"/>
      <c r="OP524" s="131"/>
      <c r="OQ524" s="131"/>
      <c r="OR524" s="131"/>
      <c r="OS524" s="131"/>
      <c r="OT524" s="131"/>
      <c r="OU524" s="131"/>
      <c r="OV524" s="131"/>
      <c r="OW524" s="131"/>
      <c r="OX524" s="131"/>
      <c r="OY524" s="131"/>
      <c r="OZ524" s="131"/>
      <c r="PA524" s="131"/>
      <c r="PB524" s="131"/>
      <c r="PC524" s="131"/>
      <c r="PD524" s="131"/>
      <c r="PE524" s="131"/>
      <c r="PF524" s="131"/>
      <c r="PG524" s="131"/>
      <c r="PH524" s="131"/>
      <c r="PI524" s="131"/>
      <c r="PJ524" s="131"/>
      <c r="PK524" s="131"/>
      <c r="PL524" s="131"/>
      <c r="PM524" s="131"/>
      <c r="PN524" s="131"/>
      <c r="PO524" s="131"/>
      <c r="PP524" s="131"/>
      <c r="PQ524" s="131"/>
      <c r="PR524" s="131"/>
      <c r="PS524" s="131"/>
      <c r="PT524" s="131"/>
      <c r="PU524" s="131"/>
      <c r="PV524" s="131"/>
      <c r="PW524" s="131"/>
      <c r="PX524" s="131"/>
      <c r="PY524" s="131"/>
      <c r="PZ524" s="131"/>
      <c r="QA524" s="131"/>
      <c r="QB524" s="131"/>
      <c r="QC524" s="131"/>
      <c r="QD524" s="131"/>
      <c r="QE524" s="131"/>
      <c r="QF524" s="131"/>
      <c r="QG524" s="131"/>
      <c r="QH524" s="131"/>
      <c r="QI524" s="131"/>
      <c r="QJ524" s="131"/>
      <c r="QK524" s="131"/>
      <c r="QL524" s="131"/>
      <c r="QM524" s="131"/>
      <c r="QN524" s="131"/>
      <c r="QO524" s="131"/>
      <c r="QP524" s="131"/>
      <c r="QQ524" s="131"/>
      <c r="QR524" s="131"/>
      <c r="QS524" s="131"/>
      <c r="QT524" s="131"/>
      <c r="QU524" s="131"/>
      <c r="QV524" s="131"/>
      <c r="QW524" s="131"/>
      <c r="QX524" s="131"/>
      <c r="QY524" s="131"/>
      <c r="QZ524" s="131"/>
      <c r="RA524" s="131"/>
      <c r="RB524" s="131"/>
      <c r="RC524" s="131"/>
      <c r="RD524" s="131"/>
      <c r="RE524" s="131"/>
      <c r="RF524" s="131"/>
      <c r="RG524" s="131"/>
      <c r="RH524" s="131"/>
      <c r="RI524" s="131"/>
      <c r="RJ524" s="131"/>
      <c r="RK524" s="131"/>
      <c r="RL524" s="131"/>
      <c r="RM524" s="131"/>
      <c r="RN524" s="131"/>
      <c r="RO524" s="131"/>
      <c r="RP524" s="131"/>
      <c r="RQ524" s="131"/>
      <c r="RR524" s="131"/>
      <c r="RS524" s="131"/>
      <c r="RT524" s="131"/>
      <c r="RU524" s="131"/>
      <c r="RV524" s="131"/>
      <c r="RW524" s="131"/>
      <c r="RX524" s="131"/>
      <c r="RY524" s="131"/>
      <c r="RZ524" s="131"/>
      <c r="SA524" s="131"/>
      <c r="SB524" s="131"/>
      <c r="SC524" s="131"/>
      <c r="SD524" s="131"/>
      <c r="SE524" s="131"/>
      <c r="SF524" s="131"/>
      <c r="SG524" s="131"/>
      <c r="SH524" s="131"/>
      <c r="SI524" s="131"/>
      <c r="SJ524" s="131"/>
      <c r="SK524" s="131"/>
      <c r="SL524" s="131"/>
      <c r="SM524" s="131"/>
      <c r="SN524" s="131"/>
      <c r="SO524" s="131"/>
      <c r="SP524" s="131"/>
      <c r="SQ524" s="131"/>
      <c r="SR524" s="131"/>
      <c r="SS524" s="131"/>
      <c r="ST524" s="131"/>
      <c r="SU524" s="131"/>
      <c r="SV524" s="131"/>
      <c r="SW524" s="131"/>
      <c r="SX524" s="131"/>
      <c r="SY524" s="131"/>
      <c r="SZ524" s="131"/>
      <c r="TA524" s="131"/>
      <c r="TB524" s="131"/>
      <c r="TC524" s="131"/>
      <c r="TD524" s="131"/>
      <c r="TE524" s="131"/>
      <c r="TF524" s="131"/>
      <c r="TG524" s="131"/>
      <c r="TH524" s="131"/>
      <c r="TI524" s="131"/>
      <c r="TJ524" s="131"/>
      <c r="TK524" s="131"/>
      <c r="TL524" s="131"/>
      <c r="TM524" s="131"/>
      <c r="TN524" s="131"/>
      <c r="TO524" s="131"/>
      <c r="TP524" s="131"/>
      <c r="TQ524" s="131"/>
      <c r="TR524" s="131"/>
      <c r="TS524" s="131"/>
      <c r="TT524" s="131"/>
      <c r="TU524" s="131"/>
      <c r="TV524" s="131"/>
      <c r="TW524" s="131"/>
      <c r="TX524" s="131"/>
      <c r="TY524" s="131"/>
      <c r="TZ524" s="131"/>
      <c r="UA524" s="131"/>
      <c r="UB524" s="131"/>
      <c r="UC524" s="131"/>
      <c r="UD524" s="131"/>
      <c r="UE524" s="131"/>
      <c r="UF524" s="131"/>
      <c r="UG524" s="131"/>
      <c r="UH524" s="131"/>
      <c r="UI524" s="131"/>
      <c r="UJ524" s="131"/>
      <c r="UK524" s="131"/>
      <c r="UL524" s="131"/>
      <c r="UM524" s="131"/>
      <c r="UN524" s="131"/>
      <c r="UO524" s="131"/>
      <c r="UP524" s="131"/>
      <c r="UQ524" s="131"/>
      <c r="UR524" s="131"/>
      <c r="US524" s="131"/>
      <c r="UT524" s="131"/>
      <c r="UU524" s="131"/>
      <c r="UV524" s="131"/>
      <c r="UW524" s="131"/>
      <c r="UX524" s="131"/>
      <c r="UY524" s="131"/>
      <c r="UZ524" s="131"/>
      <c r="VA524" s="131"/>
      <c r="VB524" s="131"/>
      <c r="VC524" s="131"/>
      <c r="VD524" s="131"/>
      <c r="VE524" s="131"/>
      <c r="VF524" s="131"/>
      <c r="VG524" s="131"/>
      <c r="VH524" s="131"/>
      <c r="VI524" s="131"/>
      <c r="VJ524" s="131"/>
      <c r="VK524" s="131"/>
      <c r="VL524" s="131"/>
      <c r="VM524" s="131"/>
      <c r="VN524" s="131"/>
      <c r="VO524" s="131"/>
      <c r="VP524" s="131"/>
      <c r="VQ524" s="131"/>
      <c r="VR524" s="131"/>
      <c r="VS524" s="131"/>
      <c r="VT524" s="131"/>
      <c r="VU524" s="131"/>
      <c r="VV524" s="131"/>
      <c r="VW524" s="131"/>
      <c r="VX524" s="131"/>
      <c r="VY524" s="131"/>
      <c r="VZ524" s="131"/>
      <c r="WA524" s="131"/>
      <c r="WB524" s="131"/>
      <c r="WC524" s="131"/>
      <c r="WD524" s="131"/>
      <c r="WE524" s="131"/>
      <c r="WF524" s="131"/>
      <c r="WG524" s="131"/>
      <c r="WH524" s="131"/>
      <c r="WI524" s="131"/>
      <c r="WJ524" s="131"/>
      <c r="WK524" s="131"/>
      <c r="WL524" s="131"/>
      <c r="WM524" s="131"/>
      <c r="WN524" s="131"/>
      <c r="WO524" s="131"/>
      <c r="WP524" s="131"/>
      <c r="WQ524" s="131"/>
      <c r="WR524" s="131"/>
      <c r="WS524" s="131"/>
      <c r="WT524" s="131"/>
      <c r="WU524" s="131"/>
      <c r="WV524" s="131"/>
      <c r="WW524" s="131"/>
      <c r="WX524" s="131"/>
      <c r="WY524" s="131"/>
      <c r="WZ524" s="131"/>
      <c r="XA524" s="131"/>
      <c r="XB524" s="131"/>
      <c r="XC524" s="131"/>
      <c r="XD524" s="131"/>
      <c r="XE524" s="131"/>
      <c r="XF524" s="131"/>
      <c r="XG524" s="131"/>
      <c r="XH524" s="131"/>
      <c r="XI524" s="131"/>
      <c r="XJ524" s="131"/>
      <c r="XK524" s="131"/>
      <c r="XL524" s="131"/>
      <c r="XM524" s="131"/>
      <c r="XN524" s="131"/>
      <c r="XO524" s="131"/>
      <c r="XP524" s="131"/>
      <c r="XQ524" s="131"/>
      <c r="XR524" s="131"/>
      <c r="XS524" s="131"/>
      <c r="XT524" s="131"/>
      <c r="XU524" s="131"/>
      <c r="XV524" s="131"/>
      <c r="XW524" s="131"/>
      <c r="XX524" s="131"/>
      <c r="XY524" s="131"/>
      <c r="XZ524" s="131"/>
      <c r="YA524" s="131"/>
      <c r="YB524" s="131"/>
      <c r="YC524" s="131"/>
      <c r="YD524" s="131"/>
      <c r="YE524" s="131"/>
      <c r="YF524" s="131"/>
      <c r="YG524" s="131"/>
      <c r="YH524" s="131"/>
      <c r="YI524" s="131"/>
      <c r="YJ524" s="131"/>
      <c r="YK524" s="131"/>
      <c r="YL524" s="131"/>
      <c r="YM524" s="131"/>
      <c r="YN524" s="131"/>
      <c r="YO524" s="131"/>
      <c r="YP524" s="131"/>
      <c r="YQ524" s="131"/>
      <c r="YR524" s="131"/>
      <c r="YS524" s="131"/>
      <c r="YT524" s="131"/>
      <c r="YU524" s="131"/>
      <c r="YV524" s="131"/>
      <c r="YW524" s="131"/>
      <c r="YX524" s="131"/>
      <c r="YY524" s="131"/>
      <c r="YZ524" s="131"/>
      <c r="ZA524" s="131"/>
      <c r="ZB524" s="131"/>
      <c r="ZC524" s="131"/>
      <c r="ZD524" s="131"/>
      <c r="ZE524" s="131"/>
      <c r="ZF524" s="131"/>
      <c r="ZG524" s="131"/>
      <c r="ZH524" s="131"/>
      <c r="ZI524" s="131"/>
      <c r="ZJ524" s="131"/>
      <c r="ZK524" s="131"/>
      <c r="ZL524" s="131"/>
      <c r="ZM524" s="131"/>
      <c r="ZN524" s="131"/>
      <c r="ZO524" s="131"/>
      <c r="ZP524" s="131"/>
      <c r="ZQ524" s="131"/>
      <c r="ZR524" s="131"/>
      <c r="ZS524" s="131"/>
      <c r="ZT524" s="131"/>
      <c r="ZU524" s="131"/>
      <c r="ZV524" s="131"/>
      <c r="ZW524" s="131"/>
      <c r="ZX524" s="131"/>
      <c r="ZY524" s="131"/>
      <c r="ZZ524" s="131"/>
      <c r="AAA524" s="131"/>
      <c r="AAB524" s="131"/>
      <c r="AAC524" s="131"/>
      <c r="AAD524" s="131"/>
      <c r="AAE524" s="131"/>
      <c r="AAF524" s="131"/>
      <c r="AAG524" s="131"/>
      <c r="AAH524" s="131"/>
      <c r="AAI524" s="131"/>
      <c r="AAJ524" s="131"/>
      <c r="AAK524" s="131"/>
      <c r="AAL524" s="131"/>
      <c r="AAM524" s="131"/>
      <c r="AAN524" s="131"/>
      <c r="AAO524" s="131"/>
      <c r="AAP524" s="131"/>
      <c r="AAQ524" s="131"/>
      <c r="AAR524" s="131"/>
      <c r="AAS524" s="131"/>
      <c r="AAT524" s="131"/>
      <c r="AAU524" s="131"/>
      <c r="AAV524" s="131"/>
      <c r="AAW524" s="131"/>
      <c r="AAX524" s="131"/>
      <c r="AAY524" s="131"/>
      <c r="AAZ524" s="131"/>
      <c r="ABA524" s="131"/>
      <c r="ABB524" s="131"/>
      <c r="ABC524" s="131"/>
      <c r="ABD524" s="131"/>
      <c r="ABE524" s="131"/>
      <c r="ABF524" s="131"/>
      <c r="ABG524" s="131"/>
      <c r="ABH524" s="131"/>
      <c r="ABI524" s="131"/>
      <c r="ABJ524" s="131"/>
      <c r="ABK524" s="131"/>
      <c r="ABL524" s="131"/>
      <c r="ABM524" s="131"/>
      <c r="ABN524" s="131"/>
      <c r="ABO524" s="131"/>
      <c r="ABP524" s="131"/>
      <c r="ABQ524" s="131"/>
      <c r="ABR524" s="131"/>
      <c r="ABS524" s="131"/>
      <c r="ABT524" s="131"/>
      <c r="ABU524" s="131"/>
      <c r="ABV524" s="131"/>
      <c r="ABW524" s="131"/>
      <c r="ABX524" s="131"/>
      <c r="ABY524" s="131"/>
      <c r="ABZ524" s="131"/>
      <c r="ACA524" s="131"/>
      <c r="ACB524" s="131"/>
      <c r="ACC524" s="131"/>
      <c r="ACD524" s="131"/>
      <c r="ACE524" s="131"/>
      <c r="ACF524" s="131"/>
      <c r="ACG524" s="131"/>
      <c r="ACH524" s="131"/>
      <c r="ACI524" s="131"/>
      <c r="ACJ524" s="131"/>
      <c r="ACK524" s="131"/>
      <c r="ACL524" s="131"/>
      <c r="ACM524" s="131"/>
      <c r="ACN524" s="131"/>
      <c r="ACO524" s="131"/>
      <c r="ACP524" s="131"/>
      <c r="ACQ524" s="131"/>
      <c r="ACR524" s="131"/>
      <c r="ACS524" s="131"/>
      <c r="ACT524" s="131"/>
      <c r="ACU524" s="131"/>
      <c r="ACV524" s="131"/>
      <c r="ACW524" s="131"/>
      <c r="ACX524" s="131"/>
      <c r="ACY524" s="131"/>
      <c r="ACZ524" s="131"/>
      <c r="ADA524" s="131"/>
      <c r="ADB524" s="131"/>
      <c r="ADC524" s="131"/>
      <c r="ADD524" s="131"/>
      <c r="ADE524" s="131"/>
      <c r="ADF524" s="131"/>
      <c r="ADG524" s="131"/>
      <c r="ADH524" s="131"/>
      <c r="ADI524" s="131"/>
      <c r="ADJ524" s="131"/>
      <c r="ADK524" s="131"/>
      <c r="ADL524" s="131"/>
      <c r="ADM524" s="131"/>
      <c r="ADN524" s="131"/>
      <c r="ADO524" s="131"/>
      <c r="ADP524" s="131"/>
      <c r="ADQ524" s="131"/>
      <c r="ADR524" s="131"/>
      <c r="ADS524" s="131"/>
      <c r="ADT524" s="131"/>
      <c r="ADU524" s="131"/>
      <c r="ADV524" s="131"/>
      <c r="ADW524" s="131"/>
      <c r="ADX524" s="131"/>
      <c r="ADY524" s="131"/>
      <c r="ADZ524" s="131"/>
      <c r="AEA524" s="131"/>
      <c r="AEB524" s="131"/>
      <c r="AEC524" s="131"/>
      <c r="AED524" s="131"/>
      <c r="AEE524" s="131"/>
      <c r="AEF524" s="131"/>
      <c r="AEG524" s="131"/>
      <c r="AEH524" s="131"/>
      <c r="AEI524" s="131"/>
      <c r="AEJ524" s="131"/>
      <c r="AEK524" s="131"/>
      <c r="AEL524" s="131"/>
      <c r="AEM524" s="131"/>
      <c r="AEN524" s="131"/>
      <c r="AEO524" s="131"/>
      <c r="AEP524" s="131"/>
      <c r="AEQ524" s="131"/>
      <c r="AER524" s="131"/>
      <c r="AES524" s="131"/>
      <c r="AET524" s="131"/>
      <c r="AEU524" s="131"/>
      <c r="AEV524" s="131"/>
      <c r="AEW524" s="131"/>
      <c r="AEX524" s="131"/>
      <c r="AEY524" s="131"/>
      <c r="AEZ524" s="131"/>
      <c r="AFA524" s="131"/>
      <c r="AFB524" s="131"/>
      <c r="AFC524" s="131"/>
      <c r="AFD524" s="131"/>
      <c r="AFE524" s="131"/>
      <c r="AFF524" s="131"/>
      <c r="AFG524" s="131"/>
      <c r="AFH524" s="131"/>
      <c r="AFI524" s="131"/>
      <c r="AFJ524" s="131"/>
      <c r="AFK524" s="131"/>
      <c r="AFL524" s="131"/>
      <c r="AFM524" s="131"/>
      <c r="AFN524" s="131"/>
      <c r="AFO524" s="131"/>
      <c r="AFP524" s="131"/>
      <c r="AFQ524" s="131"/>
      <c r="AFR524" s="131"/>
      <c r="AFS524" s="131"/>
      <c r="AFT524" s="131"/>
      <c r="AFU524" s="131"/>
      <c r="AFV524" s="131"/>
      <c r="AFW524" s="131"/>
      <c r="AFX524" s="131"/>
      <c r="AFY524" s="131"/>
      <c r="AFZ524" s="131"/>
      <c r="AGA524" s="131"/>
      <c r="AGB524" s="131"/>
      <c r="AGC524" s="131"/>
      <c r="AGD524" s="131"/>
      <c r="AGE524" s="131"/>
      <c r="AGF524" s="131"/>
      <c r="AGG524" s="131"/>
      <c r="AGH524" s="131"/>
      <c r="AGI524" s="131"/>
      <c r="AGJ524" s="131"/>
      <c r="AGK524" s="131"/>
      <c r="AGL524" s="131"/>
      <c r="AGM524" s="131"/>
      <c r="AGN524" s="131"/>
      <c r="AGO524" s="131"/>
      <c r="AGP524" s="131"/>
      <c r="AGQ524" s="131"/>
      <c r="AGR524" s="131"/>
      <c r="AGS524" s="131"/>
      <c r="AGT524" s="131"/>
      <c r="AGU524" s="131"/>
      <c r="AGV524" s="131"/>
      <c r="AGW524" s="131"/>
      <c r="AGX524" s="131"/>
      <c r="AGY524" s="131"/>
      <c r="AGZ524" s="131"/>
      <c r="AHA524" s="131"/>
      <c r="AHB524" s="131"/>
      <c r="AHC524" s="131"/>
      <c r="AHD524" s="131"/>
      <c r="AHE524" s="131"/>
      <c r="AHF524" s="131"/>
      <c r="AHG524" s="131"/>
      <c r="AHH524" s="131"/>
      <c r="AHI524" s="131"/>
      <c r="AHJ524" s="131"/>
      <c r="AHK524" s="131"/>
      <c r="AHL524" s="131"/>
      <c r="AHM524" s="131"/>
      <c r="AHN524" s="131"/>
      <c r="AHO524" s="131"/>
      <c r="AHP524" s="131"/>
      <c r="AHQ524" s="131"/>
      <c r="AHR524" s="131"/>
      <c r="AHS524" s="131"/>
      <c r="AHT524" s="131"/>
      <c r="AHU524" s="131"/>
      <c r="AHV524" s="131"/>
      <c r="AHW524" s="131"/>
      <c r="AHX524" s="131"/>
      <c r="AHY524" s="131"/>
      <c r="AHZ524" s="131"/>
      <c r="AIA524" s="131"/>
      <c r="AIB524" s="131"/>
      <c r="AIC524" s="131"/>
      <c r="AID524" s="131"/>
      <c r="AIE524" s="131"/>
      <c r="AIF524" s="131"/>
      <c r="AIG524" s="131"/>
      <c r="AIH524" s="131"/>
      <c r="AII524" s="131"/>
      <c r="AIJ524" s="131"/>
      <c r="AIK524" s="131"/>
      <c r="AIL524" s="131"/>
      <c r="AIM524" s="131"/>
      <c r="AIN524" s="131"/>
      <c r="AIO524" s="131"/>
      <c r="AIP524" s="131"/>
      <c r="AIQ524" s="131"/>
      <c r="AIR524" s="131"/>
      <c r="AIS524" s="131"/>
      <c r="AIT524" s="131"/>
      <c r="AIU524" s="131"/>
      <c r="AIV524" s="131"/>
      <c r="AIW524" s="131"/>
      <c r="AIX524" s="131"/>
      <c r="AIY524" s="131"/>
      <c r="AIZ524" s="131"/>
      <c r="AJA524" s="131"/>
      <c r="AJB524" s="131"/>
      <c r="AJC524" s="131"/>
      <c r="AJD524" s="131"/>
      <c r="AJE524" s="131"/>
      <c r="AJF524" s="131"/>
      <c r="AJG524" s="131"/>
      <c r="AJH524" s="131"/>
      <c r="AJI524" s="131"/>
      <c r="AJJ524" s="131"/>
      <c r="AJK524" s="131"/>
      <c r="AJL524" s="131"/>
      <c r="AJM524" s="131"/>
      <c r="AJN524" s="131"/>
      <c r="AJO524" s="131"/>
      <c r="AJP524" s="131"/>
      <c r="AJQ524" s="131"/>
      <c r="AJR524" s="131"/>
      <c r="AJS524" s="131"/>
      <c r="AJT524" s="131"/>
      <c r="AJU524" s="131"/>
      <c r="AJV524" s="131"/>
      <c r="AJW524" s="131"/>
      <c r="AJX524" s="131"/>
      <c r="AJY524" s="131"/>
      <c r="AJZ524" s="131"/>
      <c r="AKA524" s="131"/>
      <c r="AKB524" s="131"/>
      <c r="AKC524" s="131"/>
      <c r="AKD524" s="131"/>
      <c r="AKE524" s="131"/>
      <c r="AKF524" s="131"/>
      <c r="AKG524" s="131"/>
      <c r="AKH524" s="131"/>
      <c r="AKI524" s="131"/>
      <c r="AKJ524" s="131"/>
      <c r="AKK524" s="131"/>
      <c r="AKL524" s="131"/>
      <c r="AKM524" s="131"/>
      <c r="AKN524" s="131"/>
      <c r="AKO524" s="131"/>
      <c r="AKP524" s="131"/>
      <c r="AKQ524" s="131"/>
      <c r="AKR524" s="131"/>
      <c r="AKS524" s="131"/>
      <c r="AKT524" s="131"/>
      <c r="AKU524" s="131"/>
      <c r="AKV524" s="131"/>
      <c r="AKW524" s="131"/>
      <c r="AKX524" s="131"/>
      <c r="AKY524" s="131"/>
      <c r="AKZ524" s="131"/>
      <c r="ALA524" s="131"/>
      <c r="ALB524" s="131"/>
      <c r="ALC524" s="131"/>
      <c r="ALD524" s="131"/>
      <c r="ALE524" s="131"/>
      <c r="ALF524" s="131"/>
      <c r="ALG524" s="131"/>
      <c r="ALH524" s="131"/>
      <c r="ALI524" s="131"/>
      <c r="ALJ524" s="131"/>
      <c r="ALK524" s="131"/>
      <c r="ALL524" s="131"/>
      <c r="ALM524" s="131"/>
      <c r="ALN524" s="131"/>
      <c r="ALO524" s="131"/>
      <c r="ALP524" s="131"/>
      <c r="ALQ524" s="131"/>
      <c r="ALR524" s="131"/>
      <c r="ALS524" s="131"/>
      <c r="ALT524" s="131"/>
      <c r="ALU524" s="131"/>
      <c r="ALV524" s="131"/>
      <c r="ALW524" s="131"/>
      <c r="ALX524" s="131"/>
      <c r="ALY524" s="131"/>
      <c r="ALZ524" s="131"/>
      <c r="AMA524" s="131"/>
      <c r="AMB524" s="131"/>
      <c r="AMC524" s="131"/>
      <c r="AMD524" s="131"/>
      <c r="AME524" s="131"/>
      <c r="AMF524" s="131"/>
      <c r="AMG524" s="131"/>
      <c r="AMH524" s="131"/>
      <c r="AMI524" s="131"/>
      <c r="AMJ524" s="131"/>
      <c r="AMK524" s="131"/>
      <c r="AML524" s="131"/>
      <c r="AMM524" s="131"/>
      <c r="AMN524" s="131"/>
      <c r="AMO524" s="131"/>
      <c r="AMP524" s="131"/>
      <c r="AMQ524" s="131"/>
      <c r="AMR524" s="131"/>
      <c r="AMS524" s="131"/>
      <c r="AMT524" s="131"/>
      <c r="AMU524" s="131"/>
      <c r="AMV524" s="131"/>
      <c r="AMW524" s="131"/>
      <c r="AMX524" s="131"/>
      <c r="AMY524" s="131"/>
      <c r="AMZ524" s="131"/>
      <c r="ANA524" s="131"/>
      <c r="ANB524" s="131"/>
      <c r="ANC524" s="131"/>
      <c r="AND524" s="131"/>
      <c r="ANE524" s="131"/>
      <c r="ANF524" s="131"/>
      <c r="ANG524" s="131"/>
      <c r="ANH524" s="131"/>
      <c r="ANI524" s="131"/>
      <c r="ANJ524" s="131"/>
      <c r="ANK524" s="131"/>
      <c r="ANL524" s="131"/>
      <c r="ANM524" s="131"/>
      <c r="ANN524" s="131"/>
      <c r="ANO524" s="131"/>
      <c r="ANP524" s="131"/>
      <c r="ANQ524" s="131"/>
      <c r="ANR524" s="131"/>
      <c r="ANS524" s="131"/>
      <c r="ANT524" s="131"/>
      <c r="ANU524" s="131"/>
      <c r="ANV524" s="131"/>
      <c r="ANW524" s="131"/>
      <c r="ANX524" s="131"/>
      <c r="ANY524" s="131"/>
      <c r="ANZ524" s="131"/>
      <c r="AOA524" s="131"/>
      <c r="AOB524" s="131"/>
      <c r="AOC524" s="131"/>
      <c r="AOD524" s="131"/>
      <c r="AOE524" s="131"/>
      <c r="AOF524" s="131"/>
      <c r="AOG524" s="131"/>
      <c r="AOH524" s="131"/>
      <c r="AOI524" s="131"/>
      <c r="AOJ524" s="131"/>
      <c r="AOK524" s="131"/>
      <c r="AOL524" s="131"/>
      <c r="AOM524" s="131"/>
      <c r="AON524" s="131"/>
      <c r="AOO524" s="131"/>
      <c r="AOP524" s="131"/>
      <c r="AOQ524" s="131"/>
      <c r="AOR524" s="131"/>
      <c r="AOS524" s="131"/>
      <c r="AOT524" s="131"/>
      <c r="AOU524" s="131"/>
      <c r="AOV524" s="131"/>
      <c r="AOW524" s="131"/>
      <c r="AOX524" s="131"/>
      <c r="AOY524" s="131"/>
      <c r="AOZ524" s="131"/>
      <c r="APA524" s="131"/>
      <c r="APB524" s="131"/>
      <c r="APC524" s="131"/>
      <c r="APD524" s="131"/>
      <c r="APE524" s="131"/>
      <c r="APF524" s="131"/>
      <c r="APG524" s="131"/>
      <c r="APH524" s="131"/>
      <c r="API524" s="131"/>
      <c r="APJ524" s="131"/>
      <c r="APK524" s="131"/>
      <c r="APL524" s="131"/>
      <c r="APM524" s="131"/>
      <c r="APN524" s="131"/>
      <c r="APO524" s="131"/>
      <c r="APP524" s="131"/>
      <c r="APQ524" s="131"/>
      <c r="APR524" s="131"/>
      <c r="APS524" s="131"/>
      <c r="APT524" s="131"/>
      <c r="APU524" s="131"/>
      <c r="APV524" s="131"/>
      <c r="APW524" s="131"/>
      <c r="APX524" s="131"/>
      <c r="APY524" s="131"/>
      <c r="APZ524" s="131"/>
      <c r="AQA524" s="131"/>
      <c r="AQB524" s="131"/>
      <c r="AQC524" s="131"/>
      <c r="AQD524" s="131"/>
      <c r="AQE524" s="131"/>
      <c r="AQF524" s="131"/>
      <c r="AQG524" s="131"/>
      <c r="AQH524" s="131"/>
      <c r="AQI524" s="131"/>
      <c r="AQJ524" s="131"/>
      <c r="AQK524" s="131"/>
      <c r="AQL524" s="131"/>
      <c r="AQM524" s="131"/>
      <c r="AQN524" s="131"/>
      <c r="AQO524" s="131"/>
      <c r="AQP524" s="131"/>
      <c r="AQQ524" s="131"/>
      <c r="AQR524" s="131"/>
      <c r="AQS524" s="131"/>
      <c r="AQT524" s="131"/>
      <c r="AQU524" s="131"/>
      <c r="AQV524" s="131"/>
      <c r="AQW524" s="131"/>
      <c r="AQX524" s="131"/>
      <c r="AQY524" s="131"/>
      <c r="AQZ524" s="131"/>
      <c r="ARA524" s="131"/>
      <c r="ARB524" s="131"/>
      <c r="ARC524" s="131"/>
      <c r="ARD524" s="131"/>
      <c r="ARE524" s="131"/>
      <c r="ARF524" s="131"/>
      <c r="ARG524" s="131"/>
      <c r="ARH524" s="131"/>
      <c r="ARI524" s="131"/>
      <c r="ARJ524" s="131"/>
      <c r="ARK524" s="131"/>
      <c r="ARL524" s="131"/>
      <c r="ARM524" s="131"/>
      <c r="ARN524" s="131"/>
      <c r="ARO524" s="131"/>
      <c r="ARP524" s="131"/>
      <c r="ARQ524" s="131"/>
      <c r="ARR524" s="131"/>
      <c r="ARS524" s="131"/>
      <c r="ART524" s="131"/>
      <c r="ARU524" s="131"/>
      <c r="ARV524" s="131"/>
      <c r="ARW524" s="131"/>
      <c r="ARX524" s="131"/>
      <c r="ARY524" s="131"/>
      <c r="ARZ524" s="131"/>
      <c r="ASA524" s="131"/>
      <c r="ASB524" s="131"/>
      <c r="ASC524" s="131"/>
      <c r="ASD524" s="131"/>
      <c r="ASE524" s="131"/>
      <c r="ASF524" s="131"/>
      <c r="ASG524" s="131"/>
      <c r="ASH524" s="131"/>
      <c r="ASI524" s="131"/>
      <c r="ASJ524" s="131"/>
      <c r="ASK524" s="131"/>
      <c r="ASL524" s="131"/>
      <c r="ASM524" s="131"/>
      <c r="ASN524" s="131"/>
      <c r="ASO524" s="131"/>
      <c r="ASP524" s="131"/>
      <c r="ASQ524" s="131"/>
      <c r="ASR524" s="131"/>
      <c r="ASS524" s="131"/>
      <c r="AST524" s="131"/>
      <c r="ASU524" s="131"/>
      <c r="ASV524" s="131"/>
      <c r="ASW524" s="131"/>
      <c r="ASX524" s="131"/>
      <c r="ASY524" s="131"/>
      <c r="ASZ524" s="131"/>
      <c r="ATA524" s="131"/>
      <c r="ATB524" s="131"/>
      <c r="ATC524" s="131"/>
      <c r="ATD524" s="131"/>
      <c r="ATE524" s="131"/>
      <c r="ATF524" s="131"/>
      <c r="ATG524" s="131"/>
      <c r="ATH524" s="131"/>
      <c r="ATI524" s="131"/>
      <c r="ATJ524" s="131"/>
      <c r="ATK524" s="131"/>
      <c r="ATL524" s="131"/>
      <c r="ATM524" s="131"/>
      <c r="ATN524" s="131"/>
      <c r="ATO524" s="131"/>
      <c r="ATP524" s="131"/>
      <c r="ATQ524" s="131"/>
      <c r="ATR524" s="131"/>
      <c r="ATS524" s="131"/>
      <c r="ATT524" s="131"/>
      <c r="ATU524" s="131"/>
      <c r="ATV524" s="131"/>
      <c r="ATW524" s="131"/>
      <c r="ATX524" s="131"/>
      <c r="ATY524" s="131"/>
      <c r="ATZ524" s="131"/>
      <c r="AUA524" s="131"/>
      <c r="AUB524" s="131"/>
      <c r="AUC524" s="131"/>
      <c r="AUD524" s="131"/>
      <c r="AUE524" s="131"/>
      <c r="AUF524" s="131"/>
      <c r="AUG524" s="131"/>
      <c r="AUH524" s="131"/>
      <c r="AUI524" s="131"/>
      <c r="AUJ524" s="131"/>
      <c r="AUK524" s="131"/>
      <c r="AUL524" s="131"/>
      <c r="AUM524" s="131"/>
      <c r="AUN524" s="131"/>
      <c r="AUO524" s="131"/>
      <c r="AUP524" s="131"/>
      <c r="AUQ524" s="131"/>
      <c r="AUR524" s="131"/>
      <c r="AUS524" s="131"/>
      <c r="AUT524" s="131"/>
      <c r="AUU524" s="131"/>
      <c r="AUV524" s="131"/>
      <c r="AUW524" s="131"/>
      <c r="AUX524" s="131"/>
      <c r="AUY524" s="131"/>
      <c r="AUZ524" s="131"/>
      <c r="AVA524" s="131"/>
      <c r="AVB524" s="131"/>
      <c r="AVC524" s="131"/>
      <c r="AVD524" s="131"/>
      <c r="AVE524" s="131"/>
      <c r="AVF524" s="131"/>
      <c r="AVG524" s="131"/>
      <c r="AVH524" s="131"/>
      <c r="AVI524" s="131"/>
      <c r="AVJ524" s="131"/>
      <c r="AVK524" s="131"/>
      <c r="AVL524" s="131"/>
      <c r="AVM524" s="131"/>
      <c r="AVN524" s="131"/>
      <c r="AVO524" s="131"/>
      <c r="AVP524" s="131"/>
      <c r="AVQ524" s="131"/>
      <c r="AVR524" s="131"/>
      <c r="AVS524" s="131"/>
      <c r="AVT524" s="131"/>
      <c r="AVU524" s="131"/>
      <c r="AVV524" s="131"/>
      <c r="AVW524" s="131"/>
      <c r="AVX524" s="131"/>
      <c r="AVY524" s="131"/>
      <c r="AVZ524" s="131"/>
      <c r="AWA524" s="131"/>
      <c r="AWB524" s="131"/>
      <c r="AWC524" s="131"/>
      <c r="AWD524" s="131"/>
      <c r="AWE524" s="131"/>
      <c r="AWF524" s="131"/>
      <c r="AWG524" s="131"/>
      <c r="AWH524" s="131"/>
      <c r="AWI524" s="131"/>
      <c r="AWJ524" s="131"/>
      <c r="AWK524" s="131"/>
      <c r="AWL524" s="131"/>
      <c r="AWM524" s="131"/>
      <c r="AWN524" s="131"/>
      <c r="AWO524" s="131"/>
      <c r="AWP524" s="131"/>
      <c r="AWQ524" s="131"/>
      <c r="AWR524" s="131"/>
      <c r="AWS524" s="131"/>
      <c r="AWT524" s="131"/>
      <c r="AWU524" s="131"/>
      <c r="AWV524" s="131"/>
      <c r="AWW524" s="131"/>
      <c r="AWX524" s="131"/>
      <c r="AWY524" s="131"/>
      <c r="AWZ524" s="131"/>
      <c r="AXA524" s="131"/>
      <c r="AXB524" s="131"/>
      <c r="AXC524" s="131"/>
      <c r="AXD524" s="131"/>
      <c r="AXE524" s="131"/>
      <c r="AXF524" s="131"/>
      <c r="AXG524" s="131"/>
      <c r="AXH524" s="131"/>
      <c r="AXI524" s="131"/>
      <c r="AXJ524" s="131"/>
      <c r="AXK524" s="131"/>
      <c r="AXL524" s="131"/>
      <c r="AXM524" s="131"/>
      <c r="AXN524" s="131"/>
      <c r="AXO524" s="131"/>
      <c r="AXP524" s="131"/>
      <c r="AXQ524" s="131"/>
      <c r="AXR524" s="131"/>
      <c r="AXS524" s="131"/>
      <c r="AXT524" s="131"/>
      <c r="AXU524" s="131"/>
      <c r="AXV524" s="131"/>
      <c r="AXW524" s="131"/>
      <c r="AXX524" s="131"/>
      <c r="AXY524" s="131"/>
      <c r="AXZ524" s="131"/>
      <c r="AYA524" s="131"/>
      <c r="AYB524" s="131"/>
      <c r="AYC524" s="131"/>
      <c r="AYD524" s="131"/>
      <c r="AYE524" s="131"/>
      <c r="AYF524" s="131"/>
      <c r="AYG524" s="131"/>
      <c r="AYH524" s="131"/>
      <c r="AYI524" s="131"/>
      <c r="AYJ524" s="131"/>
      <c r="AYK524" s="131"/>
      <c r="AYL524" s="131"/>
      <c r="AYM524" s="131"/>
      <c r="AYN524" s="131"/>
      <c r="AYO524" s="131"/>
      <c r="AYP524" s="131"/>
      <c r="AYQ524" s="131"/>
      <c r="AYR524" s="131"/>
      <c r="AYS524" s="131"/>
      <c r="AYT524" s="131"/>
      <c r="AYU524" s="131"/>
      <c r="AYV524" s="131"/>
      <c r="AYW524" s="131"/>
      <c r="AYX524" s="131"/>
      <c r="AYY524" s="131"/>
      <c r="AYZ524" s="131"/>
      <c r="AZA524" s="131"/>
      <c r="AZB524" s="131"/>
      <c r="AZC524" s="131"/>
      <c r="AZD524" s="131"/>
      <c r="AZE524" s="131"/>
      <c r="AZF524" s="131"/>
      <c r="AZG524" s="131"/>
      <c r="AZH524" s="131"/>
      <c r="AZI524" s="131"/>
      <c r="AZJ524" s="131"/>
      <c r="AZK524" s="131"/>
      <c r="AZL524" s="131"/>
      <c r="AZM524" s="131"/>
      <c r="AZN524" s="131"/>
      <c r="AZO524" s="131"/>
      <c r="AZP524" s="131"/>
      <c r="AZQ524" s="131"/>
      <c r="AZR524" s="131"/>
      <c r="AZS524" s="131"/>
      <c r="AZT524" s="131"/>
      <c r="AZU524" s="131"/>
      <c r="AZV524" s="131"/>
      <c r="AZW524" s="131"/>
      <c r="AZX524" s="131"/>
      <c r="AZY524" s="131"/>
      <c r="AZZ524" s="131"/>
      <c r="BAA524" s="131"/>
      <c r="BAB524" s="131"/>
      <c r="BAC524" s="131"/>
      <c r="BAD524" s="131"/>
      <c r="BAE524" s="131"/>
      <c r="BAF524" s="131"/>
      <c r="BAG524" s="131"/>
      <c r="BAH524" s="131"/>
      <c r="BAI524" s="131"/>
      <c r="BAJ524" s="131"/>
      <c r="BAK524" s="131"/>
      <c r="BAL524" s="131"/>
      <c r="BAM524" s="131"/>
      <c r="BAN524" s="131"/>
      <c r="BAO524" s="131"/>
      <c r="BAP524" s="131"/>
      <c r="BAQ524" s="131"/>
      <c r="BAR524" s="131"/>
      <c r="BAS524" s="131"/>
      <c r="BAT524" s="131"/>
      <c r="BAU524" s="131"/>
      <c r="BAV524" s="131"/>
      <c r="BAW524" s="131"/>
      <c r="BAX524" s="131"/>
      <c r="BAY524" s="131"/>
      <c r="BAZ524" s="131"/>
      <c r="BBA524" s="131"/>
      <c r="BBB524" s="131"/>
      <c r="BBC524" s="131"/>
      <c r="BBD524" s="131"/>
      <c r="BBE524" s="131"/>
      <c r="BBF524" s="131"/>
      <c r="BBG524" s="131"/>
      <c r="BBH524" s="131"/>
      <c r="BBI524" s="131"/>
      <c r="BBJ524" s="131"/>
      <c r="BBK524" s="131"/>
      <c r="BBL524" s="131"/>
      <c r="BBM524" s="131"/>
      <c r="BBN524" s="131"/>
      <c r="BBO524" s="131"/>
      <c r="BBP524" s="131"/>
      <c r="BBQ524" s="131"/>
      <c r="BBR524" s="131"/>
      <c r="BBS524" s="131"/>
      <c r="BBT524" s="131"/>
      <c r="BBU524" s="131"/>
      <c r="BBV524" s="131"/>
      <c r="BBW524" s="131"/>
      <c r="BBX524" s="131"/>
      <c r="BBY524" s="131"/>
      <c r="BBZ524" s="131"/>
      <c r="BCA524" s="131"/>
      <c r="BCB524" s="131"/>
      <c r="BCC524" s="131"/>
      <c r="BCD524" s="131"/>
      <c r="BCE524" s="131"/>
      <c r="BCF524" s="131"/>
      <c r="BCG524" s="131"/>
      <c r="BCH524" s="131"/>
      <c r="BCI524" s="131"/>
      <c r="BCJ524" s="131"/>
      <c r="BCK524" s="131"/>
      <c r="BCL524" s="131"/>
      <c r="BCM524" s="131"/>
      <c r="BCN524" s="131"/>
      <c r="BCO524" s="131"/>
      <c r="BCP524" s="131"/>
      <c r="BCQ524" s="131"/>
      <c r="BCR524" s="131"/>
      <c r="BCS524" s="131"/>
      <c r="BCT524" s="131"/>
      <c r="BCU524" s="131"/>
      <c r="BCV524" s="131"/>
      <c r="BCW524" s="131"/>
      <c r="BCX524" s="131"/>
      <c r="BCY524" s="131"/>
      <c r="BCZ524" s="131"/>
      <c r="BDA524" s="131"/>
      <c r="BDB524" s="131"/>
      <c r="BDC524" s="131"/>
      <c r="BDD524" s="131"/>
      <c r="BDE524" s="131"/>
      <c r="BDF524" s="131"/>
      <c r="BDG524" s="131"/>
      <c r="BDH524" s="131"/>
      <c r="BDI524" s="131"/>
      <c r="BDJ524" s="131"/>
      <c r="BDK524" s="131"/>
      <c r="BDL524" s="131"/>
      <c r="BDM524" s="131"/>
      <c r="BDN524" s="131"/>
      <c r="BDO524" s="131"/>
      <c r="BDP524" s="131"/>
      <c r="BDQ524" s="131"/>
      <c r="BDR524" s="131"/>
      <c r="BDS524" s="131"/>
      <c r="BDT524" s="131"/>
      <c r="BDU524" s="131"/>
      <c r="BDV524" s="131"/>
      <c r="BDW524" s="131"/>
      <c r="BDX524" s="131"/>
      <c r="BDY524" s="131"/>
      <c r="BDZ524" s="131"/>
      <c r="BEA524" s="131"/>
      <c r="BEB524" s="131"/>
      <c r="BEC524" s="131"/>
      <c r="BED524" s="131"/>
      <c r="BEE524" s="131"/>
      <c r="BEF524" s="131"/>
      <c r="BEG524" s="131"/>
      <c r="BEH524" s="131"/>
      <c r="BEI524" s="131"/>
      <c r="BEJ524" s="131"/>
      <c r="BEK524" s="131"/>
      <c r="BEL524" s="131"/>
      <c r="BEM524" s="131"/>
      <c r="BEN524" s="131"/>
      <c r="BEO524" s="131"/>
      <c r="BEP524" s="131"/>
      <c r="BEQ524" s="131"/>
      <c r="BER524" s="131"/>
      <c r="BES524" s="131"/>
      <c r="BET524" s="131"/>
      <c r="BEU524" s="131"/>
      <c r="BEV524" s="131"/>
      <c r="BEW524" s="131"/>
      <c r="BEX524" s="131"/>
      <c r="BEY524" s="131"/>
      <c r="BEZ524" s="131"/>
      <c r="BFA524" s="131"/>
      <c r="BFB524" s="131"/>
      <c r="BFC524" s="131"/>
      <c r="BFD524" s="131"/>
      <c r="BFE524" s="131"/>
      <c r="BFF524" s="131"/>
      <c r="BFG524" s="131"/>
      <c r="BFH524" s="131"/>
      <c r="BFI524" s="131"/>
      <c r="BFJ524" s="131"/>
      <c r="BFK524" s="131"/>
      <c r="BFL524" s="131"/>
      <c r="BFM524" s="131"/>
      <c r="BFN524" s="131"/>
      <c r="BFO524" s="131"/>
      <c r="BFP524" s="131"/>
      <c r="BFQ524" s="131"/>
      <c r="BFR524" s="131"/>
      <c r="BFS524" s="131"/>
      <c r="BFT524" s="131"/>
      <c r="BFU524" s="131"/>
      <c r="BFV524" s="131"/>
      <c r="BFW524" s="131"/>
      <c r="BFX524" s="131"/>
      <c r="BFY524" s="131"/>
      <c r="BFZ524" s="131"/>
      <c r="BGA524" s="131"/>
      <c r="BGB524" s="131"/>
      <c r="BGC524" s="131"/>
      <c r="BGD524" s="131"/>
      <c r="BGE524" s="131"/>
      <c r="BGF524" s="131"/>
      <c r="BGG524" s="131"/>
      <c r="BGH524" s="131"/>
      <c r="BGI524" s="131"/>
      <c r="BGJ524" s="131"/>
      <c r="BGK524" s="131"/>
      <c r="BGL524" s="131"/>
      <c r="BGM524" s="131"/>
      <c r="BGN524" s="131"/>
      <c r="BGO524" s="131"/>
      <c r="BGP524" s="131"/>
      <c r="BGQ524" s="131"/>
      <c r="BGR524" s="131"/>
      <c r="BGS524" s="131"/>
      <c r="BGT524" s="131"/>
      <c r="BGU524" s="131"/>
      <c r="BGV524" s="131"/>
      <c r="BGW524" s="131"/>
      <c r="BGX524" s="131"/>
      <c r="BGY524" s="131"/>
      <c r="BGZ524" s="131"/>
      <c r="BHA524" s="131"/>
      <c r="BHB524" s="131"/>
      <c r="BHC524" s="131"/>
      <c r="BHD524" s="131"/>
      <c r="BHE524" s="131"/>
      <c r="BHF524" s="131"/>
      <c r="BHG524" s="131"/>
      <c r="BHH524" s="131"/>
      <c r="BHI524" s="131"/>
      <c r="BHJ524" s="131"/>
      <c r="BHK524" s="131"/>
      <c r="BHL524" s="131"/>
      <c r="BHM524" s="131"/>
      <c r="BHN524" s="131"/>
      <c r="BHO524" s="131"/>
      <c r="BHP524" s="131"/>
      <c r="BHQ524" s="131"/>
      <c r="BHR524" s="131"/>
      <c r="BHS524" s="131"/>
      <c r="BHT524" s="131"/>
      <c r="BHU524" s="131"/>
      <c r="BHV524" s="131"/>
      <c r="BHW524" s="131"/>
      <c r="BHX524" s="131"/>
      <c r="BHY524" s="131"/>
      <c r="BHZ524" s="131"/>
      <c r="BIA524" s="131"/>
      <c r="BIB524" s="131"/>
      <c r="BIC524" s="131"/>
      <c r="BID524" s="131"/>
      <c r="BIE524" s="131"/>
      <c r="BIF524" s="131"/>
      <c r="BIG524" s="131"/>
      <c r="BIH524" s="131"/>
      <c r="BII524" s="131"/>
      <c r="BIJ524" s="131"/>
      <c r="BIK524" s="131"/>
      <c r="BIL524" s="131"/>
      <c r="BIM524" s="131"/>
      <c r="BIN524" s="131"/>
      <c r="BIO524" s="131"/>
      <c r="BIP524" s="131"/>
      <c r="BIQ524" s="131"/>
      <c r="BIR524" s="131"/>
      <c r="BIS524" s="131"/>
      <c r="BIT524" s="131"/>
      <c r="BIU524" s="131"/>
      <c r="BIV524" s="131"/>
      <c r="BIW524" s="131"/>
      <c r="BIX524" s="131"/>
      <c r="BIY524" s="131"/>
      <c r="BIZ524" s="131"/>
      <c r="BJA524" s="131"/>
      <c r="BJB524" s="131"/>
      <c r="BJC524" s="131"/>
      <c r="BJD524" s="131"/>
      <c r="BJE524" s="131"/>
      <c r="BJF524" s="131"/>
      <c r="BJG524" s="131"/>
      <c r="BJH524" s="131"/>
      <c r="BJI524" s="131"/>
      <c r="BJJ524" s="131"/>
      <c r="BJK524" s="131"/>
      <c r="BJL524" s="131"/>
      <c r="BJM524" s="131"/>
      <c r="BJN524" s="131"/>
      <c r="BJO524" s="131"/>
      <c r="BJP524" s="131"/>
      <c r="BJQ524" s="131"/>
      <c r="BJR524" s="131"/>
      <c r="BJS524" s="131"/>
      <c r="BJT524" s="131"/>
      <c r="BJU524" s="131"/>
      <c r="BJV524" s="131"/>
      <c r="BJW524" s="131"/>
      <c r="BJX524" s="131"/>
      <c r="BJY524" s="131"/>
      <c r="BJZ524" s="131"/>
      <c r="BKA524" s="131"/>
      <c r="BKB524" s="131"/>
      <c r="BKC524" s="131"/>
      <c r="BKD524" s="131"/>
      <c r="BKE524" s="131"/>
      <c r="BKF524" s="131"/>
      <c r="BKG524" s="131"/>
      <c r="BKH524" s="131"/>
      <c r="BKI524" s="131"/>
      <c r="BKJ524" s="131"/>
      <c r="BKK524" s="131"/>
      <c r="BKL524" s="131"/>
      <c r="BKM524" s="131"/>
      <c r="BKN524" s="131"/>
      <c r="BKO524" s="131"/>
      <c r="BKP524" s="131"/>
      <c r="BKQ524" s="131"/>
      <c r="BKR524" s="131"/>
      <c r="BKS524" s="131"/>
      <c r="BKT524" s="131"/>
      <c r="BKU524" s="131"/>
      <c r="BKV524" s="131"/>
      <c r="BKW524" s="131"/>
      <c r="BKX524" s="131"/>
      <c r="BKY524" s="131"/>
      <c r="BKZ524" s="131"/>
      <c r="BLA524" s="131"/>
      <c r="BLB524" s="131"/>
      <c r="BLC524" s="131"/>
      <c r="BLD524" s="131"/>
      <c r="BLE524" s="131"/>
      <c r="BLF524" s="131"/>
      <c r="BLG524" s="131"/>
      <c r="BLH524" s="131"/>
      <c r="BLI524" s="131"/>
      <c r="BLJ524" s="131"/>
      <c r="BLK524" s="131"/>
      <c r="BLL524" s="131"/>
      <c r="BLM524" s="131"/>
      <c r="BLN524" s="131"/>
      <c r="BLO524" s="131"/>
      <c r="BLP524" s="131"/>
      <c r="BLQ524" s="131"/>
      <c r="BLR524" s="131"/>
      <c r="BLS524" s="131"/>
      <c r="BLT524" s="131"/>
      <c r="BLU524" s="131"/>
      <c r="BLV524" s="131"/>
      <c r="BLW524" s="131"/>
      <c r="BLX524" s="131"/>
      <c r="BLY524" s="131"/>
      <c r="BLZ524" s="131"/>
      <c r="BMA524" s="131"/>
      <c r="BMB524" s="131"/>
      <c r="BMC524" s="131"/>
      <c r="BMD524" s="131"/>
      <c r="BME524" s="131"/>
      <c r="BMF524" s="131"/>
      <c r="BMG524" s="131"/>
      <c r="BMH524" s="131"/>
      <c r="BMI524" s="131"/>
      <c r="BMJ524" s="131"/>
      <c r="BMK524" s="131"/>
      <c r="BML524" s="131"/>
      <c r="BMM524" s="131"/>
      <c r="BMN524" s="131"/>
      <c r="BMO524" s="131"/>
      <c r="BMP524" s="131"/>
      <c r="BMQ524" s="131"/>
      <c r="BMR524" s="131"/>
      <c r="BMS524" s="131"/>
      <c r="BMT524" s="131"/>
      <c r="BMU524" s="131"/>
      <c r="BMV524" s="131"/>
      <c r="BMW524" s="131"/>
      <c r="BMX524" s="131"/>
      <c r="BMY524" s="131"/>
      <c r="BMZ524" s="131"/>
      <c r="BNA524" s="131"/>
      <c r="BNB524" s="131"/>
      <c r="BNC524" s="131"/>
      <c r="BND524" s="131"/>
      <c r="BNE524" s="131"/>
      <c r="BNF524" s="131"/>
      <c r="BNG524" s="131"/>
      <c r="BNH524" s="131"/>
      <c r="BNI524" s="131"/>
      <c r="BNJ524" s="131"/>
      <c r="BNK524" s="131"/>
      <c r="BNL524" s="131"/>
      <c r="BNM524" s="131"/>
      <c r="BNN524" s="131"/>
      <c r="BNO524" s="131"/>
      <c r="BNP524" s="131"/>
      <c r="BNQ524" s="131"/>
      <c r="BNR524" s="131"/>
      <c r="BNS524" s="131"/>
      <c r="BNT524" s="131"/>
      <c r="BNU524" s="131"/>
      <c r="BNV524" s="131"/>
      <c r="BNW524" s="131"/>
      <c r="BNX524" s="131"/>
      <c r="BNY524" s="131"/>
      <c r="BNZ524" s="131"/>
      <c r="BOA524" s="131"/>
      <c r="BOB524" s="131"/>
      <c r="BOC524" s="131"/>
      <c r="BOD524" s="131"/>
      <c r="BOE524" s="131"/>
      <c r="BOF524" s="131"/>
      <c r="BOG524" s="131"/>
      <c r="BOH524" s="131"/>
      <c r="BOI524" s="131"/>
      <c r="BOJ524" s="131"/>
      <c r="BOK524" s="131"/>
      <c r="BOL524" s="131"/>
      <c r="BOM524" s="131"/>
      <c r="BON524" s="131"/>
      <c r="BOO524" s="131"/>
      <c r="BOP524" s="131"/>
      <c r="BOQ524" s="131"/>
      <c r="BOR524" s="131"/>
      <c r="BOS524" s="131"/>
      <c r="BOT524" s="131"/>
      <c r="BOU524" s="131"/>
      <c r="BOV524" s="131"/>
      <c r="BOW524" s="131"/>
      <c r="BOX524" s="131"/>
      <c r="BOY524" s="131"/>
      <c r="BOZ524" s="131"/>
      <c r="BPA524" s="131"/>
      <c r="BPB524" s="131"/>
      <c r="BPC524" s="131"/>
      <c r="BPD524" s="131"/>
      <c r="BPE524" s="131"/>
      <c r="BPF524" s="131"/>
      <c r="BPG524" s="131"/>
      <c r="BPH524" s="131"/>
      <c r="BPI524" s="131"/>
      <c r="BPJ524" s="131"/>
      <c r="BPK524" s="131"/>
      <c r="BPL524" s="131"/>
      <c r="BPM524" s="131"/>
      <c r="BPN524" s="131"/>
      <c r="BPO524" s="131"/>
      <c r="BPP524" s="131"/>
      <c r="BPQ524" s="131"/>
      <c r="BPR524" s="131"/>
      <c r="BPS524" s="131"/>
      <c r="BPT524" s="131"/>
      <c r="BPU524" s="131"/>
      <c r="BPV524" s="131"/>
      <c r="BPW524" s="131"/>
      <c r="BPX524" s="131"/>
      <c r="BPY524" s="131"/>
      <c r="BPZ524" s="131"/>
      <c r="BQA524" s="131"/>
      <c r="BQB524" s="131"/>
      <c r="BQC524" s="131"/>
      <c r="BQD524" s="131"/>
      <c r="BQE524" s="131"/>
      <c r="BQF524" s="131"/>
      <c r="BQG524" s="131"/>
      <c r="BQH524" s="131"/>
      <c r="BQI524" s="131"/>
      <c r="BQJ524" s="131"/>
      <c r="BQK524" s="131"/>
      <c r="BQL524" s="131"/>
      <c r="BQM524" s="131"/>
      <c r="BQN524" s="131"/>
      <c r="BQO524" s="131"/>
      <c r="BQP524" s="131"/>
      <c r="BQQ524" s="131"/>
      <c r="BQR524" s="131"/>
      <c r="BQS524" s="131"/>
      <c r="BQT524" s="131"/>
      <c r="BQU524" s="131"/>
      <c r="BQV524" s="131"/>
      <c r="BQW524" s="131"/>
      <c r="BQX524" s="131"/>
      <c r="BQY524" s="131"/>
      <c r="BQZ524" s="131"/>
      <c r="BRA524" s="131"/>
      <c r="BRB524" s="131"/>
      <c r="BRC524" s="131"/>
      <c r="BRD524" s="131"/>
      <c r="BRE524" s="131"/>
      <c r="BRF524" s="131"/>
      <c r="BRG524" s="131"/>
      <c r="BRH524" s="131"/>
      <c r="BRI524" s="131"/>
      <c r="BRJ524" s="131"/>
      <c r="BRK524" s="131"/>
      <c r="BRL524" s="131"/>
      <c r="BRM524" s="131"/>
      <c r="BRN524" s="131"/>
      <c r="BRO524" s="131"/>
      <c r="BRP524" s="131"/>
      <c r="BRQ524" s="131"/>
      <c r="BRR524" s="131"/>
      <c r="BRS524" s="131"/>
      <c r="BRT524" s="131"/>
      <c r="BRU524" s="131"/>
      <c r="BRV524" s="131"/>
      <c r="BRW524" s="131"/>
      <c r="BRX524" s="131"/>
      <c r="BRY524" s="131"/>
      <c r="BRZ524" s="131"/>
      <c r="BSA524" s="131"/>
      <c r="BSB524" s="131"/>
      <c r="BSC524" s="131"/>
      <c r="BSD524" s="131"/>
      <c r="BSE524" s="131"/>
      <c r="BSF524" s="131"/>
      <c r="BSG524" s="131"/>
      <c r="BSH524" s="131"/>
      <c r="BSI524" s="131"/>
      <c r="BSJ524" s="131"/>
      <c r="BSK524" s="131"/>
      <c r="BSL524" s="131"/>
      <c r="BSM524" s="131"/>
      <c r="BSN524" s="131"/>
      <c r="BSO524" s="131"/>
      <c r="BSP524" s="131"/>
      <c r="BSQ524" s="131"/>
      <c r="BSR524" s="131"/>
      <c r="BSS524" s="131"/>
      <c r="BST524" s="131"/>
      <c r="BSU524" s="131"/>
      <c r="BSV524" s="131"/>
      <c r="BSW524" s="131"/>
      <c r="BSX524" s="131"/>
      <c r="BSY524" s="131"/>
      <c r="BSZ524" s="131"/>
      <c r="BTA524" s="131"/>
      <c r="BTB524" s="131"/>
      <c r="BTC524" s="131"/>
      <c r="BTD524" s="131"/>
      <c r="BTE524" s="131"/>
      <c r="BTF524" s="131"/>
      <c r="BTG524" s="131"/>
      <c r="BTH524" s="131"/>
      <c r="BTI524" s="131"/>
      <c r="BTJ524" s="131"/>
      <c r="BTK524" s="131"/>
      <c r="BTL524" s="131"/>
      <c r="BTM524" s="131"/>
      <c r="BTN524" s="131"/>
      <c r="BTO524" s="131"/>
      <c r="BTP524" s="131"/>
      <c r="BTQ524" s="131"/>
      <c r="BTR524" s="131"/>
      <c r="BTS524" s="131"/>
      <c r="BTT524" s="131"/>
      <c r="BTU524" s="131"/>
      <c r="BTV524" s="131"/>
      <c r="BTW524" s="131"/>
      <c r="BTX524" s="131"/>
      <c r="BTY524" s="131"/>
      <c r="BTZ524" s="131"/>
      <c r="BUA524" s="131"/>
      <c r="BUB524" s="131"/>
      <c r="BUC524" s="131"/>
      <c r="BUD524" s="131"/>
      <c r="BUE524" s="131"/>
      <c r="BUF524" s="131"/>
      <c r="BUG524" s="131"/>
      <c r="BUH524" s="131"/>
      <c r="BUI524" s="131"/>
      <c r="BUJ524" s="131"/>
      <c r="BUK524" s="131"/>
      <c r="BUL524" s="131"/>
      <c r="BUM524" s="131"/>
      <c r="BUN524" s="131"/>
      <c r="BUO524" s="131"/>
      <c r="BUP524" s="131"/>
      <c r="BUQ524" s="131"/>
      <c r="BUR524" s="131"/>
      <c r="BUS524" s="131"/>
      <c r="BUT524" s="131"/>
      <c r="BUU524" s="131"/>
      <c r="BUV524" s="131"/>
      <c r="BUW524" s="131"/>
      <c r="BUX524" s="131"/>
      <c r="BUY524" s="131"/>
      <c r="BUZ524" s="131"/>
      <c r="BVA524" s="131"/>
      <c r="BVB524" s="131"/>
      <c r="BVC524" s="131"/>
      <c r="BVD524" s="131"/>
      <c r="BVE524" s="131"/>
      <c r="BVF524" s="131"/>
      <c r="BVG524" s="131"/>
      <c r="BVH524" s="131"/>
      <c r="BVI524" s="131"/>
      <c r="BVJ524" s="131"/>
      <c r="BVK524" s="131"/>
      <c r="BVL524" s="131"/>
      <c r="BVM524" s="131"/>
      <c r="BVN524" s="131"/>
      <c r="BVO524" s="131"/>
      <c r="BVP524" s="131"/>
      <c r="BVQ524" s="131"/>
      <c r="BVR524" s="131"/>
      <c r="BVS524" s="131"/>
      <c r="BVT524" s="131"/>
      <c r="BVU524" s="131"/>
      <c r="BVV524" s="131"/>
      <c r="BVW524" s="131"/>
      <c r="BVX524" s="131"/>
      <c r="BVY524" s="131"/>
      <c r="BVZ524" s="131"/>
      <c r="BWA524" s="131"/>
      <c r="BWB524" s="131"/>
      <c r="BWC524" s="131"/>
      <c r="BWD524" s="131"/>
      <c r="BWE524" s="131"/>
      <c r="BWF524" s="131"/>
      <c r="BWG524" s="131"/>
      <c r="BWH524" s="131"/>
      <c r="BWI524" s="131"/>
      <c r="BWJ524" s="131"/>
      <c r="BWK524" s="131"/>
      <c r="BWL524" s="131"/>
      <c r="BWM524" s="131"/>
      <c r="BWN524" s="131"/>
      <c r="BWO524" s="131"/>
      <c r="BWP524" s="131"/>
      <c r="BWQ524" s="131"/>
      <c r="BWR524" s="131"/>
      <c r="BWS524" s="131"/>
      <c r="BWT524" s="131"/>
      <c r="BWU524" s="131"/>
      <c r="BWV524" s="131"/>
      <c r="BWW524" s="131"/>
      <c r="BWX524" s="131"/>
      <c r="BWY524" s="131"/>
      <c r="BWZ524" s="131"/>
      <c r="BXA524" s="131"/>
      <c r="BXB524" s="131"/>
      <c r="BXC524" s="131"/>
      <c r="BXD524" s="131"/>
      <c r="BXE524" s="131"/>
      <c r="BXF524" s="131"/>
      <c r="BXG524" s="131"/>
      <c r="BXH524" s="131"/>
      <c r="BXI524" s="131"/>
      <c r="BXJ524" s="131"/>
      <c r="BXK524" s="131"/>
      <c r="BXL524" s="131"/>
      <c r="BXM524" s="131"/>
      <c r="BXN524" s="131"/>
      <c r="BXO524" s="131"/>
      <c r="BXP524" s="131"/>
      <c r="BXQ524" s="131"/>
      <c r="BXR524" s="131"/>
      <c r="BXS524" s="131"/>
      <c r="BXT524" s="131"/>
      <c r="BXU524" s="131"/>
      <c r="BXV524" s="131"/>
      <c r="BXW524" s="131"/>
      <c r="BXX524" s="131"/>
      <c r="BXY524" s="131"/>
      <c r="BXZ524" s="131"/>
      <c r="BYA524" s="131"/>
      <c r="BYB524" s="131"/>
      <c r="BYC524" s="131"/>
      <c r="BYD524" s="131"/>
      <c r="BYE524" s="131"/>
      <c r="BYF524" s="131"/>
      <c r="BYG524" s="131"/>
      <c r="BYH524" s="131"/>
      <c r="BYI524" s="131"/>
      <c r="BYJ524" s="131"/>
      <c r="BYK524" s="131"/>
      <c r="BYL524" s="131"/>
      <c r="BYM524" s="131"/>
      <c r="BYN524" s="131"/>
      <c r="BYO524" s="131"/>
      <c r="BYP524" s="131"/>
      <c r="BYQ524" s="131"/>
      <c r="BYR524" s="131"/>
      <c r="BYS524" s="131"/>
      <c r="BYT524" s="131"/>
      <c r="BYU524" s="131"/>
      <c r="BYV524" s="131"/>
      <c r="BYW524" s="131"/>
      <c r="BYX524" s="131"/>
      <c r="BYY524" s="131"/>
      <c r="BYZ524" s="131"/>
      <c r="BZA524" s="131"/>
      <c r="BZB524" s="131"/>
      <c r="BZC524" s="131"/>
      <c r="BZD524" s="131"/>
      <c r="BZE524" s="131"/>
      <c r="BZF524" s="131"/>
      <c r="BZG524" s="131"/>
      <c r="BZH524" s="131"/>
      <c r="BZI524" s="131"/>
      <c r="BZJ524" s="131"/>
      <c r="BZK524" s="131"/>
      <c r="BZL524" s="131"/>
      <c r="BZM524" s="131"/>
      <c r="BZN524" s="131"/>
      <c r="BZO524" s="131"/>
      <c r="BZP524" s="131"/>
      <c r="BZQ524" s="131"/>
      <c r="BZR524" s="131"/>
      <c r="BZS524" s="131"/>
      <c r="BZT524" s="131"/>
      <c r="BZU524" s="131"/>
      <c r="BZV524" s="131"/>
      <c r="BZW524" s="131"/>
      <c r="BZX524" s="131"/>
      <c r="BZY524" s="131"/>
      <c r="BZZ524" s="131"/>
      <c r="CAA524" s="131"/>
      <c r="CAB524" s="131"/>
      <c r="CAC524" s="131"/>
      <c r="CAD524" s="131"/>
      <c r="CAE524" s="131"/>
      <c r="CAF524" s="131"/>
      <c r="CAG524" s="131"/>
      <c r="CAH524" s="131"/>
      <c r="CAI524" s="131"/>
      <c r="CAJ524" s="131"/>
      <c r="CAK524" s="131"/>
      <c r="CAL524" s="131"/>
      <c r="CAM524" s="131"/>
      <c r="CAN524" s="131"/>
      <c r="CAO524" s="131"/>
      <c r="CAP524" s="131"/>
      <c r="CAQ524" s="131"/>
      <c r="CAR524" s="131"/>
      <c r="CAS524" s="131"/>
      <c r="CAT524" s="131"/>
      <c r="CAU524" s="131"/>
      <c r="CAV524" s="131"/>
      <c r="CAW524" s="131"/>
      <c r="CAX524" s="131"/>
      <c r="CAY524" s="131"/>
      <c r="CAZ524" s="131"/>
      <c r="CBA524" s="131"/>
      <c r="CBB524" s="131"/>
      <c r="CBC524" s="131"/>
      <c r="CBD524" s="131"/>
      <c r="CBE524" s="131"/>
      <c r="CBF524" s="131"/>
      <c r="CBG524" s="131"/>
      <c r="CBH524" s="131"/>
      <c r="CBI524" s="131"/>
      <c r="CBJ524" s="131"/>
      <c r="CBK524" s="131"/>
      <c r="CBL524" s="131"/>
      <c r="CBM524" s="131"/>
      <c r="CBN524" s="131"/>
      <c r="CBO524" s="131"/>
      <c r="CBP524" s="131"/>
      <c r="CBQ524" s="131"/>
      <c r="CBR524" s="131"/>
      <c r="CBS524" s="131"/>
      <c r="CBT524" s="131"/>
      <c r="CBU524" s="131"/>
      <c r="CBV524" s="131"/>
      <c r="CBW524" s="131"/>
      <c r="CBX524" s="131"/>
      <c r="CBY524" s="131"/>
      <c r="CBZ524" s="131"/>
      <c r="CCA524" s="131"/>
      <c r="CCB524" s="131"/>
      <c r="CCC524" s="131"/>
      <c r="CCD524" s="131"/>
      <c r="CCE524" s="131"/>
      <c r="CCF524" s="131"/>
      <c r="CCG524" s="131"/>
      <c r="CCH524" s="131"/>
      <c r="CCI524" s="131"/>
      <c r="CCJ524" s="131"/>
      <c r="CCK524" s="131"/>
      <c r="CCL524" s="131"/>
      <c r="CCM524" s="131"/>
      <c r="CCN524" s="131"/>
      <c r="CCO524" s="131"/>
      <c r="CCP524" s="131"/>
      <c r="CCQ524" s="131"/>
      <c r="CCR524" s="131"/>
      <c r="CCS524" s="131"/>
      <c r="CCT524" s="131"/>
      <c r="CCU524" s="131"/>
      <c r="CCV524" s="131"/>
      <c r="CCW524" s="131"/>
      <c r="CCX524" s="131"/>
      <c r="CCY524" s="131"/>
      <c r="CCZ524" s="131"/>
      <c r="CDA524" s="131"/>
      <c r="CDB524" s="131"/>
      <c r="CDC524" s="131"/>
      <c r="CDD524" s="131"/>
      <c r="CDE524" s="131"/>
      <c r="CDF524" s="131"/>
      <c r="CDG524" s="131"/>
      <c r="CDH524" s="131"/>
      <c r="CDI524" s="131"/>
      <c r="CDJ524" s="131"/>
      <c r="CDK524" s="131"/>
      <c r="CDL524" s="131"/>
      <c r="CDM524" s="131"/>
      <c r="CDN524" s="131"/>
      <c r="CDO524" s="131"/>
      <c r="CDP524" s="131"/>
      <c r="CDQ524" s="131"/>
      <c r="CDR524" s="131"/>
      <c r="CDS524" s="131"/>
      <c r="CDT524" s="131"/>
      <c r="CDU524" s="131"/>
      <c r="CDV524" s="131"/>
      <c r="CDW524" s="131"/>
      <c r="CDX524" s="131"/>
      <c r="CDY524" s="131"/>
      <c r="CDZ524" s="131"/>
      <c r="CEA524" s="131"/>
      <c r="CEB524" s="131"/>
      <c r="CEC524" s="131"/>
      <c r="CED524" s="131"/>
      <c r="CEE524" s="131"/>
      <c r="CEF524" s="131"/>
      <c r="CEG524" s="131"/>
      <c r="CEH524" s="131"/>
      <c r="CEI524" s="131"/>
      <c r="CEJ524" s="131"/>
      <c r="CEK524" s="131"/>
      <c r="CEL524" s="131"/>
      <c r="CEM524" s="131"/>
      <c r="CEN524" s="131"/>
      <c r="CEO524" s="131"/>
      <c r="CEP524" s="131"/>
      <c r="CEQ524" s="131"/>
      <c r="CER524" s="131"/>
      <c r="CES524" s="131"/>
      <c r="CET524" s="131"/>
      <c r="CEU524" s="131"/>
      <c r="CEV524" s="131"/>
      <c r="CEW524" s="131"/>
      <c r="CEX524" s="131"/>
      <c r="CEY524" s="131"/>
      <c r="CEZ524" s="131"/>
      <c r="CFA524" s="131"/>
      <c r="CFB524" s="131"/>
      <c r="CFC524" s="131"/>
      <c r="CFD524" s="131"/>
      <c r="CFE524" s="131"/>
      <c r="CFF524" s="131"/>
      <c r="CFG524" s="131"/>
      <c r="CFH524" s="131"/>
      <c r="CFI524" s="131"/>
      <c r="CFJ524" s="131"/>
      <c r="CFK524" s="131"/>
      <c r="CFL524" s="131"/>
      <c r="CFM524" s="131"/>
      <c r="CFN524" s="131"/>
      <c r="CFO524" s="131"/>
      <c r="CFP524" s="131"/>
      <c r="CFQ524" s="131"/>
      <c r="CFR524" s="131"/>
      <c r="CFS524" s="131"/>
      <c r="CFT524" s="131"/>
      <c r="CFU524" s="131"/>
      <c r="CFV524" s="131"/>
      <c r="CFW524" s="131"/>
      <c r="CFX524" s="131"/>
      <c r="CFY524" s="131"/>
      <c r="CFZ524" s="131"/>
      <c r="CGA524" s="131"/>
      <c r="CGB524" s="131"/>
      <c r="CGC524" s="131"/>
      <c r="CGD524" s="131"/>
      <c r="CGE524" s="131"/>
      <c r="CGF524" s="131"/>
      <c r="CGG524" s="131"/>
      <c r="CGH524" s="131"/>
      <c r="CGI524" s="131"/>
      <c r="CGJ524" s="131"/>
      <c r="CGK524" s="131"/>
      <c r="CGL524" s="131"/>
      <c r="CGM524" s="131"/>
      <c r="CGN524" s="131"/>
      <c r="CGO524" s="131"/>
      <c r="CGP524" s="131"/>
      <c r="CGQ524" s="131"/>
      <c r="CGR524" s="131"/>
      <c r="CGS524" s="131"/>
      <c r="CGT524" s="131"/>
      <c r="CGU524" s="131"/>
      <c r="CGV524" s="131"/>
      <c r="CGW524" s="131"/>
      <c r="CGX524" s="131"/>
      <c r="CGY524" s="131"/>
      <c r="CGZ524" s="131"/>
      <c r="CHA524" s="131"/>
      <c r="CHB524" s="131"/>
      <c r="CHC524" s="131"/>
      <c r="CHD524" s="131"/>
      <c r="CHE524" s="131"/>
      <c r="CHF524" s="131"/>
      <c r="CHG524" s="131"/>
      <c r="CHH524" s="131"/>
      <c r="CHI524" s="131"/>
      <c r="CHJ524" s="131"/>
      <c r="CHK524" s="131"/>
      <c r="CHL524" s="131"/>
      <c r="CHM524" s="131"/>
      <c r="CHN524" s="131"/>
      <c r="CHO524" s="131"/>
      <c r="CHP524" s="131"/>
      <c r="CHQ524" s="131"/>
      <c r="CHR524" s="131"/>
      <c r="CHS524" s="131"/>
      <c r="CHT524" s="131"/>
      <c r="CHU524" s="131"/>
      <c r="CHV524" s="131"/>
      <c r="CHW524" s="131"/>
      <c r="CHX524" s="131"/>
      <c r="CHY524" s="131"/>
      <c r="CHZ524" s="131"/>
      <c r="CIA524" s="131"/>
      <c r="CIB524" s="131"/>
      <c r="CIC524" s="131"/>
      <c r="CID524" s="131"/>
      <c r="CIE524" s="131"/>
      <c r="CIF524" s="131"/>
      <c r="CIG524" s="131"/>
      <c r="CIH524" s="131"/>
      <c r="CII524" s="131"/>
      <c r="CIJ524" s="131"/>
      <c r="CIK524" s="131"/>
      <c r="CIL524" s="131"/>
      <c r="CIM524" s="131"/>
      <c r="CIN524" s="131"/>
      <c r="CIO524" s="131"/>
      <c r="CIP524" s="131"/>
      <c r="CIQ524" s="131"/>
      <c r="CIR524" s="131"/>
      <c r="CIS524" s="131"/>
      <c r="CIT524" s="131"/>
      <c r="CIU524" s="131"/>
      <c r="CIV524" s="131"/>
      <c r="CIW524" s="131"/>
      <c r="CIX524" s="131"/>
      <c r="CIY524" s="131"/>
      <c r="CIZ524" s="131"/>
      <c r="CJA524" s="131"/>
      <c r="CJB524" s="131"/>
      <c r="CJC524" s="131"/>
      <c r="CJD524" s="131"/>
      <c r="CJE524" s="131"/>
      <c r="CJF524" s="131"/>
      <c r="CJG524" s="131"/>
      <c r="CJH524" s="131"/>
      <c r="CJI524" s="131"/>
      <c r="CJJ524" s="131"/>
      <c r="CJK524" s="131"/>
      <c r="CJL524" s="131"/>
      <c r="CJM524" s="131"/>
      <c r="CJN524" s="131"/>
      <c r="CJO524" s="131"/>
      <c r="CJP524" s="131"/>
      <c r="CJQ524" s="131"/>
      <c r="CJR524" s="131"/>
      <c r="CJS524" s="131"/>
      <c r="CJT524" s="131"/>
      <c r="CJU524" s="131"/>
      <c r="CJV524" s="131"/>
      <c r="CJW524" s="131"/>
      <c r="CJX524" s="131"/>
      <c r="CJY524" s="131"/>
      <c r="CJZ524" s="131"/>
      <c r="CKA524" s="131"/>
      <c r="CKB524" s="131"/>
      <c r="CKC524" s="131"/>
      <c r="CKD524" s="131"/>
      <c r="CKE524" s="131"/>
      <c r="CKF524" s="131"/>
      <c r="CKG524" s="131"/>
      <c r="CKH524" s="131"/>
      <c r="CKI524" s="131"/>
      <c r="CKJ524" s="131"/>
      <c r="CKK524" s="131"/>
      <c r="CKL524" s="131"/>
      <c r="CKM524" s="131"/>
      <c r="CKN524" s="131"/>
      <c r="CKO524" s="131"/>
      <c r="CKP524" s="131"/>
      <c r="CKQ524" s="131"/>
      <c r="CKR524" s="131"/>
      <c r="CKS524" s="131"/>
      <c r="CKT524" s="131"/>
      <c r="CKU524" s="131"/>
      <c r="CKV524" s="131"/>
      <c r="CKW524" s="131"/>
      <c r="CKX524" s="131"/>
      <c r="CKY524" s="131"/>
      <c r="CKZ524" s="131"/>
      <c r="CLA524" s="131"/>
      <c r="CLB524" s="131"/>
      <c r="CLC524" s="131"/>
      <c r="CLD524" s="131"/>
      <c r="CLE524" s="131"/>
      <c r="CLF524" s="131"/>
      <c r="CLG524" s="131"/>
      <c r="CLH524" s="131"/>
      <c r="CLI524" s="131"/>
      <c r="CLJ524" s="131"/>
      <c r="CLK524" s="131"/>
      <c r="CLL524" s="131"/>
      <c r="CLM524" s="131"/>
      <c r="CLN524" s="131"/>
      <c r="CLO524" s="131"/>
      <c r="CLP524" s="131"/>
      <c r="CLQ524" s="131"/>
      <c r="CLR524" s="131"/>
      <c r="CLS524" s="131"/>
      <c r="CLT524" s="131"/>
      <c r="CLU524" s="131"/>
      <c r="CLV524" s="131"/>
      <c r="CLW524" s="131"/>
      <c r="CLX524" s="131"/>
      <c r="CLY524" s="131"/>
      <c r="CLZ524" s="131"/>
      <c r="CMA524" s="131"/>
      <c r="CMB524" s="131"/>
      <c r="CMC524" s="131"/>
      <c r="CMD524" s="131"/>
      <c r="CME524" s="131"/>
      <c r="CMF524" s="131"/>
      <c r="CMG524" s="131"/>
      <c r="CMH524" s="131"/>
      <c r="CMI524" s="131"/>
      <c r="CMJ524" s="131"/>
      <c r="CMK524" s="131"/>
      <c r="CML524" s="131"/>
      <c r="CMM524" s="131"/>
      <c r="CMN524" s="131"/>
      <c r="CMO524" s="131"/>
      <c r="CMP524" s="131"/>
      <c r="CMQ524" s="131"/>
      <c r="CMR524" s="131"/>
      <c r="CMS524" s="131"/>
      <c r="CMT524" s="131"/>
      <c r="CMU524" s="131"/>
      <c r="CMV524" s="131"/>
      <c r="CMW524" s="131"/>
      <c r="CMX524" s="131"/>
      <c r="CMY524" s="131"/>
      <c r="CMZ524" s="131"/>
      <c r="CNA524" s="131"/>
      <c r="CNB524" s="131"/>
      <c r="CNC524" s="131"/>
      <c r="CND524" s="131"/>
      <c r="CNE524" s="131"/>
      <c r="CNF524" s="131"/>
      <c r="CNG524" s="131"/>
      <c r="CNH524" s="131"/>
      <c r="CNI524" s="131"/>
      <c r="CNJ524" s="131"/>
      <c r="CNK524" s="131"/>
      <c r="CNL524" s="131"/>
      <c r="CNM524" s="131"/>
      <c r="CNN524" s="131"/>
      <c r="CNO524" s="131"/>
      <c r="CNP524" s="131"/>
      <c r="CNQ524" s="131"/>
      <c r="CNR524" s="131"/>
      <c r="CNS524" s="131"/>
      <c r="CNT524" s="131"/>
      <c r="CNU524" s="131"/>
      <c r="CNV524" s="131"/>
      <c r="CNW524" s="131"/>
      <c r="CNX524" s="131"/>
      <c r="CNY524" s="131"/>
      <c r="CNZ524" s="131"/>
      <c r="COA524" s="131"/>
      <c r="COB524" s="131"/>
      <c r="COC524" s="131"/>
      <c r="COD524" s="131"/>
      <c r="COE524" s="131"/>
      <c r="COF524" s="131"/>
      <c r="COG524" s="131"/>
      <c r="COH524" s="131"/>
      <c r="COI524" s="131"/>
      <c r="COJ524" s="131"/>
      <c r="COK524" s="131"/>
      <c r="COL524" s="131"/>
      <c r="COM524" s="131"/>
      <c r="CON524" s="131"/>
      <c r="COO524" s="131"/>
      <c r="COP524" s="131"/>
      <c r="COQ524" s="131"/>
      <c r="COR524" s="131"/>
      <c r="COS524" s="131"/>
      <c r="COT524" s="131"/>
      <c r="COU524" s="131"/>
      <c r="COV524" s="131"/>
      <c r="COW524" s="131"/>
      <c r="COX524" s="131"/>
      <c r="COY524" s="131"/>
      <c r="COZ524" s="131"/>
      <c r="CPA524" s="131"/>
      <c r="CPB524" s="131"/>
      <c r="CPC524" s="131"/>
      <c r="CPD524" s="131"/>
      <c r="CPE524" s="131"/>
      <c r="CPF524" s="131"/>
      <c r="CPG524" s="131"/>
      <c r="CPH524" s="131"/>
      <c r="CPI524" s="131"/>
      <c r="CPJ524" s="131"/>
      <c r="CPK524" s="131"/>
      <c r="CPL524" s="131"/>
      <c r="CPM524" s="131"/>
      <c r="CPN524" s="131"/>
      <c r="CPO524" s="131"/>
      <c r="CPP524" s="131"/>
      <c r="CPQ524" s="131"/>
      <c r="CPR524" s="131"/>
      <c r="CPS524" s="131"/>
      <c r="CPT524" s="131"/>
      <c r="CPU524" s="131"/>
      <c r="CPV524" s="131"/>
      <c r="CPW524" s="131"/>
      <c r="CPX524" s="131"/>
      <c r="CPY524" s="131"/>
      <c r="CPZ524" s="131"/>
      <c r="CQA524" s="131"/>
      <c r="CQB524" s="131"/>
      <c r="CQC524" s="131"/>
      <c r="CQD524" s="131"/>
      <c r="CQE524" s="131"/>
      <c r="CQF524" s="131"/>
      <c r="CQG524" s="131"/>
      <c r="CQH524" s="131"/>
      <c r="CQI524" s="131"/>
      <c r="CQJ524" s="131"/>
      <c r="CQK524" s="131"/>
      <c r="CQL524" s="131"/>
      <c r="CQM524" s="131"/>
      <c r="CQN524" s="131"/>
      <c r="CQO524" s="131"/>
      <c r="CQP524" s="131"/>
      <c r="CQQ524" s="131"/>
      <c r="CQR524" s="131"/>
      <c r="CQS524" s="131"/>
      <c r="CQT524" s="131"/>
      <c r="CQU524" s="131"/>
      <c r="CQV524" s="131"/>
      <c r="CQW524" s="131"/>
      <c r="CQX524" s="131"/>
      <c r="CQY524" s="131"/>
      <c r="CQZ524" s="131"/>
      <c r="CRA524" s="131"/>
      <c r="CRB524" s="131"/>
      <c r="CRC524" s="131"/>
      <c r="CRD524" s="131"/>
      <c r="CRE524" s="131"/>
      <c r="CRF524" s="131"/>
      <c r="CRG524" s="131"/>
      <c r="CRH524" s="131"/>
      <c r="CRI524" s="131"/>
      <c r="CRJ524" s="131"/>
      <c r="CRK524" s="131"/>
      <c r="CRL524" s="131"/>
      <c r="CRM524" s="131"/>
      <c r="CRN524" s="131"/>
      <c r="CRO524" s="131"/>
      <c r="CRP524" s="131"/>
      <c r="CRQ524" s="131"/>
      <c r="CRR524" s="131"/>
      <c r="CRS524" s="131"/>
      <c r="CRT524" s="131"/>
      <c r="CRU524" s="131"/>
      <c r="CRV524" s="131"/>
      <c r="CRW524" s="131"/>
      <c r="CRX524" s="131"/>
      <c r="CRY524" s="131"/>
      <c r="CRZ524" s="131"/>
      <c r="CSA524" s="131"/>
      <c r="CSB524" s="131"/>
      <c r="CSC524" s="131"/>
      <c r="CSD524" s="131"/>
      <c r="CSE524" s="131"/>
      <c r="CSF524" s="131"/>
      <c r="CSG524" s="131"/>
      <c r="CSH524" s="131"/>
      <c r="CSI524" s="131"/>
      <c r="CSJ524" s="131"/>
      <c r="CSK524" s="131"/>
      <c r="CSL524" s="131"/>
      <c r="CSM524" s="131"/>
      <c r="CSN524" s="131"/>
      <c r="CSO524" s="131"/>
      <c r="CSP524" s="131"/>
      <c r="CSQ524" s="131"/>
      <c r="CSR524" s="131"/>
      <c r="CSS524" s="131"/>
      <c r="CST524" s="131"/>
      <c r="CSU524" s="131"/>
      <c r="CSV524" s="131"/>
      <c r="CSW524" s="131"/>
      <c r="CSX524" s="131"/>
      <c r="CSY524" s="131"/>
      <c r="CSZ524" s="131"/>
      <c r="CTA524" s="131"/>
      <c r="CTB524" s="131"/>
      <c r="CTC524" s="131"/>
      <c r="CTD524" s="131"/>
      <c r="CTE524" s="131"/>
      <c r="CTF524" s="131"/>
      <c r="CTG524" s="131"/>
      <c r="CTH524" s="131"/>
      <c r="CTI524" s="131"/>
      <c r="CTJ524" s="131"/>
      <c r="CTK524" s="131"/>
      <c r="CTL524" s="131"/>
      <c r="CTM524" s="131"/>
      <c r="CTN524" s="131"/>
      <c r="CTO524" s="131"/>
      <c r="CTP524" s="131"/>
      <c r="CTQ524" s="131"/>
      <c r="CTR524" s="131"/>
      <c r="CTS524" s="131"/>
      <c r="CTT524" s="131"/>
      <c r="CTU524" s="131"/>
      <c r="CTV524" s="131"/>
      <c r="CTW524" s="131"/>
      <c r="CTX524" s="131"/>
      <c r="CTY524" s="131"/>
      <c r="CTZ524" s="131"/>
      <c r="CUA524" s="131"/>
      <c r="CUB524" s="131"/>
      <c r="CUC524" s="131"/>
      <c r="CUD524" s="131"/>
      <c r="CUE524" s="131"/>
      <c r="CUF524" s="131"/>
      <c r="CUG524" s="131"/>
      <c r="CUH524" s="131"/>
      <c r="CUI524" s="131"/>
      <c r="CUJ524" s="131"/>
      <c r="CUK524" s="131"/>
      <c r="CUL524" s="131"/>
      <c r="CUM524" s="131"/>
      <c r="CUN524" s="131"/>
      <c r="CUO524" s="131"/>
      <c r="CUP524" s="131"/>
      <c r="CUQ524" s="131"/>
      <c r="CUR524" s="131"/>
      <c r="CUS524" s="131"/>
      <c r="CUT524" s="131"/>
      <c r="CUU524" s="131"/>
      <c r="CUV524" s="131"/>
      <c r="CUW524" s="131"/>
      <c r="CUX524" s="131"/>
      <c r="CUY524" s="131"/>
      <c r="CUZ524" s="131"/>
      <c r="CVA524" s="131"/>
      <c r="CVB524" s="131"/>
      <c r="CVC524" s="131"/>
      <c r="CVD524" s="131"/>
      <c r="CVE524" s="131"/>
      <c r="CVF524" s="131"/>
      <c r="CVG524" s="131"/>
      <c r="CVH524" s="131"/>
      <c r="CVI524" s="131"/>
      <c r="CVJ524" s="131"/>
      <c r="CVK524" s="131"/>
      <c r="CVL524" s="131"/>
      <c r="CVM524" s="131"/>
      <c r="CVN524" s="131"/>
      <c r="CVO524" s="131"/>
      <c r="CVP524" s="131"/>
      <c r="CVQ524" s="131"/>
      <c r="CVR524" s="131"/>
      <c r="CVS524" s="131"/>
      <c r="CVT524" s="131"/>
      <c r="CVU524" s="131"/>
      <c r="CVV524" s="131"/>
      <c r="CVW524" s="131"/>
      <c r="CVX524" s="131"/>
      <c r="CVY524" s="131"/>
      <c r="CVZ524" s="131"/>
      <c r="CWA524" s="131"/>
      <c r="CWB524" s="131"/>
      <c r="CWC524" s="131"/>
      <c r="CWD524" s="131"/>
      <c r="CWE524" s="131"/>
      <c r="CWF524" s="131"/>
      <c r="CWG524" s="131"/>
      <c r="CWH524" s="131"/>
      <c r="CWI524" s="131"/>
      <c r="CWJ524" s="131"/>
      <c r="CWK524" s="131"/>
      <c r="CWL524" s="131"/>
      <c r="CWM524" s="131"/>
      <c r="CWN524" s="131"/>
      <c r="CWO524" s="131"/>
      <c r="CWP524" s="131"/>
      <c r="CWQ524" s="131"/>
      <c r="CWR524" s="131"/>
      <c r="CWS524" s="131"/>
      <c r="CWT524" s="131"/>
      <c r="CWU524" s="131"/>
      <c r="CWV524" s="131"/>
      <c r="CWW524" s="131"/>
      <c r="CWX524" s="131"/>
      <c r="CWY524" s="131"/>
      <c r="CWZ524" s="131"/>
      <c r="CXA524" s="131"/>
      <c r="CXB524" s="131"/>
      <c r="CXC524" s="131"/>
      <c r="CXD524" s="131"/>
      <c r="CXE524" s="131"/>
      <c r="CXF524" s="131"/>
      <c r="CXG524" s="131"/>
      <c r="CXH524" s="131"/>
      <c r="CXI524" s="131"/>
      <c r="CXJ524" s="131"/>
      <c r="CXK524" s="131"/>
      <c r="CXL524" s="131"/>
      <c r="CXM524" s="131"/>
      <c r="CXN524" s="131"/>
      <c r="CXO524" s="131"/>
      <c r="CXP524" s="131"/>
      <c r="CXQ524" s="131"/>
      <c r="CXR524" s="131"/>
      <c r="CXS524" s="131"/>
      <c r="CXT524" s="131"/>
      <c r="CXU524" s="131"/>
      <c r="CXV524" s="131"/>
      <c r="CXW524" s="131"/>
      <c r="CXX524" s="131"/>
      <c r="CXY524" s="131"/>
      <c r="CXZ524" s="131"/>
      <c r="CYA524" s="131"/>
      <c r="CYB524" s="131"/>
      <c r="CYC524" s="131"/>
      <c r="CYD524" s="131"/>
      <c r="CYE524" s="131"/>
      <c r="CYF524" s="131"/>
      <c r="CYG524" s="131"/>
      <c r="CYH524" s="131"/>
      <c r="CYI524" s="131"/>
      <c r="CYJ524" s="131"/>
      <c r="CYK524" s="131"/>
      <c r="CYL524" s="131"/>
      <c r="CYM524" s="131"/>
      <c r="CYN524" s="131"/>
      <c r="CYO524" s="131"/>
      <c r="CYP524" s="131"/>
      <c r="CYQ524" s="131"/>
      <c r="CYR524" s="131"/>
      <c r="CYS524" s="131"/>
      <c r="CYT524" s="131"/>
      <c r="CYU524" s="131"/>
      <c r="CYV524" s="131"/>
      <c r="CYW524" s="131"/>
      <c r="CYX524" s="131"/>
      <c r="CYY524" s="131"/>
      <c r="CYZ524" s="131"/>
      <c r="CZA524" s="131"/>
      <c r="CZB524" s="131"/>
      <c r="CZC524" s="131"/>
      <c r="CZD524" s="131"/>
      <c r="CZE524" s="131"/>
      <c r="CZF524" s="131"/>
      <c r="CZG524" s="131"/>
      <c r="CZH524" s="131"/>
      <c r="CZI524" s="131"/>
      <c r="CZJ524" s="131"/>
      <c r="CZK524" s="131"/>
      <c r="CZL524" s="131"/>
      <c r="CZM524" s="131"/>
      <c r="CZN524" s="131"/>
      <c r="CZO524" s="131"/>
      <c r="CZP524" s="131"/>
      <c r="CZQ524" s="131"/>
      <c r="CZR524" s="131"/>
      <c r="CZS524" s="131"/>
      <c r="CZT524" s="131"/>
      <c r="CZU524" s="131"/>
      <c r="CZV524" s="131"/>
      <c r="CZW524" s="131"/>
      <c r="CZX524" s="131"/>
      <c r="CZY524" s="131"/>
      <c r="CZZ524" s="131"/>
      <c r="DAA524" s="131"/>
      <c r="DAB524" s="131"/>
      <c r="DAC524" s="131"/>
      <c r="DAD524" s="131"/>
      <c r="DAE524" s="131"/>
      <c r="DAF524" s="131"/>
      <c r="DAG524" s="131"/>
      <c r="DAH524" s="131"/>
      <c r="DAI524" s="131"/>
      <c r="DAJ524" s="131"/>
      <c r="DAK524" s="131"/>
      <c r="DAL524" s="131"/>
      <c r="DAM524" s="131"/>
      <c r="DAN524" s="131"/>
      <c r="DAO524" s="131"/>
      <c r="DAP524" s="131"/>
      <c r="DAQ524" s="131"/>
      <c r="DAR524" s="131"/>
      <c r="DAS524" s="131"/>
      <c r="DAT524" s="131"/>
      <c r="DAU524" s="131"/>
      <c r="DAV524" s="131"/>
      <c r="DAW524" s="131"/>
      <c r="DAX524" s="131"/>
      <c r="DAY524" s="131"/>
      <c r="DAZ524" s="131"/>
      <c r="DBA524" s="131"/>
      <c r="DBB524" s="131"/>
      <c r="DBC524" s="131"/>
      <c r="DBD524" s="131"/>
      <c r="DBE524" s="131"/>
      <c r="DBF524" s="131"/>
      <c r="DBG524" s="131"/>
      <c r="DBH524" s="131"/>
      <c r="DBI524" s="131"/>
      <c r="DBJ524" s="131"/>
      <c r="DBK524" s="131"/>
      <c r="DBL524" s="131"/>
      <c r="DBM524" s="131"/>
      <c r="DBN524" s="131"/>
      <c r="DBO524" s="131"/>
      <c r="DBP524" s="131"/>
      <c r="DBQ524" s="131"/>
      <c r="DBR524" s="131"/>
      <c r="DBS524" s="131"/>
      <c r="DBT524" s="131"/>
      <c r="DBU524" s="131"/>
      <c r="DBV524" s="131"/>
      <c r="DBW524" s="131"/>
      <c r="DBX524" s="131"/>
      <c r="DBY524" s="131"/>
      <c r="DBZ524" s="131"/>
      <c r="DCA524" s="131"/>
      <c r="DCB524" s="131"/>
      <c r="DCC524" s="131"/>
      <c r="DCD524" s="131"/>
      <c r="DCE524" s="131"/>
      <c r="DCF524" s="131"/>
      <c r="DCG524" s="131"/>
      <c r="DCH524" s="131"/>
      <c r="DCI524" s="131"/>
      <c r="DCJ524" s="131"/>
      <c r="DCK524" s="131"/>
      <c r="DCL524" s="131"/>
      <c r="DCM524" s="131"/>
      <c r="DCN524" s="131"/>
      <c r="DCO524" s="131"/>
      <c r="DCP524" s="131"/>
      <c r="DCQ524" s="131"/>
      <c r="DCR524" s="131"/>
      <c r="DCS524" s="131"/>
      <c r="DCT524" s="131"/>
      <c r="DCU524" s="131"/>
      <c r="DCV524" s="131"/>
      <c r="DCW524" s="131"/>
      <c r="DCX524" s="131"/>
      <c r="DCY524" s="131"/>
      <c r="DCZ524" s="131"/>
      <c r="DDA524" s="131"/>
      <c r="DDB524" s="131"/>
      <c r="DDC524" s="131"/>
      <c r="DDD524" s="131"/>
      <c r="DDE524" s="131"/>
      <c r="DDF524" s="131"/>
      <c r="DDG524" s="131"/>
      <c r="DDH524" s="131"/>
      <c r="DDI524" s="131"/>
      <c r="DDJ524" s="131"/>
      <c r="DDK524" s="131"/>
      <c r="DDL524" s="131"/>
      <c r="DDM524" s="131"/>
      <c r="DDN524" s="131"/>
      <c r="DDO524" s="131"/>
      <c r="DDP524" s="131"/>
      <c r="DDQ524" s="131"/>
      <c r="DDR524" s="131"/>
      <c r="DDS524" s="131"/>
      <c r="DDT524" s="131"/>
      <c r="DDU524" s="131"/>
      <c r="DDV524" s="131"/>
      <c r="DDW524" s="131"/>
      <c r="DDX524" s="131"/>
      <c r="DDY524" s="131"/>
      <c r="DDZ524" s="131"/>
      <c r="DEA524" s="131"/>
      <c r="DEB524" s="131"/>
      <c r="DEC524" s="131"/>
      <c r="DED524" s="131"/>
      <c r="DEE524" s="131"/>
      <c r="DEF524" s="131"/>
      <c r="DEG524" s="131"/>
      <c r="DEH524" s="131"/>
      <c r="DEI524" s="131"/>
      <c r="DEJ524" s="131"/>
      <c r="DEK524" s="131"/>
      <c r="DEL524" s="131"/>
      <c r="DEM524" s="131"/>
      <c r="DEN524" s="131"/>
      <c r="DEO524" s="131"/>
      <c r="DEP524" s="131"/>
      <c r="DEQ524" s="131"/>
      <c r="DER524" s="131"/>
      <c r="DES524" s="131"/>
      <c r="DET524" s="131"/>
      <c r="DEU524" s="131"/>
      <c r="DEV524" s="131"/>
      <c r="DEW524" s="131"/>
      <c r="DEX524" s="131"/>
      <c r="DEY524" s="131"/>
      <c r="DEZ524" s="131"/>
      <c r="DFA524" s="131"/>
      <c r="DFB524" s="131"/>
      <c r="DFC524" s="131"/>
      <c r="DFD524" s="131"/>
      <c r="DFE524" s="131"/>
      <c r="DFF524" s="131"/>
      <c r="DFG524" s="131"/>
      <c r="DFH524" s="131"/>
      <c r="DFI524" s="131"/>
      <c r="DFJ524" s="131"/>
      <c r="DFK524" s="131"/>
      <c r="DFL524" s="131"/>
      <c r="DFM524" s="131"/>
      <c r="DFN524" s="131"/>
      <c r="DFO524" s="131"/>
      <c r="DFP524" s="131"/>
      <c r="DFQ524" s="131"/>
      <c r="DFR524" s="131"/>
      <c r="DFS524" s="131"/>
      <c r="DFT524" s="131"/>
      <c r="DFU524" s="131"/>
      <c r="DFV524" s="131"/>
      <c r="DFW524" s="131"/>
      <c r="DFX524" s="131"/>
      <c r="DFY524" s="131"/>
      <c r="DFZ524" s="131"/>
      <c r="DGA524" s="131"/>
      <c r="DGB524" s="131"/>
      <c r="DGC524" s="131"/>
      <c r="DGD524" s="131"/>
      <c r="DGE524" s="131"/>
      <c r="DGF524" s="131"/>
      <c r="DGG524" s="131"/>
      <c r="DGH524" s="131"/>
      <c r="DGI524" s="131"/>
      <c r="DGJ524" s="131"/>
      <c r="DGK524" s="131"/>
      <c r="DGL524" s="131"/>
      <c r="DGM524" s="131"/>
      <c r="DGN524" s="131"/>
      <c r="DGO524" s="131"/>
      <c r="DGP524" s="131"/>
      <c r="DGQ524" s="131"/>
      <c r="DGR524" s="131"/>
      <c r="DGS524" s="131"/>
      <c r="DGT524" s="131"/>
      <c r="DGU524" s="131"/>
      <c r="DGV524" s="131"/>
      <c r="DGW524" s="131"/>
      <c r="DGX524" s="131"/>
      <c r="DGY524" s="131"/>
      <c r="DGZ524" s="131"/>
      <c r="DHA524" s="131"/>
      <c r="DHB524" s="131"/>
      <c r="DHC524" s="131"/>
      <c r="DHD524" s="131"/>
      <c r="DHE524" s="131"/>
      <c r="DHF524" s="131"/>
      <c r="DHG524" s="131"/>
      <c r="DHH524" s="131"/>
      <c r="DHI524" s="131"/>
      <c r="DHJ524" s="131"/>
      <c r="DHK524" s="131"/>
      <c r="DHL524" s="131"/>
      <c r="DHM524" s="131"/>
      <c r="DHN524" s="131"/>
      <c r="DHO524" s="131"/>
      <c r="DHP524" s="131"/>
      <c r="DHQ524" s="131"/>
      <c r="DHR524" s="131"/>
      <c r="DHS524" s="131"/>
      <c r="DHT524" s="131"/>
      <c r="DHU524" s="131"/>
      <c r="DHV524" s="131"/>
      <c r="DHW524" s="131"/>
      <c r="DHX524" s="131"/>
      <c r="DHY524" s="131"/>
      <c r="DHZ524" s="131"/>
      <c r="DIA524" s="131"/>
      <c r="DIB524" s="131"/>
      <c r="DIC524" s="131"/>
      <c r="DID524" s="131"/>
      <c r="DIE524" s="131"/>
      <c r="DIF524" s="131"/>
      <c r="DIG524" s="131"/>
      <c r="DIH524" s="131"/>
      <c r="DII524" s="131"/>
      <c r="DIJ524" s="131"/>
      <c r="DIK524" s="131"/>
      <c r="DIL524" s="131"/>
      <c r="DIM524" s="131"/>
      <c r="DIN524" s="131"/>
      <c r="DIO524" s="131"/>
      <c r="DIP524" s="131"/>
      <c r="DIQ524" s="131"/>
      <c r="DIR524" s="131"/>
      <c r="DIS524" s="131"/>
      <c r="DIT524" s="131"/>
      <c r="DIU524" s="131"/>
      <c r="DIV524" s="131"/>
      <c r="DIW524" s="131"/>
      <c r="DIX524" s="131"/>
      <c r="DIY524" s="131"/>
      <c r="DIZ524" s="131"/>
      <c r="DJA524" s="131"/>
      <c r="DJB524" s="131"/>
      <c r="DJC524" s="131"/>
      <c r="DJD524" s="131"/>
      <c r="DJE524" s="131"/>
      <c r="DJF524" s="131"/>
      <c r="DJG524" s="131"/>
      <c r="DJH524" s="131"/>
      <c r="DJI524" s="131"/>
      <c r="DJJ524" s="131"/>
      <c r="DJK524" s="131"/>
      <c r="DJL524" s="131"/>
      <c r="DJM524" s="131"/>
      <c r="DJN524" s="131"/>
      <c r="DJO524" s="131"/>
      <c r="DJP524" s="131"/>
      <c r="DJQ524" s="131"/>
      <c r="DJR524" s="131"/>
      <c r="DJS524" s="131"/>
      <c r="DJT524" s="131"/>
      <c r="DJU524" s="131"/>
      <c r="DJV524" s="131"/>
      <c r="DJW524" s="131"/>
      <c r="DJX524" s="131"/>
      <c r="DJY524" s="131"/>
      <c r="DJZ524" s="131"/>
      <c r="DKA524" s="131"/>
      <c r="DKB524" s="131"/>
      <c r="DKC524" s="131"/>
      <c r="DKD524" s="131"/>
      <c r="DKE524" s="131"/>
      <c r="DKF524" s="131"/>
      <c r="DKG524" s="131"/>
      <c r="DKH524" s="131"/>
      <c r="DKI524" s="131"/>
      <c r="DKJ524" s="131"/>
      <c r="DKK524" s="131"/>
      <c r="DKL524" s="131"/>
      <c r="DKM524" s="131"/>
      <c r="DKN524" s="131"/>
      <c r="DKO524" s="131"/>
      <c r="DKP524" s="131"/>
      <c r="DKQ524" s="131"/>
      <c r="DKR524" s="131"/>
      <c r="DKS524" s="131"/>
      <c r="DKT524" s="131"/>
      <c r="DKU524" s="131"/>
      <c r="DKV524" s="131"/>
      <c r="DKW524" s="131"/>
      <c r="DKX524" s="131"/>
      <c r="DKY524" s="131"/>
      <c r="DKZ524" s="131"/>
      <c r="DLA524" s="131"/>
      <c r="DLB524" s="131"/>
      <c r="DLC524" s="131"/>
      <c r="DLD524" s="131"/>
      <c r="DLE524" s="131"/>
      <c r="DLF524" s="131"/>
      <c r="DLG524" s="131"/>
      <c r="DLH524" s="131"/>
      <c r="DLI524" s="131"/>
      <c r="DLJ524" s="131"/>
      <c r="DLK524" s="131"/>
      <c r="DLL524" s="131"/>
      <c r="DLM524" s="131"/>
      <c r="DLN524" s="131"/>
      <c r="DLO524" s="131"/>
      <c r="DLP524" s="131"/>
      <c r="DLQ524" s="131"/>
      <c r="DLR524" s="131"/>
      <c r="DLS524" s="131"/>
      <c r="DLT524" s="131"/>
      <c r="DLU524" s="131"/>
      <c r="DLV524" s="131"/>
      <c r="DLW524" s="131"/>
      <c r="DLX524" s="131"/>
      <c r="DLY524" s="131"/>
      <c r="DLZ524" s="131"/>
      <c r="DMA524" s="131"/>
      <c r="DMB524" s="131"/>
      <c r="DMC524" s="131"/>
      <c r="DMD524" s="131"/>
      <c r="DME524" s="131"/>
      <c r="DMF524" s="131"/>
      <c r="DMG524" s="131"/>
      <c r="DMH524" s="131"/>
      <c r="DMI524" s="131"/>
      <c r="DMJ524" s="131"/>
      <c r="DMK524" s="131"/>
      <c r="DML524" s="131"/>
      <c r="DMM524" s="131"/>
      <c r="DMN524" s="131"/>
      <c r="DMO524" s="131"/>
      <c r="DMP524" s="131"/>
      <c r="DMQ524" s="131"/>
      <c r="DMR524" s="131"/>
      <c r="DMS524" s="131"/>
      <c r="DMT524" s="131"/>
      <c r="DMU524" s="131"/>
      <c r="DMV524" s="131"/>
      <c r="DMW524" s="131"/>
      <c r="DMX524" s="131"/>
      <c r="DMY524" s="131"/>
      <c r="DMZ524" s="131"/>
      <c r="DNA524" s="131"/>
      <c r="DNB524" s="131"/>
      <c r="DNC524" s="131"/>
      <c r="DND524" s="131"/>
      <c r="DNE524" s="131"/>
      <c r="DNF524" s="131"/>
      <c r="DNG524" s="131"/>
      <c r="DNH524" s="131"/>
      <c r="DNI524" s="131"/>
      <c r="DNJ524" s="131"/>
      <c r="DNK524" s="131"/>
      <c r="DNL524" s="131"/>
      <c r="DNM524" s="131"/>
      <c r="DNN524" s="131"/>
      <c r="DNO524" s="131"/>
      <c r="DNP524" s="131"/>
      <c r="DNQ524" s="131"/>
      <c r="DNR524" s="131"/>
      <c r="DNS524" s="131"/>
      <c r="DNT524" s="131"/>
      <c r="DNU524" s="131"/>
      <c r="DNV524" s="131"/>
      <c r="DNW524" s="131"/>
      <c r="DNX524" s="131"/>
      <c r="DNY524" s="131"/>
      <c r="DNZ524" s="131"/>
      <c r="DOA524" s="131"/>
      <c r="DOB524" s="131"/>
      <c r="DOC524" s="131"/>
      <c r="DOD524" s="131"/>
      <c r="DOE524" s="131"/>
      <c r="DOF524" s="131"/>
      <c r="DOG524" s="131"/>
      <c r="DOH524" s="131"/>
      <c r="DOI524" s="131"/>
      <c r="DOJ524" s="131"/>
      <c r="DOK524" s="131"/>
      <c r="DOL524" s="131"/>
      <c r="DOM524" s="131"/>
      <c r="DON524" s="131"/>
      <c r="DOO524" s="131"/>
      <c r="DOP524" s="131"/>
      <c r="DOQ524" s="131"/>
      <c r="DOR524" s="131"/>
      <c r="DOS524" s="131"/>
      <c r="DOT524" s="131"/>
      <c r="DOU524" s="131"/>
      <c r="DOV524" s="131"/>
      <c r="DOW524" s="131"/>
      <c r="DOX524" s="131"/>
      <c r="DOY524" s="131"/>
      <c r="DOZ524" s="131"/>
      <c r="DPA524" s="131"/>
      <c r="DPB524" s="131"/>
      <c r="DPC524" s="131"/>
      <c r="DPD524" s="131"/>
      <c r="DPE524" s="131"/>
      <c r="DPF524" s="131"/>
      <c r="DPG524" s="131"/>
      <c r="DPH524" s="131"/>
      <c r="DPI524" s="131"/>
      <c r="DPJ524" s="131"/>
      <c r="DPK524" s="131"/>
      <c r="DPL524" s="131"/>
      <c r="DPM524" s="131"/>
      <c r="DPN524" s="131"/>
      <c r="DPO524" s="131"/>
      <c r="DPP524" s="131"/>
      <c r="DPQ524" s="131"/>
      <c r="DPR524" s="131"/>
      <c r="DPS524" s="131"/>
      <c r="DPT524" s="131"/>
      <c r="DPU524" s="131"/>
      <c r="DPV524" s="131"/>
      <c r="DPW524" s="131"/>
      <c r="DPX524" s="131"/>
      <c r="DPY524" s="131"/>
      <c r="DPZ524" s="131"/>
      <c r="DQA524" s="131"/>
      <c r="DQB524" s="131"/>
      <c r="DQC524" s="131"/>
      <c r="DQD524" s="131"/>
      <c r="DQE524" s="131"/>
      <c r="DQF524" s="131"/>
      <c r="DQG524" s="131"/>
      <c r="DQH524" s="131"/>
      <c r="DQI524" s="131"/>
      <c r="DQJ524" s="131"/>
      <c r="DQK524" s="131"/>
      <c r="DQL524" s="131"/>
      <c r="DQM524" s="131"/>
      <c r="DQN524" s="131"/>
      <c r="DQO524" s="131"/>
      <c r="DQP524" s="131"/>
      <c r="DQQ524" s="131"/>
      <c r="DQR524" s="131"/>
      <c r="DQS524" s="131"/>
      <c r="DQT524" s="131"/>
      <c r="DQU524" s="131"/>
      <c r="DQV524" s="131"/>
      <c r="DQW524" s="131"/>
      <c r="DQX524" s="131"/>
      <c r="DQY524" s="131"/>
      <c r="DQZ524" s="131"/>
      <c r="DRA524" s="131"/>
      <c r="DRB524" s="131"/>
      <c r="DRC524" s="131"/>
      <c r="DRD524" s="131"/>
      <c r="DRE524" s="131"/>
      <c r="DRF524" s="131"/>
      <c r="DRG524" s="131"/>
      <c r="DRH524" s="131"/>
      <c r="DRI524" s="131"/>
      <c r="DRJ524" s="131"/>
      <c r="DRK524" s="131"/>
      <c r="DRL524" s="131"/>
      <c r="DRM524" s="131"/>
      <c r="DRN524" s="131"/>
      <c r="DRO524" s="131"/>
      <c r="DRP524" s="131"/>
      <c r="DRQ524" s="131"/>
      <c r="DRR524" s="131"/>
      <c r="DRS524" s="131"/>
      <c r="DRT524" s="131"/>
      <c r="DRU524" s="131"/>
      <c r="DRV524" s="131"/>
      <c r="DRW524" s="131"/>
      <c r="DRX524" s="131"/>
      <c r="DRY524" s="131"/>
      <c r="DRZ524" s="131"/>
      <c r="DSA524" s="131"/>
      <c r="DSB524" s="131"/>
      <c r="DSC524" s="131"/>
      <c r="DSD524" s="131"/>
      <c r="DSE524" s="131"/>
      <c r="DSF524" s="131"/>
      <c r="DSG524" s="131"/>
      <c r="DSH524" s="131"/>
      <c r="DSI524" s="131"/>
      <c r="DSJ524" s="131"/>
      <c r="DSK524" s="131"/>
      <c r="DSL524" s="131"/>
      <c r="DSM524" s="131"/>
      <c r="DSN524" s="131"/>
      <c r="DSO524" s="131"/>
      <c r="DSP524" s="131"/>
      <c r="DSQ524" s="131"/>
      <c r="DSR524" s="131"/>
      <c r="DSS524" s="131"/>
      <c r="DST524" s="131"/>
      <c r="DSU524" s="131"/>
      <c r="DSV524" s="131"/>
      <c r="DSW524" s="131"/>
      <c r="DSX524" s="131"/>
      <c r="DSY524" s="131"/>
      <c r="DSZ524" s="131"/>
      <c r="DTA524" s="131"/>
      <c r="DTB524" s="131"/>
      <c r="DTC524" s="131"/>
      <c r="DTD524" s="131"/>
      <c r="DTE524" s="131"/>
      <c r="DTF524" s="131"/>
      <c r="DTG524" s="131"/>
      <c r="DTH524" s="131"/>
      <c r="DTI524" s="131"/>
      <c r="DTJ524" s="131"/>
      <c r="DTK524" s="131"/>
      <c r="DTL524" s="131"/>
      <c r="DTM524" s="131"/>
      <c r="DTN524" s="131"/>
      <c r="DTO524" s="131"/>
      <c r="DTP524" s="131"/>
      <c r="DTQ524" s="131"/>
      <c r="DTR524" s="131"/>
      <c r="DTS524" s="131"/>
      <c r="DTT524" s="131"/>
      <c r="DTU524" s="131"/>
      <c r="DTV524" s="131"/>
      <c r="DTW524" s="131"/>
      <c r="DTX524" s="131"/>
      <c r="DTY524" s="131"/>
      <c r="DTZ524" s="131"/>
      <c r="DUA524" s="131"/>
      <c r="DUB524" s="131"/>
      <c r="DUC524" s="131"/>
      <c r="DUD524" s="131"/>
      <c r="DUE524" s="131"/>
      <c r="DUF524" s="131"/>
      <c r="DUG524" s="131"/>
      <c r="DUH524" s="131"/>
      <c r="DUI524" s="131"/>
      <c r="DUJ524" s="131"/>
      <c r="DUK524" s="131"/>
      <c r="DUL524" s="131"/>
      <c r="DUM524" s="131"/>
      <c r="DUN524" s="131"/>
      <c r="DUO524" s="131"/>
      <c r="DUP524" s="131"/>
      <c r="DUQ524" s="131"/>
      <c r="DUR524" s="131"/>
      <c r="DUS524" s="131"/>
      <c r="DUT524" s="131"/>
      <c r="DUU524" s="131"/>
      <c r="DUV524" s="131"/>
      <c r="DUW524" s="131"/>
      <c r="DUX524" s="131"/>
      <c r="DUY524" s="131"/>
      <c r="DUZ524" s="131"/>
      <c r="DVA524" s="131"/>
      <c r="DVB524" s="131"/>
      <c r="DVC524" s="131"/>
      <c r="DVD524" s="131"/>
      <c r="DVE524" s="131"/>
      <c r="DVF524" s="131"/>
      <c r="DVG524" s="131"/>
      <c r="DVH524" s="131"/>
      <c r="DVI524" s="131"/>
      <c r="DVJ524" s="131"/>
      <c r="DVK524" s="131"/>
      <c r="DVL524" s="131"/>
      <c r="DVM524" s="131"/>
      <c r="DVN524" s="131"/>
      <c r="DVO524" s="131"/>
      <c r="DVP524" s="131"/>
      <c r="DVQ524" s="131"/>
      <c r="DVR524" s="131"/>
      <c r="DVS524" s="131"/>
      <c r="DVT524" s="131"/>
      <c r="DVU524" s="131"/>
      <c r="DVV524" s="131"/>
      <c r="DVW524" s="131"/>
      <c r="DVX524" s="131"/>
      <c r="DVY524" s="131"/>
      <c r="DVZ524" s="131"/>
      <c r="DWA524" s="131"/>
      <c r="DWB524" s="131"/>
      <c r="DWC524" s="131"/>
      <c r="DWD524" s="131"/>
      <c r="DWE524" s="131"/>
      <c r="DWF524" s="131"/>
      <c r="DWG524" s="131"/>
      <c r="DWH524" s="131"/>
      <c r="DWI524" s="131"/>
      <c r="DWJ524" s="131"/>
      <c r="DWK524" s="131"/>
      <c r="DWL524" s="131"/>
      <c r="DWM524" s="131"/>
      <c r="DWN524" s="131"/>
      <c r="DWO524" s="131"/>
      <c r="DWP524" s="131"/>
      <c r="DWQ524" s="131"/>
      <c r="DWR524" s="131"/>
      <c r="DWS524" s="131"/>
      <c r="DWT524" s="131"/>
      <c r="DWU524" s="131"/>
      <c r="DWV524" s="131"/>
      <c r="DWW524" s="131"/>
      <c r="DWX524" s="131"/>
      <c r="DWY524" s="131"/>
      <c r="DWZ524" s="131"/>
      <c r="DXA524" s="131"/>
      <c r="DXB524" s="131"/>
      <c r="DXC524" s="131"/>
      <c r="DXD524" s="131"/>
      <c r="DXE524" s="131"/>
      <c r="DXF524" s="131"/>
      <c r="DXG524" s="131"/>
      <c r="DXH524" s="131"/>
      <c r="DXI524" s="131"/>
      <c r="DXJ524" s="131"/>
      <c r="DXK524" s="131"/>
      <c r="DXL524" s="131"/>
      <c r="DXM524" s="131"/>
      <c r="DXN524" s="131"/>
      <c r="DXO524" s="131"/>
      <c r="DXP524" s="131"/>
      <c r="DXQ524" s="131"/>
      <c r="DXR524" s="131"/>
      <c r="DXS524" s="131"/>
      <c r="DXT524" s="131"/>
      <c r="DXU524" s="131"/>
      <c r="DXV524" s="131"/>
      <c r="DXW524" s="131"/>
      <c r="DXX524" s="131"/>
      <c r="DXY524" s="131"/>
      <c r="DXZ524" s="131"/>
      <c r="DYA524" s="131"/>
      <c r="DYB524" s="131"/>
      <c r="DYC524" s="131"/>
      <c r="DYD524" s="131"/>
      <c r="DYE524" s="131"/>
      <c r="DYF524" s="131"/>
      <c r="DYG524" s="131"/>
      <c r="DYH524" s="131"/>
      <c r="DYI524" s="131"/>
      <c r="DYJ524" s="131"/>
      <c r="DYK524" s="131"/>
      <c r="DYL524" s="131"/>
      <c r="DYM524" s="131"/>
      <c r="DYN524" s="131"/>
      <c r="DYO524" s="131"/>
      <c r="DYP524" s="131"/>
      <c r="DYQ524" s="131"/>
      <c r="DYR524" s="131"/>
      <c r="DYS524" s="131"/>
      <c r="DYT524" s="131"/>
      <c r="DYU524" s="131"/>
      <c r="DYV524" s="131"/>
      <c r="DYW524" s="131"/>
      <c r="DYX524" s="131"/>
      <c r="DYY524" s="131"/>
      <c r="DYZ524" s="131"/>
      <c r="DZA524" s="131"/>
      <c r="DZB524" s="131"/>
      <c r="DZC524" s="131"/>
      <c r="DZD524" s="131"/>
      <c r="DZE524" s="131"/>
      <c r="DZF524" s="131"/>
      <c r="DZG524" s="131"/>
      <c r="DZH524" s="131"/>
      <c r="DZI524" s="131"/>
      <c r="DZJ524" s="131"/>
      <c r="DZK524" s="131"/>
      <c r="DZL524" s="131"/>
      <c r="DZM524" s="131"/>
      <c r="DZN524" s="131"/>
      <c r="DZO524" s="131"/>
      <c r="DZP524" s="131"/>
      <c r="DZQ524" s="131"/>
      <c r="DZR524" s="131"/>
      <c r="DZS524" s="131"/>
      <c r="DZT524" s="131"/>
      <c r="DZU524" s="131"/>
      <c r="DZV524" s="131"/>
      <c r="DZW524" s="131"/>
      <c r="DZX524" s="131"/>
      <c r="DZY524" s="131"/>
      <c r="DZZ524" s="131"/>
      <c r="EAA524" s="131"/>
      <c r="EAB524" s="131"/>
      <c r="EAC524" s="131"/>
      <c r="EAD524" s="131"/>
      <c r="EAE524" s="131"/>
      <c r="EAF524" s="131"/>
      <c r="EAG524" s="131"/>
      <c r="EAH524" s="131"/>
      <c r="EAI524" s="131"/>
      <c r="EAJ524" s="131"/>
      <c r="EAK524" s="131"/>
      <c r="EAL524" s="131"/>
      <c r="EAM524" s="131"/>
      <c r="EAN524" s="131"/>
      <c r="EAO524" s="131"/>
      <c r="EAP524" s="131"/>
      <c r="EAQ524" s="131"/>
      <c r="EAR524" s="131"/>
      <c r="EAS524" s="131"/>
      <c r="EAT524" s="131"/>
      <c r="EAU524" s="131"/>
      <c r="EAV524" s="131"/>
      <c r="EAW524" s="131"/>
      <c r="EAX524" s="131"/>
      <c r="EAY524" s="131"/>
      <c r="EAZ524" s="131"/>
      <c r="EBA524" s="131"/>
      <c r="EBB524" s="131"/>
      <c r="EBC524" s="131"/>
      <c r="EBD524" s="131"/>
      <c r="EBE524" s="131"/>
      <c r="EBF524" s="131"/>
      <c r="EBG524" s="131"/>
      <c r="EBH524" s="131"/>
      <c r="EBI524" s="131"/>
      <c r="EBJ524" s="131"/>
      <c r="EBK524" s="131"/>
      <c r="EBL524" s="131"/>
      <c r="EBM524" s="131"/>
      <c r="EBN524" s="131"/>
      <c r="EBO524" s="131"/>
      <c r="EBP524" s="131"/>
      <c r="EBQ524" s="131"/>
      <c r="EBR524" s="131"/>
      <c r="EBS524" s="131"/>
      <c r="EBT524" s="131"/>
      <c r="EBU524" s="131"/>
      <c r="EBV524" s="131"/>
      <c r="EBW524" s="131"/>
      <c r="EBX524" s="131"/>
      <c r="EBY524" s="131"/>
      <c r="EBZ524" s="131"/>
      <c r="ECA524" s="131"/>
      <c r="ECB524" s="131"/>
      <c r="ECC524" s="131"/>
      <c r="ECD524" s="131"/>
      <c r="ECE524" s="131"/>
      <c r="ECF524" s="131"/>
      <c r="ECG524" s="131"/>
      <c r="ECH524" s="131"/>
      <c r="ECI524" s="131"/>
      <c r="ECJ524" s="131"/>
      <c r="ECK524" s="131"/>
      <c r="ECL524" s="131"/>
      <c r="ECM524" s="131"/>
      <c r="ECN524" s="131"/>
      <c r="ECO524" s="131"/>
      <c r="ECP524" s="131"/>
      <c r="ECQ524" s="131"/>
      <c r="ECR524" s="131"/>
      <c r="ECS524" s="131"/>
      <c r="ECT524" s="131"/>
      <c r="ECU524" s="131"/>
      <c r="ECV524" s="131"/>
      <c r="ECW524" s="131"/>
      <c r="ECX524" s="131"/>
      <c r="ECY524" s="131"/>
      <c r="ECZ524" s="131"/>
      <c r="EDA524" s="131"/>
      <c r="EDB524" s="131"/>
      <c r="EDC524" s="131"/>
      <c r="EDD524" s="131"/>
      <c r="EDE524" s="131"/>
      <c r="EDF524" s="131"/>
      <c r="EDG524" s="131"/>
      <c r="EDH524" s="131"/>
      <c r="EDI524" s="131"/>
      <c r="EDJ524" s="131"/>
      <c r="EDK524" s="131"/>
      <c r="EDL524" s="131"/>
      <c r="EDM524" s="131"/>
      <c r="EDN524" s="131"/>
      <c r="EDO524" s="131"/>
      <c r="EDP524" s="131"/>
      <c r="EDQ524" s="131"/>
      <c r="EDR524" s="131"/>
      <c r="EDS524" s="131"/>
      <c r="EDT524" s="131"/>
      <c r="EDU524" s="131"/>
      <c r="EDV524" s="131"/>
      <c r="EDW524" s="131"/>
      <c r="EDX524" s="131"/>
      <c r="EDY524" s="131"/>
      <c r="EDZ524" s="131"/>
      <c r="EEA524" s="131"/>
      <c r="EEB524" s="131"/>
      <c r="EEC524" s="131"/>
      <c r="EED524" s="131"/>
      <c r="EEE524" s="131"/>
      <c r="EEF524" s="131"/>
      <c r="EEG524" s="131"/>
      <c r="EEH524" s="131"/>
      <c r="EEI524" s="131"/>
      <c r="EEJ524" s="131"/>
      <c r="EEK524" s="131"/>
      <c r="EEL524" s="131"/>
      <c r="EEM524" s="131"/>
      <c r="EEN524" s="131"/>
      <c r="EEO524" s="131"/>
      <c r="EEP524" s="131"/>
      <c r="EEQ524" s="131"/>
      <c r="EER524" s="131"/>
      <c r="EES524" s="131"/>
      <c r="EET524" s="131"/>
      <c r="EEU524" s="131"/>
      <c r="EEV524" s="131"/>
      <c r="EEW524" s="131"/>
      <c r="EEX524" s="131"/>
      <c r="EEY524" s="131"/>
      <c r="EEZ524" s="131"/>
      <c r="EFA524" s="131"/>
      <c r="EFB524" s="131"/>
      <c r="EFC524" s="131"/>
      <c r="EFD524" s="131"/>
      <c r="EFE524" s="131"/>
      <c r="EFF524" s="131"/>
      <c r="EFG524" s="131"/>
      <c r="EFH524" s="131"/>
      <c r="EFI524" s="131"/>
      <c r="EFJ524" s="131"/>
      <c r="EFK524" s="131"/>
      <c r="EFL524" s="131"/>
      <c r="EFM524" s="131"/>
      <c r="EFN524" s="131"/>
      <c r="EFO524" s="131"/>
      <c r="EFP524" s="131"/>
      <c r="EFQ524" s="131"/>
      <c r="EFR524" s="131"/>
      <c r="EFS524" s="131"/>
      <c r="EFT524" s="131"/>
      <c r="EFU524" s="131"/>
      <c r="EFV524" s="131"/>
      <c r="EFW524" s="131"/>
      <c r="EFX524" s="131"/>
      <c r="EFY524" s="131"/>
      <c r="EFZ524" s="131"/>
      <c r="EGA524" s="131"/>
      <c r="EGB524" s="131"/>
      <c r="EGC524" s="131"/>
      <c r="EGD524" s="131"/>
      <c r="EGE524" s="131"/>
      <c r="EGF524" s="131"/>
      <c r="EGG524" s="131"/>
      <c r="EGH524" s="131"/>
      <c r="EGI524" s="131"/>
      <c r="EGJ524" s="131"/>
      <c r="EGK524" s="131"/>
      <c r="EGL524" s="131"/>
      <c r="EGM524" s="131"/>
      <c r="EGN524" s="131"/>
      <c r="EGO524" s="131"/>
      <c r="EGP524" s="131"/>
      <c r="EGQ524" s="131"/>
      <c r="EGR524" s="131"/>
      <c r="EGS524" s="131"/>
      <c r="EGT524" s="131"/>
      <c r="EGU524" s="131"/>
      <c r="EGV524" s="131"/>
      <c r="EGW524" s="131"/>
      <c r="EGX524" s="131"/>
      <c r="EGY524" s="131"/>
      <c r="EGZ524" s="131"/>
      <c r="EHA524" s="131"/>
      <c r="EHB524" s="131"/>
      <c r="EHC524" s="131"/>
      <c r="EHD524" s="131"/>
      <c r="EHE524" s="131"/>
      <c r="EHF524" s="131"/>
      <c r="EHG524" s="131"/>
      <c r="EHH524" s="131"/>
      <c r="EHI524" s="131"/>
      <c r="EHJ524" s="131"/>
      <c r="EHK524" s="131"/>
      <c r="EHL524" s="131"/>
      <c r="EHM524" s="131"/>
      <c r="EHN524" s="131"/>
      <c r="EHO524" s="131"/>
      <c r="EHP524" s="131"/>
      <c r="EHQ524" s="131"/>
      <c r="EHR524" s="131"/>
      <c r="EHS524" s="131"/>
      <c r="EHT524" s="131"/>
      <c r="EHU524" s="131"/>
      <c r="EHV524" s="131"/>
      <c r="EHW524" s="131"/>
      <c r="EHX524" s="131"/>
      <c r="EHY524" s="131"/>
      <c r="EHZ524" s="131"/>
      <c r="EIA524" s="131"/>
      <c r="EIB524" s="131"/>
      <c r="EIC524" s="131"/>
      <c r="EID524" s="131"/>
      <c r="EIE524" s="131"/>
      <c r="EIF524" s="131"/>
      <c r="EIG524" s="131"/>
      <c r="EIH524" s="131"/>
      <c r="EII524" s="131"/>
      <c r="EIJ524" s="131"/>
      <c r="EIK524" s="131"/>
      <c r="EIL524" s="131"/>
      <c r="EIM524" s="131"/>
      <c r="EIN524" s="131"/>
      <c r="EIO524" s="131"/>
      <c r="EIP524" s="131"/>
      <c r="EIQ524" s="131"/>
      <c r="EIR524" s="131"/>
      <c r="EIS524" s="131"/>
      <c r="EIT524" s="131"/>
      <c r="EIU524" s="131"/>
      <c r="EIV524" s="131"/>
      <c r="EIW524" s="131"/>
      <c r="EIX524" s="131"/>
      <c r="EIY524" s="131"/>
      <c r="EIZ524" s="131"/>
      <c r="EJA524" s="131"/>
      <c r="EJB524" s="131"/>
      <c r="EJC524" s="131"/>
      <c r="EJD524" s="131"/>
      <c r="EJE524" s="131"/>
      <c r="EJF524" s="131"/>
      <c r="EJG524" s="131"/>
      <c r="EJH524" s="131"/>
      <c r="EJI524" s="131"/>
      <c r="EJJ524" s="131"/>
      <c r="EJK524" s="131"/>
      <c r="EJL524" s="131"/>
      <c r="EJM524" s="131"/>
      <c r="EJN524" s="131"/>
      <c r="EJO524" s="131"/>
      <c r="EJP524" s="131"/>
      <c r="EJQ524" s="131"/>
      <c r="EJR524" s="131"/>
      <c r="EJS524" s="131"/>
      <c r="EJT524" s="131"/>
      <c r="EJU524" s="131"/>
      <c r="EJV524" s="131"/>
      <c r="EJW524" s="131"/>
      <c r="EJX524" s="131"/>
      <c r="EJY524" s="131"/>
      <c r="EJZ524" s="131"/>
      <c r="EKA524" s="131"/>
      <c r="EKB524" s="131"/>
      <c r="EKC524" s="131"/>
      <c r="EKD524" s="131"/>
      <c r="EKE524" s="131"/>
      <c r="EKF524" s="131"/>
      <c r="EKG524" s="131"/>
      <c r="EKH524" s="131"/>
      <c r="EKI524" s="131"/>
      <c r="EKJ524" s="131"/>
      <c r="EKK524" s="131"/>
      <c r="EKL524" s="131"/>
      <c r="EKM524" s="131"/>
      <c r="EKN524" s="131"/>
      <c r="EKO524" s="131"/>
      <c r="EKP524" s="131"/>
      <c r="EKQ524" s="131"/>
      <c r="EKR524" s="131"/>
      <c r="EKS524" s="131"/>
      <c r="EKT524" s="131"/>
      <c r="EKU524" s="131"/>
      <c r="EKV524" s="131"/>
      <c r="EKW524" s="131"/>
      <c r="EKX524" s="131"/>
      <c r="EKY524" s="131"/>
      <c r="EKZ524" s="131"/>
      <c r="ELA524" s="131"/>
      <c r="ELB524" s="131"/>
      <c r="ELC524" s="131"/>
      <c r="ELD524" s="131"/>
      <c r="ELE524" s="131"/>
      <c r="ELF524" s="131"/>
      <c r="ELG524" s="131"/>
      <c r="ELH524" s="131"/>
      <c r="ELI524" s="131"/>
      <c r="ELJ524" s="131"/>
      <c r="ELK524" s="131"/>
      <c r="ELL524" s="131"/>
      <c r="ELM524" s="131"/>
      <c r="ELN524" s="131"/>
      <c r="ELO524" s="131"/>
      <c r="ELP524" s="131"/>
      <c r="ELQ524" s="131"/>
      <c r="ELR524" s="131"/>
      <c r="ELS524" s="131"/>
      <c r="ELT524" s="131"/>
      <c r="ELU524" s="131"/>
      <c r="ELV524" s="131"/>
      <c r="ELW524" s="131"/>
      <c r="ELX524" s="131"/>
      <c r="ELY524" s="131"/>
      <c r="ELZ524" s="131"/>
      <c r="EMA524" s="131"/>
      <c r="EMB524" s="131"/>
      <c r="EMC524" s="131"/>
      <c r="EMD524" s="131"/>
      <c r="EME524" s="131"/>
      <c r="EMF524" s="131"/>
      <c r="EMG524" s="131"/>
      <c r="EMH524" s="131"/>
      <c r="EMI524" s="131"/>
      <c r="EMJ524" s="131"/>
      <c r="EMK524" s="131"/>
      <c r="EML524" s="131"/>
      <c r="EMM524" s="131"/>
      <c r="EMN524" s="131"/>
      <c r="EMO524" s="131"/>
      <c r="EMP524" s="131"/>
      <c r="EMQ524" s="131"/>
      <c r="EMR524" s="131"/>
      <c r="EMS524" s="131"/>
      <c r="EMT524" s="131"/>
      <c r="EMU524" s="131"/>
      <c r="EMV524" s="131"/>
      <c r="EMW524" s="131"/>
      <c r="EMX524" s="131"/>
      <c r="EMY524" s="131"/>
      <c r="EMZ524" s="131"/>
      <c r="ENA524" s="131"/>
      <c r="ENB524" s="131"/>
      <c r="ENC524" s="131"/>
      <c r="END524" s="131"/>
      <c r="ENE524" s="131"/>
      <c r="ENF524" s="131"/>
      <c r="ENG524" s="131"/>
      <c r="ENH524" s="131"/>
      <c r="ENI524" s="131"/>
      <c r="ENJ524" s="131"/>
      <c r="ENK524" s="131"/>
      <c r="ENL524" s="131"/>
      <c r="ENM524" s="131"/>
      <c r="ENN524" s="131"/>
      <c r="ENO524" s="131"/>
      <c r="ENP524" s="131"/>
      <c r="ENQ524" s="131"/>
      <c r="ENR524" s="131"/>
      <c r="ENS524" s="131"/>
      <c r="ENT524" s="131"/>
      <c r="ENU524" s="131"/>
      <c r="ENV524" s="131"/>
      <c r="ENW524" s="131"/>
      <c r="ENX524" s="131"/>
      <c r="ENY524" s="131"/>
      <c r="ENZ524" s="131"/>
      <c r="EOA524" s="131"/>
      <c r="EOB524" s="131"/>
      <c r="EOC524" s="131"/>
      <c r="EOD524" s="131"/>
      <c r="EOE524" s="131"/>
      <c r="EOF524" s="131"/>
      <c r="EOG524" s="131"/>
      <c r="EOH524" s="131"/>
      <c r="EOI524" s="131"/>
      <c r="EOJ524" s="131"/>
      <c r="EOK524" s="131"/>
      <c r="EOL524" s="131"/>
      <c r="EOM524" s="131"/>
      <c r="EON524" s="131"/>
      <c r="EOO524" s="131"/>
      <c r="EOP524" s="131"/>
      <c r="EOQ524" s="131"/>
      <c r="EOR524" s="131"/>
      <c r="EOS524" s="131"/>
      <c r="EOT524" s="131"/>
      <c r="EOU524" s="131"/>
      <c r="EOV524" s="131"/>
      <c r="EOW524" s="131"/>
      <c r="EOX524" s="131"/>
      <c r="EOY524" s="131"/>
      <c r="EOZ524" s="131"/>
      <c r="EPA524" s="131"/>
      <c r="EPB524" s="131"/>
      <c r="EPC524" s="131"/>
      <c r="EPD524" s="131"/>
      <c r="EPE524" s="131"/>
      <c r="EPF524" s="131"/>
      <c r="EPG524" s="131"/>
      <c r="EPH524" s="131"/>
      <c r="EPI524" s="131"/>
      <c r="EPJ524" s="131"/>
      <c r="EPK524" s="131"/>
      <c r="EPL524" s="131"/>
      <c r="EPM524" s="131"/>
      <c r="EPN524" s="131"/>
      <c r="EPO524" s="131"/>
      <c r="EPP524" s="131"/>
      <c r="EPQ524" s="131"/>
      <c r="EPR524" s="131"/>
      <c r="EPS524" s="131"/>
      <c r="EPT524" s="131"/>
      <c r="EPU524" s="131"/>
      <c r="EPV524" s="131"/>
      <c r="EPW524" s="131"/>
      <c r="EPX524" s="131"/>
      <c r="EPY524" s="131"/>
      <c r="EPZ524" s="131"/>
      <c r="EQA524" s="131"/>
      <c r="EQB524" s="131"/>
      <c r="EQC524" s="131"/>
      <c r="EQD524" s="131"/>
      <c r="EQE524" s="131"/>
      <c r="EQF524" s="131"/>
      <c r="EQG524" s="131"/>
      <c r="EQH524" s="131"/>
      <c r="EQI524" s="131"/>
      <c r="EQJ524" s="131"/>
      <c r="EQK524" s="131"/>
      <c r="EQL524" s="131"/>
      <c r="EQM524" s="131"/>
      <c r="EQN524" s="131"/>
      <c r="EQO524" s="131"/>
      <c r="EQP524" s="131"/>
      <c r="EQQ524" s="131"/>
      <c r="EQR524" s="131"/>
      <c r="EQS524" s="131"/>
      <c r="EQT524" s="131"/>
      <c r="EQU524" s="131"/>
      <c r="EQV524" s="131"/>
      <c r="EQW524" s="131"/>
      <c r="EQX524" s="131"/>
      <c r="EQY524" s="131"/>
      <c r="EQZ524" s="131"/>
      <c r="ERA524" s="131"/>
      <c r="ERB524" s="131"/>
      <c r="ERC524" s="131"/>
      <c r="ERD524" s="131"/>
      <c r="ERE524" s="131"/>
      <c r="ERF524" s="131"/>
      <c r="ERG524" s="131"/>
      <c r="ERH524" s="131"/>
      <c r="ERI524" s="131"/>
      <c r="ERJ524" s="131"/>
      <c r="ERK524" s="131"/>
      <c r="ERL524" s="131"/>
      <c r="ERM524" s="131"/>
      <c r="ERN524" s="131"/>
      <c r="ERO524" s="131"/>
      <c r="ERP524" s="131"/>
      <c r="ERQ524" s="131"/>
      <c r="ERR524" s="131"/>
      <c r="ERS524" s="131"/>
      <c r="ERT524" s="131"/>
      <c r="ERU524" s="131"/>
      <c r="ERV524" s="131"/>
      <c r="ERW524" s="131"/>
      <c r="ERX524" s="131"/>
      <c r="ERY524" s="131"/>
      <c r="ERZ524" s="131"/>
      <c r="ESA524" s="131"/>
      <c r="ESB524" s="131"/>
      <c r="ESC524" s="131"/>
      <c r="ESD524" s="131"/>
      <c r="ESE524" s="131"/>
      <c r="ESF524" s="131"/>
      <c r="ESG524" s="131"/>
      <c r="ESH524" s="131"/>
      <c r="ESI524" s="131"/>
      <c r="ESJ524" s="131"/>
      <c r="ESK524" s="131"/>
      <c r="ESL524" s="131"/>
      <c r="ESM524" s="131"/>
      <c r="ESN524" s="131"/>
      <c r="ESO524" s="131"/>
      <c r="ESP524" s="131"/>
      <c r="ESQ524" s="131"/>
      <c r="ESR524" s="131"/>
      <c r="ESS524" s="131"/>
      <c r="EST524" s="131"/>
      <c r="ESU524" s="131"/>
      <c r="ESV524" s="131"/>
      <c r="ESW524" s="131"/>
      <c r="ESX524" s="131"/>
      <c r="ESY524" s="131"/>
      <c r="ESZ524" s="131"/>
      <c r="ETA524" s="131"/>
      <c r="ETB524" s="131"/>
      <c r="ETC524" s="131"/>
      <c r="ETD524" s="131"/>
      <c r="ETE524" s="131"/>
      <c r="ETF524" s="131"/>
      <c r="ETG524" s="131"/>
      <c r="ETH524" s="131"/>
      <c r="ETI524" s="131"/>
      <c r="ETJ524" s="131"/>
      <c r="ETK524" s="131"/>
      <c r="ETL524" s="131"/>
      <c r="ETM524" s="131"/>
      <c r="ETN524" s="131"/>
      <c r="ETO524" s="131"/>
      <c r="ETP524" s="131"/>
      <c r="ETQ524" s="131"/>
      <c r="ETR524" s="131"/>
      <c r="ETS524" s="131"/>
      <c r="ETT524" s="131"/>
      <c r="ETU524" s="131"/>
      <c r="ETV524" s="131"/>
      <c r="ETW524" s="131"/>
      <c r="ETX524" s="131"/>
      <c r="ETY524" s="131"/>
      <c r="ETZ524" s="131"/>
      <c r="EUA524" s="131"/>
      <c r="EUB524" s="131"/>
      <c r="EUC524" s="131"/>
      <c r="EUD524" s="131"/>
      <c r="EUE524" s="131"/>
      <c r="EUF524" s="131"/>
      <c r="EUG524" s="131"/>
      <c r="EUH524" s="131"/>
      <c r="EUI524" s="131"/>
      <c r="EUJ524" s="131"/>
      <c r="EUK524" s="131"/>
      <c r="EUL524" s="131"/>
      <c r="EUM524" s="131"/>
      <c r="EUN524" s="131"/>
      <c r="EUO524" s="131"/>
      <c r="EUP524" s="131"/>
      <c r="EUQ524" s="131"/>
      <c r="EUR524" s="131"/>
      <c r="EUS524" s="131"/>
      <c r="EUT524" s="131"/>
      <c r="EUU524" s="131"/>
      <c r="EUV524" s="131"/>
      <c r="EUW524" s="131"/>
      <c r="EUX524" s="131"/>
      <c r="EUY524" s="131"/>
      <c r="EUZ524" s="131"/>
      <c r="EVA524" s="131"/>
      <c r="EVB524" s="131"/>
      <c r="EVC524" s="131"/>
      <c r="EVD524" s="131"/>
      <c r="EVE524" s="131"/>
      <c r="EVF524" s="131"/>
      <c r="EVG524" s="131"/>
      <c r="EVH524" s="131"/>
      <c r="EVI524" s="131"/>
      <c r="EVJ524" s="131"/>
      <c r="EVK524" s="131"/>
      <c r="EVL524" s="131"/>
      <c r="EVM524" s="131"/>
      <c r="EVN524" s="131"/>
      <c r="EVO524" s="131"/>
      <c r="EVP524" s="131"/>
      <c r="EVQ524" s="131"/>
      <c r="EVR524" s="131"/>
      <c r="EVS524" s="131"/>
      <c r="EVT524" s="131"/>
      <c r="EVU524" s="131"/>
      <c r="EVV524" s="131"/>
      <c r="EVW524" s="131"/>
      <c r="EVX524" s="131"/>
      <c r="EVY524" s="131"/>
      <c r="EVZ524" s="131"/>
      <c r="EWA524" s="131"/>
      <c r="EWB524" s="131"/>
      <c r="EWC524" s="131"/>
      <c r="EWD524" s="131"/>
      <c r="EWE524" s="131"/>
      <c r="EWF524" s="131"/>
      <c r="EWG524" s="131"/>
      <c r="EWH524" s="131"/>
      <c r="EWI524" s="131"/>
      <c r="EWJ524" s="131"/>
      <c r="EWK524" s="131"/>
      <c r="EWL524" s="131"/>
      <c r="EWM524" s="131"/>
      <c r="EWN524" s="131"/>
      <c r="EWO524" s="131"/>
      <c r="EWP524" s="131"/>
      <c r="EWQ524" s="131"/>
      <c r="EWR524" s="131"/>
      <c r="EWS524" s="131"/>
      <c r="EWT524" s="131"/>
      <c r="EWU524" s="131"/>
      <c r="EWV524" s="131"/>
      <c r="EWW524" s="131"/>
      <c r="EWX524" s="131"/>
      <c r="EWY524" s="131"/>
      <c r="EWZ524" s="131"/>
      <c r="EXA524" s="131"/>
      <c r="EXB524" s="131"/>
      <c r="EXC524" s="131"/>
      <c r="EXD524" s="131"/>
      <c r="EXE524" s="131"/>
      <c r="EXF524" s="131"/>
      <c r="EXG524" s="131"/>
      <c r="EXH524" s="131"/>
      <c r="EXI524" s="131"/>
      <c r="EXJ524" s="131"/>
      <c r="EXK524" s="131"/>
      <c r="EXL524" s="131"/>
      <c r="EXM524" s="131"/>
      <c r="EXN524" s="131"/>
      <c r="EXO524" s="131"/>
      <c r="EXP524" s="131"/>
      <c r="EXQ524" s="131"/>
      <c r="EXR524" s="131"/>
      <c r="EXS524" s="131"/>
      <c r="EXT524" s="131"/>
      <c r="EXU524" s="131"/>
      <c r="EXV524" s="131"/>
      <c r="EXW524" s="131"/>
      <c r="EXX524" s="131"/>
      <c r="EXY524" s="131"/>
      <c r="EXZ524" s="131"/>
      <c r="EYA524" s="131"/>
      <c r="EYB524" s="131"/>
      <c r="EYC524" s="131"/>
      <c r="EYD524" s="131"/>
      <c r="EYE524" s="131"/>
      <c r="EYF524" s="131"/>
      <c r="EYG524" s="131"/>
      <c r="EYH524" s="131"/>
      <c r="EYI524" s="131"/>
      <c r="EYJ524" s="131"/>
      <c r="EYK524" s="131"/>
      <c r="EYL524" s="131"/>
      <c r="EYM524" s="131"/>
      <c r="EYN524" s="131"/>
      <c r="EYO524" s="131"/>
      <c r="EYP524" s="131"/>
      <c r="EYQ524" s="131"/>
      <c r="EYR524" s="131"/>
      <c r="EYS524" s="131"/>
      <c r="EYT524" s="131"/>
      <c r="EYU524" s="131"/>
      <c r="EYV524" s="131"/>
      <c r="EYW524" s="131"/>
      <c r="EYX524" s="131"/>
      <c r="EYY524" s="131"/>
      <c r="EYZ524" s="131"/>
      <c r="EZA524" s="131"/>
      <c r="EZB524" s="131"/>
      <c r="EZC524" s="131"/>
      <c r="EZD524" s="131"/>
      <c r="EZE524" s="131"/>
      <c r="EZF524" s="131"/>
      <c r="EZG524" s="131"/>
      <c r="EZH524" s="131"/>
      <c r="EZI524" s="131"/>
      <c r="EZJ524" s="131"/>
      <c r="EZK524" s="131"/>
      <c r="EZL524" s="131"/>
      <c r="EZM524" s="131"/>
      <c r="EZN524" s="131"/>
      <c r="EZO524" s="131"/>
      <c r="EZP524" s="131"/>
      <c r="EZQ524" s="131"/>
      <c r="EZR524" s="131"/>
      <c r="EZS524" s="131"/>
      <c r="EZT524" s="131"/>
      <c r="EZU524" s="131"/>
      <c r="EZV524" s="131"/>
      <c r="EZW524" s="131"/>
      <c r="EZX524" s="131"/>
      <c r="EZY524" s="131"/>
      <c r="EZZ524" s="131"/>
      <c r="FAA524" s="131"/>
      <c r="FAB524" s="131"/>
      <c r="FAC524" s="131"/>
      <c r="FAD524" s="131"/>
      <c r="FAE524" s="131"/>
      <c r="FAF524" s="131"/>
      <c r="FAG524" s="131"/>
      <c r="FAH524" s="131"/>
      <c r="FAI524" s="131"/>
      <c r="FAJ524" s="131"/>
      <c r="FAK524" s="131"/>
      <c r="FAL524" s="131"/>
      <c r="FAM524" s="131"/>
      <c r="FAN524" s="131"/>
      <c r="FAO524" s="131"/>
      <c r="FAP524" s="131"/>
      <c r="FAQ524" s="131"/>
      <c r="FAR524" s="131"/>
      <c r="FAS524" s="131"/>
      <c r="FAT524" s="131"/>
      <c r="FAU524" s="131"/>
      <c r="FAV524" s="131"/>
      <c r="FAW524" s="131"/>
      <c r="FAX524" s="131"/>
      <c r="FAY524" s="131"/>
      <c r="FAZ524" s="131"/>
      <c r="FBA524" s="131"/>
      <c r="FBB524" s="131"/>
      <c r="FBC524" s="131"/>
      <c r="FBD524" s="131"/>
      <c r="FBE524" s="131"/>
      <c r="FBF524" s="131"/>
      <c r="FBG524" s="131"/>
      <c r="FBH524" s="131"/>
      <c r="FBI524" s="131"/>
      <c r="FBJ524" s="131"/>
      <c r="FBK524" s="131"/>
      <c r="FBL524" s="131"/>
      <c r="FBM524" s="131"/>
      <c r="FBN524" s="131"/>
      <c r="FBO524" s="131"/>
      <c r="FBP524" s="131"/>
      <c r="FBQ524" s="131"/>
      <c r="FBR524" s="131"/>
      <c r="FBS524" s="131"/>
      <c r="FBT524" s="131"/>
      <c r="FBU524" s="131"/>
      <c r="FBV524" s="131"/>
      <c r="FBW524" s="131"/>
      <c r="FBX524" s="131"/>
      <c r="FBY524" s="131"/>
      <c r="FBZ524" s="131"/>
      <c r="FCA524" s="131"/>
      <c r="FCB524" s="131"/>
      <c r="FCC524" s="131"/>
      <c r="FCD524" s="131"/>
      <c r="FCE524" s="131"/>
      <c r="FCF524" s="131"/>
      <c r="FCG524" s="131"/>
      <c r="FCH524" s="131"/>
      <c r="FCI524" s="131"/>
      <c r="FCJ524" s="131"/>
      <c r="FCK524" s="131"/>
      <c r="FCL524" s="131"/>
      <c r="FCM524" s="131"/>
      <c r="FCN524" s="131"/>
      <c r="FCO524" s="131"/>
      <c r="FCP524" s="131"/>
      <c r="FCQ524" s="131"/>
      <c r="FCR524" s="131"/>
      <c r="FCS524" s="131"/>
      <c r="FCT524" s="131"/>
      <c r="FCU524" s="131"/>
      <c r="FCV524" s="131"/>
      <c r="FCW524" s="131"/>
      <c r="FCX524" s="131"/>
      <c r="FCY524" s="131"/>
      <c r="FCZ524" s="131"/>
      <c r="FDA524" s="131"/>
      <c r="FDB524" s="131"/>
      <c r="FDC524" s="131"/>
      <c r="FDD524" s="131"/>
      <c r="FDE524" s="131"/>
      <c r="FDF524" s="131"/>
      <c r="FDG524" s="131"/>
      <c r="FDH524" s="131"/>
      <c r="FDI524" s="131"/>
      <c r="FDJ524" s="131"/>
      <c r="FDK524" s="131"/>
      <c r="FDL524" s="131"/>
      <c r="FDM524" s="131"/>
      <c r="FDN524" s="131"/>
      <c r="FDO524" s="131"/>
      <c r="FDP524" s="131"/>
      <c r="FDQ524" s="131"/>
      <c r="FDR524" s="131"/>
      <c r="FDS524" s="131"/>
      <c r="FDT524" s="131"/>
      <c r="FDU524" s="131"/>
      <c r="FDV524" s="131"/>
      <c r="FDW524" s="131"/>
      <c r="FDX524" s="131"/>
      <c r="FDY524" s="131"/>
      <c r="FDZ524" s="131"/>
      <c r="FEA524" s="131"/>
      <c r="FEB524" s="131"/>
      <c r="FEC524" s="131"/>
      <c r="FED524" s="131"/>
      <c r="FEE524" s="131"/>
      <c r="FEF524" s="131"/>
      <c r="FEG524" s="131"/>
      <c r="FEH524" s="131"/>
      <c r="FEI524" s="131"/>
      <c r="FEJ524" s="131"/>
      <c r="FEK524" s="131"/>
      <c r="FEL524" s="131"/>
      <c r="FEM524" s="131"/>
      <c r="FEN524" s="131"/>
      <c r="FEO524" s="131"/>
      <c r="FEP524" s="131"/>
      <c r="FEQ524" s="131"/>
      <c r="FER524" s="131"/>
      <c r="FES524" s="131"/>
      <c r="FET524" s="131"/>
      <c r="FEU524" s="131"/>
      <c r="FEV524" s="131"/>
      <c r="FEW524" s="131"/>
      <c r="FEX524" s="131"/>
      <c r="FEY524" s="131"/>
      <c r="FEZ524" s="131"/>
      <c r="FFA524" s="131"/>
      <c r="FFB524" s="131"/>
      <c r="FFC524" s="131"/>
      <c r="FFD524" s="131"/>
      <c r="FFE524" s="131"/>
      <c r="FFF524" s="131"/>
      <c r="FFG524" s="131"/>
      <c r="FFH524" s="131"/>
      <c r="FFI524" s="131"/>
      <c r="FFJ524" s="131"/>
      <c r="FFK524" s="131"/>
      <c r="FFL524" s="131"/>
      <c r="FFM524" s="131"/>
      <c r="FFN524" s="131"/>
      <c r="FFO524" s="131"/>
      <c r="FFP524" s="131"/>
      <c r="FFQ524" s="131"/>
      <c r="FFR524" s="131"/>
      <c r="FFS524" s="131"/>
      <c r="FFT524" s="131"/>
      <c r="FFU524" s="131"/>
      <c r="FFV524" s="131"/>
      <c r="FFW524" s="131"/>
      <c r="FFX524" s="131"/>
      <c r="FFY524" s="131"/>
      <c r="FFZ524" s="131"/>
      <c r="FGA524" s="131"/>
      <c r="FGB524" s="131"/>
      <c r="FGC524" s="131"/>
      <c r="FGD524" s="131"/>
      <c r="FGE524" s="131"/>
      <c r="FGF524" s="131"/>
      <c r="FGG524" s="131"/>
      <c r="FGH524" s="131"/>
      <c r="FGI524" s="131"/>
      <c r="FGJ524" s="131"/>
      <c r="FGK524" s="131"/>
      <c r="FGL524" s="131"/>
      <c r="FGM524" s="131"/>
      <c r="FGN524" s="131"/>
      <c r="FGO524" s="131"/>
      <c r="FGP524" s="131"/>
      <c r="FGQ524" s="131"/>
      <c r="FGR524" s="131"/>
      <c r="FGS524" s="131"/>
      <c r="FGT524" s="131"/>
      <c r="FGU524" s="131"/>
      <c r="FGV524" s="131"/>
      <c r="FGW524" s="131"/>
      <c r="FGX524" s="131"/>
      <c r="FGY524" s="131"/>
      <c r="FGZ524" s="131"/>
      <c r="FHA524" s="131"/>
      <c r="FHB524" s="131"/>
      <c r="FHC524" s="131"/>
      <c r="FHD524" s="131"/>
      <c r="FHE524" s="131"/>
      <c r="FHF524" s="131"/>
      <c r="FHG524" s="131"/>
      <c r="FHH524" s="131"/>
      <c r="FHI524" s="131"/>
      <c r="FHJ524" s="131"/>
      <c r="FHK524" s="131"/>
      <c r="FHL524" s="131"/>
      <c r="FHM524" s="131"/>
      <c r="FHN524" s="131"/>
      <c r="FHO524" s="131"/>
      <c r="FHP524" s="131"/>
      <c r="FHQ524" s="131"/>
      <c r="FHR524" s="131"/>
      <c r="FHS524" s="131"/>
      <c r="FHT524" s="131"/>
      <c r="FHU524" s="131"/>
      <c r="FHV524" s="131"/>
      <c r="FHW524" s="131"/>
      <c r="FHX524" s="131"/>
      <c r="FHY524" s="131"/>
      <c r="FHZ524" s="131"/>
      <c r="FIA524" s="131"/>
      <c r="FIB524" s="131"/>
      <c r="FIC524" s="131"/>
      <c r="FID524" s="131"/>
      <c r="FIE524" s="131"/>
      <c r="FIF524" s="131"/>
      <c r="FIG524" s="131"/>
      <c r="FIH524" s="131"/>
      <c r="FII524" s="131"/>
      <c r="FIJ524" s="131"/>
      <c r="FIK524" s="131"/>
      <c r="FIL524" s="131"/>
      <c r="FIM524" s="131"/>
      <c r="FIN524" s="131"/>
      <c r="FIO524" s="131"/>
      <c r="FIP524" s="131"/>
      <c r="FIQ524" s="131"/>
      <c r="FIR524" s="131"/>
      <c r="FIS524" s="131"/>
      <c r="FIT524" s="131"/>
      <c r="FIU524" s="131"/>
      <c r="FIV524" s="131"/>
      <c r="FIW524" s="131"/>
      <c r="FIX524" s="131"/>
      <c r="FIY524" s="131"/>
      <c r="FIZ524" s="131"/>
      <c r="FJA524" s="131"/>
      <c r="FJB524" s="131"/>
      <c r="FJC524" s="131"/>
      <c r="FJD524" s="131"/>
      <c r="FJE524" s="131"/>
      <c r="FJF524" s="131"/>
      <c r="FJG524" s="131"/>
      <c r="FJH524" s="131"/>
      <c r="FJI524" s="131"/>
      <c r="FJJ524" s="131"/>
      <c r="FJK524" s="131"/>
      <c r="FJL524" s="131"/>
      <c r="FJM524" s="131"/>
      <c r="FJN524" s="131"/>
      <c r="FJO524" s="131"/>
      <c r="FJP524" s="131"/>
      <c r="FJQ524" s="131"/>
      <c r="FJR524" s="131"/>
      <c r="FJS524" s="131"/>
      <c r="FJT524" s="131"/>
      <c r="FJU524" s="131"/>
      <c r="FJV524" s="131"/>
      <c r="FJW524" s="131"/>
      <c r="FJX524" s="131"/>
      <c r="FJY524" s="131"/>
      <c r="FJZ524" s="131"/>
      <c r="FKA524" s="131"/>
      <c r="FKB524" s="131"/>
      <c r="FKC524" s="131"/>
      <c r="FKD524" s="131"/>
      <c r="FKE524" s="131"/>
      <c r="FKF524" s="131"/>
      <c r="FKG524" s="131"/>
      <c r="FKH524" s="131"/>
      <c r="FKI524" s="131"/>
      <c r="FKJ524" s="131"/>
      <c r="FKK524" s="131"/>
      <c r="FKL524" s="131"/>
      <c r="FKM524" s="131"/>
      <c r="FKN524" s="131"/>
      <c r="FKO524" s="131"/>
      <c r="FKP524" s="131"/>
      <c r="FKQ524" s="131"/>
      <c r="FKR524" s="131"/>
      <c r="FKS524" s="131"/>
      <c r="FKT524" s="131"/>
      <c r="FKU524" s="131"/>
      <c r="FKV524" s="131"/>
      <c r="FKW524" s="131"/>
      <c r="FKX524" s="131"/>
      <c r="FKY524" s="131"/>
      <c r="FKZ524" s="131"/>
      <c r="FLA524" s="131"/>
      <c r="FLB524" s="131"/>
      <c r="FLC524" s="131"/>
      <c r="FLD524" s="131"/>
      <c r="FLE524" s="131"/>
      <c r="FLF524" s="131"/>
      <c r="FLG524" s="131"/>
      <c r="FLH524" s="131"/>
      <c r="FLI524" s="131"/>
      <c r="FLJ524" s="131"/>
      <c r="FLK524" s="131"/>
      <c r="FLL524" s="131"/>
      <c r="FLM524" s="131"/>
      <c r="FLN524" s="131"/>
      <c r="FLO524" s="131"/>
      <c r="FLP524" s="131"/>
      <c r="FLQ524" s="131"/>
      <c r="FLR524" s="131"/>
      <c r="FLS524" s="131"/>
      <c r="FLT524" s="131"/>
      <c r="FLU524" s="131"/>
      <c r="FLV524" s="131"/>
      <c r="FLW524" s="131"/>
      <c r="FLX524" s="131"/>
      <c r="FLY524" s="131"/>
      <c r="FLZ524" s="131"/>
      <c r="FMA524" s="131"/>
      <c r="FMB524" s="131"/>
      <c r="FMC524" s="131"/>
      <c r="FMD524" s="131"/>
      <c r="FME524" s="131"/>
      <c r="FMF524" s="131"/>
      <c r="FMG524" s="131"/>
      <c r="FMH524" s="131"/>
      <c r="FMI524" s="131"/>
      <c r="FMJ524" s="131"/>
      <c r="FMK524" s="131"/>
      <c r="FML524" s="131"/>
      <c r="FMM524" s="131"/>
      <c r="FMN524" s="131"/>
      <c r="FMO524" s="131"/>
      <c r="FMP524" s="131"/>
      <c r="FMQ524" s="131"/>
      <c r="FMR524" s="131"/>
      <c r="FMS524" s="131"/>
      <c r="FMT524" s="131"/>
      <c r="FMU524" s="131"/>
      <c r="FMV524" s="131"/>
      <c r="FMW524" s="131"/>
      <c r="FMX524" s="131"/>
      <c r="FMY524" s="131"/>
      <c r="FMZ524" s="131"/>
      <c r="FNA524" s="131"/>
      <c r="FNB524" s="131"/>
      <c r="FNC524" s="131"/>
      <c r="FND524" s="131"/>
      <c r="FNE524" s="131"/>
      <c r="FNF524" s="131"/>
      <c r="FNG524" s="131"/>
      <c r="FNH524" s="131"/>
      <c r="FNI524" s="131"/>
      <c r="FNJ524" s="131"/>
      <c r="FNK524" s="131"/>
      <c r="FNL524" s="131"/>
      <c r="FNM524" s="131"/>
      <c r="FNN524" s="131"/>
      <c r="FNO524" s="131"/>
      <c r="FNP524" s="131"/>
      <c r="FNQ524" s="131"/>
      <c r="FNR524" s="131"/>
      <c r="FNS524" s="131"/>
      <c r="FNT524" s="131"/>
      <c r="FNU524" s="131"/>
      <c r="FNV524" s="131"/>
      <c r="FNW524" s="131"/>
      <c r="FNX524" s="131"/>
      <c r="FNY524" s="131"/>
      <c r="FNZ524" s="131"/>
      <c r="FOA524" s="131"/>
      <c r="FOB524" s="131"/>
      <c r="FOC524" s="131"/>
      <c r="FOD524" s="131"/>
      <c r="FOE524" s="131"/>
      <c r="FOF524" s="131"/>
      <c r="FOG524" s="131"/>
      <c r="FOH524" s="131"/>
      <c r="FOI524" s="131"/>
      <c r="FOJ524" s="131"/>
      <c r="FOK524" s="131"/>
      <c r="FOL524" s="131"/>
      <c r="FOM524" s="131"/>
      <c r="FON524" s="131"/>
      <c r="FOO524" s="131"/>
      <c r="FOP524" s="131"/>
      <c r="FOQ524" s="131"/>
      <c r="FOR524" s="131"/>
      <c r="FOS524" s="131"/>
      <c r="FOT524" s="131"/>
      <c r="FOU524" s="131"/>
      <c r="FOV524" s="131"/>
      <c r="FOW524" s="131"/>
      <c r="FOX524" s="131"/>
      <c r="FOY524" s="131"/>
      <c r="FOZ524" s="131"/>
      <c r="FPA524" s="131"/>
      <c r="FPB524" s="131"/>
      <c r="FPC524" s="131"/>
      <c r="FPD524" s="131"/>
      <c r="FPE524" s="131"/>
      <c r="FPF524" s="131"/>
      <c r="FPG524" s="131"/>
      <c r="FPH524" s="131"/>
      <c r="FPI524" s="131"/>
      <c r="FPJ524" s="131"/>
      <c r="FPK524" s="131"/>
      <c r="FPL524" s="131"/>
      <c r="FPM524" s="131"/>
      <c r="FPN524" s="131"/>
      <c r="FPO524" s="131"/>
      <c r="FPP524" s="131"/>
      <c r="FPQ524" s="131"/>
      <c r="FPR524" s="131"/>
      <c r="FPS524" s="131"/>
      <c r="FPT524" s="131"/>
      <c r="FPU524" s="131"/>
      <c r="FPV524" s="131"/>
      <c r="FPW524" s="131"/>
      <c r="FPX524" s="131"/>
      <c r="FPY524" s="131"/>
      <c r="FPZ524" s="131"/>
      <c r="FQA524" s="131"/>
      <c r="FQB524" s="131"/>
      <c r="FQC524" s="131"/>
      <c r="FQD524" s="131"/>
      <c r="FQE524" s="131"/>
      <c r="FQF524" s="131"/>
      <c r="FQG524" s="131"/>
      <c r="FQH524" s="131"/>
      <c r="FQI524" s="131"/>
      <c r="FQJ524" s="131"/>
      <c r="FQK524" s="131"/>
      <c r="FQL524" s="131"/>
      <c r="FQM524" s="131"/>
      <c r="FQN524" s="131"/>
      <c r="FQO524" s="131"/>
      <c r="FQP524" s="131"/>
      <c r="FQQ524" s="131"/>
      <c r="FQR524" s="131"/>
      <c r="FQS524" s="131"/>
      <c r="FQT524" s="131"/>
      <c r="FQU524" s="131"/>
      <c r="FQV524" s="131"/>
      <c r="FQW524" s="131"/>
      <c r="FQX524" s="131"/>
      <c r="FQY524" s="131"/>
      <c r="FQZ524" s="131"/>
      <c r="FRA524" s="131"/>
      <c r="FRB524" s="131"/>
      <c r="FRC524" s="131"/>
      <c r="FRD524" s="131"/>
      <c r="FRE524" s="131"/>
      <c r="FRF524" s="131"/>
      <c r="FRG524" s="131"/>
      <c r="FRH524" s="131"/>
      <c r="FRI524" s="131"/>
      <c r="FRJ524" s="131"/>
      <c r="FRK524" s="131"/>
      <c r="FRL524" s="131"/>
      <c r="FRM524" s="131"/>
      <c r="FRN524" s="131"/>
      <c r="FRO524" s="131"/>
      <c r="FRP524" s="131"/>
      <c r="FRQ524" s="131"/>
      <c r="FRR524" s="131"/>
      <c r="FRS524" s="131"/>
      <c r="FRT524" s="131"/>
      <c r="FRU524" s="131"/>
      <c r="FRV524" s="131"/>
      <c r="FRW524" s="131"/>
      <c r="FRX524" s="131"/>
      <c r="FRY524" s="131"/>
      <c r="FRZ524" s="131"/>
      <c r="FSA524" s="131"/>
      <c r="FSB524" s="131"/>
      <c r="FSC524" s="131"/>
      <c r="FSD524" s="131"/>
      <c r="FSE524" s="131"/>
      <c r="FSF524" s="131"/>
      <c r="FSG524" s="131"/>
      <c r="FSH524" s="131"/>
      <c r="FSI524" s="131"/>
      <c r="FSJ524" s="131"/>
      <c r="FSK524" s="131"/>
      <c r="FSL524" s="131"/>
      <c r="FSM524" s="131"/>
      <c r="FSN524" s="131"/>
      <c r="FSO524" s="131"/>
      <c r="FSP524" s="131"/>
      <c r="FSQ524" s="131"/>
      <c r="FSR524" s="131"/>
      <c r="FSS524" s="131"/>
      <c r="FST524" s="131"/>
      <c r="FSU524" s="131"/>
      <c r="FSV524" s="131"/>
      <c r="FSW524" s="131"/>
      <c r="FSX524" s="131"/>
      <c r="FSY524" s="131"/>
      <c r="FSZ524" s="131"/>
      <c r="FTA524" s="131"/>
      <c r="FTB524" s="131"/>
      <c r="FTC524" s="131"/>
      <c r="FTD524" s="131"/>
      <c r="FTE524" s="131"/>
      <c r="FTF524" s="131"/>
      <c r="FTG524" s="131"/>
      <c r="FTH524" s="131"/>
      <c r="FTI524" s="131"/>
      <c r="FTJ524" s="131"/>
      <c r="FTK524" s="131"/>
      <c r="FTL524" s="131"/>
      <c r="FTM524" s="131"/>
      <c r="FTN524" s="131"/>
      <c r="FTO524" s="131"/>
      <c r="FTP524" s="131"/>
      <c r="FTQ524" s="131"/>
      <c r="FTR524" s="131"/>
      <c r="FTS524" s="131"/>
      <c r="FTT524" s="131"/>
      <c r="FTU524" s="131"/>
      <c r="FTV524" s="131"/>
      <c r="FTW524" s="131"/>
      <c r="FTX524" s="131"/>
      <c r="FTY524" s="131"/>
      <c r="FTZ524" s="131"/>
      <c r="FUA524" s="131"/>
      <c r="FUB524" s="131"/>
      <c r="FUC524" s="131"/>
      <c r="FUD524" s="131"/>
      <c r="FUE524" s="131"/>
      <c r="FUF524" s="131"/>
      <c r="FUG524" s="131"/>
      <c r="FUH524" s="131"/>
      <c r="FUI524" s="131"/>
      <c r="FUJ524" s="131"/>
      <c r="FUK524" s="131"/>
      <c r="FUL524" s="131"/>
      <c r="FUM524" s="131"/>
      <c r="FUN524" s="131"/>
      <c r="FUO524" s="131"/>
      <c r="FUP524" s="131"/>
      <c r="FUQ524" s="131"/>
      <c r="FUR524" s="131"/>
      <c r="FUS524" s="131"/>
      <c r="FUT524" s="131"/>
      <c r="FUU524" s="131"/>
      <c r="FUV524" s="131"/>
      <c r="FUW524" s="131"/>
      <c r="FUX524" s="131"/>
      <c r="FUY524" s="131"/>
      <c r="FUZ524" s="131"/>
      <c r="FVA524" s="131"/>
      <c r="FVB524" s="131"/>
      <c r="FVC524" s="131"/>
      <c r="FVD524" s="131"/>
      <c r="FVE524" s="131"/>
      <c r="FVF524" s="131"/>
      <c r="FVG524" s="131"/>
      <c r="FVH524" s="131"/>
      <c r="FVI524" s="131"/>
      <c r="FVJ524" s="131"/>
      <c r="FVK524" s="131"/>
      <c r="FVL524" s="131"/>
      <c r="FVM524" s="131"/>
      <c r="FVN524" s="131"/>
      <c r="FVO524" s="131"/>
      <c r="FVP524" s="131"/>
      <c r="FVQ524" s="131"/>
      <c r="FVR524" s="131"/>
      <c r="FVS524" s="131"/>
      <c r="FVT524" s="131"/>
      <c r="FVU524" s="131"/>
      <c r="FVV524" s="131"/>
      <c r="FVW524" s="131"/>
      <c r="FVX524" s="131"/>
      <c r="FVY524" s="131"/>
      <c r="FVZ524" s="131"/>
      <c r="FWA524" s="131"/>
      <c r="FWB524" s="131"/>
      <c r="FWC524" s="131"/>
      <c r="FWD524" s="131"/>
      <c r="FWE524" s="131"/>
      <c r="FWF524" s="131"/>
      <c r="FWG524" s="131"/>
      <c r="FWH524" s="131"/>
      <c r="FWI524" s="131"/>
      <c r="FWJ524" s="131"/>
      <c r="FWK524" s="131"/>
      <c r="FWL524" s="131"/>
      <c r="FWM524" s="131"/>
      <c r="FWN524" s="131"/>
      <c r="FWO524" s="131"/>
      <c r="FWP524" s="131"/>
      <c r="FWQ524" s="131"/>
      <c r="FWR524" s="131"/>
      <c r="FWS524" s="131"/>
      <c r="FWT524" s="131"/>
      <c r="FWU524" s="131"/>
      <c r="FWV524" s="131"/>
      <c r="FWW524" s="131"/>
      <c r="FWX524" s="131"/>
      <c r="FWY524" s="131"/>
      <c r="FWZ524" s="131"/>
      <c r="FXA524" s="131"/>
      <c r="FXB524" s="131"/>
      <c r="FXC524" s="131"/>
      <c r="FXD524" s="131"/>
      <c r="FXE524" s="131"/>
      <c r="FXF524" s="131"/>
      <c r="FXG524" s="131"/>
      <c r="FXH524" s="131"/>
      <c r="FXI524" s="131"/>
      <c r="FXJ524" s="131"/>
      <c r="FXK524" s="131"/>
      <c r="FXL524" s="131"/>
      <c r="FXM524" s="131"/>
      <c r="FXN524" s="131"/>
      <c r="FXO524" s="131"/>
      <c r="FXP524" s="131"/>
      <c r="FXQ524" s="131"/>
      <c r="FXR524" s="131"/>
      <c r="FXS524" s="131"/>
      <c r="FXT524" s="131"/>
      <c r="FXU524" s="131"/>
      <c r="FXV524" s="131"/>
      <c r="FXW524" s="131"/>
      <c r="FXX524" s="131"/>
      <c r="FXY524" s="131"/>
      <c r="FXZ524" s="131"/>
      <c r="FYA524" s="131"/>
      <c r="FYB524" s="131"/>
      <c r="FYC524" s="131"/>
      <c r="FYD524" s="131"/>
      <c r="FYE524" s="131"/>
      <c r="FYF524" s="131"/>
      <c r="FYG524" s="131"/>
      <c r="FYH524" s="131"/>
      <c r="FYI524" s="131"/>
      <c r="FYJ524" s="131"/>
      <c r="FYK524" s="131"/>
      <c r="FYL524" s="131"/>
      <c r="FYM524" s="131"/>
      <c r="FYN524" s="131"/>
      <c r="FYO524" s="131"/>
      <c r="FYP524" s="131"/>
      <c r="FYQ524" s="131"/>
      <c r="FYR524" s="131"/>
      <c r="FYS524" s="131"/>
      <c r="FYT524" s="131"/>
      <c r="FYU524" s="131"/>
      <c r="FYV524" s="131"/>
      <c r="FYW524" s="131"/>
      <c r="FYX524" s="131"/>
      <c r="FYY524" s="131"/>
      <c r="FYZ524" s="131"/>
      <c r="FZA524" s="131"/>
      <c r="FZB524" s="131"/>
      <c r="FZC524" s="131"/>
      <c r="FZD524" s="131"/>
      <c r="FZE524" s="131"/>
      <c r="FZF524" s="131"/>
      <c r="FZG524" s="131"/>
      <c r="FZH524" s="131"/>
      <c r="FZI524" s="131"/>
      <c r="FZJ524" s="131"/>
      <c r="FZK524" s="131"/>
      <c r="FZL524" s="131"/>
      <c r="FZM524" s="131"/>
      <c r="FZN524" s="131"/>
      <c r="FZO524" s="131"/>
      <c r="FZP524" s="131"/>
      <c r="FZQ524" s="131"/>
      <c r="FZR524" s="131"/>
      <c r="FZS524" s="131"/>
      <c r="FZT524" s="131"/>
      <c r="FZU524" s="131"/>
      <c r="FZV524" s="131"/>
      <c r="FZW524" s="131"/>
      <c r="FZX524" s="131"/>
      <c r="FZY524" s="131"/>
      <c r="FZZ524" s="131"/>
      <c r="GAA524" s="131"/>
      <c r="GAB524" s="131"/>
      <c r="GAC524" s="131"/>
      <c r="GAD524" s="131"/>
      <c r="GAE524" s="131"/>
      <c r="GAF524" s="131"/>
      <c r="GAG524" s="131"/>
      <c r="GAH524" s="131"/>
      <c r="GAI524" s="131"/>
      <c r="GAJ524" s="131"/>
      <c r="GAK524" s="131"/>
      <c r="GAL524" s="131"/>
      <c r="GAM524" s="131"/>
      <c r="GAN524" s="131"/>
      <c r="GAO524" s="131"/>
      <c r="GAP524" s="131"/>
      <c r="GAQ524" s="131"/>
      <c r="GAR524" s="131"/>
      <c r="GAS524" s="131"/>
      <c r="GAT524" s="131"/>
      <c r="GAU524" s="131"/>
      <c r="GAV524" s="131"/>
      <c r="GAW524" s="131"/>
      <c r="GAX524" s="131"/>
      <c r="GAY524" s="131"/>
      <c r="GAZ524" s="131"/>
      <c r="GBA524" s="131"/>
      <c r="GBB524" s="131"/>
      <c r="GBC524" s="131"/>
      <c r="GBD524" s="131"/>
      <c r="GBE524" s="131"/>
      <c r="GBF524" s="131"/>
      <c r="GBG524" s="131"/>
      <c r="GBH524" s="131"/>
      <c r="GBI524" s="131"/>
      <c r="GBJ524" s="131"/>
      <c r="GBK524" s="131"/>
      <c r="GBL524" s="131"/>
      <c r="GBM524" s="131"/>
      <c r="GBN524" s="131"/>
      <c r="GBO524" s="131"/>
      <c r="GBP524" s="131"/>
      <c r="GBQ524" s="131"/>
      <c r="GBR524" s="131"/>
      <c r="GBS524" s="131"/>
      <c r="GBT524" s="131"/>
      <c r="GBU524" s="131"/>
      <c r="GBV524" s="131"/>
      <c r="GBW524" s="131"/>
      <c r="GBX524" s="131"/>
      <c r="GBY524" s="131"/>
      <c r="GBZ524" s="131"/>
      <c r="GCA524" s="131"/>
      <c r="GCB524" s="131"/>
      <c r="GCC524" s="131"/>
      <c r="GCD524" s="131"/>
      <c r="GCE524" s="131"/>
      <c r="GCF524" s="131"/>
      <c r="GCG524" s="131"/>
      <c r="GCH524" s="131"/>
      <c r="GCI524" s="131"/>
      <c r="GCJ524" s="131"/>
      <c r="GCK524" s="131"/>
      <c r="GCL524" s="131"/>
      <c r="GCM524" s="131"/>
      <c r="GCN524" s="131"/>
      <c r="GCO524" s="131"/>
      <c r="GCP524" s="131"/>
      <c r="GCQ524" s="131"/>
      <c r="GCR524" s="131"/>
      <c r="GCS524" s="131"/>
      <c r="GCT524" s="131"/>
      <c r="GCU524" s="131"/>
      <c r="GCV524" s="131"/>
      <c r="GCW524" s="131"/>
      <c r="GCX524" s="131"/>
      <c r="GCY524" s="131"/>
      <c r="GCZ524" s="131"/>
      <c r="GDA524" s="131"/>
      <c r="GDB524" s="131"/>
      <c r="GDC524" s="131"/>
      <c r="GDD524" s="131"/>
      <c r="GDE524" s="131"/>
      <c r="GDF524" s="131"/>
      <c r="GDG524" s="131"/>
      <c r="GDH524" s="131"/>
      <c r="GDI524" s="131"/>
      <c r="GDJ524" s="131"/>
      <c r="GDK524" s="131"/>
      <c r="GDL524" s="131"/>
      <c r="GDM524" s="131"/>
      <c r="GDN524" s="131"/>
      <c r="GDO524" s="131"/>
      <c r="GDP524" s="131"/>
      <c r="GDQ524" s="131"/>
      <c r="GDR524" s="131"/>
      <c r="GDS524" s="131"/>
      <c r="GDT524" s="131"/>
      <c r="GDU524" s="131"/>
      <c r="GDV524" s="131"/>
      <c r="GDW524" s="131"/>
      <c r="GDX524" s="131"/>
      <c r="GDY524" s="131"/>
      <c r="GDZ524" s="131"/>
      <c r="GEA524" s="131"/>
      <c r="GEB524" s="131"/>
      <c r="GEC524" s="131"/>
      <c r="GED524" s="131"/>
      <c r="GEE524" s="131"/>
      <c r="GEF524" s="131"/>
      <c r="GEG524" s="131"/>
      <c r="GEH524" s="131"/>
      <c r="GEI524" s="131"/>
      <c r="GEJ524" s="131"/>
      <c r="GEK524" s="131"/>
      <c r="GEL524" s="131"/>
      <c r="GEM524" s="131"/>
      <c r="GEN524" s="131"/>
      <c r="GEO524" s="131"/>
      <c r="GEP524" s="131"/>
      <c r="GEQ524" s="131"/>
      <c r="GER524" s="131"/>
      <c r="GES524" s="131"/>
      <c r="GET524" s="131"/>
      <c r="GEU524" s="131"/>
      <c r="GEV524" s="131"/>
      <c r="GEW524" s="131"/>
      <c r="GEX524" s="131"/>
      <c r="GEY524" s="131"/>
      <c r="GEZ524" s="131"/>
      <c r="GFA524" s="131"/>
      <c r="GFB524" s="131"/>
      <c r="GFC524" s="131"/>
      <c r="GFD524" s="131"/>
      <c r="GFE524" s="131"/>
      <c r="GFF524" s="131"/>
      <c r="GFG524" s="131"/>
      <c r="GFH524" s="131"/>
      <c r="GFI524" s="131"/>
      <c r="GFJ524" s="131"/>
      <c r="GFK524" s="131"/>
      <c r="GFL524" s="131"/>
      <c r="GFM524" s="131"/>
      <c r="GFN524" s="131"/>
      <c r="GFO524" s="131"/>
      <c r="GFP524" s="131"/>
      <c r="GFQ524" s="131"/>
      <c r="GFR524" s="131"/>
      <c r="GFS524" s="131"/>
      <c r="GFT524" s="131"/>
      <c r="GFU524" s="131"/>
      <c r="GFV524" s="131"/>
      <c r="GFW524" s="131"/>
      <c r="GFX524" s="131"/>
      <c r="GFY524" s="131"/>
      <c r="GFZ524" s="131"/>
      <c r="GGA524" s="131"/>
      <c r="GGB524" s="131"/>
      <c r="GGC524" s="131"/>
      <c r="GGD524" s="131"/>
      <c r="GGE524" s="131"/>
      <c r="GGF524" s="131"/>
      <c r="GGG524" s="131"/>
      <c r="GGH524" s="131"/>
      <c r="GGI524" s="131"/>
      <c r="GGJ524" s="131"/>
      <c r="GGK524" s="131"/>
      <c r="GGL524" s="131"/>
      <c r="GGM524" s="131"/>
      <c r="GGN524" s="131"/>
      <c r="GGO524" s="131"/>
      <c r="GGP524" s="131"/>
      <c r="GGQ524" s="131"/>
      <c r="GGR524" s="131"/>
      <c r="GGS524" s="131"/>
      <c r="GGT524" s="131"/>
      <c r="GGU524" s="131"/>
      <c r="GGV524" s="131"/>
      <c r="GGW524" s="131"/>
      <c r="GGX524" s="131"/>
      <c r="GGY524" s="131"/>
      <c r="GGZ524" s="131"/>
      <c r="GHA524" s="131"/>
      <c r="GHB524" s="131"/>
      <c r="GHC524" s="131"/>
      <c r="GHD524" s="131"/>
      <c r="GHE524" s="131"/>
      <c r="GHF524" s="131"/>
      <c r="GHG524" s="131"/>
      <c r="GHH524" s="131"/>
      <c r="GHI524" s="131"/>
      <c r="GHJ524" s="131"/>
      <c r="GHK524" s="131"/>
      <c r="GHL524" s="131"/>
      <c r="GHM524" s="131"/>
      <c r="GHN524" s="131"/>
      <c r="GHO524" s="131"/>
      <c r="GHP524" s="131"/>
      <c r="GHQ524" s="131"/>
      <c r="GHR524" s="131"/>
      <c r="GHS524" s="131"/>
      <c r="GHT524" s="131"/>
      <c r="GHU524" s="131"/>
      <c r="GHV524" s="131"/>
      <c r="GHW524" s="131"/>
      <c r="GHX524" s="131"/>
      <c r="GHY524" s="131"/>
      <c r="GHZ524" s="131"/>
      <c r="GIA524" s="131"/>
      <c r="GIB524" s="131"/>
      <c r="GIC524" s="131"/>
      <c r="GID524" s="131"/>
      <c r="GIE524" s="131"/>
      <c r="GIF524" s="131"/>
      <c r="GIG524" s="131"/>
      <c r="GIH524" s="131"/>
      <c r="GII524" s="131"/>
      <c r="GIJ524" s="131"/>
      <c r="GIK524" s="131"/>
      <c r="GIL524" s="131"/>
      <c r="GIM524" s="131"/>
      <c r="GIN524" s="131"/>
      <c r="GIO524" s="131"/>
      <c r="GIP524" s="131"/>
      <c r="GIQ524" s="131"/>
      <c r="GIR524" s="131"/>
      <c r="GIS524" s="131"/>
      <c r="GIT524" s="131"/>
      <c r="GIU524" s="131"/>
      <c r="GIV524" s="131"/>
      <c r="GIW524" s="131"/>
      <c r="GIX524" s="131"/>
      <c r="GIY524" s="131"/>
      <c r="GIZ524" s="131"/>
      <c r="GJA524" s="131"/>
      <c r="GJB524" s="131"/>
      <c r="GJC524" s="131"/>
      <c r="GJD524" s="131"/>
      <c r="GJE524" s="131"/>
      <c r="GJF524" s="131"/>
      <c r="GJG524" s="131"/>
      <c r="GJH524" s="131"/>
      <c r="GJI524" s="131"/>
      <c r="GJJ524" s="131"/>
      <c r="GJK524" s="131"/>
      <c r="GJL524" s="131"/>
      <c r="GJM524" s="131"/>
      <c r="GJN524" s="131"/>
      <c r="GJO524" s="131"/>
      <c r="GJP524" s="131"/>
      <c r="GJQ524" s="131"/>
      <c r="GJR524" s="131"/>
      <c r="GJS524" s="131"/>
      <c r="GJT524" s="131"/>
      <c r="GJU524" s="131"/>
      <c r="GJV524" s="131"/>
      <c r="GJW524" s="131"/>
      <c r="GJX524" s="131"/>
      <c r="GJY524" s="131"/>
      <c r="GJZ524" s="131"/>
      <c r="GKA524" s="131"/>
      <c r="GKB524" s="131"/>
      <c r="GKC524" s="131"/>
      <c r="GKD524" s="131"/>
      <c r="GKE524" s="131"/>
      <c r="GKF524" s="131"/>
      <c r="GKG524" s="131"/>
      <c r="GKH524" s="131"/>
      <c r="GKI524" s="131"/>
      <c r="GKJ524" s="131"/>
      <c r="GKK524" s="131"/>
      <c r="GKL524" s="131"/>
      <c r="GKM524" s="131"/>
      <c r="GKN524" s="131"/>
      <c r="GKO524" s="131"/>
      <c r="GKP524" s="131"/>
      <c r="GKQ524" s="131"/>
      <c r="GKR524" s="131"/>
      <c r="GKS524" s="131"/>
      <c r="GKT524" s="131"/>
      <c r="GKU524" s="131"/>
      <c r="GKV524" s="131"/>
      <c r="GKW524" s="131"/>
      <c r="GKX524" s="131"/>
      <c r="GKY524" s="131"/>
      <c r="GKZ524" s="131"/>
      <c r="GLA524" s="131"/>
      <c r="GLB524" s="131"/>
      <c r="GLC524" s="131"/>
      <c r="GLD524" s="131"/>
      <c r="GLE524" s="131"/>
      <c r="GLF524" s="131"/>
      <c r="GLG524" s="131"/>
      <c r="GLH524" s="131"/>
      <c r="GLI524" s="131"/>
      <c r="GLJ524" s="131"/>
      <c r="GLK524" s="131"/>
      <c r="GLL524" s="131"/>
      <c r="GLM524" s="131"/>
      <c r="GLN524" s="131"/>
      <c r="GLO524" s="131"/>
      <c r="GLP524" s="131"/>
      <c r="GLQ524" s="131"/>
      <c r="GLR524" s="131"/>
      <c r="GLS524" s="131"/>
      <c r="GLT524" s="131"/>
      <c r="GLU524" s="131"/>
      <c r="GLV524" s="131"/>
      <c r="GLW524" s="131"/>
      <c r="GLX524" s="131"/>
      <c r="GLY524" s="131"/>
      <c r="GLZ524" s="131"/>
      <c r="GMA524" s="131"/>
      <c r="GMB524" s="131"/>
      <c r="GMC524" s="131"/>
      <c r="GMD524" s="131"/>
      <c r="GME524" s="131"/>
      <c r="GMF524" s="131"/>
      <c r="GMG524" s="131"/>
      <c r="GMH524" s="131"/>
      <c r="GMI524" s="131"/>
      <c r="GMJ524" s="131"/>
      <c r="GMK524" s="131"/>
      <c r="GML524" s="131"/>
      <c r="GMM524" s="131"/>
      <c r="GMN524" s="131"/>
      <c r="GMO524" s="131"/>
      <c r="GMP524" s="131"/>
      <c r="GMQ524" s="131"/>
      <c r="GMR524" s="131"/>
      <c r="GMS524" s="131"/>
      <c r="GMT524" s="131"/>
      <c r="GMU524" s="131"/>
      <c r="GMV524" s="131"/>
      <c r="GMW524" s="131"/>
      <c r="GMX524" s="131"/>
      <c r="GMY524" s="131"/>
      <c r="GMZ524" s="131"/>
      <c r="GNA524" s="131"/>
      <c r="GNB524" s="131"/>
      <c r="GNC524" s="131"/>
      <c r="GND524" s="131"/>
      <c r="GNE524" s="131"/>
      <c r="GNF524" s="131"/>
      <c r="GNG524" s="131"/>
      <c r="GNH524" s="131"/>
      <c r="GNI524" s="131"/>
      <c r="GNJ524" s="131"/>
      <c r="GNK524" s="131"/>
      <c r="GNL524" s="131"/>
      <c r="GNM524" s="131"/>
      <c r="GNN524" s="131"/>
      <c r="GNO524" s="131"/>
      <c r="GNP524" s="131"/>
      <c r="GNQ524" s="131"/>
      <c r="GNR524" s="131"/>
      <c r="GNS524" s="131"/>
      <c r="GNT524" s="131"/>
      <c r="GNU524" s="131"/>
      <c r="GNV524" s="131"/>
      <c r="GNW524" s="131"/>
      <c r="GNX524" s="131"/>
      <c r="GNY524" s="131"/>
      <c r="GNZ524" s="131"/>
      <c r="GOA524" s="131"/>
      <c r="GOB524" s="131"/>
      <c r="GOC524" s="131"/>
      <c r="GOD524" s="131"/>
      <c r="GOE524" s="131"/>
      <c r="GOF524" s="131"/>
      <c r="GOG524" s="131"/>
      <c r="GOH524" s="131"/>
      <c r="GOI524" s="131"/>
      <c r="GOJ524" s="131"/>
      <c r="GOK524" s="131"/>
      <c r="GOL524" s="131"/>
      <c r="GOM524" s="131"/>
      <c r="GON524" s="131"/>
      <c r="GOO524" s="131"/>
      <c r="GOP524" s="131"/>
      <c r="GOQ524" s="131"/>
      <c r="GOR524" s="131"/>
      <c r="GOS524" s="131"/>
      <c r="GOT524" s="131"/>
      <c r="GOU524" s="131"/>
      <c r="GOV524" s="131"/>
      <c r="GOW524" s="131"/>
      <c r="GOX524" s="131"/>
      <c r="GOY524" s="131"/>
      <c r="GOZ524" s="131"/>
      <c r="GPA524" s="131"/>
      <c r="GPB524" s="131"/>
      <c r="GPC524" s="131"/>
      <c r="GPD524" s="131"/>
      <c r="GPE524" s="131"/>
      <c r="GPF524" s="131"/>
      <c r="GPG524" s="131"/>
      <c r="GPH524" s="131"/>
      <c r="GPI524" s="131"/>
      <c r="GPJ524" s="131"/>
      <c r="GPK524" s="131"/>
      <c r="GPL524" s="131"/>
      <c r="GPM524" s="131"/>
      <c r="GPN524" s="131"/>
      <c r="GPO524" s="131"/>
      <c r="GPP524" s="131"/>
      <c r="GPQ524" s="131"/>
      <c r="GPR524" s="131"/>
      <c r="GPS524" s="131"/>
      <c r="GPT524" s="131"/>
      <c r="GPU524" s="131"/>
      <c r="GPV524" s="131"/>
      <c r="GPW524" s="131"/>
      <c r="GPX524" s="131"/>
      <c r="GPY524" s="131"/>
      <c r="GPZ524" s="131"/>
      <c r="GQA524" s="131"/>
      <c r="GQB524" s="131"/>
      <c r="GQC524" s="131"/>
      <c r="GQD524" s="131"/>
      <c r="GQE524" s="131"/>
      <c r="GQF524" s="131"/>
      <c r="GQG524" s="131"/>
      <c r="GQH524" s="131"/>
      <c r="GQI524" s="131"/>
      <c r="GQJ524" s="131"/>
      <c r="GQK524" s="131"/>
      <c r="GQL524" s="131"/>
      <c r="GQM524" s="131"/>
      <c r="GQN524" s="131"/>
      <c r="GQO524" s="131"/>
      <c r="GQP524" s="131"/>
      <c r="GQQ524" s="131"/>
      <c r="GQR524" s="131"/>
      <c r="GQS524" s="131"/>
      <c r="GQT524" s="131"/>
      <c r="GQU524" s="131"/>
      <c r="GQV524" s="131"/>
      <c r="GQW524" s="131"/>
      <c r="GQX524" s="131"/>
      <c r="GQY524" s="131"/>
      <c r="GQZ524" s="131"/>
      <c r="GRA524" s="131"/>
      <c r="GRB524" s="131"/>
      <c r="GRC524" s="131"/>
      <c r="GRD524" s="131"/>
      <c r="GRE524" s="131"/>
      <c r="GRF524" s="131"/>
      <c r="GRG524" s="131"/>
      <c r="GRH524" s="131"/>
      <c r="GRI524" s="131"/>
      <c r="GRJ524" s="131"/>
      <c r="GRK524" s="131"/>
      <c r="GRL524" s="131"/>
      <c r="GRM524" s="131"/>
      <c r="GRN524" s="131"/>
      <c r="GRO524" s="131"/>
      <c r="GRP524" s="131"/>
      <c r="GRQ524" s="131"/>
      <c r="GRR524" s="131"/>
      <c r="GRS524" s="131"/>
      <c r="GRT524" s="131"/>
      <c r="GRU524" s="131"/>
      <c r="GRV524" s="131"/>
      <c r="GRW524" s="131"/>
      <c r="GRX524" s="131"/>
      <c r="GRY524" s="131"/>
      <c r="GRZ524" s="131"/>
      <c r="GSA524" s="131"/>
      <c r="GSB524" s="131"/>
      <c r="GSC524" s="131"/>
      <c r="GSD524" s="131"/>
      <c r="GSE524" s="131"/>
      <c r="GSF524" s="131"/>
      <c r="GSG524" s="131"/>
      <c r="GSH524" s="131"/>
      <c r="GSI524" s="131"/>
      <c r="GSJ524" s="131"/>
      <c r="GSK524" s="131"/>
      <c r="GSL524" s="131"/>
      <c r="GSM524" s="131"/>
      <c r="GSN524" s="131"/>
      <c r="GSO524" s="131"/>
      <c r="GSP524" s="131"/>
      <c r="GSQ524" s="131"/>
      <c r="GSR524" s="131"/>
      <c r="GSS524" s="131"/>
      <c r="GST524" s="131"/>
      <c r="GSU524" s="131"/>
      <c r="GSV524" s="131"/>
      <c r="GSW524" s="131"/>
      <c r="GSX524" s="131"/>
      <c r="GSY524" s="131"/>
      <c r="GSZ524" s="131"/>
      <c r="GTA524" s="131"/>
      <c r="GTB524" s="131"/>
      <c r="GTC524" s="131"/>
      <c r="GTD524" s="131"/>
      <c r="GTE524" s="131"/>
      <c r="GTF524" s="131"/>
      <c r="GTG524" s="131"/>
      <c r="GTH524" s="131"/>
      <c r="GTI524" s="131"/>
      <c r="GTJ524" s="131"/>
      <c r="GTK524" s="131"/>
      <c r="GTL524" s="131"/>
      <c r="GTM524" s="131"/>
      <c r="GTN524" s="131"/>
      <c r="GTO524" s="131"/>
      <c r="GTP524" s="131"/>
      <c r="GTQ524" s="131"/>
      <c r="GTR524" s="131"/>
      <c r="GTS524" s="131"/>
      <c r="GTT524" s="131"/>
      <c r="GTU524" s="131"/>
      <c r="GTV524" s="131"/>
      <c r="GTW524" s="131"/>
      <c r="GTX524" s="131"/>
      <c r="GTY524" s="131"/>
      <c r="GTZ524" s="131"/>
      <c r="GUA524" s="131"/>
      <c r="GUB524" s="131"/>
      <c r="GUC524" s="131"/>
      <c r="GUD524" s="131"/>
      <c r="GUE524" s="131"/>
      <c r="GUF524" s="131"/>
      <c r="GUG524" s="131"/>
      <c r="GUH524" s="131"/>
      <c r="GUI524" s="131"/>
      <c r="GUJ524" s="131"/>
      <c r="GUK524" s="131"/>
      <c r="GUL524" s="131"/>
      <c r="GUM524" s="131"/>
      <c r="GUN524" s="131"/>
      <c r="GUO524" s="131"/>
      <c r="GUP524" s="131"/>
      <c r="GUQ524" s="131"/>
      <c r="GUR524" s="131"/>
      <c r="GUS524" s="131"/>
      <c r="GUT524" s="131"/>
      <c r="GUU524" s="131"/>
      <c r="GUV524" s="131"/>
      <c r="GUW524" s="131"/>
      <c r="GUX524" s="131"/>
      <c r="GUY524" s="131"/>
      <c r="GUZ524" s="131"/>
      <c r="GVA524" s="131"/>
      <c r="GVB524" s="131"/>
      <c r="GVC524" s="131"/>
      <c r="GVD524" s="131"/>
      <c r="GVE524" s="131"/>
      <c r="GVF524" s="131"/>
      <c r="GVG524" s="131"/>
      <c r="GVH524" s="131"/>
      <c r="GVI524" s="131"/>
      <c r="GVJ524" s="131"/>
      <c r="GVK524" s="131"/>
      <c r="GVL524" s="131"/>
      <c r="GVM524" s="131"/>
      <c r="GVN524" s="131"/>
      <c r="GVO524" s="131"/>
      <c r="GVP524" s="131"/>
      <c r="GVQ524" s="131"/>
      <c r="GVR524" s="131"/>
      <c r="GVS524" s="131"/>
      <c r="GVT524" s="131"/>
      <c r="GVU524" s="131"/>
      <c r="GVV524" s="131"/>
      <c r="GVW524" s="131"/>
      <c r="GVX524" s="131"/>
      <c r="GVY524" s="131"/>
      <c r="GVZ524" s="131"/>
      <c r="GWA524" s="131"/>
      <c r="GWB524" s="131"/>
      <c r="GWC524" s="131"/>
      <c r="GWD524" s="131"/>
      <c r="GWE524" s="131"/>
      <c r="GWF524" s="131"/>
      <c r="GWG524" s="131"/>
      <c r="GWH524" s="131"/>
      <c r="GWI524" s="131"/>
      <c r="GWJ524" s="131"/>
      <c r="GWK524" s="131"/>
      <c r="GWL524" s="131"/>
      <c r="GWM524" s="131"/>
      <c r="GWN524" s="131"/>
      <c r="GWO524" s="131"/>
      <c r="GWP524" s="131"/>
      <c r="GWQ524" s="131"/>
      <c r="GWR524" s="131"/>
      <c r="GWS524" s="131"/>
      <c r="GWT524" s="131"/>
      <c r="GWU524" s="131"/>
      <c r="GWV524" s="131"/>
      <c r="GWW524" s="131"/>
      <c r="GWX524" s="131"/>
      <c r="GWY524" s="131"/>
      <c r="GWZ524" s="131"/>
      <c r="GXA524" s="131"/>
      <c r="GXB524" s="131"/>
      <c r="GXC524" s="131"/>
      <c r="GXD524" s="131"/>
      <c r="GXE524" s="131"/>
      <c r="GXF524" s="131"/>
      <c r="GXG524" s="131"/>
      <c r="GXH524" s="131"/>
      <c r="GXI524" s="131"/>
      <c r="GXJ524" s="131"/>
      <c r="GXK524" s="131"/>
      <c r="GXL524" s="131"/>
      <c r="GXM524" s="131"/>
      <c r="GXN524" s="131"/>
      <c r="GXO524" s="131"/>
      <c r="GXP524" s="131"/>
      <c r="GXQ524" s="131"/>
      <c r="GXR524" s="131"/>
      <c r="GXS524" s="131"/>
      <c r="GXT524" s="131"/>
      <c r="GXU524" s="131"/>
      <c r="GXV524" s="131"/>
      <c r="GXW524" s="131"/>
      <c r="GXX524" s="131"/>
      <c r="GXY524" s="131"/>
      <c r="GXZ524" s="131"/>
      <c r="GYA524" s="131"/>
      <c r="GYB524" s="131"/>
      <c r="GYC524" s="131"/>
      <c r="GYD524" s="131"/>
      <c r="GYE524" s="131"/>
      <c r="GYF524" s="131"/>
      <c r="GYG524" s="131"/>
      <c r="GYH524" s="131"/>
      <c r="GYI524" s="131"/>
      <c r="GYJ524" s="131"/>
      <c r="GYK524" s="131"/>
      <c r="GYL524" s="131"/>
      <c r="GYM524" s="131"/>
      <c r="GYN524" s="131"/>
      <c r="GYO524" s="131"/>
      <c r="GYP524" s="131"/>
      <c r="GYQ524" s="131"/>
      <c r="GYR524" s="131"/>
      <c r="GYS524" s="131"/>
      <c r="GYT524" s="131"/>
      <c r="GYU524" s="131"/>
      <c r="GYV524" s="131"/>
      <c r="GYW524" s="131"/>
      <c r="GYX524" s="131"/>
      <c r="GYY524" s="131"/>
      <c r="GYZ524" s="131"/>
      <c r="GZA524" s="131"/>
      <c r="GZB524" s="131"/>
      <c r="GZC524" s="131"/>
      <c r="GZD524" s="131"/>
      <c r="GZE524" s="131"/>
      <c r="GZF524" s="131"/>
      <c r="GZG524" s="131"/>
      <c r="GZH524" s="131"/>
      <c r="GZI524" s="131"/>
      <c r="GZJ524" s="131"/>
      <c r="GZK524" s="131"/>
      <c r="GZL524" s="131"/>
      <c r="GZM524" s="131"/>
      <c r="GZN524" s="131"/>
      <c r="GZO524" s="131"/>
      <c r="GZP524" s="131"/>
      <c r="GZQ524" s="131"/>
      <c r="GZR524" s="131"/>
      <c r="GZS524" s="131"/>
      <c r="GZT524" s="131"/>
      <c r="GZU524" s="131"/>
      <c r="GZV524" s="131"/>
      <c r="GZW524" s="131"/>
      <c r="GZX524" s="131"/>
      <c r="GZY524" s="131"/>
      <c r="GZZ524" s="131"/>
      <c r="HAA524" s="131"/>
      <c r="HAB524" s="131"/>
      <c r="HAC524" s="131"/>
      <c r="HAD524" s="131"/>
      <c r="HAE524" s="131"/>
      <c r="HAF524" s="131"/>
      <c r="HAG524" s="131"/>
      <c r="HAH524" s="131"/>
      <c r="HAI524" s="131"/>
      <c r="HAJ524" s="131"/>
      <c r="HAK524" s="131"/>
      <c r="HAL524" s="131"/>
      <c r="HAM524" s="131"/>
      <c r="HAN524" s="131"/>
      <c r="HAO524" s="131"/>
      <c r="HAP524" s="131"/>
      <c r="HAQ524" s="131"/>
      <c r="HAR524" s="131"/>
      <c r="HAS524" s="131"/>
      <c r="HAT524" s="131"/>
      <c r="HAU524" s="131"/>
      <c r="HAV524" s="131"/>
      <c r="HAW524" s="131"/>
      <c r="HAX524" s="131"/>
      <c r="HAY524" s="131"/>
      <c r="HAZ524" s="131"/>
      <c r="HBA524" s="131"/>
      <c r="HBB524" s="131"/>
      <c r="HBC524" s="131"/>
      <c r="HBD524" s="131"/>
      <c r="HBE524" s="131"/>
      <c r="HBF524" s="131"/>
      <c r="HBG524" s="131"/>
      <c r="HBH524" s="131"/>
      <c r="HBI524" s="131"/>
      <c r="HBJ524" s="131"/>
      <c r="HBK524" s="131"/>
      <c r="HBL524" s="131"/>
      <c r="HBM524" s="131"/>
      <c r="HBN524" s="131"/>
      <c r="HBO524" s="131"/>
      <c r="HBP524" s="131"/>
      <c r="HBQ524" s="131"/>
      <c r="HBR524" s="131"/>
      <c r="HBS524" s="131"/>
      <c r="HBT524" s="131"/>
      <c r="HBU524" s="131"/>
      <c r="HBV524" s="131"/>
      <c r="HBW524" s="131"/>
      <c r="HBX524" s="131"/>
      <c r="HBY524" s="131"/>
      <c r="HBZ524" s="131"/>
      <c r="HCA524" s="131"/>
      <c r="HCB524" s="131"/>
      <c r="HCC524" s="131"/>
      <c r="HCD524" s="131"/>
      <c r="HCE524" s="131"/>
      <c r="HCF524" s="131"/>
      <c r="HCG524" s="131"/>
      <c r="HCH524" s="131"/>
      <c r="HCI524" s="131"/>
      <c r="HCJ524" s="131"/>
      <c r="HCK524" s="131"/>
      <c r="HCL524" s="131"/>
      <c r="HCM524" s="131"/>
      <c r="HCN524" s="131"/>
      <c r="HCO524" s="131"/>
      <c r="HCP524" s="131"/>
      <c r="HCQ524" s="131"/>
      <c r="HCR524" s="131"/>
      <c r="HCS524" s="131"/>
      <c r="HCT524" s="131"/>
      <c r="HCU524" s="131"/>
      <c r="HCV524" s="131"/>
      <c r="HCW524" s="131"/>
      <c r="HCX524" s="131"/>
      <c r="HCY524" s="131"/>
      <c r="HCZ524" s="131"/>
      <c r="HDA524" s="131"/>
      <c r="HDB524" s="131"/>
      <c r="HDC524" s="131"/>
      <c r="HDD524" s="131"/>
      <c r="HDE524" s="131"/>
      <c r="HDF524" s="131"/>
      <c r="HDG524" s="131"/>
      <c r="HDH524" s="131"/>
      <c r="HDI524" s="131"/>
      <c r="HDJ524" s="131"/>
      <c r="HDK524" s="131"/>
      <c r="HDL524" s="131"/>
      <c r="HDM524" s="131"/>
      <c r="HDN524" s="131"/>
      <c r="HDO524" s="131"/>
      <c r="HDP524" s="131"/>
      <c r="HDQ524" s="131"/>
      <c r="HDR524" s="131"/>
      <c r="HDS524" s="131"/>
      <c r="HDT524" s="131"/>
      <c r="HDU524" s="131"/>
      <c r="HDV524" s="131"/>
      <c r="HDW524" s="131"/>
      <c r="HDX524" s="131"/>
      <c r="HDY524" s="131"/>
      <c r="HDZ524" s="131"/>
      <c r="HEA524" s="131"/>
      <c r="HEB524" s="131"/>
      <c r="HEC524" s="131"/>
      <c r="HED524" s="131"/>
      <c r="HEE524" s="131"/>
      <c r="HEF524" s="131"/>
      <c r="HEG524" s="131"/>
      <c r="HEH524" s="131"/>
      <c r="HEI524" s="131"/>
      <c r="HEJ524" s="131"/>
      <c r="HEK524" s="131"/>
      <c r="HEL524" s="131"/>
      <c r="HEM524" s="131"/>
      <c r="HEN524" s="131"/>
      <c r="HEO524" s="131"/>
      <c r="HEP524" s="131"/>
      <c r="HEQ524" s="131"/>
      <c r="HER524" s="131"/>
      <c r="HES524" s="131"/>
      <c r="HET524" s="131"/>
      <c r="HEU524" s="131"/>
      <c r="HEV524" s="131"/>
      <c r="HEW524" s="131"/>
      <c r="HEX524" s="131"/>
      <c r="HEY524" s="131"/>
      <c r="HEZ524" s="131"/>
      <c r="HFA524" s="131"/>
      <c r="HFB524" s="131"/>
      <c r="HFC524" s="131"/>
      <c r="HFD524" s="131"/>
      <c r="HFE524" s="131"/>
      <c r="HFF524" s="131"/>
      <c r="HFG524" s="131"/>
      <c r="HFH524" s="131"/>
      <c r="HFI524" s="131"/>
      <c r="HFJ524" s="131"/>
      <c r="HFK524" s="131"/>
      <c r="HFL524" s="131"/>
      <c r="HFM524" s="131"/>
      <c r="HFN524" s="131"/>
      <c r="HFO524" s="131"/>
      <c r="HFP524" s="131"/>
      <c r="HFQ524" s="131"/>
      <c r="HFR524" s="131"/>
      <c r="HFS524" s="131"/>
      <c r="HFT524" s="131"/>
      <c r="HFU524" s="131"/>
      <c r="HFV524" s="131"/>
      <c r="HFW524" s="131"/>
      <c r="HFX524" s="131"/>
      <c r="HFY524" s="131"/>
      <c r="HFZ524" s="131"/>
      <c r="HGA524" s="131"/>
      <c r="HGB524" s="131"/>
      <c r="HGC524" s="131"/>
      <c r="HGD524" s="131"/>
      <c r="HGE524" s="131"/>
      <c r="HGF524" s="131"/>
      <c r="HGG524" s="131"/>
      <c r="HGH524" s="131"/>
      <c r="HGI524" s="131"/>
      <c r="HGJ524" s="131"/>
      <c r="HGK524" s="131"/>
      <c r="HGL524" s="131"/>
      <c r="HGM524" s="131"/>
      <c r="HGN524" s="131"/>
      <c r="HGO524" s="131"/>
      <c r="HGP524" s="131"/>
      <c r="HGQ524" s="131"/>
      <c r="HGR524" s="131"/>
      <c r="HGS524" s="131"/>
      <c r="HGT524" s="131"/>
      <c r="HGU524" s="131"/>
      <c r="HGV524" s="131"/>
      <c r="HGW524" s="131"/>
      <c r="HGX524" s="131"/>
      <c r="HGY524" s="131"/>
      <c r="HGZ524" s="131"/>
      <c r="HHA524" s="131"/>
      <c r="HHB524" s="131"/>
      <c r="HHC524" s="131"/>
      <c r="HHD524" s="131"/>
      <c r="HHE524" s="131"/>
      <c r="HHF524" s="131"/>
      <c r="HHG524" s="131"/>
      <c r="HHH524" s="131"/>
      <c r="HHI524" s="131"/>
      <c r="HHJ524" s="131"/>
      <c r="HHK524" s="131"/>
      <c r="HHL524" s="131"/>
      <c r="HHM524" s="131"/>
      <c r="HHN524" s="131"/>
      <c r="HHO524" s="131"/>
      <c r="HHP524" s="131"/>
      <c r="HHQ524" s="131"/>
      <c r="HHR524" s="131"/>
      <c r="HHS524" s="131"/>
      <c r="HHT524" s="131"/>
      <c r="HHU524" s="131"/>
      <c r="HHV524" s="131"/>
      <c r="HHW524" s="131"/>
      <c r="HHX524" s="131"/>
      <c r="HHY524" s="131"/>
      <c r="HHZ524" s="131"/>
      <c r="HIA524" s="131"/>
      <c r="HIB524" s="131"/>
      <c r="HIC524" s="131"/>
      <c r="HID524" s="131"/>
      <c r="HIE524" s="131"/>
      <c r="HIF524" s="131"/>
      <c r="HIG524" s="131"/>
      <c r="HIH524" s="131"/>
      <c r="HII524" s="131"/>
      <c r="HIJ524" s="131"/>
      <c r="HIK524" s="131"/>
      <c r="HIL524" s="131"/>
      <c r="HIM524" s="131"/>
      <c r="HIN524" s="131"/>
      <c r="HIO524" s="131"/>
      <c r="HIP524" s="131"/>
      <c r="HIQ524" s="131"/>
      <c r="HIR524" s="131"/>
      <c r="HIS524" s="131"/>
      <c r="HIT524" s="131"/>
      <c r="HIU524" s="131"/>
      <c r="HIV524" s="131"/>
      <c r="HIW524" s="131"/>
      <c r="HIX524" s="131"/>
      <c r="HIY524" s="131"/>
      <c r="HIZ524" s="131"/>
      <c r="HJA524" s="131"/>
      <c r="HJB524" s="131"/>
      <c r="HJC524" s="131"/>
      <c r="HJD524" s="131"/>
      <c r="HJE524" s="131"/>
      <c r="HJF524" s="131"/>
      <c r="HJG524" s="131"/>
      <c r="HJH524" s="131"/>
      <c r="HJI524" s="131"/>
      <c r="HJJ524" s="131"/>
      <c r="HJK524" s="131"/>
      <c r="HJL524" s="131"/>
      <c r="HJM524" s="131"/>
      <c r="HJN524" s="131"/>
      <c r="HJO524" s="131"/>
      <c r="HJP524" s="131"/>
      <c r="HJQ524" s="131"/>
      <c r="HJR524" s="131"/>
      <c r="HJS524" s="131"/>
      <c r="HJT524" s="131"/>
      <c r="HJU524" s="131"/>
      <c r="HJV524" s="131"/>
      <c r="HJW524" s="131"/>
      <c r="HJX524" s="131"/>
      <c r="HJY524" s="131"/>
      <c r="HJZ524" s="131"/>
      <c r="HKA524" s="131"/>
      <c r="HKB524" s="131"/>
      <c r="HKC524" s="131"/>
      <c r="HKD524" s="131"/>
      <c r="HKE524" s="131"/>
      <c r="HKF524" s="131"/>
      <c r="HKG524" s="131"/>
      <c r="HKH524" s="131"/>
      <c r="HKI524" s="131"/>
      <c r="HKJ524" s="131"/>
      <c r="HKK524" s="131"/>
      <c r="HKL524" s="131"/>
      <c r="HKM524" s="131"/>
      <c r="HKN524" s="131"/>
      <c r="HKO524" s="131"/>
      <c r="HKP524" s="131"/>
      <c r="HKQ524" s="131"/>
      <c r="HKR524" s="131"/>
      <c r="HKS524" s="131"/>
      <c r="HKT524" s="131"/>
      <c r="HKU524" s="131"/>
      <c r="HKV524" s="131"/>
      <c r="HKW524" s="131"/>
      <c r="HKX524" s="131"/>
      <c r="HKY524" s="131"/>
      <c r="HKZ524" s="131"/>
      <c r="HLA524" s="131"/>
      <c r="HLB524" s="131"/>
      <c r="HLC524" s="131"/>
      <c r="HLD524" s="131"/>
      <c r="HLE524" s="131"/>
      <c r="HLF524" s="131"/>
      <c r="HLG524" s="131"/>
      <c r="HLH524" s="131"/>
      <c r="HLI524" s="131"/>
      <c r="HLJ524" s="131"/>
      <c r="HLK524" s="131"/>
      <c r="HLL524" s="131"/>
      <c r="HLM524" s="131"/>
      <c r="HLN524" s="131"/>
      <c r="HLO524" s="131"/>
      <c r="HLP524" s="131"/>
      <c r="HLQ524" s="131"/>
      <c r="HLR524" s="131"/>
      <c r="HLS524" s="131"/>
      <c r="HLT524" s="131"/>
      <c r="HLU524" s="131"/>
      <c r="HLV524" s="131"/>
      <c r="HLW524" s="131"/>
      <c r="HLX524" s="131"/>
      <c r="HLY524" s="131"/>
      <c r="HLZ524" s="131"/>
      <c r="HMA524" s="131"/>
      <c r="HMB524" s="131"/>
      <c r="HMC524" s="131"/>
      <c r="HMD524" s="131"/>
      <c r="HME524" s="131"/>
      <c r="HMF524" s="131"/>
      <c r="HMG524" s="131"/>
      <c r="HMH524" s="131"/>
      <c r="HMI524" s="131"/>
      <c r="HMJ524" s="131"/>
      <c r="HMK524" s="131"/>
      <c r="HML524" s="131"/>
      <c r="HMM524" s="131"/>
      <c r="HMN524" s="131"/>
      <c r="HMO524" s="131"/>
      <c r="HMP524" s="131"/>
      <c r="HMQ524" s="131"/>
      <c r="HMR524" s="131"/>
      <c r="HMS524" s="131"/>
      <c r="HMT524" s="131"/>
      <c r="HMU524" s="131"/>
      <c r="HMV524" s="131"/>
      <c r="HMW524" s="131"/>
      <c r="HMX524" s="131"/>
      <c r="HMY524" s="131"/>
      <c r="HMZ524" s="131"/>
      <c r="HNA524" s="131"/>
      <c r="HNB524" s="131"/>
      <c r="HNC524" s="131"/>
      <c r="HND524" s="131"/>
      <c r="HNE524" s="131"/>
      <c r="HNF524" s="131"/>
      <c r="HNG524" s="131"/>
      <c r="HNH524" s="131"/>
      <c r="HNI524" s="131"/>
      <c r="HNJ524" s="131"/>
      <c r="HNK524" s="131"/>
      <c r="HNL524" s="131"/>
      <c r="HNM524" s="131"/>
      <c r="HNN524" s="131"/>
      <c r="HNO524" s="131"/>
      <c r="HNP524" s="131"/>
      <c r="HNQ524" s="131"/>
      <c r="HNR524" s="131"/>
      <c r="HNS524" s="131"/>
      <c r="HNT524" s="131"/>
      <c r="HNU524" s="131"/>
      <c r="HNV524" s="131"/>
      <c r="HNW524" s="131"/>
      <c r="HNX524" s="131"/>
      <c r="HNY524" s="131"/>
      <c r="HNZ524" s="131"/>
      <c r="HOA524" s="131"/>
      <c r="HOB524" s="131"/>
      <c r="HOC524" s="131"/>
      <c r="HOD524" s="131"/>
      <c r="HOE524" s="131"/>
      <c r="HOF524" s="131"/>
      <c r="HOG524" s="131"/>
      <c r="HOH524" s="131"/>
      <c r="HOI524" s="131"/>
      <c r="HOJ524" s="131"/>
      <c r="HOK524" s="131"/>
      <c r="HOL524" s="131"/>
      <c r="HOM524" s="131"/>
      <c r="HON524" s="131"/>
      <c r="HOO524" s="131"/>
      <c r="HOP524" s="131"/>
      <c r="HOQ524" s="131"/>
      <c r="HOR524" s="131"/>
      <c r="HOS524" s="131"/>
      <c r="HOT524" s="131"/>
      <c r="HOU524" s="131"/>
      <c r="HOV524" s="131"/>
      <c r="HOW524" s="131"/>
      <c r="HOX524" s="131"/>
      <c r="HOY524" s="131"/>
      <c r="HOZ524" s="131"/>
      <c r="HPA524" s="131"/>
      <c r="HPB524" s="131"/>
      <c r="HPC524" s="131"/>
      <c r="HPD524" s="131"/>
      <c r="HPE524" s="131"/>
      <c r="HPF524" s="131"/>
      <c r="HPG524" s="131"/>
      <c r="HPH524" s="131"/>
      <c r="HPI524" s="131"/>
      <c r="HPJ524" s="131"/>
      <c r="HPK524" s="131"/>
      <c r="HPL524" s="131"/>
      <c r="HPM524" s="131"/>
      <c r="HPN524" s="131"/>
      <c r="HPO524" s="131"/>
      <c r="HPP524" s="131"/>
      <c r="HPQ524" s="131"/>
      <c r="HPR524" s="131"/>
      <c r="HPS524" s="131"/>
      <c r="HPT524" s="131"/>
      <c r="HPU524" s="131"/>
      <c r="HPV524" s="131"/>
      <c r="HPW524" s="131"/>
      <c r="HPX524" s="131"/>
      <c r="HPY524" s="131"/>
      <c r="HPZ524" s="131"/>
      <c r="HQA524" s="131"/>
      <c r="HQB524" s="131"/>
      <c r="HQC524" s="131"/>
      <c r="HQD524" s="131"/>
      <c r="HQE524" s="131"/>
      <c r="HQF524" s="131"/>
      <c r="HQG524" s="131"/>
      <c r="HQH524" s="131"/>
      <c r="HQI524" s="131"/>
      <c r="HQJ524" s="131"/>
      <c r="HQK524" s="131"/>
      <c r="HQL524" s="131"/>
      <c r="HQM524" s="131"/>
      <c r="HQN524" s="131"/>
      <c r="HQO524" s="131"/>
      <c r="HQP524" s="131"/>
      <c r="HQQ524" s="131"/>
      <c r="HQR524" s="131"/>
      <c r="HQS524" s="131"/>
      <c r="HQT524" s="131"/>
      <c r="HQU524" s="131"/>
      <c r="HQV524" s="131"/>
      <c r="HQW524" s="131"/>
      <c r="HQX524" s="131"/>
      <c r="HQY524" s="131"/>
      <c r="HQZ524" s="131"/>
      <c r="HRA524" s="131"/>
      <c r="HRB524" s="131"/>
      <c r="HRC524" s="131"/>
      <c r="HRD524" s="131"/>
      <c r="HRE524" s="131"/>
      <c r="HRF524" s="131"/>
      <c r="HRG524" s="131"/>
      <c r="HRH524" s="131"/>
      <c r="HRI524" s="131"/>
      <c r="HRJ524" s="131"/>
      <c r="HRK524" s="131"/>
      <c r="HRL524" s="131"/>
      <c r="HRM524" s="131"/>
      <c r="HRN524" s="131"/>
      <c r="HRO524" s="131"/>
      <c r="HRP524" s="131"/>
      <c r="HRQ524" s="131"/>
      <c r="HRR524" s="131"/>
      <c r="HRS524" s="131"/>
      <c r="HRT524" s="131"/>
      <c r="HRU524" s="131"/>
      <c r="HRV524" s="131"/>
      <c r="HRW524" s="131"/>
      <c r="HRX524" s="131"/>
      <c r="HRY524" s="131"/>
      <c r="HRZ524" s="131"/>
      <c r="HSA524" s="131"/>
      <c r="HSB524" s="131"/>
      <c r="HSC524" s="131"/>
      <c r="HSD524" s="131"/>
      <c r="HSE524" s="131"/>
      <c r="HSF524" s="131"/>
      <c r="HSG524" s="131"/>
      <c r="HSH524" s="131"/>
      <c r="HSI524" s="131"/>
      <c r="HSJ524" s="131"/>
      <c r="HSK524" s="131"/>
      <c r="HSL524" s="131"/>
      <c r="HSM524" s="131"/>
      <c r="HSN524" s="131"/>
      <c r="HSO524" s="131"/>
      <c r="HSP524" s="131"/>
      <c r="HSQ524" s="131"/>
      <c r="HSR524" s="131"/>
      <c r="HSS524" s="131"/>
      <c r="HST524" s="131"/>
      <c r="HSU524" s="131"/>
      <c r="HSV524" s="131"/>
      <c r="HSW524" s="131"/>
      <c r="HSX524" s="131"/>
      <c r="HSY524" s="131"/>
      <c r="HSZ524" s="131"/>
      <c r="HTA524" s="131"/>
      <c r="HTB524" s="131"/>
      <c r="HTC524" s="131"/>
      <c r="HTD524" s="131"/>
      <c r="HTE524" s="131"/>
      <c r="HTF524" s="131"/>
      <c r="HTG524" s="131"/>
      <c r="HTH524" s="131"/>
      <c r="HTI524" s="131"/>
      <c r="HTJ524" s="131"/>
      <c r="HTK524" s="131"/>
      <c r="HTL524" s="131"/>
      <c r="HTM524" s="131"/>
      <c r="HTN524" s="131"/>
      <c r="HTO524" s="131"/>
      <c r="HTP524" s="131"/>
      <c r="HTQ524" s="131"/>
      <c r="HTR524" s="131"/>
      <c r="HTS524" s="131"/>
      <c r="HTT524" s="131"/>
      <c r="HTU524" s="131"/>
      <c r="HTV524" s="131"/>
      <c r="HTW524" s="131"/>
      <c r="HTX524" s="131"/>
      <c r="HTY524" s="131"/>
      <c r="HTZ524" s="131"/>
      <c r="HUA524" s="131"/>
      <c r="HUB524" s="131"/>
      <c r="HUC524" s="131"/>
      <c r="HUD524" s="131"/>
      <c r="HUE524" s="131"/>
      <c r="HUF524" s="131"/>
      <c r="HUG524" s="131"/>
      <c r="HUH524" s="131"/>
      <c r="HUI524" s="131"/>
      <c r="HUJ524" s="131"/>
      <c r="HUK524" s="131"/>
      <c r="HUL524" s="131"/>
      <c r="HUM524" s="131"/>
      <c r="HUN524" s="131"/>
      <c r="HUO524" s="131"/>
      <c r="HUP524" s="131"/>
      <c r="HUQ524" s="131"/>
      <c r="HUR524" s="131"/>
      <c r="HUS524" s="131"/>
      <c r="HUT524" s="131"/>
      <c r="HUU524" s="131"/>
      <c r="HUV524" s="131"/>
      <c r="HUW524" s="131"/>
      <c r="HUX524" s="131"/>
      <c r="HUY524" s="131"/>
      <c r="HUZ524" s="131"/>
      <c r="HVA524" s="131"/>
      <c r="HVB524" s="131"/>
      <c r="HVC524" s="131"/>
      <c r="HVD524" s="131"/>
      <c r="HVE524" s="131"/>
      <c r="HVF524" s="131"/>
      <c r="HVG524" s="131"/>
      <c r="HVH524" s="131"/>
      <c r="HVI524" s="131"/>
      <c r="HVJ524" s="131"/>
      <c r="HVK524" s="131"/>
      <c r="HVL524" s="131"/>
      <c r="HVM524" s="131"/>
      <c r="HVN524" s="131"/>
      <c r="HVO524" s="131"/>
      <c r="HVP524" s="131"/>
      <c r="HVQ524" s="131"/>
      <c r="HVR524" s="131"/>
      <c r="HVS524" s="131"/>
      <c r="HVT524" s="131"/>
      <c r="HVU524" s="131"/>
      <c r="HVV524" s="131"/>
      <c r="HVW524" s="131"/>
      <c r="HVX524" s="131"/>
      <c r="HVY524" s="131"/>
      <c r="HVZ524" s="131"/>
      <c r="HWA524" s="131"/>
      <c r="HWB524" s="131"/>
      <c r="HWC524" s="131"/>
      <c r="HWD524" s="131"/>
      <c r="HWE524" s="131"/>
      <c r="HWF524" s="131"/>
      <c r="HWG524" s="131"/>
      <c r="HWH524" s="131"/>
      <c r="HWI524" s="131"/>
      <c r="HWJ524" s="131"/>
      <c r="HWK524" s="131"/>
      <c r="HWL524" s="131"/>
      <c r="HWM524" s="131"/>
      <c r="HWN524" s="131"/>
      <c r="HWO524" s="131"/>
      <c r="HWP524" s="131"/>
      <c r="HWQ524" s="131"/>
      <c r="HWR524" s="131"/>
      <c r="HWS524" s="131"/>
      <c r="HWT524" s="131"/>
      <c r="HWU524" s="131"/>
      <c r="HWV524" s="131"/>
      <c r="HWW524" s="131"/>
      <c r="HWX524" s="131"/>
      <c r="HWY524" s="131"/>
      <c r="HWZ524" s="131"/>
      <c r="HXA524" s="131"/>
      <c r="HXB524" s="131"/>
      <c r="HXC524" s="131"/>
      <c r="HXD524" s="131"/>
      <c r="HXE524" s="131"/>
      <c r="HXF524" s="131"/>
      <c r="HXG524" s="131"/>
      <c r="HXH524" s="131"/>
      <c r="HXI524" s="131"/>
      <c r="HXJ524" s="131"/>
      <c r="HXK524" s="131"/>
      <c r="HXL524" s="131"/>
      <c r="HXM524" s="131"/>
      <c r="HXN524" s="131"/>
      <c r="HXO524" s="131"/>
      <c r="HXP524" s="131"/>
      <c r="HXQ524" s="131"/>
      <c r="HXR524" s="131"/>
      <c r="HXS524" s="131"/>
      <c r="HXT524" s="131"/>
      <c r="HXU524" s="131"/>
      <c r="HXV524" s="131"/>
      <c r="HXW524" s="131"/>
      <c r="HXX524" s="131"/>
      <c r="HXY524" s="131"/>
      <c r="HXZ524" s="131"/>
      <c r="HYA524" s="131"/>
      <c r="HYB524" s="131"/>
      <c r="HYC524" s="131"/>
      <c r="HYD524" s="131"/>
      <c r="HYE524" s="131"/>
      <c r="HYF524" s="131"/>
      <c r="HYG524" s="131"/>
      <c r="HYH524" s="131"/>
      <c r="HYI524" s="131"/>
      <c r="HYJ524" s="131"/>
      <c r="HYK524" s="131"/>
      <c r="HYL524" s="131"/>
      <c r="HYM524" s="131"/>
      <c r="HYN524" s="131"/>
      <c r="HYO524" s="131"/>
      <c r="HYP524" s="131"/>
      <c r="HYQ524" s="131"/>
      <c r="HYR524" s="131"/>
      <c r="HYS524" s="131"/>
      <c r="HYT524" s="131"/>
      <c r="HYU524" s="131"/>
      <c r="HYV524" s="131"/>
      <c r="HYW524" s="131"/>
      <c r="HYX524" s="131"/>
      <c r="HYY524" s="131"/>
      <c r="HYZ524" s="131"/>
      <c r="HZA524" s="131"/>
      <c r="HZB524" s="131"/>
      <c r="HZC524" s="131"/>
      <c r="HZD524" s="131"/>
      <c r="HZE524" s="131"/>
      <c r="HZF524" s="131"/>
      <c r="HZG524" s="131"/>
      <c r="HZH524" s="131"/>
      <c r="HZI524" s="131"/>
      <c r="HZJ524" s="131"/>
      <c r="HZK524" s="131"/>
      <c r="HZL524" s="131"/>
      <c r="HZM524" s="131"/>
      <c r="HZN524" s="131"/>
      <c r="HZO524" s="131"/>
      <c r="HZP524" s="131"/>
      <c r="HZQ524" s="131"/>
      <c r="HZR524" s="131"/>
      <c r="HZS524" s="131"/>
      <c r="HZT524" s="131"/>
      <c r="HZU524" s="131"/>
      <c r="HZV524" s="131"/>
      <c r="HZW524" s="131"/>
      <c r="HZX524" s="131"/>
      <c r="HZY524" s="131"/>
      <c r="HZZ524" s="131"/>
      <c r="IAA524" s="131"/>
      <c r="IAB524" s="131"/>
      <c r="IAC524" s="131"/>
      <c r="IAD524" s="131"/>
      <c r="IAE524" s="131"/>
      <c r="IAF524" s="131"/>
      <c r="IAG524" s="131"/>
      <c r="IAH524" s="131"/>
      <c r="IAI524" s="131"/>
      <c r="IAJ524" s="131"/>
      <c r="IAK524" s="131"/>
      <c r="IAL524" s="131"/>
      <c r="IAM524" s="131"/>
      <c r="IAN524" s="131"/>
      <c r="IAO524" s="131"/>
      <c r="IAP524" s="131"/>
      <c r="IAQ524" s="131"/>
      <c r="IAR524" s="131"/>
      <c r="IAS524" s="131"/>
      <c r="IAT524" s="131"/>
      <c r="IAU524" s="131"/>
      <c r="IAV524" s="131"/>
      <c r="IAW524" s="131"/>
      <c r="IAX524" s="131"/>
      <c r="IAY524" s="131"/>
      <c r="IAZ524" s="131"/>
      <c r="IBA524" s="131"/>
      <c r="IBB524" s="131"/>
      <c r="IBC524" s="131"/>
      <c r="IBD524" s="131"/>
      <c r="IBE524" s="131"/>
      <c r="IBF524" s="131"/>
      <c r="IBG524" s="131"/>
      <c r="IBH524" s="131"/>
      <c r="IBI524" s="131"/>
      <c r="IBJ524" s="131"/>
      <c r="IBK524" s="131"/>
      <c r="IBL524" s="131"/>
      <c r="IBM524" s="131"/>
      <c r="IBN524" s="131"/>
      <c r="IBO524" s="131"/>
      <c r="IBP524" s="131"/>
      <c r="IBQ524" s="131"/>
      <c r="IBR524" s="131"/>
      <c r="IBS524" s="131"/>
      <c r="IBT524" s="131"/>
      <c r="IBU524" s="131"/>
      <c r="IBV524" s="131"/>
      <c r="IBW524" s="131"/>
      <c r="IBX524" s="131"/>
      <c r="IBY524" s="131"/>
      <c r="IBZ524" s="131"/>
      <c r="ICA524" s="131"/>
      <c r="ICB524" s="131"/>
      <c r="ICC524" s="131"/>
      <c r="ICD524" s="131"/>
      <c r="ICE524" s="131"/>
      <c r="ICF524" s="131"/>
      <c r="ICG524" s="131"/>
      <c r="ICH524" s="131"/>
      <c r="ICI524" s="131"/>
      <c r="ICJ524" s="131"/>
      <c r="ICK524" s="131"/>
      <c r="ICL524" s="131"/>
      <c r="ICM524" s="131"/>
      <c r="ICN524" s="131"/>
      <c r="ICO524" s="131"/>
      <c r="ICP524" s="131"/>
      <c r="ICQ524" s="131"/>
      <c r="ICR524" s="131"/>
      <c r="ICS524" s="131"/>
      <c r="ICT524" s="131"/>
      <c r="ICU524" s="131"/>
      <c r="ICV524" s="131"/>
      <c r="ICW524" s="131"/>
      <c r="ICX524" s="131"/>
      <c r="ICY524" s="131"/>
      <c r="ICZ524" s="131"/>
      <c r="IDA524" s="131"/>
      <c r="IDB524" s="131"/>
      <c r="IDC524" s="131"/>
      <c r="IDD524" s="131"/>
      <c r="IDE524" s="131"/>
      <c r="IDF524" s="131"/>
      <c r="IDG524" s="131"/>
      <c r="IDH524" s="131"/>
      <c r="IDI524" s="131"/>
      <c r="IDJ524" s="131"/>
      <c r="IDK524" s="131"/>
      <c r="IDL524" s="131"/>
      <c r="IDM524" s="131"/>
      <c r="IDN524" s="131"/>
      <c r="IDO524" s="131"/>
      <c r="IDP524" s="131"/>
      <c r="IDQ524" s="131"/>
      <c r="IDR524" s="131"/>
      <c r="IDS524" s="131"/>
      <c r="IDT524" s="131"/>
      <c r="IDU524" s="131"/>
      <c r="IDV524" s="131"/>
      <c r="IDW524" s="131"/>
      <c r="IDX524" s="131"/>
      <c r="IDY524" s="131"/>
      <c r="IDZ524" s="131"/>
      <c r="IEA524" s="131"/>
      <c r="IEB524" s="131"/>
      <c r="IEC524" s="131"/>
      <c r="IED524" s="131"/>
      <c r="IEE524" s="131"/>
      <c r="IEF524" s="131"/>
      <c r="IEG524" s="131"/>
      <c r="IEH524" s="131"/>
      <c r="IEI524" s="131"/>
      <c r="IEJ524" s="131"/>
      <c r="IEK524" s="131"/>
      <c r="IEL524" s="131"/>
      <c r="IEM524" s="131"/>
      <c r="IEN524" s="131"/>
      <c r="IEO524" s="131"/>
      <c r="IEP524" s="131"/>
      <c r="IEQ524" s="131"/>
      <c r="IER524" s="131"/>
      <c r="IES524" s="131"/>
      <c r="IET524" s="131"/>
      <c r="IEU524" s="131"/>
      <c r="IEV524" s="131"/>
      <c r="IEW524" s="131"/>
      <c r="IEX524" s="131"/>
      <c r="IEY524" s="131"/>
      <c r="IEZ524" s="131"/>
      <c r="IFA524" s="131"/>
      <c r="IFB524" s="131"/>
      <c r="IFC524" s="131"/>
      <c r="IFD524" s="131"/>
      <c r="IFE524" s="131"/>
      <c r="IFF524" s="131"/>
      <c r="IFG524" s="131"/>
      <c r="IFH524" s="131"/>
      <c r="IFI524" s="131"/>
      <c r="IFJ524" s="131"/>
      <c r="IFK524" s="131"/>
      <c r="IFL524" s="131"/>
      <c r="IFM524" s="131"/>
      <c r="IFN524" s="131"/>
      <c r="IFO524" s="131"/>
      <c r="IFP524" s="131"/>
      <c r="IFQ524" s="131"/>
      <c r="IFR524" s="131"/>
      <c r="IFS524" s="131"/>
      <c r="IFT524" s="131"/>
      <c r="IFU524" s="131"/>
      <c r="IFV524" s="131"/>
      <c r="IFW524" s="131"/>
      <c r="IFX524" s="131"/>
      <c r="IFY524" s="131"/>
      <c r="IFZ524" s="131"/>
      <c r="IGA524" s="131"/>
      <c r="IGB524" s="131"/>
      <c r="IGC524" s="131"/>
      <c r="IGD524" s="131"/>
      <c r="IGE524" s="131"/>
      <c r="IGF524" s="131"/>
      <c r="IGG524" s="131"/>
      <c r="IGH524" s="131"/>
      <c r="IGI524" s="131"/>
      <c r="IGJ524" s="131"/>
      <c r="IGK524" s="131"/>
      <c r="IGL524" s="131"/>
      <c r="IGM524" s="131"/>
      <c r="IGN524" s="131"/>
      <c r="IGO524" s="131"/>
      <c r="IGP524" s="131"/>
      <c r="IGQ524" s="131"/>
      <c r="IGR524" s="131"/>
      <c r="IGS524" s="131"/>
      <c r="IGT524" s="131"/>
      <c r="IGU524" s="131"/>
      <c r="IGV524" s="131"/>
      <c r="IGW524" s="131"/>
      <c r="IGX524" s="131"/>
      <c r="IGY524" s="131"/>
      <c r="IGZ524" s="131"/>
      <c r="IHA524" s="131"/>
      <c r="IHB524" s="131"/>
      <c r="IHC524" s="131"/>
      <c r="IHD524" s="131"/>
      <c r="IHE524" s="131"/>
      <c r="IHF524" s="131"/>
      <c r="IHG524" s="131"/>
      <c r="IHH524" s="131"/>
      <c r="IHI524" s="131"/>
      <c r="IHJ524" s="131"/>
      <c r="IHK524" s="131"/>
      <c r="IHL524" s="131"/>
      <c r="IHM524" s="131"/>
      <c r="IHN524" s="131"/>
      <c r="IHO524" s="131"/>
      <c r="IHP524" s="131"/>
      <c r="IHQ524" s="131"/>
      <c r="IHR524" s="131"/>
      <c r="IHS524" s="131"/>
      <c r="IHT524" s="131"/>
      <c r="IHU524" s="131"/>
      <c r="IHV524" s="131"/>
      <c r="IHW524" s="131"/>
      <c r="IHX524" s="131"/>
      <c r="IHY524" s="131"/>
      <c r="IHZ524" s="131"/>
      <c r="IIA524" s="131"/>
      <c r="IIB524" s="131"/>
      <c r="IIC524" s="131"/>
      <c r="IID524" s="131"/>
      <c r="IIE524" s="131"/>
      <c r="IIF524" s="131"/>
      <c r="IIG524" s="131"/>
      <c r="IIH524" s="131"/>
      <c r="III524" s="131"/>
      <c r="IIJ524" s="131"/>
      <c r="IIK524" s="131"/>
      <c r="IIL524" s="131"/>
      <c r="IIM524" s="131"/>
      <c r="IIN524" s="131"/>
      <c r="IIO524" s="131"/>
      <c r="IIP524" s="131"/>
      <c r="IIQ524" s="131"/>
      <c r="IIR524" s="131"/>
      <c r="IIS524" s="131"/>
      <c r="IIT524" s="131"/>
      <c r="IIU524" s="131"/>
      <c r="IIV524" s="131"/>
      <c r="IIW524" s="131"/>
      <c r="IIX524" s="131"/>
      <c r="IIY524" s="131"/>
      <c r="IIZ524" s="131"/>
      <c r="IJA524" s="131"/>
      <c r="IJB524" s="131"/>
      <c r="IJC524" s="131"/>
      <c r="IJD524" s="131"/>
      <c r="IJE524" s="131"/>
      <c r="IJF524" s="131"/>
      <c r="IJG524" s="131"/>
      <c r="IJH524" s="131"/>
      <c r="IJI524" s="131"/>
      <c r="IJJ524" s="131"/>
      <c r="IJK524" s="131"/>
      <c r="IJL524" s="131"/>
      <c r="IJM524" s="131"/>
      <c r="IJN524" s="131"/>
      <c r="IJO524" s="131"/>
      <c r="IJP524" s="131"/>
      <c r="IJQ524" s="131"/>
      <c r="IJR524" s="131"/>
      <c r="IJS524" s="131"/>
      <c r="IJT524" s="131"/>
      <c r="IJU524" s="131"/>
      <c r="IJV524" s="131"/>
      <c r="IJW524" s="131"/>
      <c r="IJX524" s="131"/>
      <c r="IJY524" s="131"/>
      <c r="IJZ524" s="131"/>
      <c r="IKA524" s="131"/>
      <c r="IKB524" s="131"/>
      <c r="IKC524" s="131"/>
      <c r="IKD524" s="131"/>
      <c r="IKE524" s="131"/>
      <c r="IKF524" s="131"/>
      <c r="IKG524" s="131"/>
      <c r="IKH524" s="131"/>
      <c r="IKI524" s="131"/>
      <c r="IKJ524" s="131"/>
      <c r="IKK524" s="131"/>
      <c r="IKL524" s="131"/>
      <c r="IKM524" s="131"/>
      <c r="IKN524" s="131"/>
      <c r="IKO524" s="131"/>
      <c r="IKP524" s="131"/>
      <c r="IKQ524" s="131"/>
      <c r="IKR524" s="131"/>
      <c r="IKS524" s="131"/>
      <c r="IKT524" s="131"/>
      <c r="IKU524" s="131"/>
      <c r="IKV524" s="131"/>
      <c r="IKW524" s="131"/>
      <c r="IKX524" s="131"/>
      <c r="IKY524" s="131"/>
      <c r="IKZ524" s="131"/>
      <c r="ILA524" s="131"/>
      <c r="ILB524" s="131"/>
      <c r="ILC524" s="131"/>
      <c r="ILD524" s="131"/>
      <c r="ILE524" s="131"/>
      <c r="ILF524" s="131"/>
      <c r="ILG524" s="131"/>
      <c r="ILH524" s="131"/>
      <c r="ILI524" s="131"/>
      <c r="ILJ524" s="131"/>
      <c r="ILK524" s="131"/>
      <c r="ILL524" s="131"/>
      <c r="ILM524" s="131"/>
      <c r="ILN524" s="131"/>
      <c r="ILO524" s="131"/>
      <c r="ILP524" s="131"/>
      <c r="ILQ524" s="131"/>
      <c r="ILR524" s="131"/>
      <c r="ILS524" s="131"/>
      <c r="ILT524" s="131"/>
      <c r="ILU524" s="131"/>
      <c r="ILV524" s="131"/>
      <c r="ILW524" s="131"/>
      <c r="ILX524" s="131"/>
      <c r="ILY524" s="131"/>
      <c r="ILZ524" s="131"/>
      <c r="IMA524" s="131"/>
      <c r="IMB524" s="131"/>
      <c r="IMC524" s="131"/>
      <c r="IMD524" s="131"/>
      <c r="IME524" s="131"/>
      <c r="IMF524" s="131"/>
      <c r="IMG524" s="131"/>
      <c r="IMH524" s="131"/>
      <c r="IMI524" s="131"/>
      <c r="IMJ524" s="131"/>
      <c r="IMK524" s="131"/>
      <c r="IML524" s="131"/>
      <c r="IMM524" s="131"/>
      <c r="IMN524" s="131"/>
      <c r="IMO524" s="131"/>
      <c r="IMP524" s="131"/>
      <c r="IMQ524" s="131"/>
      <c r="IMR524" s="131"/>
      <c r="IMS524" s="131"/>
      <c r="IMT524" s="131"/>
      <c r="IMU524" s="131"/>
      <c r="IMV524" s="131"/>
      <c r="IMW524" s="131"/>
      <c r="IMX524" s="131"/>
      <c r="IMY524" s="131"/>
      <c r="IMZ524" s="131"/>
      <c r="INA524" s="131"/>
      <c r="INB524" s="131"/>
      <c r="INC524" s="131"/>
      <c r="IND524" s="131"/>
      <c r="INE524" s="131"/>
      <c r="INF524" s="131"/>
      <c r="ING524" s="131"/>
      <c r="INH524" s="131"/>
      <c r="INI524" s="131"/>
      <c r="INJ524" s="131"/>
      <c r="INK524" s="131"/>
      <c r="INL524" s="131"/>
      <c r="INM524" s="131"/>
      <c r="INN524" s="131"/>
      <c r="INO524" s="131"/>
      <c r="INP524" s="131"/>
      <c r="INQ524" s="131"/>
      <c r="INR524" s="131"/>
      <c r="INS524" s="131"/>
      <c r="INT524" s="131"/>
      <c r="INU524" s="131"/>
      <c r="INV524" s="131"/>
      <c r="INW524" s="131"/>
      <c r="INX524" s="131"/>
      <c r="INY524" s="131"/>
      <c r="INZ524" s="131"/>
      <c r="IOA524" s="131"/>
      <c r="IOB524" s="131"/>
      <c r="IOC524" s="131"/>
      <c r="IOD524" s="131"/>
      <c r="IOE524" s="131"/>
      <c r="IOF524" s="131"/>
      <c r="IOG524" s="131"/>
      <c r="IOH524" s="131"/>
      <c r="IOI524" s="131"/>
      <c r="IOJ524" s="131"/>
      <c r="IOK524" s="131"/>
      <c r="IOL524" s="131"/>
      <c r="IOM524" s="131"/>
      <c r="ION524" s="131"/>
      <c r="IOO524" s="131"/>
      <c r="IOP524" s="131"/>
      <c r="IOQ524" s="131"/>
      <c r="IOR524" s="131"/>
      <c r="IOS524" s="131"/>
      <c r="IOT524" s="131"/>
      <c r="IOU524" s="131"/>
      <c r="IOV524" s="131"/>
      <c r="IOW524" s="131"/>
      <c r="IOX524" s="131"/>
      <c r="IOY524" s="131"/>
      <c r="IOZ524" s="131"/>
      <c r="IPA524" s="131"/>
      <c r="IPB524" s="131"/>
      <c r="IPC524" s="131"/>
      <c r="IPD524" s="131"/>
      <c r="IPE524" s="131"/>
      <c r="IPF524" s="131"/>
      <c r="IPG524" s="131"/>
      <c r="IPH524" s="131"/>
      <c r="IPI524" s="131"/>
      <c r="IPJ524" s="131"/>
      <c r="IPK524" s="131"/>
      <c r="IPL524" s="131"/>
      <c r="IPM524" s="131"/>
      <c r="IPN524" s="131"/>
      <c r="IPO524" s="131"/>
      <c r="IPP524" s="131"/>
      <c r="IPQ524" s="131"/>
      <c r="IPR524" s="131"/>
      <c r="IPS524" s="131"/>
      <c r="IPT524" s="131"/>
      <c r="IPU524" s="131"/>
      <c r="IPV524" s="131"/>
      <c r="IPW524" s="131"/>
      <c r="IPX524" s="131"/>
      <c r="IPY524" s="131"/>
      <c r="IPZ524" s="131"/>
      <c r="IQA524" s="131"/>
      <c r="IQB524" s="131"/>
      <c r="IQC524" s="131"/>
      <c r="IQD524" s="131"/>
      <c r="IQE524" s="131"/>
      <c r="IQF524" s="131"/>
      <c r="IQG524" s="131"/>
      <c r="IQH524" s="131"/>
      <c r="IQI524" s="131"/>
      <c r="IQJ524" s="131"/>
      <c r="IQK524" s="131"/>
      <c r="IQL524" s="131"/>
      <c r="IQM524" s="131"/>
      <c r="IQN524" s="131"/>
      <c r="IQO524" s="131"/>
      <c r="IQP524" s="131"/>
      <c r="IQQ524" s="131"/>
      <c r="IQR524" s="131"/>
      <c r="IQS524" s="131"/>
      <c r="IQT524" s="131"/>
      <c r="IQU524" s="131"/>
      <c r="IQV524" s="131"/>
      <c r="IQW524" s="131"/>
      <c r="IQX524" s="131"/>
      <c r="IQY524" s="131"/>
      <c r="IQZ524" s="131"/>
      <c r="IRA524" s="131"/>
      <c r="IRB524" s="131"/>
      <c r="IRC524" s="131"/>
      <c r="IRD524" s="131"/>
      <c r="IRE524" s="131"/>
      <c r="IRF524" s="131"/>
      <c r="IRG524" s="131"/>
      <c r="IRH524" s="131"/>
      <c r="IRI524" s="131"/>
      <c r="IRJ524" s="131"/>
      <c r="IRK524" s="131"/>
      <c r="IRL524" s="131"/>
      <c r="IRM524" s="131"/>
      <c r="IRN524" s="131"/>
      <c r="IRO524" s="131"/>
      <c r="IRP524" s="131"/>
      <c r="IRQ524" s="131"/>
      <c r="IRR524" s="131"/>
      <c r="IRS524" s="131"/>
      <c r="IRT524" s="131"/>
      <c r="IRU524" s="131"/>
      <c r="IRV524" s="131"/>
      <c r="IRW524" s="131"/>
      <c r="IRX524" s="131"/>
      <c r="IRY524" s="131"/>
      <c r="IRZ524" s="131"/>
      <c r="ISA524" s="131"/>
      <c r="ISB524" s="131"/>
      <c r="ISC524" s="131"/>
      <c r="ISD524" s="131"/>
      <c r="ISE524" s="131"/>
      <c r="ISF524" s="131"/>
      <c r="ISG524" s="131"/>
      <c r="ISH524" s="131"/>
      <c r="ISI524" s="131"/>
      <c r="ISJ524" s="131"/>
      <c r="ISK524" s="131"/>
      <c r="ISL524" s="131"/>
      <c r="ISM524" s="131"/>
      <c r="ISN524" s="131"/>
      <c r="ISO524" s="131"/>
      <c r="ISP524" s="131"/>
      <c r="ISQ524" s="131"/>
      <c r="ISR524" s="131"/>
      <c r="ISS524" s="131"/>
      <c r="IST524" s="131"/>
      <c r="ISU524" s="131"/>
      <c r="ISV524" s="131"/>
      <c r="ISW524" s="131"/>
      <c r="ISX524" s="131"/>
      <c r="ISY524" s="131"/>
      <c r="ISZ524" s="131"/>
      <c r="ITA524" s="131"/>
      <c r="ITB524" s="131"/>
      <c r="ITC524" s="131"/>
      <c r="ITD524" s="131"/>
      <c r="ITE524" s="131"/>
      <c r="ITF524" s="131"/>
      <c r="ITG524" s="131"/>
      <c r="ITH524" s="131"/>
      <c r="ITI524" s="131"/>
      <c r="ITJ524" s="131"/>
      <c r="ITK524" s="131"/>
      <c r="ITL524" s="131"/>
      <c r="ITM524" s="131"/>
      <c r="ITN524" s="131"/>
      <c r="ITO524" s="131"/>
      <c r="ITP524" s="131"/>
      <c r="ITQ524" s="131"/>
      <c r="ITR524" s="131"/>
      <c r="ITS524" s="131"/>
      <c r="ITT524" s="131"/>
      <c r="ITU524" s="131"/>
      <c r="ITV524" s="131"/>
      <c r="ITW524" s="131"/>
      <c r="ITX524" s="131"/>
      <c r="ITY524" s="131"/>
      <c r="ITZ524" s="131"/>
      <c r="IUA524" s="131"/>
      <c r="IUB524" s="131"/>
      <c r="IUC524" s="131"/>
      <c r="IUD524" s="131"/>
      <c r="IUE524" s="131"/>
      <c r="IUF524" s="131"/>
      <c r="IUG524" s="131"/>
      <c r="IUH524" s="131"/>
      <c r="IUI524" s="131"/>
      <c r="IUJ524" s="131"/>
      <c r="IUK524" s="131"/>
      <c r="IUL524" s="131"/>
      <c r="IUM524" s="131"/>
      <c r="IUN524" s="131"/>
      <c r="IUO524" s="131"/>
      <c r="IUP524" s="131"/>
      <c r="IUQ524" s="131"/>
      <c r="IUR524" s="131"/>
      <c r="IUS524" s="131"/>
      <c r="IUT524" s="131"/>
      <c r="IUU524" s="131"/>
      <c r="IUV524" s="131"/>
      <c r="IUW524" s="131"/>
      <c r="IUX524" s="131"/>
      <c r="IUY524" s="131"/>
      <c r="IUZ524" s="131"/>
      <c r="IVA524" s="131"/>
      <c r="IVB524" s="131"/>
      <c r="IVC524" s="131"/>
      <c r="IVD524" s="131"/>
      <c r="IVE524" s="131"/>
      <c r="IVF524" s="131"/>
      <c r="IVG524" s="131"/>
      <c r="IVH524" s="131"/>
      <c r="IVI524" s="131"/>
      <c r="IVJ524" s="131"/>
      <c r="IVK524" s="131"/>
      <c r="IVL524" s="131"/>
      <c r="IVM524" s="131"/>
      <c r="IVN524" s="131"/>
      <c r="IVO524" s="131"/>
      <c r="IVP524" s="131"/>
      <c r="IVQ524" s="131"/>
      <c r="IVR524" s="131"/>
      <c r="IVS524" s="131"/>
      <c r="IVT524" s="131"/>
      <c r="IVU524" s="131"/>
      <c r="IVV524" s="131"/>
      <c r="IVW524" s="131"/>
      <c r="IVX524" s="131"/>
      <c r="IVY524" s="131"/>
      <c r="IVZ524" s="131"/>
      <c r="IWA524" s="131"/>
      <c r="IWB524" s="131"/>
      <c r="IWC524" s="131"/>
      <c r="IWD524" s="131"/>
      <c r="IWE524" s="131"/>
      <c r="IWF524" s="131"/>
      <c r="IWG524" s="131"/>
      <c r="IWH524" s="131"/>
      <c r="IWI524" s="131"/>
      <c r="IWJ524" s="131"/>
      <c r="IWK524" s="131"/>
      <c r="IWL524" s="131"/>
      <c r="IWM524" s="131"/>
      <c r="IWN524" s="131"/>
      <c r="IWO524" s="131"/>
      <c r="IWP524" s="131"/>
      <c r="IWQ524" s="131"/>
      <c r="IWR524" s="131"/>
      <c r="IWS524" s="131"/>
      <c r="IWT524" s="131"/>
      <c r="IWU524" s="131"/>
      <c r="IWV524" s="131"/>
      <c r="IWW524" s="131"/>
      <c r="IWX524" s="131"/>
      <c r="IWY524" s="131"/>
      <c r="IWZ524" s="131"/>
      <c r="IXA524" s="131"/>
      <c r="IXB524" s="131"/>
      <c r="IXC524" s="131"/>
      <c r="IXD524" s="131"/>
      <c r="IXE524" s="131"/>
      <c r="IXF524" s="131"/>
      <c r="IXG524" s="131"/>
      <c r="IXH524" s="131"/>
      <c r="IXI524" s="131"/>
      <c r="IXJ524" s="131"/>
      <c r="IXK524" s="131"/>
      <c r="IXL524" s="131"/>
      <c r="IXM524" s="131"/>
      <c r="IXN524" s="131"/>
      <c r="IXO524" s="131"/>
      <c r="IXP524" s="131"/>
      <c r="IXQ524" s="131"/>
      <c r="IXR524" s="131"/>
      <c r="IXS524" s="131"/>
      <c r="IXT524" s="131"/>
      <c r="IXU524" s="131"/>
      <c r="IXV524" s="131"/>
      <c r="IXW524" s="131"/>
      <c r="IXX524" s="131"/>
      <c r="IXY524" s="131"/>
      <c r="IXZ524" s="131"/>
      <c r="IYA524" s="131"/>
      <c r="IYB524" s="131"/>
      <c r="IYC524" s="131"/>
      <c r="IYD524" s="131"/>
      <c r="IYE524" s="131"/>
      <c r="IYF524" s="131"/>
      <c r="IYG524" s="131"/>
      <c r="IYH524" s="131"/>
      <c r="IYI524" s="131"/>
      <c r="IYJ524" s="131"/>
      <c r="IYK524" s="131"/>
      <c r="IYL524" s="131"/>
      <c r="IYM524" s="131"/>
      <c r="IYN524" s="131"/>
      <c r="IYO524" s="131"/>
      <c r="IYP524" s="131"/>
      <c r="IYQ524" s="131"/>
      <c r="IYR524" s="131"/>
      <c r="IYS524" s="131"/>
      <c r="IYT524" s="131"/>
      <c r="IYU524" s="131"/>
      <c r="IYV524" s="131"/>
      <c r="IYW524" s="131"/>
      <c r="IYX524" s="131"/>
      <c r="IYY524" s="131"/>
      <c r="IYZ524" s="131"/>
      <c r="IZA524" s="131"/>
      <c r="IZB524" s="131"/>
      <c r="IZC524" s="131"/>
      <c r="IZD524" s="131"/>
      <c r="IZE524" s="131"/>
      <c r="IZF524" s="131"/>
      <c r="IZG524" s="131"/>
      <c r="IZH524" s="131"/>
      <c r="IZI524" s="131"/>
      <c r="IZJ524" s="131"/>
      <c r="IZK524" s="131"/>
      <c r="IZL524" s="131"/>
      <c r="IZM524" s="131"/>
      <c r="IZN524" s="131"/>
      <c r="IZO524" s="131"/>
      <c r="IZP524" s="131"/>
      <c r="IZQ524" s="131"/>
      <c r="IZR524" s="131"/>
      <c r="IZS524" s="131"/>
      <c r="IZT524" s="131"/>
      <c r="IZU524" s="131"/>
      <c r="IZV524" s="131"/>
      <c r="IZW524" s="131"/>
      <c r="IZX524" s="131"/>
      <c r="IZY524" s="131"/>
      <c r="IZZ524" s="131"/>
      <c r="JAA524" s="131"/>
      <c r="JAB524" s="131"/>
      <c r="JAC524" s="131"/>
      <c r="JAD524" s="131"/>
      <c r="JAE524" s="131"/>
      <c r="JAF524" s="131"/>
      <c r="JAG524" s="131"/>
      <c r="JAH524" s="131"/>
      <c r="JAI524" s="131"/>
      <c r="JAJ524" s="131"/>
      <c r="JAK524" s="131"/>
      <c r="JAL524" s="131"/>
      <c r="JAM524" s="131"/>
      <c r="JAN524" s="131"/>
      <c r="JAO524" s="131"/>
      <c r="JAP524" s="131"/>
      <c r="JAQ524" s="131"/>
      <c r="JAR524" s="131"/>
      <c r="JAS524" s="131"/>
      <c r="JAT524" s="131"/>
      <c r="JAU524" s="131"/>
      <c r="JAV524" s="131"/>
      <c r="JAW524" s="131"/>
      <c r="JAX524" s="131"/>
      <c r="JAY524" s="131"/>
      <c r="JAZ524" s="131"/>
      <c r="JBA524" s="131"/>
      <c r="JBB524" s="131"/>
      <c r="JBC524" s="131"/>
      <c r="JBD524" s="131"/>
      <c r="JBE524" s="131"/>
      <c r="JBF524" s="131"/>
      <c r="JBG524" s="131"/>
      <c r="JBH524" s="131"/>
      <c r="JBI524" s="131"/>
      <c r="JBJ524" s="131"/>
      <c r="JBK524" s="131"/>
      <c r="JBL524" s="131"/>
      <c r="JBM524" s="131"/>
      <c r="JBN524" s="131"/>
      <c r="JBO524" s="131"/>
      <c r="JBP524" s="131"/>
      <c r="JBQ524" s="131"/>
      <c r="JBR524" s="131"/>
      <c r="JBS524" s="131"/>
      <c r="JBT524" s="131"/>
      <c r="JBU524" s="131"/>
      <c r="JBV524" s="131"/>
      <c r="JBW524" s="131"/>
      <c r="JBX524" s="131"/>
      <c r="JBY524" s="131"/>
      <c r="JBZ524" s="131"/>
      <c r="JCA524" s="131"/>
      <c r="JCB524" s="131"/>
      <c r="JCC524" s="131"/>
      <c r="JCD524" s="131"/>
      <c r="JCE524" s="131"/>
      <c r="JCF524" s="131"/>
      <c r="JCG524" s="131"/>
      <c r="JCH524" s="131"/>
      <c r="JCI524" s="131"/>
      <c r="JCJ524" s="131"/>
      <c r="JCK524" s="131"/>
      <c r="JCL524" s="131"/>
      <c r="JCM524" s="131"/>
      <c r="JCN524" s="131"/>
      <c r="JCO524" s="131"/>
      <c r="JCP524" s="131"/>
      <c r="JCQ524" s="131"/>
      <c r="JCR524" s="131"/>
      <c r="JCS524" s="131"/>
      <c r="JCT524" s="131"/>
      <c r="JCU524" s="131"/>
      <c r="JCV524" s="131"/>
      <c r="JCW524" s="131"/>
      <c r="JCX524" s="131"/>
      <c r="JCY524" s="131"/>
      <c r="JCZ524" s="131"/>
      <c r="JDA524" s="131"/>
      <c r="JDB524" s="131"/>
      <c r="JDC524" s="131"/>
      <c r="JDD524" s="131"/>
      <c r="JDE524" s="131"/>
      <c r="JDF524" s="131"/>
      <c r="JDG524" s="131"/>
      <c r="JDH524" s="131"/>
      <c r="JDI524" s="131"/>
      <c r="JDJ524" s="131"/>
      <c r="JDK524" s="131"/>
      <c r="JDL524" s="131"/>
      <c r="JDM524" s="131"/>
      <c r="JDN524" s="131"/>
      <c r="JDO524" s="131"/>
      <c r="JDP524" s="131"/>
      <c r="JDQ524" s="131"/>
      <c r="JDR524" s="131"/>
      <c r="JDS524" s="131"/>
      <c r="JDT524" s="131"/>
      <c r="JDU524" s="131"/>
      <c r="JDV524" s="131"/>
      <c r="JDW524" s="131"/>
      <c r="JDX524" s="131"/>
      <c r="JDY524" s="131"/>
      <c r="JDZ524" s="131"/>
      <c r="JEA524" s="131"/>
      <c r="JEB524" s="131"/>
      <c r="JEC524" s="131"/>
      <c r="JED524" s="131"/>
      <c r="JEE524" s="131"/>
      <c r="JEF524" s="131"/>
      <c r="JEG524" s="131"/>
      <c r="JEH524" s="131"/>
      <c r="JEI524" s="131"/>
      <c r="JEJ524" s="131"/>
      <c r="JEK524" s="131"/>
      <c r="JEL524" s="131"/>
      <c r="JEM524" s="131"/>
      <c r="JEN524" s="131"/>
      <c r="JEO524" s="131"/>
      <c r="JEP524" s="131"/>
      <c r="JEQ524" s="131"/>
      <c r="JER524" s="131"/>
      <c r="JES524" s="131"/>
      <c r="JET524" s="131"/>
      <c r="JEU524" s="131"/>
      <c r="JEV524" s="131"/>
      <c r="JEW524" s="131"/>
      <c r="JEX524" s="131"/>
      <c r="JEY524" s="131"/>
      <c r="JEZ524" s="131"/>
      <c r="JFA524" s="131"/>
      <c r="JFB524" s="131"/>
      <c r="JFC524" s="131"/>
      <c r="JFD524" s="131"/>
      <c r="JFE524" s="131"/>
      <c r="JFF524" s="131"/>
      <c r="JFG524" s="131"/>
      <c r="JFH524" s="131"/>
      <c r="JFI524" s="131"/>
      <c r="JFJ524" s="131"/>
      <c r="JFK524" s="131"/>
      <c r="JFL524" s="131"/>
      <c r="JFM524" s="131"/>
      <c r="JFN524" s="131"/>
      <c r="JFO524" s="131"/>
      <c r="JFP524" s="131"/>
      <c r="JFQ524" s="131"/>
      <c r="JFR524" s="131"/>
      <c r="JFS524" s="131"/>
      <c r="JFT524" s="131"/>
      <c r="JFU524" s="131"/>
      <c r="JFV524" s="131"/>
      <c r="JFW524" s="131"/>
      <c r="JFX524" s="131"/>
      <c r="JFY524" s="131"/>
      <c r="JFZ524" s="131"/>
      <c r="JGA524" s="131"/>
      <c r="JGB524" s="131"/>
      <c r="JGC524" s="131"/>
      <c r="JGD524" s="131"/>
      <c r="JGE524" s="131"/>
      <c r="JGF524" s="131"/>
      <c r="JGG524" s="131"/>
      <c r="JGH524" s="131"/>
      <c r="JGI524" s="131"/>
      <c r="JGJ524" s="131"/>
      <c r="JGK524" s="131"/>
      <c r="JGL524" s="131"/>
      <c r="JGM524" s="131"/>
      <c r="JGN524" s="131"/>
      <c r="JGO524" s="131"/>
      <c r="JGP524" s="131"/>
      <c r="JGQ524" s="131"/>
      <c r="JGR524" s="131"/>
      <c r="JGS524" s="131"/>
      <c r="JGT524" s="131"/>
      <c r="JGU524" s="131"/>
      <c r="JGV524" s="131"/>
      <c r="JGW524" s="131"/>
      <c r="JGX524" s="131"/>
      <c r="JGY524" s="131"/>
      <c r="JGZ524" s="131"/>
      <c r="JHA524" s="131"/>
      <c r="JHB524" s="131"/>
      <c r="JHC524" s="131"/>
      <c r="JHD524" s="131"/>
      <c r="JHE524" s="131"/>
      <c r="JHF524" s="131"/>
      <c r="JHG524" s="131"/>
      <c r="JHH524" s="131"/>
      <c r="JHI524" s="131"/>
      <c r="JHJ524" s="131"/>
      <c r="JHK524" s="131"/>
      <c r="JHL524" s="131"/>
      <c r="JHM524" s="131"/>
      <c r="JHN524" s="131"/>
      <c r="JHO524" s="131"/>
      <c r="JHP524" s="131"/>
      <c r="JHQ524" s="131"/>
      <c r="JHR524" s="131"/>
      <c r="JHS524" s="131"/>
      <c r="JHT524" s="131"/>
      <c r="JHU524" s="131"/>
      <c r="JHV524" s="131"/>
      <c r="JHW524" s="131"/>
      <c r="JHX524" s="131"/>
      <c r="JHY524" s="131"/>
      <c r="JHZ524" s="131"/>
      <c r="JIA524" s="131"/>
      <c r="JIB524" s="131"/>
      <c r="JIC524" s="131"/>
      <c r="JID524" s="131"/>
      <c r="JIE524" s="131"/>
      <c r="JIF524" s="131"/>
      <c r="JIG524" s="131"/>
      <c r="JIH524" s="131"/>
      <c r="JII524" s="131"/>
      <c r="JIJ524" s="131"/>
      <c r="JIK524" s="131"/>
      <c r="JIL524" s="131"/>
      <c r="JIM524" s="131"/>
      <c r="JIN524" s="131"/>
      <c r="JIO524" s="131"/>
      <c r="JIP524" s="131"/>
      <c r="JIQ524" s="131"/>
      <c r="JIR524" s="131"/>
      <c r="JIS524" s="131"/>
      <c r="JIT524" s="131"/>
      <c r="JIU524" s="131"/>
      <c r="JIV524" s="131"/>
      <c r="JIW524" s="131"/>
      <c r="JIX524" s="131"/>
      <c r="JIY524" s="131"/>
      <c r="JIZ524" s="131"/>
      <c r="JJA524" s="131"/>
      <c r="JJB524" s="131"/>
      <c r="JJC524" s="131"/>
      <c r="JJD524" s="131"/>
      <c r="JJE524" s="131"/>
      <c r="JJF524" s="131"/>
      <c r="JJG524" s="131"/>
      <c r="JJH524" s="131"/>
      <c r="JJI524" s="131"/>
      <c r="JJJ524" s="131"/>
      <c r="JJK524" s="131"/>
      <c r="JJL524" s="131"/>
      <c r="JJM524" s="131"/>
      <c r="JJN524" s="131"/>
      <c r="JJO524" s="131"/>
      <c r="JJP524" s="131"/>
      <c r="JJQ524" s="131"/>
      <c r="JJR524" s="131"/>
      <c r="JJS524" s="131"/>
      <c r="JJT524" s="131"/>
      <c r="JJU524" s="131"/>
      <c r="JJV524" s="131"/>
      <c r="JJW524" s="131"/>
      <c r="JJX524" s="131"/>
      <c r="JJY524" s="131"/>
      <c r="JJZ524" s="131"/>
      <c r="JKA524" s="131"/>
      <c r="JKB524" s="131"/>
      <c r="JKC524" s="131"/>
      <c r="JKD524" s="131"/>
      <c r="JKE524" s="131"/>
      <c r="JKF524" s="131"/>
      <c r="JKG524" s="131"/>
      <c r="JKH524" s="131"/>
      <c r="JKI524" s="131"/>
      <c r="JKJ524" s="131"/>
      <c r="JKK524" s="131"/>
      <c r="JKL524" s="131"/>
      <c r="JKM524" s="131"/>
      <c r="JKN524" s="131"/>
      <c r="JKO524" s="131"/>
      <c r="JKP524" s="131"/>
      <c r="JKQ524" s="131"/>
      <c r="JKR524" s="131"/>
      <c r="JKS524" s="131"/>
      <c r="JKT524" s="131"/>
      <c r="JKU524" s="131"/>
      <c r="JKV524" s="131"/>
      <c r="JKW524" s="131"/>
      <c r="JKX524" s="131"/>
      <c r="JKY524" s="131"/>
      <c r="JKZ524" s="131"/>
      <c r="JLA524" s="131"/>
      <c r="JLB524" s="131"/>
      <c r="JLC524" s="131"/>
      <c r="JLD524" s="131"/>
      <c r="JLE524" s="131"/>
      <c r="JLF524" s="131"/>
      <c r="JLG524" s="131"/>
      <c r="JLH524" s="131"/>
      <c r="JLI524" s="131"/>
      <c r="JLJ524" s="131"/>
      <c r="JLK524" s="131"/>
      <c r="JLL524" s="131"/>
      <c r="JLM524" s="131"/>
      <c r="JLN524" s="131"/>
      <c r="JLO524" s="131"/>
      <c r="JLP524" s="131"/>
      <c r="JLQ524" s="131"/>
      <c r="JLR524" s="131"/>
      <c r="JLS524" s="131"/>
      <c r="JLT524" s="131"/>
      <c r="JLU524" s="131"/>
      <c r="JLV524" s="131"/>
      <c r="JLW524" s="131"/>
      <c r="JLX524" s="131"/>
      <c r="JLY524" s="131"/>
      <c r="JLZ524" s="131"/>
      <c r="JMA524" s="131"/>
      <c r="JMB524" s="131"/>
      <c r="JMC524" s="131"/>
      <c r="JMD524" s="131"/>
      <c r="JME524" s="131"/>
      <c r="JMF524" s="131"/>
      <c r="JMG524" s="131"/>
      <c r="JMH524" s="131"/>
      <c r="JMI524" s="131"/>
      <c r="JMJ524" s="131"/>
      <c r="JMK524" s="131"/>
      <c r="JML524" s="131"/>
      <c r="JMM524" s="131"/>
      <c r="JMN524" s="131"/>
      <c r="JMO524" s="131"/>
      <c r="JMP524" s="131"/>
      <c r="JMQ524" s="131"/>
      <c r="JMR524" s="131"/>
      <c r="JMS524" s="131"/>
      <c r="JMT524" s="131"/>
      <c r="JMU524" s="131"/>
      <c r="JMV524" s="131"/>
      <c r="JMW524" s="131"/>
      <c r="JMX524" s="131"/>
      <c r="JMY524" s="131"/>
      <c r="JMZ524" s="131"/>
      <c r="JNA524" s="131"/>
      <c r="JNB524" s="131"/>
      <c r="JNC524" s="131"/>
      <c r="JND524" s="131"/>
      <c r="JNE524" s="131"/>
      <c r="JNF524" s="131"/>
      <c r="JNG524" s="131"/>
      <c r="JNH524" s="131"/>
      <c r="JNI524" s="131"/>
      <c r="JNJ524" s="131"/>
      <c r="JNK524" s="131"/>
      <c r="JNL524" s="131"/>
      <c r="JNM524" s="131"/>
      <c r="JNN524" s="131"/>
      <c r="JNO524" s="131"/>
      <c r="JNP524" s="131"/>
      <c r="JNQ524" s="131"/>
      <c r="JNR524" s="131"/>
      <c r="JNS524" s="131"/>
      <c r="JNT524" s="131"/>
      <c r="JNU524" s="131"/>
      <c r="JNV524" s="131"/>
      <c r="JNW524" s="131"/>
      <c r="JNX524" s="131"/>
      <c r="JNY524" s="131"/>
      <c r="JNZ524" s="131"/>
      <c r="JOA524" s="131"/>
      <c r="JOB524" s="131"/>
      <c r="JOC524" s="131"/>
      <c r="JOD524" s="131"/>
      <c r="JOE524" s="131"/>
      <c r="JOF524" s="131"/>
      <c r="JOG524" s="131"/>
      <c r="JOH524" s="131"/>
      <c r="JOI524" s="131"/>
      <c r="JOJ524" s="131"/>
      <c r="JOK524" s="131"/>
      <c r="JOL524" s="131"/>
      <c r="JOM524" s="131"/>
      <c r="JON524" s="131"/>
      <c r="JOO524" s="131"/>
      <c r="JOP524" s="131"/>
      <c r="JOQ524" s="131"/>
      <c r="JOR524" s="131"/>
      <c r="JOS524" s="131"/>
      <c r="JOT524" s="131"/>
      <c r="JOU524" s="131"/>
      <c r="JOV524" s="131"/>
      <c r="JOW524" s="131"/>
      <c r="JOX524" s="131"/>
      <c r="JOY524" s="131"/>
      <c r="JOZ524" s="131"/>
      <c r="JPA524" s="131"/>
      <c r="JPB524" s="131"/>
      <c r="JPC524" s="131"/>
      <c r="JPD524" s="131"/>
      <c r="JPE524" s="131"/>
      <c r="JPF524" s="131"/>
      <c r="JPG524" s="131"/>
      <c r="JPH524" s="131"/>
      <c r="JPI524" s="131"/>
      <c r="JPJ524" s="131"/>
      <c r="JPK524" s="131"/>
      <c r="JPL524" s="131"/>
      <c r="JPM524" s="131"/>
      <c r="JPN524" s="131"/>
      <c r="JPO524" s="131"/>
      <c r="JPP524" s="131"/>
      <c r="JPQ524" s="131"/>
      <c r="JPR524" s="131"/>
      <c r="JPS524" s="131"/>
      <c r="JPT524" s="131"/>
      <c r="JPU524" s="131"/>
      <c r="JPV524" s="131"/>
      <c r="JPW524" s="131"/>
      <c r="JPX524" s="131"/>
      <c r="JPY524" s="131"/>
      <c r="JPZ524" s="131"/>
      <c r="JQA524" s="131"/>
      <c r="JQB524" s="131"/>
      <c r="JQC524" s="131"/>
      <c r="JQD524" s="131"/>
      <c r="JQE524" s="131"/>
      <c r="JQF524" s="131"/>
      <c r="JQG524" s="131"/>
      <c r="JQH524" s="131"/>
      <c r="JQI524" s="131"/>
      <c r="JQJ524" s="131"/>
      <c r="JQK524" s="131"/>
      <c r="JQL524" s="131"/>
      <c r="JQM524" s="131"/>
      <c r="JQN524" s="131"/>
      <c r="JQO524" s="131"/>
      <c r="JQP524" s="131"/>
      <c r="JQQ524" s="131"/>
      <c r="JQR524" s="131"/>
      <c r="JQS524" s="131"/>
      <c r="JQT524" s="131"/>
      <c r="JQU524" s="131"/>
      <c r="JQV524" s="131"/>
      <c r="JQW524" s="131"/>
      <c r="JQX524" s="131"/>
      <c r="JQY524" s="131"/>
      <c r="JQZ524" s="131"/>
      <c r="JRA524" s="131"/>
      <c r="JRB524" s="131"/>
      <c r="JRC524" s="131"/>
      <c r="JRD524" s="131"/>
      <c r="JRE524" s="131"/>
      <c r="JRF524" s="131"/>
      <c r="JRG524" s="131"/>
      <c r="JRH524" s="131"/>
      <c r="JRI524" s="131"/>
      <c r="JRJ524" s="131"/>
      <c r="JRK524" s="131"/>
      <c r="JRL524" s="131"/>
      <c r="JRM524" s="131"/>
      <c r="JRN524" s="131"/>
      <c r="JRO524" s="131"/>
      <c r="JRP524" s="131"/>
      <c r="JRQ524" s="131"/>
      <c r="JRR524" s="131"/>
      <c r="JRS524" s="131"/>
      <c r="JRT524" s="131"/>
      <c r="JRU524" s="131"/>
      <c r="JRV524" s="131"/>
      <c r="JRW524" s="131"/>
      <c r="JRX524" s="131"/>
      <c r="JRY524" s="131"/>
      <c r="JRZ524" s="131"/>
      <c r="JSA524" s="131"/>
      <c r="JSB524" s="131"/>
      <c r="JSC524" s="131"/>
      <c r="JSD524" s="131"/>
      <c r="JSE524" s="131"/>
      <c r="JSF524" s="131"/>
      <c r="JSG524" s="131"/>
      <c r="JSH524" s="131"/>
      <c r="JSI524" s="131"/>
      <c r="JSJ524" s="131"/>
      <c r="JSK524" s="131"/>
      <c r="JSL524" s="131"/>
      <c r="JSM524" s="131"/>
      <c r="JSN524" s="131"/>
      <c r="JSO524" s="131"/>
      <c r="JSP524" s="131"/>
      <c r="JSQ524" s="131"/>
      <c r="JSR524" s="131"/>
      <c r="JSS524" s="131"/>
      <c r="JST524" s="131"/>
      <c r="JSU524" s="131"/>
      <c r="JSV524" s="131"/>
      <c r="JSW524" s="131"/>
      <c r="JSX524" s="131"/>
      <c r="JSY524" s="131"/>
      <c r="JSZ524" s="131"/>
      <c r="JTA524" s="131"/>
      <c r="JTB524" s="131"/>
      <c r="JTC524" s="131"/>
      <c r="JTD524" s="131"/>
      <c r="JTE524" s="131"/>
      <c r="JTF524" s="131"/>
      <c r="JTG524" s="131"/>
      <c r="JTH524" s="131"/>
      <c r="JTI524" s="131"/>
      <c r="JTJ524" s="131"/>
      <c r="JTK524" s="131"/>
      <c r="JTL524" s="131"/>
      <c r="JTM524" s="131"/>
      <c r="JTN524" s="131"/>
      <c r="JTO524" s="131"/>
      <c r="JTP524" s="131"/>
      <c r="JTQ524" s="131"/>
      <c r="JTR524" s="131"/>
      <c r="JTS524" s="131"/>
      <c r="JTT524" s="131"/>
      <c r="JTU524" s="131"/>
      <c r="JTV524" s="131"/>
      <c r="JTW524" s="131"/>
      <c r="JTX524" s="131"/>
      <c r="JTY524" s="131"/>
      <c r="JTZ524" s="131"/>
      <c r="JUA524" s="131"/>
      <c r="JUB524" s="131"/>
      <c r="JUC524" s="131"/>
      <c r="JUD524" s="131"/>
      <c r="JUE524" s="131"/>
      <c r="JUF524" s="131"/>
      <c r="JUG524" s="131"/>
      <c r="JUH524" s="131"/>
      <c r="JUI524" s="131"/>
      <c r="JUJ524" s="131"/>
      <c r="JUK524" s="131"/>
      <c r="JUL524" s="131"/>
      <c r="JUM524" s="131"/>
      <c r="JUN524" s="131"/>
      <c r="JUO524" s="131"/>
      <c r="JUP524" s="131"/>
      <c r="JUQ524" s="131"/>
      <c r="JUR524" s="131"/>
      <c r="JUS524" s="131"/>
      <c r="JUT524" s="131"/>
      <c r="JUU524" s="131"/>
      <c r="JUV524" s="131"/>
      <c r="JUW524" s="131"/>
      <c r="JUX524" s="131"/>
      <c r="JUY524" s="131"/>
      <c r="JUZ524" s="131"/>
      <c r="JVA524" s="131"/>
      <c r="JVB524" s="131"/>
      <c r="JVC524" s="131"/>
      <c r="JVD524" s="131"/>
      <c r="JVE524" s="131"/>
      <c r="JVF524" s="131"/>
      <c r="JVG524" s="131"/>
      <c r="JVH524" s="131"/>
      <c r="JVI524" s="131"/>
      <c r="JVJ524" s="131"/>
      <c r="JVK524" s="131"/>
      <c r="JVL524" s="131"/>
      <c r="JVM524" s="131"/>
      <c r="JVN524" s="131"/>
      <c r="JVO524" s="131"/>
      <c r="JVP524" s="131"/>
      <c r="JVQ524" s="131"/>
      <c r="JVR524" s="131"/>
      <c r="JVS524" s="131"/>
      <c r="JVT524" s="131"/>
      <c r="JVU524" s="131"/>
      <c r="JVV524" s="131"/>
      <c r="JVW524" s="131"/>
      <c r="JVX524" s="131"/>
      <c r="JVY524" s="131"/>
      <c r="JVZ524" s="131"/>
      <c r="JWA524" s="131"/>
      <c r="JWB524" s="131"/>
      <c r="JWC524" s="131"/>
      <c r="JWD524" s="131"/>
      <c r="JWE524" s="131"/>
      <c r="JWF524" s="131"/>
      <c r="JWG524" s="131"/>
      <c r="JWH524" s="131"/>
      <c r="JWI524" s="131"/>
      <c r="JWJ524" s="131"/>
      <c r="JWK524" s="131"/>
      <c r="JWL524" s="131"/>
      <c r="JWM524" s="131"/>
      <c r="JWN524" s="131"/>
      <c r="JWO524" s="131"/>
      <c r="JWP524" s="131"/>
      <c r="JWQ524" s="131"/>
      <c r="JWR524" s="131"/>
      <c r="JWS524" s="131"/>
      <c r="JWT524" s="131"/>
      <c r="JWU524" s="131"/>
      <c r="JWV524" s="131"/>
      <c r="JWW524" s="131"/>
      <c r="JWX524" s="131"/>
      <c r="JWY524" s="131"/>
      <c r="JWZ524" s="131"/>
      <c r="JXA524" s="131"/>
      <c r="JXB524" s="131"/>
      <c r="JXC524" s="131"/>
      <c r="JXD524" s="131"/>
      <c r="JXE524" s="131"/>
      <c r="JXF524" s="131"/>
      <c r="JXG524" s="131"/>
      <c r="JXH524" s="131"/>
      <c r="JXI524" s="131"/>
      <c r="JXJ524" s="131"/>
      <c r="JXK524" s="131"/>
      <c r="JXL524" s="131"/>
      <c r="JXM524" s="131"/>
      <c r="JXN524" s="131"/>
      <c r="JXO524" s="131"/>
      <c r="JXP524" s="131"/>
      <c r="JXQ524" s="131"/>
      <c r="JXR524" s="131"/>
      <c r="JXS524" s="131"/>
      <c r="JXT524" s="131"/>
      <c r="JXU524" s="131"/>
      <c r="JXV524" s="131"/>
      <c r="JXW524" s="131"/>
      <c r="JXX524" s="131"/>
      <c r="JXY524" s="131"/>
      <c r="JXZ524" s="131"/>
      <c r="JYA524" s="131"/>
      <c r="JYB524" s="131"/>
      <c r="JYC524" s="131"/>
      <c r="JYD524" s="131"/>
      <c r="JYE524" s="131"/>
      <c r="JYF524" s="131"/>
      <c r="JYG524" s="131"/>
      <c r="JYH524" s="131"/>
      <c r="JYI524" s="131"/>
      <c r="JYJ524" s="131"/>
      <c r="JYK524" s="131"/>
      <c r="JYL524" s="131"/>
      <c r="JYM524" s="131"/>
      <c r="JYN524" s="131"/>
      <c r="JYO524" s="131"/>
      <c r="JYP524" s="131"/>
      <c r="JYQ524" s="131"/>
      <c r="JYR524" s="131"/>
      <c r="JYS524" s="131"/>
      <c r="JYT524" s="131"/>
      <c r="JYU524" s="131"/>
      <c r="JYV524" s="131"/>
      <c r="JYW524" s="131"/>
      <c r="JYX524" s="131"/>
      <c r="JYY524" s="131"/>
      <c r="JYZ524" s="131"/>
      <c r="JZA524" s="131"/>
      <c r="JZB524" s="131"/>
      <c r="JZC524" s="131"/>
      <c r="JZD524" s="131"/>
      <c r="JZE524" s="131"/>
      <c r="JZF524" s="131"/>
      <c r="JZG524" s="131"/>
      <c r="JZH524" s="131"/>
      <c r="JZI524" s="131"/>
      <c r="JZJ524" s="131"/>
      <c r="JZK524" s="131"/>
      <c r="JZL524" s="131"/>
      <c r="JZM524" s="131"/>
      <c r="JZN524" s="131"/>
      <c r="JZO524" s="131"/>
      <c r="JZP524" s="131"/>
      <c r="JZQ524" s="131"/>
      <c r="JZR524" s="131"/>
      <c r="JZS524" s="131"/>
      <c r="JZT524" s="131"/>
      <c r="JZU524" s="131"/>
      <c r="JZV524" s="131"/>
      <c r="JZW524" s="131"/>
      <c r="JZX524" s="131"/>
      <c r="JZY524" s="131"/>
      <c r="JZZ524" s="131"/>
      <c r="KAA524" s="131"/>
      <c r="KAB524" s="131"/>
      <c r="KAC524" s="131"/>
      <c r="KAD524" s="131"/>
      <c r="KAE524" s="131"/>
      <c r="KAF524" s="131"/>
      <c r="KAG524" s="131"/>
      <c r="KAH524" s="131"/>
      <c r="KAI524" s="131"/>
      <c r="KAJ524" s="131"/>
      <c r="KAK524" s="131"/>
      <c r="KAL524" s="131"/>
      <c r="KAM524" s="131"/>
      <c r="KAN524" s="131"/>
      <c r="KAO524" s="131"/>
      <c r="KAP524" s="131"/>
      <c r="KAQ524" s="131"/>
      <c r="KAR524" s="131"/>
      <c r="KAS524" s="131"/>
      <c r="KAT524" s="131"/>
      <c r="KAU524" s="131"/>
      <c r="KAV524" s="131"/>
      <c r="KAW524" s="131"/>
      <c r="KAX524" s="131"/>
      <c r="KAY524" s="131"/>
      <c r="KAZ524" s="131"/>
      <c r="KBA524" s="131"/>
      <c r="KBB524" s="131"/>
      <c r="KBC524" s="131"/>
      <c r="KBD524" s="131"/>
      <c r="KBE524" s="131"/>
      <c r="KBF524" s="131"/>
      <c r="KBG524" s="131"/>
      <c r="KBH524" s="131"/>
      <c r="KBI524" s="131"/>
      <c r="KBJ524" s="131"/>
      <c r="KBK524" s="131"/>
      <c r="KBL524" s="131"/>
      <c r="KBM524" s="131"/>
      <c r="KBN524" s="131"/>
      <c r="KBO524" s="131"/>
      <c r="KBP524" s="131"/>
      <c r="KBQ524" s="131"/>
      <c r="KBR524" s="131"/>
      <c r="KBS524" s="131"/>
      <c r="KBT524" s="131"/>
      <c r="KBU524" s="131"/>
      <c r="KBV524" s="131"/>
      <c r="KBW524" s="131"/>
      <c r="KBX524" s="131"/>
      <c r="KBY524" s="131"/>
      <c r="KBZ524" s="131"/>
      <c r="KCA524" s="131"/>
      <c r="KCB524" s="131"/>
      <c r="KCC524" s="131"/>
      <c r="KCD524" s="131"/>
      <c r="KCE524" s="131"/>
      <c r="KCF524" s="131"/>
      <c r="KCG524" s="131"/>
      <c r="KCH524" s="131"/>
      <c r="KCI524" s="131"/>
      <c r="KCJ524" s="131"/>
      <c r="KCK524" s="131"/>
      <c r="KCL524" s="131"/>
      <c r="KCM524" s="131"/>
      <c r="KCN524" s="131"/>
      <c r="KCO524" s="131"/>
      <c r="KCP524" s="131"/>
      <c r="KCQ524" s="131"/>
      <c r="KCR524" s="131"/>
      <c r="KCS524" s="131"/>
      <c r="KCT524" s="131"/>
      <c r="KCU524" s="131"/>
      <c r="KCV524" s="131"/>
      <c r="KCW524" s="131"/>
      <c r="KCX524" s="131"/>
      <c r="KCY524" s="131"/>
      <c r="KCZ524" s="131"/>
      <c r="KDA524" s="131"/>
      <c r="KDB524" s="131"/>
      <c r="KDC524" s="131"/>
      <c r="KDD524" s="131"/>
      <c r="KDE524" s="131"/>
      <c r="KDF524" s="131"/>
      <c r="KDG524" s="131"/>
      <c r="KDH524" s="131"/>
      <c r="KDI524" s="131"/>
      <c r="KDJ524" s="131"/>
      <c r="KDK524" s="131"/>
      <c r="KDL524" s="131"/>
      <c r="KDM524" s="131"/>
      <c r="KDN524" s="131"/>
      <c r="KDO524" s="131"/>
      <c r="KDP524" s="131"/>
      <c r="KDQ524" s="131"/>
      <c r="KDR524" s="131"/>
      <c r="KDS524" s="131"/>
      <c r="KDT524" s="131"/>
      <c r="KDU524" s="131"/>
      <c r="KDV524" s="131"/>
      <c r="KDW524" s="131"/>
      <c r="KDX524" s="131"/>
      <c r="KDY524" s="131"/>
      <c r="KDZ524" s="131"/>
      <c r="KEA524" s="131"/>
      <c r="KEB524" s="131"/>
      <c r="KEC524" s="131"/>
      <c r="KED524" s="131"/>
      <c r="KEE524" s="131"/>
      <c r="KEF524" s="131"/>
      <c r="KEG524" s="131"/>
      <c r="KEH524" s="131"/>
      <c r="KEI524" s="131"/>
      <c r="KEJ524" s="131"/>
      <c r="KEK524" s="131"/>
      <c r="KEL524" s="131"/>
      <c r="KEM524" s="131"/>
      <c r="KEN524" s="131"/>
      <c r="KEO524" s="131"/>
      <c r="KEP524" s="131"/>
      <c r="KEQ524" s="131"/>
      <c r="KER524" s="131"/>
      <c r="KES524" s="131"/>
      <c r="KET524" s="131"/>
      <c r="KEU524" s="131"/>
      <c r="KEV524" s="131"/>
      <c r="KEW524" s="131"/>
      <c r="KEX524" s="131"/>
      <c r="KEY524" s="131"/>
      <c r="KEZ524" s="131"/>
      <c r="KFA524" s="131"/>
      <c r="KFB524" s="131"/>
      <c r="KFC524" s="131"/>
      <c r="KFD524" s="131"/>
      <c r="KFE524" s="131"/>
      <c r="KFF524" s="131"/>
      <c r="KFG524" s="131"/>
      <c r="KFH524" s="131"/>
      <c r="KFI524" s="131"/>
      <c r="KFJ524" s="131"/>
      <c r="KFK524" s="131"/>
      <c r="KFL524" s="131"/>
      <c r="KFM524" s="131"/>
      <c r="KFN524" s="131"/>
      <c r="KFO524" s="131"/>
      <c r="KFP524" s="131"/>
      <c r="KFQ524" s="131"/>
      <c r="KFR524" s="131"/>
      <c r="KFS524" s="131"/>
      <c r="KFT524" s="131"/>
      <c r="KFU524" s="131"/>
      <c r="KFV524" s="131"/>
      <c r="KFW524" s="131"/>
      <c r="KFX524" s="131"/>
      <c r="KFY524" s="131"/>
      <c r="KFZ524" s="131"/>
      <c r="KGA524" s="131"/>
      <c r="KGB524" s="131"/>
      <c r="KGC524" s="131"/>
      <c r="KGD524" s="131"/>
      <c r="KGE524" s="131"/>
      <c r="KGF524" s="131"/>
      <c r="KGG524" s="131"/>
      <c r="KGH524" s="131"/>
      <c r="KGI524" s="131"/>
      <c r="KGJ524" s="131"/>
      <c r="KGK524" s="131"/>
      <c r="KGL524" s="131"/>
      <c r="KGM524" s="131"/>
      <c r="KGN524" s="131"/>
      <c r="KGO524" s="131"/>
      <c r="KGP524" s="131"/>
      <c r="KGQ524" s="131"/>
      <c r="KGR524" s="131"/>
      <c r="KGS524" s="131"/>
      <c r="KGT524" s="131"/>
      <c r="KGU524" s="131"/>
      <c r="KGV524" s="131"/>
      <c r="KGW524" s="131"/>
      <c r="KGX524" s="131"/>
      <c r="KGY524" s="131"/>
      <c r="KGZ524" s="131"/>
      <c r="KHA524" s="131"/>
      <c r="KHB524" s="131"/>
      <c r="KHC524" s="131"/>
      <c r="KHD524" s="131"/>
      <c r="KHE524" s="131"/>
      <c r="KHF524" s="131"/>
      <c r="KHG524" s="131"/>
      <c r="KHH524" s="131"/>
      <c r="KHI524" s="131"/>
      <c r="KHJ524" s="131"/>
      <c r="KHK524" s="131"/>
      <c r="KHL524" s="131"/>
      <c r="KHM524" s="131"/>
      <c r="KHN524" s="131"/>
      <c r="KHO524" s="131"/>
      <c r="KHP524" s="131"/>
      <c r="KHQ524" s="131"/>
      <c r="KHR524" s="131"/>
      <c r="KHS524" s="131"/>
      <c r="KHT524" s="131"/>
      <c r="KHU524" s="131"/>
      <c r="KHV524" s="131"/>
      <c r="KHW524" s="131"/>
      <c r="KHX524" s="131"/>
      <c r="KHY524" s="131"/>
      <c r="KHZ524" s="131"/>
      <c r="KIA524" s="131"/>
      <c r="KIB524" s="131"/>
      <c r="KIC524" s="131"/>
      <c r="KID524" s="131"/>
      <c r="KIE524" s="131"/>
      <c r="KIF524" s="131"/>
      <c r="KIG524" s="131"/>
      <c r="KIH524" s="131"/>
      <c r="KII524" s="131"/>
      <c r="KIJ524" s="131"/>
      <c r="KIK524" s="131"/>
      <c r="KIL524" s="131"/>
      <c r="KIM524" s="131"/>
      <c r="KIN524" s="131"/>
      <c r="KIO524" s="131"/>
      <c r="KIP524" s="131"/>
      <c r="KIQ524" s="131"/>
      <c r="KIR524" s="131"/>
      <c r="KIS524" s="131"/>
      <c r="KIT524" s="131"/>
      <c r="KIU524" s="131"/>
      <c r="KIV524" s="131"/>
      <c r="KIW524" s="131"/>
      <c r="KIX524" s="131"/>
      <c r="KIY524" s="131"/>
      <c r="KIZ524" s="131"/>
      <c r="KJA524" s="131"/>
      <c r="KJB524" s="131"/>
      <c r="KJC524" s="131"/>
      <c r="KJD524" s="131"/>
      <c r="KJE524" s="131"/>
      <c r="KJF524" s="131"/>
      <c r="KJG524" s="131"/>
      <c r="KJH524" s="131"/>
      <c r="KJI524" s="131"/>
      <c r="KJJ524" s="131"/>
      <c r="KJK524" s="131"/>
      <c r="KJL524" s="131"/>
      <c r="KJM524" s="131"/>
      <c r="KJN524" s="131"/>
      <c r="KJO524" s="131"/>
      <c r="KJP524" s="131"/>
      <c r="KJQ524" s="131"/>
      <c r="KJR524" s="131"/>
      <c r="KJS524" s="131"/>
      <c r="KJT524" s="131"/>
      <c r="KJU524" s="131"/>
      <c r="KJV524" s="131"/>
      <c r="KJW524" s="131"/>
      <c r="KJX524" s="131"/>
      <c r="KJY524" s="131"/>
      <c r="KJZ524" s="131"/>
      <c r="KKA524" s="131"/>
      <c r="KKB524" s="131"/>
      <c r="KKC524" s="131"/>
      <c r="KKD524" s="131"/>
      <c r="KKE524" s="131"/>
      <c r="KKF524" s="131"/>
      <c r="KKG524" s="131"/>
      <c r="KKH524" s="131"/>
      <c r="KKI524" s="131"/>
      <c r="KKJ524" s="131"/>
      <c r="KKK524" s="131"/>
      <c r="KKL524" s="131"/>
      <c r="KKM524" s="131"/>
      <c r="KKN524" s="131"/>
      <c r="KKO524" s="131"/>
      <c r="KKP524" s="131"/>
      <c r="KKQ524" s="131"/>
      <c r="KKR524" s="131"/>
      <c r="KKS524" s="131"/>
      <c r="KKT524" s="131"/>
      <c r="KKU524" s="131"/>
      <c r="KKV524" s="131"/>
      <c r="KKW524" s="131"/>
      <c r="KKX524" s="131"/>
      <c r="KKY524" s="131"/>
      <c r="KKZ524" s="131"/>
      <c r="KLA524" s="131"/>
      <c r="KLB524" s="131"/>
      <c r="KLC524" s="131"/>
      <c r="KLD524" s="131"/>
      <c r="KLE524" s="131"/>
      <c r="KLF524" s="131"/>
      <c r="KLG524" s="131"/>
      <c r="KLH524" s="131"/>
      <c r="KLI524" s="131"/>
      <c r="KLJ524" s="131"/>
      <c r="KLK524" s="131"/>
      <c r="KLL524" s="131"/>
      <c r="KLM524" s="131"/>
      <c r="KLN524" s="131"/>
      <c r="KLO524" s="131"/>
      <c r="KLP524" s="131"/>
      <c r="KLQ524" s="131"/>
      <c r="KLR524" s="131"/>
      <c r="KLS524" s="131"/>
      <c r="KLT524" s="131"/>
      <c r="KLU524" s="131"/>
      <c r="KLV524" s="131"/>
      <c r="KLW524" s="131"/>
      <c r="KLX524" s="131"/>
      <c r="KLY524" s="131"/>
      <c r="KLZ524" s="131"/>
      <c r="KMA524" s="131"/>
      <c r="KMB524" s="131"/>
      <c r="KMC524" s="131"/>
      <c r="KMD524" s="131"/>
      <c r="KME524" s="131"/>
      <c r="KMF524" s="131"/>
      <c r="KMG524" s="131"/>
      <c r="KMH524" s="131"/>
      <c r="KMI524" s="131"/>
      <c r="KMJ524" s="131"/>
      <c r="KMK524" s="131"/>
      <c r="KML524" s="131"/>
      <c r="KMM524" s="131"/>
      <c r="KMN524" s="131"/>
      <c r="KMO524" s="131"/>
      <c r="KMP524" s="131"/>
      <c r="KMQ524" s="131"/>
      <c r="KMR524" s="131"/>
      <c r="KMS524" s="131"/>
      <c r="KMT524" s="131"/>
      <c r="KMU524" s="131"/>
      <c r="KMV524" s="131"/>
      <c r="KMW524" s="131"/>
      <c r="KMX524" s="131"/>
      <c r="KMY524" s="131"/>
      <c r="KMZ524" s="131"/>
      <c r="KNA524" s="131"/>
      <c r="KNB524" s="131"/>
      <c r="KNC524" s="131"/>
      <c r="KND524" s="131"/>
      <c r="KNE524" s="131"/>
      <c r="KNF524" s="131"/>
      <c r="KNG524" s="131"/>
      <c r="KNH524" s="131"/>
      <c r="KNI524" s="131"/>
      <c r="KNJ524" s="131"/>
      <c r="KNK524" s="131"/>
      <c r="KNL524" s="131"/>
      <c r="KNM524" s="131"/>
      <c r="KNN524" s="131"/>
      <c r="KNO524" s="131"/>
      <c r="KNP524" s="131"/>
      <c r="KNQ524" s="131"/>
      <c r="KNR524" s="131"/>
      <c r="KNS524" s="131"/>
      <c r="KNT524" s="131"/>
      <c r="KNU524" s="131"/>
      <c r="KNV524" s="131"/>
      <c r="KNW524" s="131"/>
      <c r="KNX524" s="131"/>
      <c r="KNY524" s="131"/>
      <c r="KNZ524" s="131"/>
      <c r="KOA524" s="131"/>
      <c r="KOB524" s="131"/>
      <c r="KOC524" s="131"/>
      <c r="KOD524" s="131"/>
      <c r="KOE524" s="131"/>
      <c r="KOF524" s="131"/>
      <c r="KOG524" s="131"/>
      <c r="KOH524" s="131"/>
      <c r="KOI524" s="131"/>
      <c r="KOJ524" s="131"/>
      <c r="KOK524" s="131"/>
      <c r="KOL524" s="131"/>
      <c r="KOM524" s="131"/>
      <c r="KON524" s="131"/>
      <c r="KOO524" s="131"/>
      <c r="KOP524" s="131"/>
      <c r="KOQ524" s="131"/>
      <c r="KOR524" s="131"/>
      <c r="KOS524" s="131"/>
      <c r="KOT524" s="131"/>
      <c r="KOU524" s="131"/>
      <c r="KOV524" s="131"/>
      <c r="KOW524" s="131"/>
      <c r="KOX524" s="131"/>
      <c r="KOY524" s="131"/>
      <c r="KOZ524" s="131"/>
      <c r="KPA524" s="131"/>
      <c r="KPB524" s="131"/>
      <c r="KPC524" s="131"/>
      <c r="KPD524" s="131"/>
      <c r="KPE524" s="131"/>
      <c r="KPF524" s="131"/>
      <c r="KPG524" s="131"/>
      <c r="KPH524" s="131"/>
      <c r="KPI524" s="131"/>
      <c r="KPJ524" s="131"/>
      <c r="KPK524" s="131"/>
      <c r="KPL524" s="131"/>
      <c r="KPM524" s="131"/>
      <c r="KPN524" s="131"/>
      <c r="KPO524" s="131"/>
      <c r="KPP524" s="131"/>
      <c r="KPQ524" s="131"/>
      <c r="KPR524" s="131"/>
      <c r="KPS524" s="131"/>
      <c r="KPT524" s="131"/>
      <c r="KPU524" s="131"/>
      <c r="KPV524" s="131"/>
      <c r="KPW524" s="131"/>
      <c r="KPX524" s="131"/>
      <c r="KPY524" s="131"/>
      <c r="KPZ524" s="131"/>
      <c r="KQA524" s="131"/>
      <c r="KQB524" s="131"/>
      <c r="KQC524" s="131"/>
      <c r="KQD524" s="131"/>
      <c r="KQE524" s="131"/>
      <c r="KQF524" s="131"/>
      <c r="KQG524" s="131"/>
      <c r="KQH524" s="131"/>
      <c r="KQI524" s="131"/>
      <c r="KQJ524" s="131"/>
      <c r="KQK524" s="131"/>
      <c r="KQL524" s="131"/>
      <c r="KQM524" s="131"/>
      <c r="KQN524" s="131"/>
      <c r="KQO524" s="131"/>
      <c r="KQP524" s="131"/>
      <c r="KQQ524" s="131"/>
      <c r="KQR524" s="131"/>
      <c r="KQS524" s="131"/>
      <c r="KQT524" s="131"/>
      <c r="KQU524" s="131"/>
      <c r="KQV524" s="131"/>
      <c r="KQW524" s="131"/>
      <c r="KQX524" s="131"/>
      <c r="KQY524" s="131"/>
      <c r="KQZ524" s="131"/>
      <c r="KRA524" s="131"/>
      <c r="KRB524" s="131"/>
      <c r="KRC524" s="131"/>
      <c r="KRD524" s="131"/>
      <c r="KRE524" s="131"/>
      <c r="KRF524" s="131"/>
      <c r="KRG524" s="131"/>
      <c r="KRH524" s="131"/>
      <c r="KRI524" s="131"/>
      <c r="KRJ524" s="131"/>
      <c r="KRK524" s="131"/>
      <c r="KRL524" s="131"/>
      <c r="KRM524" s="131"/>
      <c r="KRN524" s="131"/>
      <c r="KRO524" s="131"/>
      <c r="KRP524" s="131"/>
      <c r="KRQ524" s="131"/>
      <c r="KRR524" s="131"/>
      <c r="KRS524" s="131"/>
      <c r="KRT524" s="131"/>
      <c r="KRU524" s="131"/>
      <c r="KRV524" s="131"/>
      <c r="KRW524" s="131"/>
      <c r="KRX524" s="131"/>
      <c r="KRY524" s="131"/>
      <c r="KRZ524" s="131"/>
      <c r="KSA524" s="131"/>
      <c r="KSB524" s="131"/>
      <c r="KSC524" s="131"/>
      <c r="KSD524" s="131"/>
      <c r="KSE524" s="131"/>
      <c r="KSF524" s="131"/>
      <c r="KSG524" s="131"/>
      <c r="KSH524" s="131"/>
      <c r="KSI524" s="131"/>
      <c r="KSJ524" s="131"/>
      <c r="KSK524" s="131"/>
      <c r="KSL524" s="131"/>
      <c r="KSM524" s="131"/>
      <c r="KSN524" s="131"/>
      <c r="KSO524" s="131"/>
      <c r="KSP524" s="131"/>
      <c r="KSQ524" s="131"/>
      <c r="KSR524" s="131"/>
      <c r="KSS524" s="131"/>
      <c r="KST524" s="131"/>
      <c r="KSU524" s="131"/>
      <c r="KSV524" s="131"/>
      <c r="KSW524" s="131"/>
      <c r="KSX524" s="131"/>
      <c r="KSY524" s="131"/>
      <c r="KSZ524" s="131"/>
      <c r="KTA524" s="131"/>
      <c r="KTB524" s="131"/>
      <c r="KTC524" s="131"/>
      <c r="KTD524" s="131"/>
      <c r="KTE524" s="131"/>
      <c r="KTF524" s="131"/>
      <c r="KTG524" s="131"/>
      <c r="KTH524" s="131"/>
      <c r="KTI524" s="131"/>
      <c r="KTJ524" s="131"/>
      <c r="KTK524" s="131"/>
      <c r="KTL524" s="131"/>
      <c r="KTM524" s="131"/>
      <c r="KTN524" s="131"/>
      <c r="KTO524" s="131"/>
      <c r="KTP524" s="131"/>
      <c r="KTQ524" s="131"/>
      <c r="KTR524" s="131"/>
      <c r="KTS524" s="131"/>
      <c r="KTT524" s="131"/>
      <c r="KTU524" s="131"/>
      <c r="KTV524" s="131"/>
      <c r="KTW524" s="131"/>
      <c r="KTX524" s="131"/>
      <c r="KTY524" s="131"/>
      <c r="KTZ524" s="131"/>
      <c r="KUA524" s="131"/>
      <c r="KUB524" s="131"/>
      <c r="KUC524" s="131"/>
      <c r="KUD524" s="131"/>
      <c r="KUE524" s="131"/>
      <c r="KUF524" s="131"/>
      <c r="KUG524" s="131"/>
      <c r="KUH524" s="131"/>
      <c r="KUI524" s="131"/>
      <c r="KUJ524" s="131"/>
      <c r="KUK524" s="131"/>
      <c r="KUL524" s="131"/>
      <c r="KUM524" s="131"/>
      <c r="KUN524" s="131"/>
      <c r="KUO524" s="131"/>
      <c r="KUP524" s="131"/>
      <c r="KUQ524" s="131"/>
      <c r="KUR524" s="131"/>
      <c r="KUS524" s="131"/>
      <c r="KUT524" s="131"/>
      <c r="KUU524" s="131"/>
      <c r="KUV524" s="131"/>
      <c r="KUW524" s="131"/>
      <c r="KUX524" s="131"/>
      <c r="KUY524" s="131"/>
      <c r="KUZ524" s="131"/>
      <c r="KVA524" s="131"/>
      <c r="KVB524" s="131"/>
      <c r="KVC524" s="131"/>
      <c r="KVD524" s="131"/>
      <c r="KVE524" s="131"/>
      <c r="KVF524" s="131"/>
      <c r="KVG524" s="131"/>
      <c r="KVH524" s="131"/>
      <c r="KVI524" s="131"/>
      <c r="KVJ524" s="131"/>
      <c r="KVK524" s="131"/>
      <c r="KVL524" s="131"/>
      <c r="KVM524" s="131"/>
      <c r="KVN524" s="131"/>
      <c r="KVO524" s="131"/>
      <c r="KVP524" s="131"/>
      <c r="KVQ524" s="131"/>
      <c r="KVR524" s="131"/>
      <c r="KVS524" s="131"/>
      <c r="KVT524" s="131"/>
      <c r="KVU524" s="131"/>
      <c r="KVV524" s="131"/>
      <c r="KVW524" s="131"/>
      <c r="KVX524" s="131"/>
      <c r="KVY524" s="131"/>
      <c r="KVZ524" s="131"/>
      <c r="KWA524" s="131"/>
      <c r="KWB524" s="131"/>
      <c r="KWC524" s="131"/>
      <c r="KWD524" s="131"/>
      <c r="KWE524" s="131"/>
      <c r="KWF524" s="131"/>
      <c r="KWG524" s="131"/>
      <c r="KWH524" s="131"/>
      <c r="KWI524" s="131"/>
      <c r="KWJ524" s="131"/>
      <c r="KWK524" s="131"/>
      <c r="KWL524" s="131"/>
      <c r="KWM524" s="131"/>
      <c r="KWN524" s="131"/>
      <c r="KWO524" s="131"/>
      <c r="KWP524" s="131"/>
      <c r="KWQ524" s="131"/>
      <c r="KWR524" s="131"/>
      <c r="KWS524" s="131"/>
      <c r="KWT524" s="131"/>
      <c r="KWU524" s="131"/>
      <c r="KWV524" s="131"/>
      <c r="KWW524" s="131"/>
      <c r="KWX524" s="131"/>
      <c r="KWY524" s="131"/>
      <c r="KWZ524" s="131"/>
      <c r="KXA524" s="131"/>
      <c r="KXB524" s="131"/>
      <c r="KXC524" s="131"/>
      <c r="KXD524" s="131"/>
      <c r="KXE524" s="131"/>
      <c r="KXF524" s="131"/>
      <c r="KXG524" s="131"/>
      <c r="KXH524" s="131"/>
      <c r="KXI524" s="131"/>
      <c r="KXJ524" s="131"/>
      <c r="KXK524" s="131"/>
      <c r="KXL524" s="131"/>
      <c r="KXM524" s="131"/>
      <c r="KXN524" s="131"/>
      <c r="KXO524" s="131"/>
      <c r="KXP524" s="131"/>
      <c r="KXQ524" s="131"/>
      <c r="KXR524" s="131"/>
      <c r="KXS524" s="131"/>
      <c r="KXT524" s="131"/>
      <c r="KXU524" s="131"/>
      <c r="KXV524" s="131"/>
      <c r="KXW524" s="131"/>
      <c r="KXX524" s="131"/>
      <c r="KXY524" s="131"/>
      <c r="KXZ524" s="131"/>
      <c r="KYA524" s="131"/>
      <c r="KYB524" s="131"/>
      <c r="KYC524" s="131"/>
      <c r="KYD524" s="131"/>
      <c r="KYE524" s="131"/>
      <c r="KYF524" s="131"/>
      <c r="KYG524" s="131"/>
      <c r="KYH524" s="131"/>
      <c r="KYI524" s="131"/>
      <c r="KYJ524" s="131"/>
      <c r="KYK524" s="131"/>
      <c r="KYL524" s="131"/>
      <c r="KYM524" s="131"/>
      <c r="KYN524" s="131"/>
      <c r="KYO524" s="131"/>
      <c r="KYP524" s="131"/>
      <c r="KYQ524" s="131"/>
      <c r="KYR524" s="131"/>
      <c r="KYS524" s="131"/>
      <c r="KYT524" s="131"/>
      <c r="KYU524" s="131"/>
      <c r="KYV524" s="131"/>
      <c r="KYW524" s="131"/>
      <c r="KYX524" s="131"/>
      <c r="KYY524" s="131"/>
      <c r="KYZ524" s="131"/>
      <c r="KZA524" s="131"/>
      <c r="KZB524" s="131"/>
      <c r="KZC524" s="131"/>
      <c r="KZD524" s="131"/>
      <c r="KZE524" s="131"/>
      <c r="KZF524" s="131"/>
      <c r="KZG524" s="131"/>
      <c r="KZH524" s="131"/>
      <c r="KZI524" s="131"/>
      <c r="KZJ524" s="131"/>
      <c r="KZK524" s="131"/>
      <c r="KZL524" s="131"/>
      <c r="KZM524" s="131"/>
      <c r="KZN524" s="131"/>
      <c r="KZO524" s="131"/>
      <c r="KZP524" s="131"/>
      <c r="KZQ524" s="131"/>
      <c r="KZR524" s="131"/>
      <c r="KZS524" s="131"/>
      <c r="KZT524" s="131"/>
      <c r="KZU524" s="131"/>
      <c r="KZV524" s="131"/>
      <c r="KZW524" s="131"/>
      <c r="KZX524" s="131"/>
      <c r="KZY524" s="131"/>
      <c r="KZZ524" s="131"/>
      <c r="LAA524" s="131"/>
      <c r="LAB524" s="131"/>
      <c r="LAC524" s="131"/>
      <c r="LAD524" s="131"/>
      <c r="LAE524" s="131"/>
      <c r="LAF524" s="131"/>
      <c r="LAG524" s="131"/>
      <c r="LAH524" s="131"/>
      <c r="LAI524" s="131"/>
      <c r="LAJ524" s="131"/>
      <c r="LAK524" s="131"/>
      <c r="LAL524" s="131"/>
      <c r="LAM524" s="131"/>
      <c r="LAN524" s="131"/>
      <c r="LAO524" s="131"/>
      <c r="LAP524" s="131"/>
      <c r="LAQ524" s="131"/>
      <c r="LAR524" s="131"/>
      <c r="LAS524" s="131"/>
      <c r="LAT524" s="131"/>
      <c r="LAU524" s="131"/>
      <c r="LAV524" s="131"/>
      <c r="LAW524" s="131"/>
      <c r="LAX524" s="131"/>
      <c r="LAY524" s="131"/>
      <c r="LAZ524" s="131"/>
      <c r="LBA524" s="131"/>
      <c r="LBB524" s="131"/>
      <c r="LBC524" s="131"/>
      <c r="LBD524" s="131"/>
      <c r="LBE524" s="131"/>
      <c r="LBF524" s="131"/>
      <c r="LBG524" s="131"/>
      <c r="LBH524" s="131"/>
      <c r="LBI524" s="131"/>
      <c r="LBJ524" s="131"/>
      <c r="LBK524" s="131"/>
      <c r="LBL524" s="131"/>
      <c r="LBM524" s="131"/>
      <c r="LBN524" s="131"/>
      <c r="LBO524" s="131"/>
      <c r="LBP524" s="131"/>
      <c r="LBQ524" s="131"/>
      <c r="LBR524" s="131"/>
      <c r="LBS524" s="131"/>
      <c r="LBT524" s="131"/>
      <c r="LBU524" s="131"/>
      <c r="LBV524" s="131"/>
      <c r="LBW524" s="131"/>
      <c r="LBX524" s="131"/>
      <c r="LBY524" s="131"/>
      <c r="LBZ524" s="131"/>
      <c r="LCA524" s="131"/>
      <c r="LCB524" s="131"/>
      <c r="LCC524" s="131"/>
      <c r="LCD524" s="131"/>
      <c r="LCE524" s="131"/>
      <c r="LCF524" s="131"/>
      <c r="LCG524" s="131"/>
      <c r="LCH524" s="131"/>
      <c r="LCI524" s="131"/>
      <c r="LCJ524" s="131"/>
      <c r="LCK524" s="131"/>
      <c r="LCL524" s="131"/>
      <c r="LCM524" s="131"/>
      <c r="LCN524" s="131"/>
      <c r="LCO524" s="131"/>
      <c r="LCP524" s="131"/>
      <c r="LCQ524" s="131"/>
      <c r="LCR524" s="131"/>
      <c r="LCS524" s="131"/>
      <c r="LCT524" s="131"/>
      <c r="LCU524" s="131"/>
      <c r="LCV524" s="131"/>
      <c r="LCW524" s="131"/>
      <c r="LCX524" s="131"/>
      <c r="LCY524" s="131"/>
      <c r="LCZ524" s="131"/>
      <c r="LDA524" s="131"/>
      <c r="LDB524" s="131"/>
      <c r="LDC524" s="131"/>
      <c r="LDD524" s="131"/>
      <c r="LDE524" s="131"/>
      <c r="LDF524" s="131"/>
      <c r="LDG524" s="131"/>
      <c r="LDH524" s="131"/>
      <c r="LDI524" s="131"/>
      <c r="LDJ524" s="131"/>
      <c r="LDK524" s="131"/>
      <c r="LDL524" s="131"/>
      <c r="LDM524" s="131"/>
      <c r="LDN524" s="131"/>
      <c r="LDO524" s="131"/>
      <c r="LDP524" s="131"/>
      <c r="LDQ524" s="131"/>
      <c r="LDR524" s="131"/>
      <c r="LDS524" s="131"/>
      <c r="LDT524" s="131"/>
      <c r="LDU524" s="131"/>
      <c r="LDV524" s="131"/>
      <c r="LDW524" s="131"/>
      <c r="LDX524" s="131"/>
      <c r="LDY524" s="131"/>
      <c r="LDZ524" s="131"/>
      <c r="LEA524" s="131"/>
      <c r="LEB524" s="131"/>
      <c r="LEC524" s="131"/>
      <c r="LED524" s="131"/>
      <c r="LEE524" s="131"/>
      <c r="LEF524" s="131"/>
      <c r="LEG524" s="131"/>
      <c r="LEH524" s="131"/>
      <c r="LEI524" s="131"/>
      <c r="LEJ524" s="131"/>
      <c r="LEK524" s="131"/>
      <c r="LEL524" s="131"/>
      <c r="LEM524" s="131"/>
      <c r="LEN524" s="131"/>
      <c r="LEO524" s="131"/>
      <c r="LEP524" s="131"/>
      <c r="LEQ524" s="131"/>
      <c r="LER524" s="131"/>
      <c r="LES524" s="131"/>
      <c r="LET524" s="131"/>
      <c r="LEU524" s="131"/>
      <c r="LEV524" s="131"/>
      <c r="LEW524" s="131"/>
      <c r="LEX524" s="131"/>
      <c r="LEY524" s="131"/>
      <c r="LEZ524" s="131"/>
      <c r="LFA524" s="131"/>
      <c r="LFB524" s="131"/>
      <c r="LFC524" s="131"/>
      <c r="LFD524" s="131"/>
      <c r="LFE524" s="131"/>
      <c r="LFF524" s="131"/>
      <c r="LFG524" s="131"/>
      <c r="LFH524" s="131"/>
      <c r="LFI524" s="131"/>
      <c r="LFJ524" s="131"/>
      <c r="LFK524" s="131"/>
      <c r="LFL524" s="131"/>
      <c r="LFM524" s="131"/>
      <c r="LFN524" s="131"/>
      <c r="LFO524" s="131"/>
      <c r="LFP524" s="131"/>
      <c r="LFQ524" s="131"/>
      <c r="LFR524" s="131"/>
      <c r="LFS524" s="131"/>
      <c r="LFT524" s="131"/>
      <c r="LFU524" s="131"/>
      <c r="LFV524" s="131"/>
      <c r="LFW524" s="131"/>
      <c r="LFX524" s="131"/>
      <c r="LFY524" s="131"/>
      <c r="LFZ524" s="131"/>
      <c r="LGA524" s="131"/>
      <c r="LGB524" s="131"/>
      <c r="LGC524" s="131"/>
      <c r="LGD524" s="131"/>
      <c r="LGE524" s="131"/>
      <c r="LGF524" s="131"/>
      <c r="LGG524" s="131"/>
      <c r="LGH524" s="131"/>
      <c r="LGI524" s="131"/>
      <c r="LGJ524" s="131"/>
      <c r="LGK524" s="131"/>
      <c r="LGL524" s="131"/>
      <c r="LGM524" s="131"/>
      <c r="LGN524" s="131"/>
      <c r="LGO524" s="131"/>
      <c r="LGP524" s="131"/>
      <c r="LGQ524" s="131"/>
      <c r="LGR524" s="131"/>
      <c r="LGS524" s="131"/>
      <c r="LGT524" s="131"/>
      <c r="LGU524" s="131"/>
      <c r="LGV524" s="131"/>
      <c r="LGW524" s="131"/>
      <c r="LGX524" s="131"/>
      <c r="LGY524" s="131"/>
      <c r="LGZ524" s="131"/>
      <c r="LHA524" s="131"/>
      <c r="LHB524" s="131"/>
      <c r="LHC524" s="131"/>
      <c r="LHD524" s="131"/>
      <c r="LHE524" s="131"/>
      <c r="LHF524" s="131"/>
      <c r="LHG524" s="131"/>
      <c r="LHH524" s="131"/>
      <c r="LHI524" s="131"/>
      <c r="LHJ524" s="131"/>
      <c r="LHK524" s="131"/>
      <c r="LHL524" s="131"/>
      <c r="LHM524" s="131"/>
      <c r="LHN524" s="131"/>
      <c r="LHO524" s="131"/>
      <c r="LHP524" s="131"/>
      <c r="LHQ524" s="131"/>
      <c r="LHR524" s="131"/>
      <c r="LHS524" s="131"/>
      <c r="LHT524" s="131"/>
      <c r="LHU524" s="131"/>
      <c r="LHV524" s="131"/>
      <c r="LHW524" s="131"/>
      <c r="LHX524" s="131"/>
      <c r="LHY524" s="131"/>
      <c r="LHZ524" s="131"/>
      <c r="LIA524" s="131"/>
      <c r="LIB524" s="131"/>
      <c r="LIC524" s="131"/>
      <c r="LID524" s="131"/>
      <c r="LIE524" s="131"/>
      <c r="LIF524" s="131"/>
      <c r="LIG524" s="131"/>
      <c r="LIH524" s="131"/>
      <c r="LII524" s="131"/>
      <c r="LIJ524" s="131"/>
      <c r="LIK524" s="131"/>
      <c r="LIL524" s="131"/>
      <c r="LIM524" s="131"/>
      <c r="LIN524" s="131"/>
      <c r="LIO524" s="131"/>
      <c r="LIP524" s="131"/>
      <c r="LIQ524" s="131"/>
      <c r="LIR524" s="131"/>
      <c r="LIS524" s="131"/>
      <c r="LIT524" s="131"/>
      <c r="LIU524" s="131"/>
      <c r="LIV524" s="131"/>
      <c r="LIW524" s="131"/>
      <c r="LIX524" s="131"/>
      <c r="LIY524" s="131"/>
      <c r="LIZ524" s="131"/>
      <c r="LJA524" s="131"/>
      <c r="LJB524" s="131"/>
      <c r="LJC524" s="131"/>
      <c r="LJD524" s="131"/>
      <c r="LJE524" s="131"/>
      <c r="LJF524" s="131"/>
      <c r="LJG524" s="131"/>
      <c r="LJH524" s="131"/>
      <c r="LJI524" s="131"/>
      <c r="LJJ524" s="131"/>
      <c r="LJK524" s="131"/>
      <c r="LJL524" s="131"/>
      <c r="LJM524" s="131"/>
      <c r="LJN524" s="131"/>
      <c r="LJO524" s="131"/>
      <c r="LJP524" s="131"/>
      <c r="LJQ524" s="131"/>
      <c r="LJR524" s="131"/>
      <c r="LJS524" s="131"/>
      <c r="LJT524" s="131"/>
      <c r="LJU524" s="131"/>
      <c r="LJV524" s="131"/>
      <c r="LJW524" s="131"/>
      <c r="LJX524" s="131"/>
      <c r="LJY524" s="131"/>
      <c r="LJZ524" s="131"/>
      <c r="LKA524" s="131"/>
      <c r="LKB524" s="131"/>
      <c r="LKC524" s="131"/>
      <c r="LKD524" s="131"/>
      <c r="LKE524" s="131"/>
      <c r="LKF524" s="131"/>
      <c r="LKG524" s="131"/>
      <c r="LKH524" s="131"/>
      <c r="LKI524" s="131"/>
      <c r="LKJ524" s="131"/>
      <c r="LKK524" s="131"/>
      <c r="LKL524" s="131"/>
      <c r="LKM524" s="131"/>
      <c r="LKN524" s="131"/>
      <c r="LKO524" s="131"/>
      <c r="LKP524" s="131"/>
      <c r="LKQ524" s="131"/>
      <c r="LKR524" s="131"/>
      <c r="LKS524" s="131"/>
      <c r="LKT524" s="131"/>
      <c r="LKU524" s="131"/>
      <c r="LKV524" s="131"/>
      <c r="LKW524" s="131"/>
      <c r="LKX524" s="131"/>
      <c r="LKY524" s="131"/>
      <c r="LKZ524" s="131"/>
      <c r="LLA524" s="131"/>
      <c r="LLB524" s="131"/>
      <c r="LLC524" s="131"/>
      <c r="LLD524" s="131"/>
      <c r="LLE524" s="131"/>
      <c r="LLF524" s="131"/>
      <c r="LLG524" s="131"/>
      <c r="LLH524" s="131"/>
      <c r="LLI524" s="131"/>
      <c r="LLJ524" s="131"/>
      <c r="LLK524" s="131"/>
      <c r="LLL524" s="131"/>
      <c r="LLM524" s="131"/>
      <c r="LLN524" s="131"/>
      <c r="LLO524" s="131"/>
      <c r="LLP524" s="131"/>
      <c r="LLQ524" s="131"/>
      <c r="LLR524" s="131"/>
      <c r="LLS524" s="131"/>
      <c r="LLT524" s="131"/>
      <c r="LLU524" s="131"/>
      <c r="LLV524" s="131"/>
      <c r="LLW524" s="131"/>
      <c r="LLX524" s="131"/>
      <c r="LLY524" s="131"/>
      <c r="LLZ524" s="131"/>
      <c r="LMA524" s="131"/>
      <c r="LMB524" s="131"/>
      <c r="LMC524" s="131"/>
      <c r="LMD524" s="131"/>
      <c r="LME524" s="131"/>
      <c r="LMF524" s="131"/>
      <c r="LMG524" s="131"/>
      <c r="LMH524" s="131"/>
      <c r="LMI524" s="131"/>
      <c r="LMJ524" s="131"/>
      <c r="LMK524" s="131"/>
      <c r="LML524" s="131"/>
      <c r="LMM524" s="131"/>
      <c r="LMN524" s="131"/>
      <c r="LMO524" s="131"/>
      <c r="LMP524" s="131"/>
      <c r="LMQ524" s="131"/>
      <c r="LMR524" s="131"/>
      <c r="LMS524" s="131"/>
      <c r="LMT524" s="131"/>
      <c r="LMU524" s="131"/>
      <c r="LMV524" s="131"/>
      <c r="LMW524" s="131"/>
      <c r="LMX524" s="131"/>
      <c r="LMY524" s="131"/>
      <c r="LMZ524" s="131"/>
      <c r="LNA524" s="131"/>
      <c r="LNB524" s="131"/>
      <c r="LNC524" s="131"/>
      <c r="LND524" s="131"/>
      <c r="LNE524" s="131"/>
      <c r="LNF524" s="131"/>
      <c r="LNG524" s="131"/>
      <c r="LNH524" s="131"/>
      <c r="LNI524" s="131"/>
      <c r="LNJ524" s="131"/>
      <c r="LNK524" s="131"/>
      <c r="LNL524" s="131"/>
      <c r="LNM524" s="131"/>
      <c r="LNN524" s="131"/>
      <c r="LNO524" s="131"/>
      <c r="LNP524" s="131"/>
      <c r="LNQ524" s="131"/>
      <c r="LNR524" s="131"/>
      <c r="LNS524" s="131"/>
      <c r="LNT524" s="131"/>
      <c r="LNU524" s="131"/>
      <c r="LNV524" s="131"/>
      <c r="LNW524" s="131"/>
      <c r="LNX524" s="131"/>
      <c r="LNY524" s="131"/>
      <c r="LNZ524" s="131"/>
      <c r="LOA524" s="131"/>
      <c r="LOB524" s="131"/>
      <c r="LOC524" s="131"/>
      <c r="LOD524" s="131"/>
      <c r="LOE524" s="131"/>
      <c r="LOF524" s="131"/>
      <c r="LOG524" s="131"/>
      <c r="LOH524" s="131"/>
      <c r="LOI524" s="131"/>
      <c r="LOJ524" s="131"/>
      <c r="LOK524" s="131"/>
      <c r="LOL524" s="131"/>
      <c r="LOM524" s="131"/>
      <c r="LON524" s="131"/>
      <c r="LOO524" s="131"/>
      <c r="LOP524" s="131"/>
      <c r="LOQ524" s="131"/>
      <c r="LOR524" s="131"/>
      <c r="LOS524" s="131"/>
      <c r="LOT524" s="131"/>
      <c r="LOU524" s="131"/>
      <c r="LOV524" s="131"/>
      <c r="LOW524" s="131"/>
      <c r="LOX524" s="131"/>
      <c r="LOY524" s="131"/>
      <c r="LOZ524" s="131"/>
      <c r="LPA524" s="131"/>
      <c r="LPB524" s="131"/>
      <c r="LPC524" s="131"/>
      <c r="LPD524" s="131"/>
      <c r="LPE524" s="131"/>
      <c r="LPF524" s="131"/>
      <c r="LPG524" s="131"/>
      <c r="LPH524" s="131"/>
      <c r="LPI524" s="131"/>
      <c r="LPJ524" s="131"/>
      <c r="LPK524" s="131"/>
      <c r="LPL524" s="131"/>
      <c r="LPM524" s="131"/>
      <c r="LPN524" s="131"/>
      <c r="LPO524" s="131"/>
      <c r="LPP524" s="131"/>
      <c r="LPQ524" s="131"/>
      <c r="LPR524" s="131"/>
      <c r="LPS524" s="131"/>
      <c r="LPT524" s="131"/>
      <c r="LPU524" s="131"/>
      <c r="LPV524" s="131"/>
      <c r="LPW524" s="131"/>
      <c r="LPX524" s="131"/>
      <c r="LPY524" s="131"/>
      <c r="LPZ524" s="131"/>
      <c r="LQA524" s="131"/>
      <c r="LQB524" s="131"/>
      <c r="LQC524" s="131"/>
      <c r="LQD524" s="131"/>
      <c r="LQE524" s="131"/>
      <c r="LQF524" s="131"/>
      <c r="LQG524" s="131"/>
      <c r="LQH524" s="131"/>
      <c r="LQI524" s="131"/>
      <c r="LQJ524" s="131"/>
      <c r="LQK524" s="131"/>
      <c r="LQL524" s="131"/>
      <c r="LQM524" s="131"/>
      <c r="LQN524" s="131"/>
      <c r="LQO524" s="131"/>
      <c r="LQP524" s="131"/>
      <c r="LQQ524" s="131"/>
      <c r="LQR524" s="131"/>
      <c r="LQS524" s="131"/>
      <c r="LQT524" s="131"/>
      <c r="LQU524" s="131"/>
      <c r="LQV524" s="131"/>
      <c r="LQW524" s="131"/>
      <c r="LQX524" s="131"/>
      <c r="LQY524" s="131"/>
      <c r="LQZ524" s="131"/>
      <c r="LRA524" s="131"/>
      <c r="LRB524" s="131"/>
      <c r="LRC524" s="131"/>
      <c r="LRD524" s="131"/>
      <c r="LRE524" s="131"/>
      <c r="LRF524" s="131"/>
      <c r="LRG524" s="131"/>
      <c r="LRH524" s="131"/>
      <c r="LRI524" s="131"/>
      <c r="LRJ524" s="131"/>
      <c r="LRK524" s="131"/>
      <c r="LRL524" s="131"/>
      <c r="LRM524" s="131"/>
      <c r="LRN524" s="131"/>
      <c r="LRO524" s="131"/>
      <c r="LRP524" s="131"/>
      <c r="LRQ524" s="131"/>
      <c r="LRR524" s="131"/>
      <c r="LRS524" s="131"/>
      <c r="LRT524" s="131"/>
      <c r="LRU524" s="131"/>
      <c r="LRV524" s="131"/>
      <c r="LRW524" s="131"/>
      <c r="LRX524" s="131"/>
      <c r="LRY524" s="131"/>
      <c r="LRZ524" s="131"/>
      <c r="LSA524" s="131"/>
      <c r="LSB524" s="131"/>
      <c r="LSC524" s="131"/>
      <c r="LSD524" s="131"/>
      <c r="LSE524" s="131"/>
      <c r="LSF524" s="131"/>
      <c r="LSG524" s="131"/>
      <c r="LSH524" s="131"/>
      <c r="LSI524" s="131"/>
      <c r="LSJ524" s="131"/>
      <c r="LSK524" s="131"/>
      <c r="LSL524" s="131"/>
      <c r="LSM524" s="131"/>
      <c r="LSN524" s="131"/>
      <c r="LSO524" s="131"/>
      <c r="LSP524" s="131"/>
      <c r="LSQ524" s="131"/>
      <c r="LSR524" s="131"/>
      <c r="LSS524" s="131"/>
      <c r="LST524" s="131"/>
      <c r="LSU524" s="131"/>
      <c r="LSV524" s="131"/>
      <c r="LSW524" s="131"/>
      <c r="LSX524" s="131"/>
      <c r="LSY524" s="131"/>
      <c r="LSZ524" s="131"/>
      <c r="LTA524" s="131"/>
      <c r="LTB524" s="131"/>
      <c r="LTC524" s="131"/>
      <c r="LTD524" s="131"/>
      <c r="LTE524" s="131"/>
      <c r="LTF524" s="131"/>
      <c r="LTG524" s="131"/>
      <c r="LTH524" s="131"/>
      <c r="LTI524" s="131"/>
      <c r="LTJ524" s="131"/>
      <c r="LTK524" s="131"/>
      <c r="LTL524" s="131"/>
      <c r="LTM524" s="131"/>
      <c r="LTN524" s="131"/>
      <c r="LTO524" s="131"/>
      <c r="LTP524" s="131"/>
      <c r="LTQ524" s="131"/>
      <c r="LTR524" s="131"/>
      <c r="LTS524" s="131"/>
      <c r="LTT524" s="131"/>
      <c r="LTU524" s="131"/>
      <c r="LTV524" s="131"/>
      <c r="LTW524" s="131"/>
      <c r="LTX524" s="131"/>
      <c r="LTY524" s="131"/>
      <c r="LTZ524" s="131"/>
      <c r="LUA524" s="131"/>
      <c r="LUB524" s="131"/>
      <c r="LUC524" s="131"/>
      <c r="LUD524" s="131"/>
      <c r="LUE524" s="131"/>
      <c r="LUF524" s="131"/>
      <c r="LUG524" s="131"/>
      <c r="LUH524" s="131"/>
      <c r="LUI524" s="131"/>
      <c r="LUJ524" s="131"/>
      <c r="LUK524" s="131"/>
      <c r="LUL524" s="131"/>
      <c r="LUM524" s="131"/>
      <c r="LUN524" s="131"/>
      <c r="LUO524" s="131"/>
      <c r="LUP524" s="131"/>
      <c r="LUQ524" s="131"/>
      <c r="LUR524" s="131"/>
      <c r="LUS524" s="131"/>
      <c r="LUT524" s="131"/>
      <c r="LUU524" s="131"/>
      <c r="LUV524" s="131"/>
      <c r="LUW524" s="131"/>
      <c r="LUX524" s="131"/>
      <c r="LUY524" s="131"/>
      <c r="LUZ524" s="131"/>
      <c r="LVA524" s="131"/>
      <c r="LVB524" s="131"/>
      <c r="LVC524" s="131"/>
      <c r="LVD524" s="131"/>
      <c r="LVE524" s="131"/>
      <c r="LVF524" s="131"/>
      <c r="LVG524" s="131"/>
      <c r="LVH524" s="131"/>
      <c r="LVI524" s="131"/>
      <c r="LVJ524" s="131"/>
      <c r="LVK524" s="131"/>
      <c r="LVL524" s="131"/>
      <c r="LVM524" s="131"/>
      <c r="LVN524" s="131"/>
      <c r="LVO524" s="131"/>
      <c r="LVP524" s="131"/>
      <c r="LVQ524" s="131"/>
      <c r="LVR524" s="131"/>
      <c r="LVS524" s="131"/>
      <c r="LVT524" s="131"/>
      <c r="LVU524" s="131"/>
      <c r="LVV524" s="131"/>
      <c r="LVW524" s="131"/>
      <c r="LVX524" s="131"/>
      <c r="LVY524" s="131"/>
      <c r="LVZ524" s="131"/>
      <c r="LWA524" s="131"/>
      <c r="LWB524" s="131"/>
      <c r="LWC524" s="131"/>
      <c r="LWD524" s="131"/>
      <c r="LWE524" s="131"/>
      <c r="LWF524" s="131"/>
      <c r="LWG524" s="131"/>
      <c r="LWH524" s="131"/>
      <c r="LWI524" s="131"/>
      <c r="LWJ524" s="131"/>
      <c r="LWK524" s="131"/>
      <c r="LWL524" s="131"/>
      <c r="LWM524" s="131"/>
      <c r="LWN524" s="131"/>
      <c r="LWO524" s="131"/>
      <c r="LWP524" s="131"/>
      <c r="LWQ524" s="131"/>
      <c r="LWR524" s="131"/>
      <c r="LWS524" s="131"/>
      <c r="LWT524" s="131"/>
      <c r="LWU524" s="131"/>
      <c r="LWV524" s="131"/>
      <c r="LWW524" s="131"/>
      <c r="LWX524" s="131"/>
      <c r="LWY524" s="131"/>
      <c r="LWZ524" s="131"/>
      <c r="LXA524" s="131"/>
      <c r="LXB524" s="131"/>
      <c r="LXC524" s="131"/>
      <c r="LXD524" s="131"/>
      <c r="LXE524" s="131"/>
      <c r="LXF524" s="131"/>
      <c r="LXG524" s="131"/>
      <c r="LXH524" s="131"/>
      <c r="LXI524" s="131"/>
      <c r="LXJ524" s="131"/>
      <c r="LXK524" s="131"/>
      <c r="LXL524" s="131"/>
      <c r="LXM524" s="131"/>
      <c r="LXN524" s="131"/>
      <c r="LXO524" s="131"/>
      <c r="LXP524" s="131"/>
      <c r="LXQ524" s="131"/>
      <c r="LXR524" s="131"/>
      <c r="LXS524" s="131"/>
      <c r="LXT524" s="131"/>
      <c r="LXU524" s="131"/>
      <c r="LXV524" s="131"/>
      <c r="LXW524" s="131"/>
      <c r="LXX524" s="131"/>
      <c r="LXY524" s="131"/>
      <c r="LXZ524" s="131"/>
      <c r="LYA524" s="131"/>
      <c r="LYB524" s="131"/>
      <c r="LYC524" s="131"/>
      <c r="LYD524" s="131"/>
      <c r="LYE524" s="131"/>
      <c r="LYF524" s="131"/>
      <c r="LYG524" s="131"/>
      <c r="LYH524" s="131"/>
      <c r="LYI524" s="131"/>
      <c r="LYJ524" s="131"/>
      <c r="LYK524" s="131"/>
      <c r="LYL524" s="131"/>
      <c r="LYM524" s="131"/>
      <c r="LYN524" s="131"/>
      <c r="LYO524" s="131"/>
      <c r="LYP524" s="131"/>
      <c r="LYQ524" s="131"/>
      <c r="LYR524" s="131"/>
      <c r="LYS524" s="131"/>
      <c r="LYT524" s="131"/>
      <c r="LYU524" s="131"/>
      <c r="LYV524" s="131"/>
      <c r="LYW524" s="131"/>
      <c r="LYX524" s="131"/>
      <c r="LYY524" s="131"/>
      <c r="LYZ524" s="131"/>
      <c r="LZA524" s="131"/>
      <c r="LZB524" s="131"/>
      <c r="LZC524" s="131"/>
      <c r="LZD524" s="131"/>
      <c r="LZE524" s="131"/>
      <c r="LZF524" s="131"/>
      <c r="LZG524" s="131"/>
      <c r="LZH524" s="131"/>
      <c r="LZI524" s="131"/>
      <c r="LZJ524" s="131"/>
      <c r="LZK524" s="131"/>
      <c r="LZL524" s="131"/>
      <c r="LZM524" s="131"/>
      <c r="LZN524" s="131"/>
      <c r="LZO524" s="131"/>
      <c r="LZP524" s="131"/>
      <c r="LZQ524" s="131"/>
      <c r="LZR524" s="131"/>
      <c r="LZS524" s="131"/>
      <c r="LZT524" s="131"/>
      <c r="LZU524" s="131"/>
      <c r="LZV524" s="131"/>
      <c r="LZW524" s="131"/>
      <c r="LZX524" s="131"/>
      <c r="LZY524" s="131"/>
      <c r="LZZ524" s="131"/>
      <c r="MAA524" s="131"/>
      <c r="MAB524" s="131"/>
      <c r="MAC524" s="131"/>
      <c r="MAD524" s="131"/>
      <c r="MAE524" s="131"/>
      <c r="MAF524" s="131"/>
      <c r="MAG524" s="131"/>
      <c r="MAH524" s="131"/>
      <c r="MAI524" s="131"/>
      <c r="MAJ524" s="131"/>
      <c r="MAK524" s="131"/>
      <c r="MAL524" s="131"/>
      <c r="MAM524" s="131"/>
      <c r="MAN524" s="131"/>
      <c r="MAO524" s="131"/>
      <c r="MAP524" s="131"/>
      <c r="MAQ524" s="131"/>
      <c r="MAR524" s="131"/>
      <c r="MAS524" s="131"/>
      <c r="MAT524" s="131"/>
      <c r="MAU524" s="131"/>
      <c r="MAV524" s="131"/>
      <c r="MAW524" s="131"/>
      <c r="MAX524" s="131"/>
      <c r="MAY524" s="131"/>
      <c r="MAZ524" s="131"/>
      <c r="MBA524" s="131"/>
      <c r="MBB524" s="131"/>
      <c r="MBC524" s="131"/>
      <c r="MBD524" s="131"/>
      <c r="MBE524" s="131"/>
      <c r="MBF524" s="131"/>
      <c r="MBG524" s="131"/>
      <c r="MBH524" s="131"/>
      <c r="MBI524" s="131"/>
      <c r="MBJ524" s="131"/>
      <c r="MBK524" s="131"/>
      <c r="MBL524" s="131"/>
      <c r="MBM524" s="131"/>
      <c r="MBN524" s="131"/>
      <c r="MBO524" s="131"/>
      <c r="MBP524" s="131"/>
      <c r="MBQ524" s="131"/>
      <c r="MBR524" s="131"/>
      <c r="MBS524" s="131"/>
      <c r="MBT524" s="131"/>
      <c r="MBU524" s="131"/>
      <c r="MBV524" s="131"/>
      <c r="MBW524" s="131"/>
      <c r="MBX524" s="131"/>
      <c r="MBY524" s="131"/>
      <c r="MBZ524" s="131"/>
      <c r="MCA524" s="131"/>
      <c r="MCB524" s="131"/>
      <c r="MCC524" s="131"/>
      <c r="MCD524" s="131"/>
      <c r="MCE524" s="131"/>
      <c r="MCF524" s="131"/>
      <c r="MCG524" s="131"/>
      <c r="MCH524" s="131"/>
      <c r="MCI524" s="131"/>
      <c r="MCJ524" s="131"/>
      <c r="MCK524" s="131"/>
      <c r="MCL524" s="131"/>
      <c r="MCM524" s="131"/>
      <c r="MCN524" s="131"/>
      <c r="MCO524" s="131"/>
      <c r="MCP524" s="131"/>
      <c r="MCQ524" s="131"/>
      <c r="MCR524" s="131"/>
      <c r="MCS524" s="131"/>
      <c r="MCT524" s="131"/>
      <c r="MCU524" s="131"/>
      <c r="MCV524" s="131"/>
      <c r="MCW524" s="131"/>
      <c r="MCX524" s="131"/>
      <c r="MCY524" s="131"/>
      <c r="MCZ524" s="131"/>
      <c r="MDA524" s="131"/>
      <c r="MDB524" s="131"/>
      <c r="MDC524" s="131"/>
      <c r="MDD524" s="131"/>
      <c r="MDE524" s="131"/>
      <c r="MDF524" s="131"/>
      <c r="MDG524" s="131"/>
      <c r="MDH524" s="131"/>
      <c r="MDI524" s="131"/>
      <c r="MDJ524" s="131"/>
      <c r="MDK524" s="131"/>
      <c r="MDL524" s="131"/>
      <c r="MDM524" s="131"/>
      <c r="MDN524" s="131"/>
      <c r="MDO524" s="131"/>
      <c r="MDP524" s="131"/>
      <c r="MDQ524" s="131"/>
      <c r="MDR524" s="131"/>
      <c r="MDS524" s="131"/>
      <c r="MDT524" s="131"/>
      <c r="MDU524" s="131"/>
      <c r="MDV524" s="131"/>
      <c r="MDW524" s="131"/>
      <c r="MDX524" s="131"/>
      <c r="MDY524" s="131"/>
      <c r="MDZ524" s="131"/>
      <c r="MEA524" s="131"/>
      <c r="MEB524" s="131"/>
      <c r="MEC524" s="131"/>
      <c r="MED524" s="131"/>
      <c r="MEE524" s="131"/>
      <c r="MEF524" s="131"/>
      <c r="MEG524" s="131"/>
      <c r="MEH524" s="131"/>
      <c r="MEI524" s="131"/>
      <c r="MEJ524" s="131"/>
      <c r="MEK524" s="131"/>
      <c r="MEL524" s="131"/>
      <c r="MEM524" s="131"/>
      <c r="MEN524" s="131"/>
      <c r="MEO524" s="131"/>
      <c r="MEP524" s="131"/>
      <c r="MEQ524" s="131"/>
      <c r="MER524" s="131"/>
      <c r="MES524" s="131"/>
      <c r="MET524" s="131"/>
      <c r="MEU524" s="131"/>
      <c r="MEV524" s="131"/>
      <c r="MEW524" s="131"/>
      <c r="MEX524" s="131"/>
      <c r="MEY524" s="131"/>
      <c r="MEZ524" s="131"/>
      <c r="MFA524" s="131"/>
      <c r="MFB524" s="131"/>
      <c r="MFC524" s="131"/>
      <c r="MFD524" s="131"/>
      <c r="MFE524" s="131"/>
      <c r="MFF524" s="131"/>
      <c r="MFG524" s="131"/>
      <c r="MFH524" s="131"/>
      <c r="MFI524" s="131"/>
      <c r="MFJ524" s="131"/>
      <c r="MFK524" s="131"/>
      <c r="MFL524" s="131"/>
      <c r="MFM524" s="131"/>
      <c r="MFN524" s="131"/>
      <c r="MFO524" s="131"/>
      <c r="MFP524" s="131"/>
      <c r="MFQ524" s="131"/>
      <c r="MFR524" s="131"/>
      <c r="MFS524" s="131"/>
      <c r="MFT524" s="131"/>
      <c r="MFU524" s="131"/>
      <c r="MFV524" s="131"/>
      <c r="MFW524" s="131"/>
      <c r="MFX524" s="131"/>
      <c r="MFY524" s="131"/>
      <c r="MFZ524" s="131"/>
      <c r="MGA524" s="131"/>
      <c r="MGB524" s="131"/>
      <c r="MGC524" s="131"/>
      <c r="MGD524" s="131"/>
      <c r="MGE524" s="131"/>
      <c r="MGF524" s="131"/>
      <c r="MGG524" s="131"/>
      <c r="MGH524" s="131"/>
      <c r="MGI524" s="131"/>
      <c r="MGJ524" s="131"/>
      <c r="MGK524" s="131"/>
      <c r="MGL524" s="131"/>
      <c r="MGM524" s="131"/>
      <c r="MGN524" s="131"/>
      <c r="MGO524" s="131"/>
      <c r="MGP524" s="131"/>
      <c r="MGQ524" s="131"/>
      <c r="MGR524" s="131"/>
      <c r="MGS524" s="131"/>
      <c r="MGT524" s="131"/>
      <c r="MGU524" s="131"/>
      <c r="MGV524" s="131"/>
      <c r="MGW524" s="131"/>
      <c r="MGX524" s="131"/>
      <c r="MGY524" s="131"/>
      <c r="MGZ524" s="131"/>
      <c r="MHA524" s="131"/>
      <c r="MHB524" s="131"/>
      <c r="MHC524" s="131"/>
      <c r="MHD524" s="131"/>
      <c r="MHE524" s="131"/>
      <c r="MHF524" s="131"/>
      <c r="MHG524" s="131"/>
      <c r="MHH524" s="131"/>
      <c r="MHI524" s="131"/>
      <c r="MHJ524" s="131"/>
      <c r="MHK524" s="131"/>
      <c r="MHL524" s="131"/>
      <c r="MHM524" s="131"/>
      <c r="MHN524" s="131"/>
      <c r="MHO524" s="131"/>
      <c r="MHP524" s="131"/>
      <c r="MHQ524" s="131"/>
      <c r="MHR524" s="131"/>
      <c r="MHS524" s="131"/>
      <c r="MHT524" s="131"/>
      <c r="MHU524" s="131"/>
      <c r="MHV524" s="131"/>
      <c r="MHW524" s="131"/>
      <c r="MHX524" s="131"/>
      <c r="MHY524" s="131"/>
      <c r="MHZ524" s="131"/>
      <c r="MIA524" s="131"/>
      <c r="MIB524" s="131"/>
      <c r="MIC524" s="131"/>
      <c r="MID524" s="131"/>
      <c r="MIE524" s="131"/>
      <c r="MIF524" s="131"/>
      <c r="MIG524" s="131"/>
      <c r="MIH524" s="131"/>
      <c r="MII524" s="131"/>
      <c r="MIJ524" s="131"/>
      <c r="MIK524" s="131"/>
      <c r="MIL524" s="131"/>
      <c r="MIM524" s="131"/>
      <c r="MIN524" s="131"/>
      <c r="MIO524" s="131"/>
      <c r="MIP524" s="131"/>
      <c r="MIQ524" s="131"/>
      <c r="MIR524" s="131"/>
      <c r="MIS524" s="131"/>
      <c r="MIT524" s="131"/>
      <c r="MIU524" s="131"/>
      <c r="MIV524" s="131"/>
      <c r="MIW524" s="131"/>
      <c r="MIX524" s="131"/>
      <c r="MIY524" s="131"/>
      <c r="MIZ524" s="131"/>
      <c r="MJA524" s="131"/>
      <c r="MJB524" s="131"/>
      <c r="MJC524" s="131"/>
      <c r="MJD524" s="131"/>
      <c r="MJE524" s="131"/>
      <c r="MJF524" s="131"/>
      <c r="MJG524" s="131"/>
      <c r="MJH524" s="131"/>
      <c r="MJI524" s="131"/>
      <c r="MJJ524" s="131"/>
      <c r="MJK524" s="131"/>
      <c r="MJL524" s="131"/>
      <c r="MJM524" s="131"/>
      <c r="MJN524" s="131"/>
      <c r="MJO524" s="131"/>
      <c r="MJP524" s="131"/>
      <c r="MJQ524" s="131"/>
      <c r="MJR524" s="131"/>
      <c r="MJS524" s="131"/>
      <c r="MJT524" s="131"/>
      <c r="MJU524" s="131"/>
      <c r="MJV524" s="131"/>
      <c r="MJW524" s="131"/>
      <c r="MJX524" s="131"/>
      <c r="MJY524" s="131"/>
      <c r="MJZ524" s="131"/>
      <c r="MKA524" s="131"/>
      <c r="MKB524" s="131"/>
      <c r="MKC524" s="131"/>
      <c r="MKD524" s="131"/>
      <c r="MKE524" s="131"/>
      <c r="MKF524" s="131"/>
      <c r="MKG524" s="131"/>
      <c r="MKH524" s="131"/>
      <c r="MKI524" s="131"/>
      <c r="MKJ524" s="131"/>
      <c r="MKK524" s="131"/>
      <c r="MKL524" s="131"/>
      <c r="MKM524" s="131"/>
      <c r="MKN524" s="131"/>
      <c r="MKO524" s="131"/>
      <c r="MKP524" s="131"/>
      <c r="MKQ524" s="131"/>
      <c r="MKR524" s="131"/>
      <c r="MKS524" s="131"/>
      <c r="MKT524" s="131"/>
      <c r="MKU524" s="131"/>
      <c r="MKV524" s="131"/>
      <c r="MKW524" s="131"/>
      <c r="MKX524" s="131"/>
      <c r="MKY524" s="131"/>
      <c r="MKZ524" s="131"/>
      <c r="MLA524" s="131"/>
      <c r="MLB524" s="131"/>
      <c r="MLC524" s="131"/>
      <c r="MLD524" s="131"/>
      <c r="MLE524" s="131"/>
      <c r="MLF524" s="131"/>
      <c r="MLG524" s="131"/>
      <c r="MLH524" s="131"/>
      <c r="MLI524" s="131"/>
      <c r="MLJ524" s="131"/>
      <c r="MLK524" s="131"/>
      <c r="MLL524" s="131"/>
      <c r="MLM524" s="131"/>
      <c r="MLN524" s="131"/>
      <c r="MLO524" s="131"/>
      <c r="MLP524" s="131"/>
      <c r="MLQ524" s="131"/>
      <c r="MLR524" s="131"/>
      <c r="MLS524" s="131"/>
      <c r="MLT524" s="131"/>
      <c r="MLU524" s="131"/>
      <c r="MLV524" s="131"/>
      <c r="MLW524" s="131"/>
      <c r="MLX524" s="131"/>
      <c r="MLY524" s="131"/>
      <c r="MLZ524" s="131"/>
      <c r="MMA524" s="131"/>
      <c r="MMB524" s="131"/>
      <c r="MMC524" s="131"/>
      <c r="MMD524" s="131"/>
      <c r="MME524" s="131"/>
      <c r="MMF524" s="131"/>
      <c r="MMG524" s="131"/>
      <c r="MMH524" s="131"/>
      <c r="MMI524" s="131"/>
      <c r="MMJ524" s="131"/>
      <c r="MMK524" s="131"/>
      <c r="MML524" s="131"/>
      <c r="MMM524" s="131"/>
      <c r="MMN524" s="131"/>
      <c r="MMO524" s="131"/>
      <c r="MMP524" s="131"/>
      <c r="MMQ524" s="131"/>
      <c r="MMR524" s="131"/>
      <c r="MMS524" s="131"/>
      <c r="MMT524" s="131"/>
      <c r="MMU524" s="131"/>
      <c r="MMV524" s="131"/>
      <c r="MMW524" s="131"/>
      <c r="MMX524" s="131"/>
      <c r="MMY524" s="131"/>
      <c r="MMZ524" s="131"/>
      <c r="MNA524" s="131"/>
      <c r="MNB524" s="131"/>
      <c r="MNC524" s="131"/>
      <c r="MND524" s="131"/>
      <c r="MNE524" s="131"/>
      <c r="MNF524" s="131"/>
      <c r="MNG524" s="131"/>
      <c r="MNH524" s="131"/>
      <c r="MNI524" s="131"/>
      <c r="MNJ524" s="131"/>
      <c r="MNK524" s="131"/>
      <c r="MNL524" s="131"/>
      <c r="MNM524" s="131"/>
      <c r="MNN524" s="131"/>
      <c r="MNO524" s="131"/>
      <c r="MNP524" s="131"/>
      <c r="MNQ524" s="131"/>
      <c r="MNR524" s="131"/>
      <c r="MNS524" s="131"/>
      <c r="MNT524" s="131"/>
      <c r="MNU524" s="131"/>
      <c r="MNV524" s="131"/>
      <c r="MNW524" s="131"/>
      <c r="MNX524" s="131"/>
      <c r="MNY524" s="131"/>
      <c r="MNZ524" s="131"/>
      <c r="MOA524" s="131"/>
      <c r="MOB524" s="131"/>
      <c r="MOC524" s="131"/>
      <c r="MOD524" s="131"/>
      <c r="MOE524" s="131"/>
      <c r="MOF524" s="131"/>
      <c r="MOG524" s="131"/>
      <c r="MOH524" s="131"/>
      <c r="MOI524" s="131"/>
      <c r="MOJ524" s="131"/>
      <c r="MOK524" s="131"/>
      <c r="MOL524" s="131"/>
      <c r="MOM524" s="131"/>
      <c r="MON524" s="131"/>
      <c r="MOO524" s="131"/>
      <c r="MOP524" s="131"/>
      <c r="MOQ524" s="131"/>
      <c r="MOR524" s="131"/>
      <c r="MOS524" s="131"/>
      <c r="MOT524" s="131"/>
      <c r="MOU524" s="131"/>
      <c r="MOV524" s="131"/>
      <c r="MOW524" s="131"/>
      <c r="MOX524" s="131"/>
      <c r="MOY524" s="131"/>
      <c r="MOZ524" s="131"/>
      <c r="MPA524" s="131"/>
      <c r="MPB524" s="131"/>
      <c r="MPC524" s="131"/>
      <c r="MPD524" s="131"/>
      <c r="MPE524" s="131"/>
      <c r="MPF524" s="131"/>
      <c r="MPG524" s="131"/>
      <c r="MPH524" s="131"/>
      <c r="MPI524" s="131"/>
      <c r="MPJ524" s="131"/>
      <c r="MPK524" s="131"/>
      <c r="MPL524" s="131"/>
      <c r="MPM524" s="131"/>
      <c r="MPN524" s="131"/>
      <c r="MPO524" s="131"/>
      <c r="MPP524" s="131"/>
      <c r="MPQ524" s="131"/>
      <c r="MPR524" s="131"/>
      <c r="MPS524" s="131"/>
      <c r="MPT524" s="131"/>
      <c r="MPU524" s="131"/>
      <c r="MPV524" s="131"/>
      <c r="MPW524" s="131"/>
      <c r="MPX524" s="131"/>
      <c r="MPY524" s="131"/>
      <c r="MPZ524" s="131"/>
      <c r="MQA524" s="131"/>
      <c r="MQB524" s="131"/>
      <c r="MQC524" s="131"/>
      <c r="MQD524" s="131"/>
      <c r="MQE524" s="131"/>
      <c r="MQF524" s="131"/>
      <c r="MQG524" s="131"/>
      <c r="MQH524" s="131"/>
      <c r="MQI524" s="131"/>
      <c r="MQJ524" s="131"/>
      <c r="MQK524" s="131"/>
      <c r="MQL524" s="131"/>
      <c r="MQM524" s="131"/>
      <c r="MQN524" s="131"/>
      <c r="MQO524" s="131"/>
      <c r="MQP524" s="131"/>
      <c r="MQQ524" s="131"/>
      <c r="MQR524" s="131"/>
      <c r="MQS524" s="131"/>
      <c r="MQT524" s="131"/>
      <c r="MQU524" s="131"/>
      <c r="MQV524" s="131"/>
      <c r="MQW524" s="131"/>
      <c r="MQX524" s="131"/>
      <c r="MQY524" s="131"/>
      <c r="MQZ524" s="131"/>
      <c r="MRA524" s="131"/>
      <c r="MRB524" s="131"/>
      <c r="MRC524" s="131"/>
      <c r="MRD524" s="131"/>
      <c r="MRE524" s="131"/>
      <c r="MRF524" s="131"/>
      <c r="MRG524" s="131"/>
      <c r="MRH524" s="131"/>
      <c r="MRI524" s="131"/>
      <c r="MRJ524" s="131"/>
      <c r="MRK524" s="131"/>
      <c r="MRL524" s="131"/>
      <c r="MRM524" s="131"/>
      <c r="MRN524" s="131"/>
      <c r="MRO524" s="131"/>
      <c r="MRP524" s="131"/>
      <c r="MRQ524" s="131"/>
      <c r="MRR524" s="131"/>
      <c r="MRS524" s="131"/>
      <c r="MRT524" s="131"/>
      <c r="MRU524" s="131"/>
      <c r="MRV524" s="131"/>
      <c r="MRW524" s="131"/>
      <c r="MRX524" s="131"/>
      <c r="MRY524" s="131"/>
      <c r="MRZ524" s="131"/>
      <c r="MSA524" s="131"/>
      <c r="MSB524" s="131"/>
      <c r="MSC524" s="131"/>
      <c r="MSD524" s="131"/>
      <c r="MSE524" s="131"/>
      <c r="MSF524" s="131"/>
      <c r="MSG524" s="131"/>
      <c r="MSH524" s="131"/>
      <c r="MSI524" s="131"/>
      <c r="MSJ524" s="131"/>
      <c r="MSK524" s="131"/>
      <c r="MSL524" s="131"/>
      <c r="MSM524" s="131"/>
      <c r="MSN524" s="131"/>
      <c r="MSO524" s="131"/>
      <c r="MSP524" s="131"/>
      <c r="MSQ524" s="131"/>
      <c r="MSR524" s="131"/>
      <c r="MSS524" s="131"/>
      <c r="MST524" s="131"/>
      <c r="MSU524" s="131"/>
      <c r="MSV524" s="131"/>
      <c r="MSW524" s="131"/>
      <c r="MSX524" s="131"/>
      <c r="MSY524" s="131"/>
      <c r="MSZ524" s="131"/>
      <c r="MTA524" s="131"/>
      <c r="MTB524" s="131"/>
      <c r="MTC524" s="131"/>
      <c r="MTD524" s="131"/>
      <c r="MTE524" s="131"/>
      <c r="MTF524" s="131"/>
      <c r="MTG524" s="131"/>
      <c r="MTH524" s="131"/>
      <c r="MTI524" s="131"/>
      <c r="MTJ524" s="131"/>
      <c r="MTK524" s="131"/>
      <c r="MTL524" s="131"/>
      <c r="MTM524" s="131"/>
      <c r="MTN524" s="131"/>
      <c r="MTO524" s="131"/>
      <c r="MTP524" s="131"/>
      <c r="MTQ524" s="131"/>
      <c r="MTR524" s="131"/>
      <c r="MTS524" s="131"/>
      <c r="MTT524" s="131"/>
      <c r="MTU524" s="131"/>
      <c r="MTV524" s="131"/>
      <c r="MTW524" s="131"/>
      <c r="MTX524" s="131"/>
      <c r="MTY524" s="131"/>
      <c r="MTZ524" s="131"/>
      <c r="MUA524" s="131"/>
      <c r="MUB524" s="131"/>
      <c r="MUC524" s="131"/>
      <c r="MUD524" s="131"/>
      <c r="MUE524" s="131"/>
      <c r="MUF524" s="131"/>
      <c r="MUG524" s="131"/>
      <c r="MUH524" s="131"/>
      <c r="MUI524" s="131"/>
      <c r="MUJ524" s="131"/>
      <c r="MUK524" s="131"/>
      <c r="MUL524" s="131"/>
      <c r="MUM524" s="131"/>
      <c r="MUN524" s="131"/>
      <c r="MUO524" s="131"/>
      <c r="MUP524" s="131"/>
      <c r="MUQ524" s="131"/>
      <c r="MUR524" s="131"/>
      <c r="MUS524" s="131"/>
      <c r="MUT524" s="131"/>
      <c r="MUU524" s="131"/>
      <c r="MUV524" s="131"/>
      <c r="MUW524" s="131"/>
      <c r="MUX524" s="131"/>
      <c r="MUY524" s="131"/>
      <c r="MUZ524" s="131"/>
      <c r="MVA524" s="131"/>
      <c r="MVB524" s="131"/>
      <c r="MVC524" s="131"/>
      <c r="MVD524" s="131"/>
      <c r="MVE524" s="131"/>
      <c r="MVF524" s="131"/>
      <c r="MVG524" s="131"/>
      <c r="MVH524" s="131"/>
      <c r="MVI524" s="131"/>
      <c r="MVJ524" s="131"/>
      <c r="MVK524" s="131"/>
      <c r="MVL524" s="131"/>
      <c r="MVM524" s="131"/>
      <c r="MVN524" s="131"/>
      <c r="MVO524" s="131"/>
      <c r="MVP524" s="131"/>
      <c r="MVQ524" s="131"/>
      <c r="MVR524" s="131"/>
      <c r="MVS524" s="131"/>
      <c r="MVT524" s="131"/>
      <c r="MVU524" s="131"/>
      <c r="MVV524" s="131"/>
      <c r="MVW524" s="131"/>
      <c r="MVX524" s="131"/>
      <c r="MVY524" s="131"/>
      <c r="MVZ524" s="131"/>
      <c r="MWA524" s="131"/>
      <c r="MWB524" s="131"/>
      <c r="MWC524" s="131"/>
      <c r="MWD524" s="131"/>
      <c r="MWE524" s="131"/>
      <c r="MWF524" s="131"/>
      <c r="MWG524" s="131"/>
      <c r="MWH524" s="131"/>
      <c r="MWI524" s="131"/>
      <c r="MWJ524" s="131"/>
      <c r="MWK524" s="131"/>
      <c r="MWL524" s="131"/>
      <c r="MWM524" s="131"/>
      <c r="MWN524" s="131"/>
      <c r="MWO524" s="131"/>
      <c r="MWP524" s="131"/>
      <c r="MWQ524" s="131"/>
      <c r="MWR524" s="131"/>
      <c r="MWS524" s="131"/>
      <c r="MWT524" s="131"/>
      <c r="MWU524" s="131"/>
      <c r="MWV524" s="131"/>
      <c r="MWW524" s="131"/>
      <c r="MWX524" s="131"/>
      <c r="MWY524" s="131"/>
      <c r="MWZ524" s="131"/>
      <c r="MXA524" s="131"/>
      <c r="MXB524" s="131"/>
      <c r="MXC524" s="131"/>
      <c r="MXD524" s="131"/>
      <c r="MXE524" s="131"/>
      <c r="MXF524" s="131"/>
      <c r="MXG524" s="131"/>
      <c r="MXH524" s="131"/>
      <c r="MXI524" s="131"/>
      <c r="MXJ524" s="131"/>
      <c r="MXK524" s="131"/>
      <c r="MXL524" s="131"/>
      <c r="MXM524" s="131"/>
      <c r="MXN524" s="131"/>
      <c r="MXO524" s="131"/>
      <c r="MXP524" s="131"/>
      <c r="MXQ524" s="131"/>
      <c r="MXR524" s="131"/>
      <c r="MXS524" s="131"/>
      <c r="MXT524" s="131"/>
      <c r="MXU524" s="131"/>
      <c r="MXV524" s="131"/>
      <c r="MXW524" s="131"/>
      <c r="MXX524" s="131"/>
      <c r="MXY524" s="131"/>
      <c r="MXZ524" s="131"/>
      <c r="MYA524" s="131"/>
      <c r="MYB524" s="131"/>
      <c r="MYC524" s="131"/>
      <c r="MYD524" s="131"/>
      <c r="MYE524" s="131"/>
      <c r="MYF524" s="131"/>
      <c r="MYG524" s="131"/>
      <c r="MYH524" s="131"/>
      <c r="MYI524" s="131"/>
      <c r="MYJ524" s="131"/>
      <c r="MYK524" s="131"/>
      <c r="MYL524" s="131"/>
      <c r="MYM524" s="131"/>
      <c r="MYN524" s="131"/>
      <c r="MYO524" s="131"/>
      <c r="MYP524" s="131"/>
      <c r="MYQ524" s="131"/>
      <c r="MYR524" s="131"/>
      <c r="MYS524" s="131"/>
      <c r="MYT524" s="131"/>
      <c r="MYU524" s="131"/>
      <c r="MYV524" s="131"/>
      <c r="MYW524" s="131"/>
      <c r="MYX524" s="131"/>
      <c r="MYY524" s="131"/>
      <c r="MYZ524" s="131"/>
      <c r="MZA524" s="131"/>
      <c r="MZB524" s="131"/>
      <c r="MZC524" s="131"/>
      <c r="MZD524" s="131"/>
      <c r="MZE524" s="131"/>
      <c r="MZF524" s="131"/>
      <c r="MZG524" s="131"/>
      <c r="MZH524" s="131"/>
      <c r="MZI524" s="131"/>
      <c r="MZJ524" s="131"/>
      <c r="MZK524" s="131"/>
      <c r="MZL524" s="131"/>
      <c r="MZM524" s="131"/>
      <c r="MZN524" s="131"/>
      <c r="MZO524" s="131"/>
      <c r="MZP524" s="131"/>
      <c r="MZQ524" s="131"/>
      <c r="MZR524" s="131"/>
      <c r="MZS524" s="131"/>
      <c r="MZT524" s="131"/>
      <c r="MZU524" s="131"/>
      <c r="MZV524" s="131"/>
      <c r="MZW524" s="131"/>
      <c r="MZX524" s="131"/>
      <c r="MZY524" s="131"/>
      <c r="MZZ524" s="131"/>
      <c r="NAA524" s="131"/>
      <c r="NAB524" s="131"/>
      <c r="NAC524" s="131"/>
      <c r="NAD524" s="131"/>
      <c r="NAE524" s="131"/>
      <c r="NAF524" s="131"/>
      <c r="NAG524" s="131"/>
      <c r="NAH524" s="131"/>
      <c r="NAI524" s="131"/>
      <c r="NAJ524" s="131"/>
      <c r="NAK524" s="131"/>
      <c r="NAL524" s="131"/>
      <c r="NAM524" s="131"/>
      <c r="NAN524" s="131"/>
      <c r="NAO524" s="131"/>
      <c r="NAP524" s="131"/>
      <c r="NAQ524" s="131"/>
      <c r="NAR524" s="131"/>
      <c r="NAS524" s="131"/>
      <c r="NAT524" s="131"/>
      <c r="NAU524" s="131"/>
      <c r="NAV524" s="131"/>
      <c r="NAW524" s="131"/>
      <c r="NAX524" s="131"/>
      <c r="NAY524" s="131"/>
      <c r="NAZ524" s="131"/>
      <c r="NBA524" s="131"/>
      <c r="NBB524" s="131"/>
      <c r="NBC524" s="131"/>
      <c r="NBD524" s="131"/>
      <c r="NBE524" s="131"/>
      <c r="NBF524" s="131"/>
      <c r="NBG524" s="131"/>
      <c r="NBH524" s="131"/>
      <c r="NBI524" s="131"/>
      <c r="NBJ524" s="131"/>
      <c r="NBK524" s="131"/>
      <c r="NBL524" s="131"/>
      <c r="NBM524" s="131"/>
      <c r="NBN524" s="131"/>
      <c r="NBO524" s="131"/>
      <c r="NBP524" s="131"/>
      <c r="NBQ524" s="131"/>
      <c r="NBR524" s="131"/>
      <c r="NBS524" s="131"/>
      <c r="NBT524" s="131"/>
      <c r="NBU524" s="131"/>
      <c r="NBV524" s="131"/>
      <c r="NBW524" s="131"/>
      <c r="NBX524" s="131"/>
      <c r="NBY524" s="131"/>
      <c r="NBZ524" s="131"/>
      <c r="NCA524" s="131"/>
      <c r="NCB524" s="131"/>
      <c r="NCC524" s="131"/>
      <c r="NCD524" s="131"/>
      <c r="NCE524" s="131"/>
      <c r="NCF524" s="131"/>
      <c r="NCG524" s="131"/>
      <c r="NCH524" s="131"/>
      <c r="NCI524" s="131"/>
      <c r="NCJ524" s="131"/>
      <c r="NCK524" s="131"/>
      <c r="NCL524" s="131"/>
      <c r="NCM524" s="131"/>
      <c r="NCN524" s="131"/>
      <c r="NCO524" s="131"/>
      <c r="NCP524" s="131"/>
      <c r="NCQ524" s="131"/>
      <c r="NCR524" s="131"/>
      <c r="NCS524" s="131"/>
      <c r="NCT524" s="131"/>
      <c r="NCU524" s="131"/>
      <c r="NCV524" s="131"/>
      <c r="NCW524" s="131"/>
      <c r="NCX524" s="131"/>
      <c r="NCY524" s="131"/>
      <c r="NCZ524" s="131"/>
      <c r="NDA524" s="131"/>
      <c r="NDB524" s="131"/>
      <c r="NDC524" s="131"/>
      <c r="NDD524" s="131"/>
      <c r="NDE524" s="131"/>
      <c r="NDF524" s="131"/>
      <c r="NDG524" s="131"/>
      <c r="NDH524" s="131"/>
      <c r="NDI524" s="131"/>
      <c r="NDJ524" s="131"/>
      <c r="NDK524" s="131"/>
      <c r="NDL524" s="131"/>
      <c r="NDM524" s="131"/>
      <c r="NDN524" s="131"/>
      <c r="NDO524" s="131"/>
      <c r="NDP524" s="131"/>
      <c r="NDQ524" s="131"/>
      <c r="NDR524" s="131"/>
      <c r="NDS524" s="131"/>
      <c r="NDT524" s="131"/>
      <c r="NDU524" s="131"/>
      <c r="NDV524" s="131"/>
      <c r="NDW524" s="131"/>
      <c r="NDX524" s="131"/>
      <c r="NDY524" s="131"/>
      <c r="NDZ524" s="131"/>
      <c r="NEA524" s="131"/>
      <c r="NEB524" s="131"/>
      <c r="NEC524" s="131"/>
      <c r="NED524" s="131"/>
      <c r="NEE524" s="131"/>
      <c r="NEF524" s="131"/>
      <c r="NEG524" s="131"/>
      <c r="NEH524" s="131"/>
      <c r="NEI524" s="131"/>
      <c r="NEJ524" s="131"/>
      <c r="NEK524" s="131"/>
      <c r="NEL524" s="131"/>
      <c r="NEM524" s="131"/>
      <c r="NEN524" s="131"/>
      <c r="NEO524" s="131"/>
      <c r="NEP524" s="131"/>
      <c r="NEQ524" s="131"/>
      <c r="NER524" s="131"/>
      <c r="NES524" s="131"/>
      <c r="NET524" s="131"/>
      <c r="NEU524" s="131"/>
      <c r="NEV524" s="131"/>
      <c r="NEW524" s="131"/>
      <c r="NEX524" s="131"/>
      <c r="NEY524" s="131"/>
      <c r="NEZ524" s="131"/>
      <c r="NFA524" s="131"/>
      <c r="NFB524" s="131"/>
      <c r="NFC524" s="131"/>
      <c r="NFD524" s="131"/>
      <c r="NFE524" s="131"/>
      <c r="NFF524" s="131"/>
      <c r="NFG524" s="131"/>
      <c r="NFH524" s="131"/>
      <c r="NFI524" s="131"/>
      <c r="NFJ524" s="131"/>
      <c r="NFK524" s="131"/>
      <c r="NFL524" s="131"/>
      <c r="NFM524" s="131"/>
      <c r="NFN524" s="131"/>
      <c r="NFO524" s="131"/>
      <c r="NFP524" s="131"/>
      <c r="NFQ524" s="131"/>
      <c r="NFR524" s="131"/>
      <c r="NFS524" s="131"/>
      <c r="NFT524" s="131"/>
      <c r="NFU524" s="131"/>
      <c r="NFV524" s="131"/>
      <c r="NFW524" s="131"/>
      <c r="NFX524" s="131"/>
      <c r="NFY524" s="131"/>
      <c r="NFZ524" s="131"/>
      <c r="NGA524" s="131"/>
      <c r="NGB524" s="131"/>
      <c r="NGC524" s="131"/>
      <c r="NGD524" s="131"/>
      <c r="NGE524" s="131"/>
      <c r="NGF524" s="131"/>
      <c r="NGG524" s="131"/>
      <c r="NGH524" s="131"/>
      <c r="NGI524" s="131"/>
      <c r="NGJ524" s="131"/>
      <c r="NGK524" s="131"/>
      <c r="NGL524" s="131"/>
      <c r="NGM524" s="131"/>
      <c r="NGN524" s="131"/>
      <c r="NGO524" s="131"/>
      <c r="NGP524" s="131"/>
      <c r="NGQ524" s="131"/>
      <c r="NGR524" s="131"/>
      <c r="NGS524" s="131"/>
      <c r="NGT524" s="131"/>
      <c r="NGU524" s="131"/>
      <c r="NGV524" s="131"/>
      <c r="NGW524" s="131"/>
      <c r="NGX524" s="131"/>
      <c r="NGY524" s="131"/>
      <c r="NGZ524" s="131"/>
      <c r="NHA524" s="131"/>
      <c r="NHB524" s="131"/>
      <c r="NHC524" s="131"/>
      <c r="NHD524" s="131"/>
      <c r="NHE524" s="131"/>
      <c r="NHF524" s="131"/>
      <c r="NHG524" s="131"/>
      <c r="NHH524" s="131"/>
      <c r="NHI524" s="131"/>
      <c r="NHJ524" s="131"/>
      <c r="NHK524" s="131"/>
      <c r="NHL524" s="131"/>
      <c r="NHM524" s="131"/>
      <c r="NHN524" s="131"/>
      <c r="NHO524" s="131"/>
      <c r="NHP524" s="131"/>
      <c r="NHQ524" s="131"/>
      <c r="NHR524" s="131"/>
      <c r="NHS524" s="131"/>
      <c r="NHT524" s="131"/>
      <c r="NHU524" s="131"/>
      <c r="NHV524" s="131"/>
      <c r="NHW524" s="131"/>
      <c r="NHX524" s="131"/>
      <c r="NHY524" s="131"/>
      <c r="NHZ524" s="131"/>
      <c r="NIA524" s="131"/>
      <c r="NIB524" s="131"/>
      <c r="NIC524" s="131"/>
      <c r="NID524" s="131"/>
      <c r="NIE524" s="131"/>
      <c r="NIF524" s="131"/>
      <c r="NIG524" s="131"/>
      <c r="NIH524" s="131"/>
      <c r="NII524" s="131"/>
      <c r="NIJ524" s="131"/>
      <c r="NIK524" s="131"/>
      <c r="NIL524" s="131"/>
      <c r="NIM524" s="131"/>
      <c r="NIN524" s="131"/>
      <c r="NIO524" s="131"/>
      <c r="NIP524" s="131"/>
      <c r="NIQ524" s="131"/>
      <c r="NIR524" s="131"/>
      <c r="NIS524" s="131"/>
      <c r="NIT524" s="131"/>
      <c r="NIU524" s="131"/>
      <c r="NIV524" s="131"/>
      <c r="NIW524" s="131"/>
      <c r="NIX524" s="131"/>
      <c r="NIY524" s="131"/>
      <c r="NIZ524" s="131"/>
      <c r="NJA524" s="131"/>
      <c r="NJB524" s="131"/>
      <c r="NJC524" s="131"/>
      <c r="NJD524" s="131"/>
      <c r="NJE524" s="131"/>
      <c r="NJF524" s="131"/>
      <c r="NJG524" s="131"/>
      <c r="NJH524" s="131"/>
      <c r="NJI524" s="131"/>
      <c r="NJJ524" s="131"/>
      <c r="NJK524" s="131"/>
      <c r="NJL524" s="131"/>
      <c r="NJM524" s="131"/>
      <c r="NJN524" s="131"/>
      <c r="NJO524" s="131"/>
      <c r="NJP524" s="131"/>
      <c r="NJQ524" s="131"/>
      <c r="NJR524" s="131"/>
      <c r="NJS524" s="131"/>
      <c r="NJT524" s="131"/>
      <c r="NJU524" s="131"/>
      <c r="NJV524" s="131"/>
      <c r="NJW524" s="131"/>
      <c r="NJX524" s="131"/>
      <c r="NJY524" s="131"/>
      <c r="NJZ524" s="131"/>
      <c r="NKA524" s="131"/>
      <c r="NKB524" s="131"/>
      <c r="NKC524" s="131"/>
      <c r="NKD524" s="131"/>
      <c r="NKE524" s="131"/>
      <c r="NKF524" s="131"/>
      <c r="NKG524" s="131"/>
      <c r="NKH524" s="131"/>
      <c r="NKI524" s="131"/>
      <c r="NKJ524" s="131"/>
      <c r="NKK524" s="131"/>
      <c r="NKL524" s="131"/>
      <c r="NKM524" s="131"/>
      <c r="NKN524" s="131"/>
      <c r="NKO524" s="131"/>
      <c r="NKP524" s="131"/>
      <c r="NKQ524" s="131"/>
      <c r="NKR524" s="131"/>
      <c r="NKS524" s="131"/>
      <c r="NKT524" s="131"/>
      <c r="NKU524" s="131"/>
      <c r="NKV524" s="131"/>
      <c r="NKW524" s="131"/>
      <c r="NKX524" s="131"/>
      <c r="NKY524" s="131"/>
      <c r="NKZ524" s="131"/>
      <c r="NLA524" s="131"/>
      <c r="NLB524" s="131"/>
      <c r="NLC524" s="131"/>
      <c r="NLD524" s="131"/>
      <c r="NLE524" s="131"/>
      <c r="NLF524" s="131"/>
      <c r="NLG524" s="131"/>
      <c r="NLH524" s="131"/>
      <c r="NLI524" s="131"/>
      <c r="NLJ524" s="131"/>
      <c r="NLK524" s="131"/>
      <c r="NLL524" s="131"/>
      <c r="NLM524" s="131"/>
      <c r="NLN524" s="131"/>
      <c r="NLO524" s="131"/>
      <c r="NLP524" s="131"/>
      <c r="NLQ524" s="131"/>
      <c r="NLR524" s="131"/>
      <c r="NLS524" s="131"/>
      <c r="NLT524" s="131"/>
      <c r="NLU524" s="131"/>
      <c r="NLV524" s="131"/>
      <c r="NLW524" s="131"/>
      <c r="NLX524" s="131"/>
      <c r="NLY524" s="131"/>
      <c r="NLZ524" s="131"/>
      <c r="NMA524" s="131"/>
      <c r="NMB524" s="131"/>
      <c r="NMC524" s="131"/>
      <c r="NMD524" s="131"/>
      <c r="NME524" s="131"/>
      <c r="NMF524" s="131"/>
      <c r="NMG524" s="131"/>
      <c r="NMH524" s="131"/>
      <c r="NMI524" s="131"/>
      <c r="NMJ524" s="131"/>
      <c r="NMK524" s="131"/>
      <c r="NML524" s="131"/>
      <c r="NMM524" s="131"/>
      <c r="NMN524" s="131"/>
      <c r="NMO524" s="131"/>
      <c r="NMP524" s="131"/>
      <c r="NMQ524" s="131"/>
      <c r="NMR524" s="131"/>
      <c r="NMS524" s="131"/>
      <c r="NMT524" s="131"/>
      <c r="NMU524" s="131"/>
      <c r="NMV524" s="131"/>
      <c r="NMW524" s="131"/>
      <c r="NMX524" s="131"/>
      <c r="NMY524" s="131"/>
      <c r="NMZ524" s="131"/>
      <c r="NNA524" s="131"/>
      <c r="NNB524" s="131"/>
      <c r="NNC524" s="131"/>
      <c r="NND524" s="131"/>
      <c r="NNE524" s="131"/>
      <c r="NNF524" s="131"/>
      <c r="NNG524" s="131"/>
      <c r="NNH524" s="131"/>
      <c r="NNI524" s="131"/>
      <c r="NNJ524" s="131"/>
      <c r="NNK524" s="131"/>
      <c r="NNL524" s="131"/>
      <c r="NNM524" s="131"/>
      <c r="NNN524" s="131"/>
      <c r="NNO524" s="131"/>
      <c r="NNP524" s="131"/>
      <c r="NNQ524" s="131"/>
      <c r="NNR524" s="131"/>
      <c r="NNS524" s="131"/>
      <c r="NNT524" s="131"/>
      <c r="NNU524" s="131"/>
      <c r="NNV524" s="131"/>
      <c r="NNW524" s="131"/>
      <c r="NNX524" s="131"/>
      <c r="NNY524" s="131"/>
      <c r="NNZ524" s="131"/>
      <c r="NOA524" s="131"/>
      <c r="NOB524" s="131"/>
      <c r="NOC524" s="131"/>
      <c r="NOD524" s="131"/>
      <c r="NOE524" s="131"/>
      <c r="NOF524" s="131"/>
      <c r="NOG524" s="131"/>
      <c r="NOH524" s="131"/>
      <c r="NOI524" s="131"/>
      <c r="NOJ524" s="131"/>
      <c r="NOK524" s="131"/>
      <c r="NOL524" s="131"/>
      <c r="NOM524" s="131"/>
      <c r="NON524" s="131"/>
      <c r="NOO524" s="131"/>
      <c r="NOP524" s="131"/>
      <c r="NOQ524" s="131"/>
      <c r="NOR524" s="131"/>
      <c r="NOS524" s="131"/>
      <c r="NOT524" s="131"/>
      <c r="NOU524" s="131"/>
      <c r="NOV524" s="131"/>
      <c r="NOW524" s="131"/>
      <c r="NOX524" s="131"/>
      <c r="NOY524" s="131"/>
      <c r="NOZ524" s="131"/>
      <c r="NPA524" s="131"/>
      <c r="NPB524" s="131"/>
      <c r="NPC524" s="131"/>
      <c r="NPD524" s="131"/>
      <c r="NPE524" s="131"/>
      <c r="NPF524" s="131"/>
      <c r="NPG524" s="131"/>
      <c r="NPH524" s="131"/>
      <c r="NPI524" s="131"/>
      <c r="NPJ524" s="131"/>
      <c r="NPK524" s="131"/>
      <c r="NPL524" s="131"/>
      <c r="NPM524" s="131"/>
      <c r="NPN524" s="131"/>
      <c r="NPO524" s="131"/>
      <c r="NPP524" s="131"/>
      <c r="NPQ524" s="131"/>
      <c r="NPR524" s="131"/>
      <c r="NPS524" s="131"/>
      <c r="NPT524" s="131"/>
      <c r="NPU524" s="131"/>
      <c r="NPV524" s="131"/>
      <c r="NPW524" s="131"/>
      <c r="NPX524" s="131"/>
      <c r="NPY524" s="131"/>
      <c r="NPZ524" s="131"/>
      <c r="NQA524" s="131"/>
      <c r="NQB524" s="131"/>
      <c r="NQC524" s="131"/>
      <c r="NQD524" s="131"/>
      <c r="NQE524" s="131"/>
      <c r="NQF524" s="131"/>
      <c r="NQG524" s="131"/>
      <c r="NQH524" s="131"/>
      <c r="NQI524" s="131"/>
      <c r="NQJ524" s="131"/>
      <c r="NQK524" s="131"/>
      <c r="NQL524" s="131"/>
      <c r="NQM524" s="131"/>
      <c r="NQN524" s="131"/>
      <c r="NQO524" s="131"/>
      <c r="NQP524" s="131"/>
      <c r="NQQ524" s="131"/>
      <c r="NQR524" s="131"/>
      <c r="NQS524" s="131"/>
      <c r="NQT524" s="131"/>
      <c r="NQU524" s="131"/>
      <c r="NQV524" s="131"/>
      <c r="NQW524" s="131"/>
      <c r="NQX524" s="131"/>
      <c r="NQY524" s="131"/>
      <c r="NQZ524" s="131"/>
      <c r="NRA524" s="131"/>
      <c r="NRB524" s="131"/>
      <c r="NRC524" s="131"/>
      <c r="NRD524" s="131"/>
      <c r="NRE524" s="131"/>
      <c r="NRF524" s="131"/>
      <c r="NRG524" s="131"/>
      <c r="NRH524" s="131"/>
      <c r="NRI524" s="131"/>
      <c r="NRJ524" s="131"/>
      <c r="NRK524" s="131"/>
      <c r="NRL524" s="131"/>
      <c r="NRM524" s="131"/>
      <c r="NRN524" s="131"/>
      <c r="NRO524" s="131"/>
      <c r="NRP524" s="131"/>
      <c r="NRQ524" s="131"/>
      <c r="NRR524" s="131"/>
      <c r="NRS524" s="131"/>
      <c r="NRT524" s="131"/>
      <c r="NRU524" s="131"/>
      <c r="NRV524" s="131"/>
      <c r="NRW524" s="131"/>
      <c r="NRX524" s="131"/>
      <c r="NRY524" s="131"/>
      <c r="NRZ524" s="131"/>
      <c r="NSA524" s="131"/>
      <c r="NSB524" s="131"/>
      <c r="NSC524" s="131"/>
      <c r="NSD524" s="131"/>
      <c r="NSE524" s="131"/>
      <c r="NSF524" s="131"/>
      <c r="NSG524" s="131"/>
      <c r="NSH524" s="131"/>
      <c r="NSI524" s="131"/>
      <c r="NSJ524" s="131"/>
      <c r="NSK524" s="131"/>
      <c r="NSL524" s="131"/>
      <c r="NSM524" s="131"/>
      <c r="NSN524" s="131"/>
      <c r="NSO524" s="131"/>
      <c r="NSP524" s="131"/>
      <c r="NSQ524" s="131"/>
      <c r="NSR524" s="131"/>
      <c r="NSS524" s="131"/>
      <c r="NST524" s="131"/>
      <c r="NSU524" s="131"/>
      <c r="NSV524" s="131"/>
      <c r="NSW524" s="131"/>
      <c r="NSX524" s="131"/>
      <c r="NSY524" s="131"/>
      <c r="NSZ524" s="131"/>
      <c r="NTA524" s="131"/>
      <c r="NTB524" s="131"/>
      <c r="NTC524" s="131"/>
      <c r="NTD524" s="131"/>
      <c r="NTE524" s="131"/>
      <c r="NTF524" s="131"/>
      <c r="NTG524" s="131"/>
      <c r="NTH524" s="131"/>
      <c r="NTI524" s="131"/>
      <c r="NTJ524" s="131"/>
      <c r="NTK524" s="131"/>
      <c r="NTL524" s="131"/>
      <c r="NTM524" s="131"/>
      <c r="NTN524" s="131"/>
      <c r="NTO524" s="131"/>
      <c r="NTP524" s="131"/>
      <c r="NTQ524" s="131"/>
      <c r="NTR524" s="131"/>
      <c r="NTS524" s="131"/>
      <c r="NTT524" s="131"/>
      <c r="NTU524" s="131"/>
      <c r="NTV524" s="131"/>
      <c r="NTW524" s="131"/>
      <c r="NTX524" s="131"/>
      <c r="NTY524" s="131"/>
      <c r="NTZ524" s="131"/>
      <c r="NUA524" s="131"/>
      <c r="NUB524" s="131"/>
      <c r="NUC524" s="131"/>
      <c r="NUD524" s="131"/>
      <c r="NUE524" s="131"/>
      <c r="NUF524" s="131"/>
      <c r="NUG524" s="131"/>
      <c r="NUH524" s="131"/>
      <c r="NUI524" s="131"/>
      <c r="NUJ524" s="131"/>
      <c r="NUK524" s="131"/>
      <c r="NUL524" s="131"/>
      <c r="NUM524" s="131"/>
      <c r="NUN524" s="131"/>
      <c r="NUO524" s="131"/>
      <c r="NUP524" s="131"/>
      <c r="NUQ524" s="131"/>
      <c r="NUR524" s="131"/>
      <c r="NUS524" s="131"/>
      <c r="NUT524" s="131"/>
      <c r="NUU524" s="131"/>
      <c r="NUV524" s="131"/>
      <c r="NUW524" s="131"/>
      <c r="NUX524" s="131"/>
      <c r="NUY524" s="131"/>
      <c r="NUZ524" s="131"/>
      <c r="NVA524" s="131"/>
      <c r="NVB524" s="131"/>
      <c r="NVC524" s="131"/>
      <c r="NVD524" s="131"/>
      <c r="NVE524" s="131"/>
      <c r="NVF524" s="131"/>
      <c r="NVG524" s="131"/>
      <c r="NVH524" s="131"/>
      <c r="NVI524" s="131"/>
      <c r="NVJ524" s="131"/>
      <c r="NVK524" s="131"/>
      <c r="NVL524" s="131"/>
      <c r="NVM524" s="131"/>
      <c r="NVN524" s="131"/>
      <c r="NVO524" s="131"/>
      <c r="NVP524" s="131"/>
      <c r="NVQ524" s="131"/>
      <c r="NVR524" s="131"/>
      <c r="NVS524" s="131"/>
      <c r="NVT524" s="131"/>
      <c r="NVU524" s="131"/>
      <c r="NVV524" s="131"/>
      <c r="NVW524" s="131"/>
      <c r="NVX524" s="131"/>
      <c r="NVY524" s="131"/>
      <c r="NVZ524" s="131"/>
      <c r="NWA524" s="131"/>
      <c r="NWB524" s="131"/>
      <c r="NWC524" s="131"/>
      <c r="NWD524" s="131"/>
      <c r="NWE524" s="131"/>
      <c r="NWF524" s="131"/>
      <c r="NWG524" s="131"/>
      <c r="NWH524" s="131"/>
      <c r="NWI524" s="131"/>
      <c r="NWJ524" s="131"/>
      <c r="NWK524" s="131"/>
      <c r="NWL524" s="131"/>
      <c r="NWM524" s="131"/>
      <c r="NWN524" s="131"/>
      <c r="NWO524" s="131"/>
      <c r="NWP524" s="131"/>
      <c r="NWQ524" s="131"/>
      <c r="NWR524" s="131"/>
      <c r="NWS524" s="131"/>
      <c r="NWT524" s="131"/>
      <c r="NWU524" s="131"/>
      <c r="NWV524" s="131"/>
      <c r="NWW524" s="131"/>
      <c r="NWX524" s="131"/>
      <c r="NWY524" s="131"/>
      <c r="NWZ524" s="131"/>
      <c r="NXA524" s="131"/>
      <c r="NXB524" s="131"/>
      <c r="NXC524" s="131"/>
      <c r="NXD524" s="131"/>
      <c r="NXE524" s="131"/>
      <c r="NXF524" s="131"/>
      <c r="NXG524" s="131"/>
      <c r="NXH524" s="131"/>
      <c r="NXI524" s="131"/>
      <c r="NXJ524" s="131"/>
      <c r="NXK524" s="131"/>
      <c r="NXL524" s="131"/>
      <c r="NXM524" s="131"/>
      <c r="NXN524" s="131"/>
      <c r="NXO524" s="131"/>
      <c r="NXP524" s="131"/>
      <c r="NXQ524" s="131"/>
      <c r="NXR524" s="131"/>
      <c r="NXS524" s="131"/>
      <c r="NXT524" s="131"/>
      <c r="NXU524" s="131"/>
      <c r="NXV524" s="131"/>
      <c r="NXW524" s="131"/>
      <c r="NXX524" s="131"/>
      <c r="NXY524" s="131"/>
      <c r="NXZ524" s="131"/>
      <c r="NYA524" s="131"/>
      <c r="NYB524" s="131"/>
      <c r="NYC524" s="131"/>
      <c r="NYD524" s="131"/>
      <c r="NYE524" s="131"/>
      <c r="NYF524" s="131"/>
      <c r="NYG524" s="131"/>
      <c r="NYH524" s="131"/>
      <c r="NYI524" s="131"/>
      <c r="NYJ524" s="131"/>
      <c r="NYK524" s="131"/>
      <c r="NYL524" s="131"/>
      <c r="NYM524" s="131"/>
      <c r="NYN524" s="131"/>
      <c r="NYO524" s="131"/>
      <c r="NYP524" s="131"/>
      <c r="NYQ524" s="131"/>
      <c r="NYR524" s="131"/>
      <c r="NYS524" s="131"/>
      <c r="NYT524" s="131"/>
      <c r="NYU524" s="131"/>
      <c r="NYV524" s="131"/>
      <c r="NYW524" s="131"/>
      <c r="NYX524" s="131"/>
      <c r="NYY524" s="131"/>
      <c r="NYZ524" s="131"/>
      <c r="NZA524" s="131"/>
      <c r="NZB524" s="131"/>
      <c r="NZC524" s="131"/>
      <c r="NZD524" s="131"/>
      <c r="NZE524" s="131"/>
      <c r="NZF524" s="131"/>
      <c r="NZG524" s="131"/>
      <c r="NZH524" s="131"/>
      <c r="NZI524" s="131"/>
      <c r="NZJ524" s="131"/>
      <c r="NZK524" s="131"/>
      <c r="NZL524" s="131"/>
      <c r="NZM524" s="131"/>
      <c r="NZN524" s="131"/>
      <c r="NZO524" s="131"/>
      <c r="NZP524" s="131"/>
      <c r="NZQ524" s="131"/>
      <c r="NZR524" s="131"/>
      <c r="NZS524" s="131"/>
      <c r="NZT524" s="131"/>
      <c r="NZU524" s="131"/>
      <c r="NZV524" s="131"/>
      <c r="NZW524" s="131"/>
      <c r="NZX524" s="131"/>
      <c r="NZY524" s="131"/>
      <c r="NZZ524" s="131"/>
      <c r="OAA524" s="131"/>
      <c r="OAB524" s="131"/>
      <c r="OAC524" s="131"/>
      <c r="OAD524" s="131"/>
      <c r="OAE524" s="131"/>
      <c r="OAF524" s="131"/>
      <c r="OAG524" s="131"/>
      <c r="OAH524" s="131"/>
      <c r="OAI524" s="131"/>
      <c r="OAJ524" s="131"/>
      <c r="OAK524" s="131"/>
      <c r="OAL524" s="131"/>
      <c r="OAM524" s="131"/>
      <c r="OAN524" s="131"/>
      <c r="OAO524" s="131"/>
      <c r="OAP524" s="131"/>
      <c r="OAQ524" s="131"/>
      <c r="OAR524" s="131"/>
      <c r="OAS524" s="131"/>
      <c r="OAT524" s="131"/>
      <c r="OAU524" s="131"/>
      <c r="OAV524" s="131"/>
      <c r="OAW524" s="131"/>
      <c r="OAX524" s="131"/>
      <c r="OAY524" s="131"/>
      <c r="OAZ524" s="131"/>
      <c r="OBA524" s="131"/>
      <c r="OBB524" s="131"/>
      <c r="OBC524" s="131"/>
      <c r="OBD524" s="131"/>
      <c r="OBE524" s="131"/>
      <c r="OBF524" s="131"/>
      <c r="OBG524" s="131"/>
      <c r="OBH524" s="131"/>
      <c r="OBI524" s="131"/>
      <c r="OBJ524" s="131"/>
      <c r="OBK524" s="131"/>
      <c r="OBL524" s="131"/>
      <c r="OBM524" s="131"/>
      <c r="OBN524" s="131"/>
      <c r="OBO524" s="131"/>
      <c r="OBP524" s="131"/>
      <c r="OBQ524" s="131"/>
      <c r="OBR524" s="131"/>
      <c r="OBS524" s="131"/>
      <c r="OBT524" s="131"/>
      <c r="OBU524" s="131"/>
      <c r="OBV524" s="131"/>
      <c r="OBW524" s="131"/>
      <c r="OBX524" s="131"/>
      <c r="OBY524" s="131"/>
      <c r="OBZ524" s="131"/>
      <c r="OCA524" s="131"/>
      <c r="OCB524" s="131"/>
      <c r="OCC524" s="131"/>
      <c r="OCD524" s="131"/>
      <c r="OCE524" s="131"/>
      <c r="OCF524" s="131"/>
      <c r="OCG524" s="131"/>
      <c r="OCH524" s="131"/>
      <c r="OCI524" s="131"/>
      <c r="OCJ524" s="131"/>
      <c r="OCK524" s="131"/>
      <c r="OCL524" s="131"/>
      <c r="OCM524" s="131"/>
      <c r="OCN524" s="131"/>
      <c r="OCO524" s="131"/>
      <c r="OCP524" s="131"/>
      <c r="OCQ524" s="131"/>
      <c r="OCR524" s="131"/>
      <c r="OCS524" s="131"/>
      <c r="OCT524" s="131"/>
      <c r="OCU524" s="131"/>
      <c r="OCV524" s="131"/>
      <c r="OCW524" s="131"/>
      <c r="OCX524" s="131"/>
      <c r="OCY524" s="131"/>
      <c r="OCZ524" s="131"/>
      <c r="ODA524" s="131"/>
      <c r="ODB524" s="131"/>
      <c r="ODC524" s="131"/>
      <c r="ODD524" s="131"/>
      <c r="ODE524" s="131"/>
      <c r="ODF524" s="131"/>
      <c r="ODG524" s="131"/>
      <c r="ODH524" s="131"/>
      <c r="ODI524" s="131"/>
      <c r="ODJ524" s="131"/>
      <c r="ODK524" s="131"/>
      <c r="ODL524" s="131"/>
      <c r="ODM524" s="131"/>
      <c r="ODN524" s="131"/>
      <c r="ODO524" s="131"/>
      <c r="ODP524" s="131"/>
      <c r="ODQ524" s="131"/>
      <c r="ODR524" s="131"/>
      <c r="ODS524" s="131"/>
      <c r="ODT524" s="131"/>
      <c r="ODU524" s="131"/>
      <c r="ODV524" s="131"/>
      <c r="ODW524" s="131"/>
      <c r="ODX524" s="131"/>
      <c r="ODY524" s="131"/>
      <c r="ODZ524" s="131"/>
      <c r="OEA524" s="131"/>
      <c r="OEB524" s="131"/>
      <c r="OEC524" s="131"/>
      <c r="OED524" s="131"/>
      <c r="OEE524" s="131"/>
      <c r="OEF524" s="131"/>
      <c r="OEG524" s="131"/>
      <c r="OEH524" s="131"/>
      <c r="OEI524" s="131"/>
      <c r="OEJ524" s="131"/>
      <c r="OEK524" s="131"/>
      <c r="OEL524" s="131"/>
      <c r="OEM524" s="131"/>
      <c r="OEN524" s="131"/>
      <c r="OEO524" s="131"/>
      <c r="OEP524" s="131"/>
      <c r="OEQ524" s="131"/>
      <c r="OER524" s="131"/>
      <c r="OES524" s="131"/>
      <c r="OET524" s="131"/>
      <c r="OEU524" s="131"/>
      <c r="OEV524" s="131"/>
      <c r="OEW524" s="131"/>
      <c r="OEX524" s="131"/>
      <c r="OEY524" s="131"/>
      <c r="OEZ524" s="131"/>
      <c r="OFA524" s="131"/>
      <c r="OFB524" s="131"/>
      <c r="OFC524" s="131"/>
      <c r="OFD524" s="131"/>
      <c r="OFE524" s="131"/>
      <c r="OFF524" s="131"/>
      <c r="OFG524" s="131"/>
      <c r="OFH524" s="131"/>
      <c r="OFI524" s="131"/>
      <c r="OFJ524" s="131"/>
      <c r="OFK524" s="131"/>
      <c r="OFL524" s="131"/>
      <c r="OFM524" s="131"/>
      <c r="OFN524" s="131"/>
      <c r="OFO524" s="131"/>
      <c r="OFP524" s="131"/>
      <c r="OFQ524" s="131"/>
      <c r="OFR524" s="131"/>
      <c r="OFS524" s="131"/>
      <c r="OFT524" s="131"/>
      <c r="OFU524" s="131"/>
      <c r="OFV524" s="131"/>
      <c r="OFW524" s="131"/>
      <c r="OFX524" s="131"/>
      <c r="OFY524" s="131"/>
      <c r="OFZ524" s="131"/>
      <c r="OGA524" s="131"/>
      <c r="OGB524" s="131"/>
      <c r="OGC524" s="131"/>
      <c r="OGD524" s="131"/>
      <c r="OGE524" s="131"/>
      <c r="OGF524" s="131"/>
      <c r="OGG524" s="131"/>
      <c r="OGH524" s="131"/>
      <c r="OGI524" s="131"/>
      <c r="OGJ524" s="131"/>
      <c r="OGK524" s="131"/>
      <c r="OGL524" s="131"/>
      <c r="OGM524" s="131"/>
      <c r="OGN524" s="131"/>
      <c r="OGO524" s="131"/>
      <c r="OGP524" s="131"/>
      <c r="OGQ524" s="131"/>
      <c r="OGR524" s="131"/>
      <c r="OGS524" s="131"/>
      <c r="OGT524" s="131"/>
      <c r="OGU524" s="131"/>
      <c r="OGV524" s="131"/>
      <c r="OGW524" s="131"/>
      <c r="OGX524" s="131"/>
      <c r="OGY524" s="131"/>
      <c r="OGZ524" s="131"/>
      <c r="OHA524" s="131"/>
      <c r="OHB524" s="131"/>
      <c r="OHC524" s="131"/>
      <c r="OHD524" s="131"/>
      <c r="OHE524" s="131"/>
      <c r="OHF524" s="131"/>
      <c r="OHG524" s="131"/>
      <c r="OHH524" s="131"/>
      <c r="OHI524" s="131"/>
      <c r="OHJ524" s="131"/>
      <c r="OHK524" s="131"/>
      <c r="OHL524" s="131"/>
      <c r="OHM524" s="131"/>
      <c r="OHN524" s="131"/>
      <c r="OHO524" s="131"/>
      <c r="OHP524" s="131"/>
      <c r="OHQ524" s="131"/>
      <c r="OHR524" s="131"/>
      <c r="OHS524" s="131"/>
      <c r="OHT524" s="131"/>
      <c r="OHU524" s="131"/>
      <c r="OHV524" s="131"/>
      <c r="OHW524" s="131"/>
      <c r="OHX524" s="131"/>
      <c r="OHY524" s="131"/>
      <c r="OHZ524" s="131"/>
      <c r="OIA524" s="131"/>
      <c r="OIB524" s="131"/>
      <c r="OIC524" s="131"/>
      <c r="OID524" s="131"/>
      <c r="OIE524" s="131"/>
      <c r="OIF524" s="131"/>
      <c r="OIG524" s="131"/>
      <c r="OIH524" s="131"/>
      <c r="OII524" s="131"/>
      <c r="OIJ524" s="131"/>
      <c r="OIK524" s="131"/>
      <c r="OIL524" s="131"/>
      <c r="OIM524" s="131"/>
      <c r="OIN524" s="131"/>
      <c r="OIO524" s="131"/>
      <c r="OIP524" s="131"/>
      <c r="OIQ524" s="131"/>
      <c r="OIR524" s="131"/>
      <c r="OIS524" s="131"/>
      <c r="OIT524" s="131"/>
      <c r="OIU524" s="131"/>
      <c r="OIV524" s="131"/>
      <c r="OIW524" s="131"/>
      <c r="OIX524" s="131"/>
      <c r="OIY524" s="131"/>
      <c r="OIZ524" s="131"/>
      <c r="OJA524" s="131"/>
      <c r="OJB524" s="131"/>
      <c r="OJC524" s="131"/>
      <c r="OJD524" s="131"/>
      <c r="OJE524" s="131"/>
      <c r="OJF524" s="131"/>
      <c r="OJG524" s="131"/>
      <c r="OJH524" s="131"/>
      <c r="OJI524" s="131"/>
      <c r="OJJ524" s="131"/>
      <c r="OJK524" s="131"/>
      <c r="OJL524" s="131"/>
      <c r="OJM524" s="131"/>
      <c r="OJN524" s="131"/>
      <c r="OJO524" s="131"/>
      <c r="OJP524" s="131"/>
      <c r="OJQ524" s="131"/>
      <c r="OJR524" s="131"/>
      <c r="OJS524" s="131"/>
      <c r="OJT524" s="131"/>
      <c r="OJU524" s="131"/>
      <c r="OJV524" s="131"/>
      <c r="OJW524" s="131"/>
      <c r="OJX524" s="131"/>
      <c r="OJY524" s="131"/>
      <c r="OJZ524" s="131"/>
      <c r="OKA524" s="131"/>
      <c r="OKB524" s="131"/>
      <c r="OKC524" s="131"/>
      <c r="OKD524" s="131"/>
      <c r="OKE524" s="131"/>
      <c r="OKF524" s="131"/>
      <c r="OKG524" s="131"/>
      <c r="OKH524" s="131"/>
      <c r="OKI524" s="131"/>
      <c r="OKJ524" s="131"/>
      <c r="OKK524" s="131"/>
      <c r="OKL524" s="131"/>
      <c r="OKM524" s="131"/>
      <c r="OKN524" s="131"/>
      <c r="OKO524" s="131"/>
      <c r="OKP524" s="131"/>
      <c r="OKQ524" s="131"/>
      <c r="OKR524" s="131"/>
      <c r="OKS524" s="131"/>
      <c r="OKT524" s="131"/>
      <c r="OKU524" s="131"/>
      <c r="OKV524" s="131"/>
      <c r="OKW524" s="131"/>
      <c r="OKX524" s="131"/>
      <c r="OKY524" s="131"/>
      <c r="OKZ524" s="131"/>
      <c r="OLA524" s="131"/>
      <c r="OLB524" s="131"/>
      <c r="OLC524" s="131"/>
      <c r="OLD524" s="131"/>
      <c r="OLE524" s="131"/>
      <c r="OLF524" s="131"/>
      <c r="OLG524" s="131"/>
      <c r="OLH524" s="131"/>
      <c r="OLI524" s="131"/>
      <c r="OLJ524" s="131"/>
      <c r="OLK524" s="131"/>
      <c r="OLL524" s="131"/>
      <c r="OLM524" s="131"/>
      <c r="OLN524" s="131"/>
      <c r="OLO524" s="131"/>
      <c r="OLP524" s="131"/>
      <c r="OLQ524" s="131"/>
      <c r="OLR524" s="131"/>
      <c r="OLS524" s="131"/>
      <c r="OLT524" s="131"/>
      <c r="OLU524" s="131"/>
      <c r="OLV524" s="131"/>
      <c r="OLW524" s="131"/>
      <c r="OLX524" s="131"/>
      <c r="OLY524" s="131"/>
      <c r="OLZ524" s="131"/>
      <c r="OMA524" s="131"/>
      <c r="OMB524" s="131"/>
      <c r="OMC524" s="131"/>
      <c r="OMD524" s="131"/>
      <c r="OME524" s="131"/>
      <c r="OMF524" s="131"/>
      <c r="OMG524" s="131"/>
      <c r="OMH524" s="131"/>
      <c r="OMI524" s="131"/>
      <c r="OMJ524" s="131"/>
      <c r="OMK524" s="131"/>
      <c r="OML524" s="131"/>
      <c r="OMM524" s="131"/>
      <c r="OMN524" s="131"/>
      <c r="OMO524" s="131"/>
      <c r="OMP524" s="131"/>
      <c r="OMQ524" s="131"/>
      <c r="OMR524" s="131"/>
      <c r="OMS524" s="131"/>
      <c r="OMT524" s="131"/>
      <c r="OMU524" s="131"/>
      <c r="OMV524" s="131"/>
      <c r="OMW524" s="131"/>
      <c r="OMX524" s="131"/>
      <c r="OMY524" s="131"/>
      <c r="OMZ524" s="131"/>
      <c r="ONA524" s="131"/>
      <c r="ONB524" s="131"/>
      <c r="ONC524" s="131"/>
      <c r="OND524" s="131"/>
      <c r="ONE524" s="131"/>
      <c r="ONF524" s="131"/>
      <c r="ONG524" s="131"/>
      <c r="ONH524" s="131"/>
      <c r="ONI524" s="131"/>
      <c r="ONJ524" s="131"/>
      <c r="ONK524" s="131"/>
      <c r="ONL524" s="131"/>
      <c r="ONM524" s="131"/>
      <c r="ONN524" s="131"/>
      <c r="ONO524" s="131"/>
      <c r="ONP524" s="131"/>
      <c r="ONQ524" s="131"/>
      <c r="ONR524" s="131"/>
      <c r="ONS524" s="131"/>
      <c r="ONT524" s="131"/>
      <c r="ONU524" s="131"/>
      <c r="ONV524" s="131"/>
      <c r="ONW524" s="131"/>
      <c r="ONX524" s="131"/>
      <c r="ONY524" s="131"/>
      <c r="ONZ524" s="131"/>
      <c r="OOA524" s="131"/>
      <c r="OOB524" s="131"/>
      <c r="OOC524" s="131"/>
      <c r="OOD524" s="131"/>
      <c r="OOE524" s="131"/>
      <c r="OOF524" s="131"/>
      <c r="OOG524" s="131"/>
      <c r="OOH524" s="131"/>
      <c r="OOI524" s="131"/>
      <c r="OOJ524" s="131"/>
      <c r="OOK524" s="131"/>
      <c r="OOL524" s="131"/>
      <c r="OOM524" s="131"/>
      <c r="OON524" s="131"/>
      <c r="OOO524" s="131"/>
      <c r="OOP524" s="131"/>
      <c r="OOQ524" s="131"/>
      <c r="OOR524" s="131"/>
      <c r="OOS524" s="131"/>
      <c r="OOT524" s="131"/>
      <c r="OOU524" s="131"/>
      <c r="OOV524" s="131"/>
      <c r="OOW524" s="131"/>
      <c r="OOX524" s="131"/>
      <c r="OOY524" s="131"/>
      <c r="OOZ524" s="131"/>
      <c r="OPA524" s="131"/>
      <c r="OPB524" s="131"/>
      <c r="OPC524" s="131"/>
      <c r="OPD524" s="131"/>
      <c r="OPE524" s="131"/>
      <c r="OPF524" s="131"/>
      <c r="OPG524" s="131"/>
      <c r="OPH524" s="131"/>
      <c r="OPI524" s="131"/>
      <c r="OPJ524" s="131"/>
      <c r="OPK524" s="131"/>
      <c r="OPL524" s="131"/>
      <c r="OPM524" s="131"/>
      <c r="OPN524" s="131"/>
      <c r="OPO524" s="131"/>
      <c r="OPP524" s="131"/>
      <c r="OPQ524" s="131"/>
      <c r="OPR524" s="131"/>
      <c r="OPS524" s="131"/>
      <c r="OPT524" s="131"/>
      <c r="OPU524" s="131"/>
      <c r="OPV524" s="131"/>
      <c r="OPW524" s="131"/>
      <c r="OPX524" s="131"/>
      <c r="OPY524" s="131"/>
      <c r="OPZ524" s="131"/>
      <c r="OQA524" s="131"/>
      <c r="OQB524" s="131"/>
      <c r="OQC524" s="131"/>
      <c r="OQD524" s="131"/>
      <c r="OQE524" s="131"/>
      <c r="OQF524" s="131"/>
      <c r="OQG524" s="131"/>
      <c r="OQH524" s="131"/>
      <c r="OQI524" s="131"/>
      <c r="OQJ524" s="131"/>
      <c r="OQK524" s="131"/>
      <c r="OQL524" s="131"/>
      <c r="OQM524" s="131"/>
      <c r="OQN524" s="131"/>
      <c r="OQO524" s="131"/>
      <c r="OQP524" s="131"/>
      <c r="OQQ524" s="131"/>
      <c r="OQR524" s="131"/>
      <c r="OQS524" s="131"/>
      <c r="OQT524" s="131"/>
      <c r="OQU524" s="131"/>
      <c r="OQV524" s="131"/>
      <c r="OQW524" s="131"/>
      <c r="OQX524" s="131"/>
      <c r="OQY524" s="131"/>
      <c r="OQZ524" s="131"/>
      <c r="ORA524" s="131"/>
      <c r="ORB524" s="131"/>
      <c r="ORC524" s="131"/>
      <c r="ORD524" s="131"/>
      <c r="ORE524" s="131"/>
      <c r="ORF524" s="131"/>
      <c r="ORG524" s="131"/>
      <c r="ORH524" s="131"/>
      <c r="ORI524" s="131"/>
      <c r="ORJ524" s="131"/>
      <c r="ORK524" s="131"/>
      <c r="ORL524" s="131"/>
      <c r="ORM524" s="131"/>
      <c r="ORN524" s="131"/>
      <c r="ORO524" s="131"/>
      <c r="ORP524" s="131"/>
      <c r="ORQ524" s="131"/>
      <c r="ORR524" s="131"/>
      <c r="ORS524" s="131"/>
      <c r="ORT524" s="131"/>
      <c r="ORU524" s="131"/>
      <c r="ORV524" s="131"/>
      <c r="ORW524" s="131"/>
      <c r="ORX524" s="131"/>
      <c r="ORY524" s="131"/>
      <c r="ORZ524" s="131"/>
      <c r="OSA524" s="131"/>
      <c r="OSB524" s="131"/>
      <c r="OSC524" s="131"/>
      <c r="OSD524" s="131"/>
      <c r="OSE524" s="131"/>
      <c r="OSF524" s="131"/>
      <c r="OSG524" s="131"/>
      <c r="OSH524" s="131"/>
      <c r="OSI524" s="131"/>
      <c r="OSJ524" s="131"/>
      <c r="OSK524" s="131"/>
      <c r="OSL524" s="131"/>
      <c r="OSM524" s="131"/>
      <c r="OSN524" s="131"/>
      <c r="OSO524" s="131"/>
      <c r="OSP524" s="131"/>
      <c r="OSQ524" s="131"/>
      <c r="OSR524" s="131"/>
      <c r="OSS524" s="131"/>
      <c r="OST524" s="131"/>
      <c r="OSU524" s="131"/>
      <c r="OSV524" s="131"/>
      <c r="OSW524" s="131"/>
      <c r="OSX524" s="131"/>
      <c r="OSY524" s="131"/>
      <c r="OSZ524" s="131"/>
      <c r="OTA524" s="131"/>
      <c r="OTB524" s="131"/>
      <c r="OTC524" s="131"/>
      <c r="OTD524" s="131"/>
      <c r="OTE524" s="131"/>
      <c r="OTF524" s="131"/>
      <c r="OTG524" s="131"/>
      <c r="OTH524" s="131"/>
      <c r="OTI524" s="131"/>
      <c r="OTJ524" s="131"/>
      <c r="OTK524" s="131"/>
      <c r="OTL524" s="131"/>
      <c r="OTM524" s="131"/>
      <c r="OTN524" s="131"/>
      <c r="OTO524" s="131"/>
      <c r="OTP524" s="131"/>
      <c r="OTQ524" s="131"/>
      <c r="OTR524" s="131"/>
      <c r="OTS524" s="131"/>
      <c r="OTT524" s="131"/>
      <c r="OTU524" s="131"/>
      <c r="OTV524" s="131"/>
      <c r="OTW524" s="131"/>
      <c r="OTX524" s="131"/>
      <c r="OTY524" s="131"/>
      <c r="OTZ524" s="131"/>
      <c r="OUA524" s="131"/>
      <c r="OUB524" s="131"/>
      <c r="OUC524" s="131"/>
      <c r="OUD524" s="131"/>
      <c r="OUE524" s="131"/>
      <c r="OUF524" s="131"/>
      <c r="OUG524" s="131"/>
      <c r="OUH524" s="131"/>
      <c r="OUI524" s="131"/>
      <c r="OUJ524" s="131"/>
      <c r="OUK524" s="131"/>
      <c r="OUL524" s="131"/>
      <c r="OUM524" s="131"/>
      <c r="OUN524" s="131"/>
      <c r="OUO524" s="131"/>
      <c r="OUP524" s="131"/>
      <c r="OUQ524" s="131"/>
      <c r="OUR524" s="131"/>
      <c r="OUS524" s="131"/>
      <c r="OUT524" s="131"/>
      <c r="OUU524" s="131"/>
      <c r="OUV524" s="131"/>
      <c r="OUW524" s="131"/>
      <c r="OUX524" s="131"/>
      <c r="OUY524" s="131"/>
      <c r="OUZ524" s="131"/>
      <c r="OVA524" s="131"/>
      <c r="OVB524" s="131"/>
      <c r="OVC524" s="131"/>
      <c r="OVD524" s="131"/>
      <c r="OVE524" s="131"/>
      <c r="OVF524" s="131"/>
      <c r="OVG524" s="131"/>
      <c r="OVH524" s="131"/>
      <c r="OVI524" s="131"/>
      <c r="OVJ524" s="131"/>
      <c r="OVK524" s="131"/>
      <c r="OVL524" s="131"/>
      <c r="OVM524" s="131"/>
      <c r="OVN524" s="131"/>
      <c r="OVO524" s="131"/>
      <c r="OVP524" s="131"/>
      <c r="OVQ524" s="131"/>
      <c r="OVR524" s="131"/>
      <c r="OVS524" s="131"/>
      <c r="OVT524" s="131"/>
      <c r="OVU524" s="131"/>
      <c r="OVV524" s="131"/>
      <c r="OVW524" s="131"/>
      <c r="OVX524" s="131"/>
      <c r="OVY524" s="131"/>
      <c r="OVZ524" s="131"/>
      <c r="OWA524" s="131"/>
      <c r="OWB524" s="131"/>
      <c r="OWC524" s="131"/>
      <c r="OWD524" s="131"/>
      <c r="OWE524" s="131"/>
      <c r="OWF524" s="131"/>
      <c r="OWG524" s="131"/>
      <c r="OWH524" s="131"/>
      <c r="OWI524" s="131"/>
      <c r="OWJ524" s="131"/>
      <c r="OWK524" s="131"/>
      <c r="OWL524" s="131"/>
      <c r="OWM524" s="131"/>
      <c r="OWN524" s="131"/>
      <c r="OWO524" s="131"/>
      <c r="OWP524" s="131"/>
      <c r="OWQ524" s="131"/>
      <c r="OWR524" s="131"/>
      <c r="OWS524" s="131"/>
      <c r="OWT524" s="131"/>
      <c r="OWU524" s="131"/>
      <c r="OWV524" s="131"/>
      <c r="OWW524" s="131"/>
      <c r="OWX524" s="131"/>
      <c r="OWY524" s="131"/>
      <c r="OWZ524" s="131"/>
      <c r="OXA524" s="131"/>
      <c r="OXB524" s="131"/>
      <c r="OXC524" s="131"/>
      <c r="OXD524" s="131"/>
      <c r="OXE524" s="131"/>
      <c r="OXF524" s="131"/>
      <c r="OXG524" s="131"/>
      <c r="OXH524" s="131"/>
      <c r="OXI524" s="131"/>
      <c r="OXJ524" s="131"/>
      <c r="OXK524" s="131"/>
      <c r="OXL524" s="131"/>
      <c r="OXM524" s="131"/>
      <c r="OXN524" s="131"/>
      <c r="OXO524" s="131"/>
      <c r="OXP524" s="131"/>
      <c r="OXQ524" s="131"/>
      <c r="OXR524" s="131"/>
      <c r="OXS524" s="131"/>
      <c r="OXT524" s="131"/>
      <c r="OXU524" s="131"/>
      <c r="OXV524" s="131"/>
      <c r="OXW524" s="131"/>
      <c r="OXX524" s="131"/>
      <c r="OXY524" s="131"/>
      <c r="OXZ524" s="131"/>
      <c r="OYA524" s="131"/>
      <c r="OYB524" s="131"/>
      <c r="OYC524" s="131"/>
      <c r="OYD524" s="131"/>
      <c r="OYE524" s="131"/>
      <c r="OYF524" s="131"/>
      <c r="OYG524" s="131"/>
      <c r="OYH524" s="131"/>
      <c r="OYI524" s="131"/>
      <c r="OYJ524" s="131"/>
      <c r="OYK524" s="131"/>
      <c r="OYL524" s="131"/>
      <c r="OYM524" s="131"/>
      <c r="OYN524" s="131"/>
      <c r="OYO524" s="131"/>
      <c r="OYP524" s="131"/>
      <c r="OYQ524" s="131"/>
      <c r="OYR524" s="131"/>
      <c r="OYS524" s="131"/>
      <c r="OYT524" s="131"/>
      <c r="OYU524" s="131"/>
      <c r="OYV524" s="131"/>
      <c r="OYW524" s="131"/>
      <c r="OYX524" s="131"/>
      <c r="OYY524" s="131"/>
      <c r="OYZ524" s="131"/>
      <c r="OZA524" s="131"/>
      <c r="OZB524" s="131"/>
      <c r="OZC524" s="131"/>
      <c r="OZD524" s="131"/>
      <c r="OZE524" s="131"/>
      <c r="OZF524" s="131"/>
      <c r="OZG524" s="131"/>
      <c r="OZH524" s="131"/>
      <c r="OZI524" s="131"/>
      <c r="OZJ524" s="131"/>
      <c r="OZK524" s="131"/>
      <c r="OZL524" s="131"/>
      <c r="OZM524" s="131"/>
      <c r="OZN524" s="131"/>
      <c r="OZO524" s="131"/>
      <c r="OZP524" s="131"/>
      <c r="OZQ524" s="131"/>
      <c r="OZR524" s="131"/>
      <c r="OZS524" s="131"/>
      <c r="OZT524" s="131"/>
      <c r="OZU524" s="131"/>
      <c r="OZV524" s="131"/>
      <c r="OZW524" s="131"/>
      <c r="OZX524" s="131"/>
      <c r="OZY524" s="131"/>
      <c r="OZZ524" s="131"/>
      <c r="PAA524" s="131"/>
      <c r="PAB524" s="131"/>
      <c r="PAC524" s="131"/>
      <c r="PAD524" s="131"/>
      <c r="PAE524" s="131"/>
      <c r="PAF524" s="131"/>
      <c r="PAG524" s="131"/>
      <c r="PAH524" s="131"/>
      <c r="PAI524" s="131"/>
      <c r="PAJ524" s="131"/>
      <c r="PAK524" s="131"/>
      <c r="PAL524" s="131"/>
      <c r="PAM524" s="131"/>
      <c r="PAN524" s="131"/>
      <c r="PAO524" s="131"/>
      <c r="PAP524" s="131"/>
      <c r="PAQ524" s="131"/>
      <c r="PAR524" s="131"/>
      <c r="PAS524" s="131"/>
      <c r="PAT524" s="131"/>
      <c r="PAU524" s="131"/>
      <c r="PAV524" s="131"/>
      <c r="PAW524" s="131"/>
      <c r="PAX524" s="131"/>
      <c r="PAY524" s="131"/>
      <c r="PAZ524" s="131"/>
      <c r="PBA524" s="131"/>
      <c r="PBB524" s="131"/>
      <c r="PBC524" s="131"/>
      <c r="PBD524" s="131"/>
      <c r="PBE524" s="131"/>
      <c r="PBF524" s="131"/>
      <c r="PBG524" s="131"/>
      <c r="PBH524" s="131"/>
      <c r="PBI524" s="131"/>
      <c r="PBJ524" s="131"/>
      <c r="PBK524" s="131"/>
      <c r="PBL524" s="131"/>
      <c r="PBM524" s="131"/>
      <c r="PBN524" s="131"/>
      <c r="PBO524" s="131"/>
      <c r="PBP524" s="131"/>
      <c r="PBQ524" s="131"/>
      <c r="PBR524" s="131"/>
      <c r="PBS524" s="131"/>
      <c r="PBT524" s="131"/>
      <c r="PBU524" s="131"/>
      <c r="PBV524" s="131"/>
      <c r="PBW524" s="131"/>
      <c r="PBX524" s="131"/>
      <c r="PBY524" s="131"/>
      <c r="PBZ524" s="131"/>
      <c r="PCA524" s="131"/>
      <c r="PCB524" s="131"/>
      <c r="PCC524" s="131"/>
      <c r="PCD524" s="131"/>
      <c r="PCE524" s="131"/>
      <c r="PCF524" s="131"/>
      <c r="PCG524" s="131"/>
      <c r="PCH524" s="131"/>
      <c r="PCI524" s="131"/>
      <c r="PCJ524" s="131"/>
      <c r="PCK524" s="131"/>
      <c r="PCL524" s="131"/>
      <c r="PCM524" s="131"/>
      <c r="PCN524" s="131"/>
      <c r="PCO524" s="131"/>
      <c r="PCP524" s="131"/>
      <c r="PCQ524" s="131"/>
      <c r="PCR524" s="131"/>
      <c r="PCS524" s="131"/>
      <c r="PCT524" s="131"/>
      <c r="PCU524" s="131"/>
      <c r="PCV524" s="131"/>
      <c r="PCW524" s="131"/>
      <c r="PCX524" s="131"/>
      <c r="PCY524" s="131"/>
      <c r="PCZ524" s="131"/>
      <c r="PDA524" s="131"/>
      <c r="PDB524" s="131"/>
      <c r="PDC524" s="131"/>
      <c r="PDD524" s="131"/>
      <c r="PDE524" s="131"/>
      <c r="PDF524" s="131"/>
      <c r="PDG524" s="131"/>
      <c r="PDH524" s="131"/>
      <c r="PDI524" s="131"/>
      <c r="PDJ524" s="131"/>
      <c r="PDK524" s="131"/>
      <c r="PDL524" s="131"/>
      <c r="PDM524" s="131"/>
      <c r="PDN524" s="131"/>
      <c r="PDO524" s="131"/>
      <c r="PDP524" s="131"/>
      <c r="PDQ524" s="131"/>
      <c r="PDR524" s="131"/>
      <c r="PDS524" s="131"/>
      <c r="PDT524" s="131"/>
      <c r="PDU524" s="131"/>
      <c r="PDV524" s="131"/>
      <c r="PDW524" s="131"/>
      <c r="PDX524" s="131"/>
      <c r="PDY524" s="131"/>
      <c r="PDZ524" s="131"/>
      <c r="PEA524" s="131"/>
      <c r="PEB524" s="131"/>
      <c r="PEC524" s="131"/>
      <c r="PED524" s="131"/>
      <c r="PEE524" s="131"/>
      <c r="PEF524" s="131"/>
      <c r="PEG524" s="131"/>
      <c r="PEH524" s="131"/>
      <c r="PEI524" s="131"/>
      <c r="PEJ524" s="131"/>
      <c r="PEK524" s="131"/>
      <c r="PEL524" s="131"/>
      <c r="PEM524" s="131"/>
      <c r="PEN524" s="131"/>
      <c r="PEO524" s="131"/>
      <c r="PEP524" s="131"/>
      <c r="PEQ524" s="131"/>
      <c r="PER524" s="131"/>
      <c r="PES524" s="131"/>
      <c r="PET524" s="131"/>
      <c r="PEU524" s="131"/>
      <c r="PEV524" s="131"/>
      <c r="PEW524" s="131"/>
      <c r="PEX524" s="131"/>
      <c r="PEY524" s="131"/>
      <c r="PEZ524" s="131"/>
      <c r="PFA524" s="131"/>
      <c r="PFB524" s="131"/>
      <c r="PFC524" s="131"/>
      <c r="PFD524" s="131"/>
      <c r="PFE524" s="131"/>
      <c r="PFF524" s="131"/>
      <c r="PFG524" s="131"/>
      <c r="PFH524" s="131"/>
      <c r="PFI524" s="131"/>
      <c r="PFJ524" s="131"/>
      <c r="PFK524" s="131"/>
      <c r="PFL524" s="131"/>
      <c r="PFM524" s="131"/>
      <c r="PFN524" s="131"/>
      <c r="PFO524" s="131"/>
      <c r="PFP524" s="131"/>
      <c r="PFQ524" s="131"/>
      <c r="PFR524" s="131"/>
      <c r="PFS524" s="131"/>
      <c r="PFT524" s="131"/>
      <c r="PFU524" s="131"/>
      <c r="PFV524" s="131"/>
      <c r="PFW524" s="131"/>
      <c r="PFX524" s="131"/>
      <c r="PFY524" s="131"/>
      <c r="PFZ524" s="131"/>
      <c r="PGA524" s="131"/>
      <c r="PGB524" s="131"/>
      <c r="PGC524" s="131"/>
      <c r="PGD524" s="131"/>
      <c r="PGE524" s="131"/>
      <c r="PGF524" s="131"/>
      <c r="PGG524" s="131"/>
      <c r="PGH524" s="131"/>
      <c r="PGI524" s="131"/>
      <c r="PGJ524" s="131"/>
      <c r="PGK524" s="131"/>
      <c r="PGL524" s="131"/>
      <c r="PGM524" s="131"/>
      <c r="PGN524" s="131"/>
      <c r="PGO524" s="131"/>
      <c r="PGP524" s="131"/>
      <c r="PGQ524" s="131"/>
      <c r="PGR524" s="131"/>
      <c r="PGS524" s="131"/>
      <c r="PGT524" s="131"/>
      <c r="PGU524" s="131"/>
      <c r="PGV524" s="131"/>
      <c r="PGW524" s="131"/>
      <c r="PGX524" s="131"/>
      <c r="PGY524" s="131"/>
      <c r="PGZ524" s="131"/>
      <c r="PHA524" s="131"/>
      <c r="PHB524" s="131"/>
      <c r="PHC524" s="131"/>
      <c r="PHD524" s="131"/>
      <c r="PHE524" s="131"/>
      <c r="PHF524" s="131"/>
      <c r="PHG524" s="131"/>
      <c r="PHH524" s="131"/>
      <c r="PHI524" s="131"/>
      <c r="PHJ524" s="131"/>
      <c r="PHK524" s="131"/>
      <c r="PHL524" s="131"/>
      <c r="PHM524" s="131"/>
      <c r="PHN524" s="131"/>
      <c r="PHO524" s="131"/>
      <c r="PHP524" s="131"/>
      <c r="PHQ524" s="131"/>
      <c r="PHR524" s="131"/>
      <c r="PHS524" s="131"/>
      <c r="PHT524" s="131"/>
      <c r="PHU524" s="131"/>
      <c r="PHV524" s="131"/>
      <c r="PHW524" s="131"/>
      <c r="PHX524" s="131"/>
      <c r="PHY524" s="131"/>
      <c r="PHZ524" s="131"/>
      <c r="PIA524" s="131"/>
      <c r="PIB524" s="131"/>
      <c r="PIC524" s="131"/>
      <c r="PID524" s="131"/>
      <c r="PIE524" s="131"/>
      <c r="PIF524" s="131"/>
      <c r="PIG524" s="131"/>
      <c r="PIH524" s="131"/>
      <c r="PII524" s="131"/>
      <c r="PIJ524" s="131"/>
      <c r="PIK524" s="131"/>
      <c r="PIL524" s="131"/>
      <c r="PIM524" s="131"/>
      <c r="PIN524" s="131"/>
      <c r="PIO524" s="131"/>
      <c r="PIP524" s="131"/>
      <c r="PIQ524" s="131"/>
      <c r="PIR524" s="131"/>
      <c r="PIS524" s="131"/>
      <c r="PIT524" s="131"/>
      <c r="PIU524" s="131"/>
      <c r="PIV524" s="131"/>
      <c r="PIW524" s="131"/>
      <c r="PIX524" s="131"/>
      <c r="PIY524" s="131"/>
      <c r="PIZ524" s="131"/>
      <c r="PJA524" s="131"/>
      <c r="PJB524" s="131"/>
      <c r="PJC524" s="131"/>
      <c r="PJD524" s="131"/>
      <c r="PJE524" s="131"/>
      <c r="PJF524" s="131"/>
      <c r="PJG524" s="131"/>
      <c r="PJH524" s="131"/>
      <c r="PJI524" s="131"/>
      <c r="PJJ524" s="131"/>
      <c r="PJK524" s="131"/>
      <c r="PJL524" s="131"/>
      <c r="PJM524" s="131"/>
      <c r="PJN524" s="131"/>
      <c r="PJO524" s="131"/>
      <c r="PJP524" s="131"/>
      <c r="PJQ524" s="131"/>
      <c r="PJR524" s="131"/>
      <c r="PJS524" s="131"/>
      <c r="PJT524" s="131"/>
      <c r="PJU524" s="131"/>
      <c r="PJV524" s="131"/>
      <c r="PJW524" s="131"/>
      <c r="PJX524" s="131"/>
      <c r="PJY524" s="131"/>
      <c r="PJZ524" s="131"/>
      <c r="PKA524" s="131"/>
      <c r="PKB524" s="131"/>
      <c r="PKC524" s="131"/>
      <c r="PKD524" s="131"/>
      <c r="PKE524" s="131"/>
      <c r="PKF524" s="131"/>
      <c r="PKG524" s="131"/>
      <c r="PKH524" s="131"/>
      <c r="PKI524" s="131"/>
      <c r="PKJ524" s="131"/>
      <c r="PKK524" s="131"/>
      <c r="PKL524" s="131"/>
      <c r="PKM524" s="131"/>
      <c r="PKN524" s="131"/>
      <c r="PKO524" s="131"/>
      <c r="PKP524" s="131"/>
      <c r="PKQ524" s="131"/>
      <c r="PKR524" s="131"/>
      <c r="PKS524" s="131"/>
      <c r="PKT524" s="131"/>
      <c r="PKU524" s="131"/>
      <c r="PKV524" s="131"/>
      <c r="PKW524" s="131"/>
      <c r="PKX524" s="131"/>
      <c r="PKY524" s="131"/>
      <c r="PKZ524" s="131"/>
      <c r="PLA524" s="131"/>
      <c r="PLB524" s="131"/>
      <c r="PLC524" s="131"/>
      <c r="PLD524" s="131"/>
      <c r="PLE524" s="131"/>
      <c r="PLF524" s="131"/>
      <c r="PLG524" s="131"/>
      <c r="PLH524" s="131"/>
      <c r="PLI524" s="131"/>
      <c r="PLJ524" s="131"/>
      <c r="PLK524" s="131"/>
      <c r="PLL524" s="131"/>
      <c r="PLM524" s="131"/>
      <c r="PLN524" s="131"/>
      <c r="PLO524" s="131"/>
      <c r="PLP524" s="131"/>
      <c r="PLQ524" s="131"/>
      <c r="PLR524" s="131"/>
      <c r="PLS524" s="131"/>
      <c r="PLT524" s="131"/>
      <c r="PLU524" s="131"/>
      <c r="PLV524" s="131"/>
      <c r="PLW524" s="131"/>
      <c r="PLX524" s="131"/>
      <c r="PLY524" s="131"/>
      <c r="PLZ524" s="131"/>
      <c r="PMA524" s="131"/>
      <c r="PMB524" s="131"/>
      <c r="PMC524" s="131"/>
      <c r="PMD524" s="131"/>
      <c r="PME524" s="131"/>
      <c r="PMF524" s="131"/>
      <c r="PMG524" s="131"/>
      <c r="PMH524" s="131"/>
      <c r="PMI524" s="131"/>
      <c r="PMJ524" s="131"/>
      <c r="PMK524" s="131"/>
      <c r="PML524" s="131"/>
      <c r="PMM524" s="131"/>
      <c r="PMN524" s="131"/>
      <c r="PMO524" s="131"/>
      <c r="PMP524" s="131"/>
      <c r="PMQ524" s="131"/>
      <c r="PMR524" s="131"/>
      <c r="PMS524" s="131"/>
      <c r="PMT524" s="131"/>
      <c r="PMU524" s="131"/>
      <c r="PMV524" s="131"/>
      <c r="PMW524" s="131"/>
      <c r="PMX524" s="131"/>
      <c r="PMY524" s="131"/>
      <c r="PMZ524" s="131"/>
      <c r="PNA524" s="131"/>
      <c r="PNB524" s="131"/>
      <c r="PNC524" s="131"/>
      <c r="PND524" s="131"/>
      <c r="PNE524" s="131"/>
      <c r="PNF524" s="131"/>
      <c r="PNG524" s="131"/>
      <c r="PNH524" s="131"/>
      <c r="PNI524" s="131"/>
      <c r="PNJ524" s="131"/>
      <c r="PNK524" s="131"/>
      <c r="PNL524" s="131"/>
      <c r="PNM524" s="131"/>
      <c r="PNN524" s="131"/>
      <c r="PNO524" s="131"/>
      <c r="PNP524" s="131"/>
      <c r="PNQ524" s="131"/>
      <c r="PNR524" s="131"/>
      <c r="PNS524" s="131"/>
      <c r="PNT524" s="131"/>
      <c r="PNU524" s="131"/>
      <c r="PNV524" s="131"/>
      <c r="PNW524" s="131"/>
      <c r="PNX524" s="131"/>
      <c r="PNY524" s="131"/>
      <c r="PNZ524" s="131"/>
      <c r="POA524" s="131"/>
      <c r="POB524" s="131"/>
      <c r="POC524" s="131"/>
      <c r="POD524" s="131"/>
      <c r="POE524" s="131"/>
      <c r="POF524" s="131"/>
      <c r="POG524" s="131"/>
      <c r="POH524" s="131"/>
      <c r="POI524" s="131"/>
      <c r="POJ524" s="131"/>
      <c r="POK524" s="131"/>
      <c r="POL524" s="131"/>
      <c r="POM524" s="131"/>
      <c r="PON524" s="131"/>
      <c r="POO524" s="131"/>
      <c r="POP524" s="131"/>
      <c r="POQ524" s="131"/>
      <c r="POR524" s="131"/>
      <c r="POS524" s="131"/>
      <c r="POT524" s="131"/>
      <c r="POU524" s="131"/>
      <c r="POV524" s="131"/>
      <c r="POW524" s="131"/>
      <c r="POX524" s="131"/>
      <c r="POY524" s="131"/>
      <c r="POZ524" s="131"/>
      <c r="PPA524" s="131"/>
      <c r="PPB524" s="131"/>
      <c r="PPC524" s="131"/>
      <c r="PPD524" s="131"/>
      <c r="PPE524" s="131"/>
      <c r="PPF524" s="131"/>
      <c r="PPG524" s="131"/>
      <c r="PPH524" s="131"/>
      <c r="PPI524" s="131"/>
      <c r="PPJ524" s="131"/>
      <c r="PPK524" s="131"/>
      <c r="PPL524" s="131"/>
      <c r="PPM524" s="131"/>
      <c r="PPN524" s="131"/>
      <c r="PPO524" s="131"/>
      <c r="PPP524" s="131"/>
      <c r="PPQ524" s="131"/>
      <c r="PPR524" s="131"/>
      <c r="PPS524" s="131"/>
      <c r="PPT524" s="131"/>
      <c r="PPU524" s="131"/>
      <c r="PPV524" s="131"/>
      <c r="PPW524" s="131"/>
      <c r="PPX524" s="131"/>
      <c r="PPY524" s="131"/>
      <c r="PPZ524" s="131"/>
      <c r="PQA524" s="131"/>
      <c r="PQB524" s="131"/>
      <c r="PQC524" s="131"/>
      <c r="PQD524" s="131"/>
      <c r="PQE524" s="131"/>
      <c r="PQF524" s="131"/>
      <c r="PQG524" s="131"/>
      <c r="PQH524" s="131"/>
      <c r="PQI524" s="131"/>
      <c r="PQJ524" s="131"/>
      <c r="PQK524" s="131"/>
      <c r="PQL524" s="131"/>
      <c r="PQM524" s="131"/>
      <c r="PQN524" s="131"/>
      <c r="PQO524" s="131"/>
      <c r="PQP524" s="131"/>
      <c r="PQQ524" s="131"/>
      <c r="PQR524" s="131"/>
      <c r="PQS524" s="131"/>
      <c r="PQT524" s="131"/>
      <c r="PQU524" s="131"/>
      <c r="PQV524" s="131"/>
      <c r="PQW524" s="131"/>
      <c r="PQX524" s="131"/>
      <c r="PQY524" s="131"/>
      <c r="PQZ524" s="131"/>
      <c r="PRA524" s="131"/>
      <c r="PRB524" s="131"/>
      <c r="PRC524" s="131"/>
      <c r="PRD524" s="131"/>
      <c r="PRE524" s="131"/>
      <c r="PRF524" s="131"/>
      <c r="PRG524" s="131"/>
      <c r="PRH524" s="131"/>
      <c r="PRI524" s="131"/>
      <c r="PRJ524" s="131"/>
      <c r="PRK524" s="131"/>
      <c r="PRL524" s="131"/>
      <c r="PRM524" s="131"/>
      <c r="PRN524" s="131"/>
      <c r="PRO524" s="131"/>
      <c r="PRP524" s="131"/>
      <c r="PRQ524" s="131"/>
      <c r="PRR524" s="131"/>
      <c r="PRS524" s="131"/>
      <c r="PRT524" s="131"/>
      <c r="PRU524" s="131"/>
      <c r="PRV524" s="131"/>
      <c r="PRW524" s="131"/>
      <c r="PRX524" s="131"/>
      <c r="PRY524" s="131"/>
      <c r="PRZ524" s="131"/>
      <c r="PSA524" s="131"/>
      <c r="PSB524" s="131"/>
      <c r="PSC524" s="131"/>
      <c r="PSD524" s="131"/>
      <c r="PSE524" s="131"/>
      <c r="PSF524" s="131"/>
      <c r="PSG524" s="131"/>
      <c r="PSH524" s="131"/>
      <c r="PSI524" s="131"/>
      <c r="PSJ524" s="131"/>
      <c r="PSK524" s="131"/>
      <c r="PSL524" s="131"/>
      <c r="PSM524" s="131"/>
      <c r="PSN524" s="131"/>
      <c r="PSO524" s="131"/>
      <c r="PSP524" s="131"/>
      <c r="PSQ524" s="131"/>
      <c r="PSR524" s="131"/>
      <c r="PSS524" s="131"/>
      <c r="PST524" s="131"/>
      <c r="PSU524" s="131"/>
      <c r="PSV524" s="131"/>
      <c r="PSW524" s="131"/>
      <c r="PSX524" s="131"/>
      <c r="PSY524" s="131"/>
      <c r="PSZ524" s="131"/>
      <c r="PTA524" s="131"/>
      <c r="PTB524" s="131"/>
      <c r="PTC524" s="131"/>
      <c r="PTD524" s="131"/>
      <c r="PTE524" s="131"/>
      <c r="PTF524" s="131"/>
      <c r="PTG524" s="131"/>
      <c r="PTH524" s="131"/>
      <c r="PTI524" s="131"/>
      <c r="PTJ524" s="131"/>
      <c r="PTK524" s="131"/>
      <c r="PTL524" s="131"/>
      <c r="PTM524" s="131"/>
      <c r="PTN524" s="131"/>
      <c r="PTO524" s="131"/>
      <c r="PTP524" s="131"/>
      <c r="PTQ524" s="131"/>
      <c r="PTR524" s="131"/>
      <c r="PTS524" s="131"/>
      <c r="PTT524" s="131"/>
      <c r="PTU524" s="131"/>
      <c r="PTV524" s="131"/>
      <c r="PTW524" s="131"/>
      <c r="PTX524" s="131"/>
      <c r="PTY524" s="131"/>
      <c r="PTZ524" s="131"/>
      <c r="PUA524" s="131"/>
      <c r="PUB524" s="131"/>
      <c r="PUC524" s="131"/>
      <c r="PUD524" s="131"/>
      <c r="PUE524" s="131"/>
      <c r="PUF524" s="131"/>
      <c r="PUG524" s="131"/>
      <c r="PUH524" s="131"/>
      <c r="PUI524" s="131"/>
      <c r="PUJ524" s="131"/>
      <c r="PUK524" s="131"/>
      <c r="PUL524" s="131"/>
      <c r="PUM524" s="131"/>
      <c r="PUN524" s="131"/>
      <c r="PUO524" s="131"/>
      <c r="PUP524" s="131"/>
      <c r="PUQ524" s="131"/>
      <c r="PUR524" s="131"/>
      <c r="PUS524" s="131"/>
      <c r="PUT524" s="131"/>
      <c r="PUU524" s="131"/>
      <c r="PUV524" s="131"/>
      <c r="PUW524" s="131"/>
      <c r="PUX524" s="131"/>
      <c r="PUY524" s="131"/>
      <c r="PUZ524" s="131"/>
      <c r="PVA524" s="131"/>
      <c r="PVB524" s="131"/>
      <c r="PVC524" s="131"/>
      <c r="PVD524" s="131"/>
      <c r="PVE524" s="131"/>
      <c r="PVF524" s="131"/>
      <c r="PVG524" s="131"/>
      <c r="PVH524" s="131"/>
      <c r="PVI524" s="131"/>
      <c r="PVJ524" s="131"/>
      <c r="PVK524" s="131"/>
      <c r="PVL524" s="131"/>
      <c r="PVM524" s="131"/>
      <c r="PVN524" s="131"/>
      <c r="PVO524" s="131"/>
      <c r="PVP524" s="131"/>
      <c r="PVQ524" s="131"/>
      <c r="PVR524" s="131"/>
      <c r="PVS524" s="131"/>
      <c r="PVT524" s="131"/>
      <c r="PVU524" s="131"/>
      <c r="PVV524" s="131"/>
      <c r="PVW524" s="131"/>
      <c r="PVX524" s="131"/>
      <c r="PVY524" s="131"/>
      <c r="PVZ524" s="131"/>
      <c r="PWA524" s="131"/>
      <c r="PWB524" s="131"/>
      <c r="PWC524" s="131"/>
      <c r="PWD524" s="131"/>
      <c r="PWE524" s="131"/>
      <c r="PWF524" s="131"/>
      <c r="PWG524" s="131"/>
      <c r="PWH524" s="131"/>
      <c r="PWI524" s="131"/>
      <c r="PWJ524" s="131"/>
      <c r="PWK524" s="131"/>
      <c r="PWL524" s="131"/>
      <c r="PWM524" s="131"/>
      <c r="PWN524" s="131"/>
      <c r="PWO524" s="131"/>
      <c r="PWP524" s="131"/>
      <c r="PWQ524" s="131"/>
      <c r="PWR524" s="131"/>
      <c r="PWS524" s="131"/>
      <c r="PWT524" s="131"/>
      <c r="PWU524" s="131"/>
      <c r="PWV524" s="131"/>
      <c r="PWW524" s="131"/>
      <c r="PWX524" s="131"/>
      <c r="PWY524" s="131"/>
      <c r="PWZ524" s="131"/>
      <c r="PXA524" s="131"/>
      <c r="PXB524" s="131"/>
      <c r="PXC524" s="131"/>
      <c r="PXD524" s="131"/>
      <c r="PXE524" s="131"/>
      <c r="PXF524" s="131"/>
      <c r="PXG524" s="131"/>
      <c r="PXH524" s="131"/>
      <c r="PXI524" s="131"/>
      <c r="PXJ524" s="131"/>
      <c r="PXK524" s="131"/>
      <c r="PXL524" s="131"/>
      <c r="PXM524" s="131"/>
      <c r="PXN524" s="131"/>
      <c r="PXO524" s="131"/>
      <c r="PXP524" s="131"/>
      <c r="PXQ524" s="131"/>
      <c r="PXR524" s="131"/>
      <c r="PXS524" s="131"/>
      <c r="PXT524" s="131"/>
      <c r="PXU524" s="131"/>
      <c r="PXV524" s="131"/>
      <c r="PXW524" s="131"/>
      <c r="PXX524" s="131"/>
      <c r="PXY524" s="131"/>
      <c r="PXZ524" s="131"/>
      <c r="PYA524" s="131"/>
      <c r="PYB524" s="131"/>
      <c r="PYC524" s="131"/>
      <c r="PYD524" s="131"/>
      <c r="PYE524" s="131"/>
      <c r="PYF524" s="131"/>
      <c r="PYG524" s="131"/>
      <c r="PYH524" s="131"/>
      <c r="PYI524" s="131"/>
      <c r="PYJ524" s="131"/>
      <c r="PYK524" s="131"/>
      <c r="PYL524" s="131"/>
      <c r="PYM524" s="131"/>
      <c r="PYN524" s="131"/>
      <c r="PYO524" s="131"/>
      <c r="PYP524" s="131"/>
      <c r="PYQ524" s="131"/>
      <c r="PYR524" s="131"/>
      <c r="PYS524" s="131"/>
      <c r="PYT524" s="131"/>
      <c r="PYU524" s="131"/>
      <c r="PYV524" s="131"/>
      <c r="PYW524" s="131"/>
      <c r="PYX524" s="131"/>
      <c r="PYY524" s="131"/>
      <c r="PYZ524" s="131"/>
      <c r="PZA524" s="131"/>
      <c r="PZB524" s="131"/>
      <c r="PZC524" s="131"/>
      <c r="PZD524" s="131"/>
      <c r="PZE524" s="131"/>
      <c r="PZF524" s="131"/>
      <c r="PZG524" s="131"/>
      <c r="PZH524" s="131"/>
      <c r="PZI524" s="131"/>
      <c r="PZJ524" s="131"/>
      <c r="PZK524" s="131"/>
      <c r="PZL524" s="131"/>
      <c r="PZM524" s="131"/>
      <c r="PZN524" s="131"/>
      <c r="PZO524" s="131"/>
      <c r="PZP524" s="131"/>
      <c r="PZQ524" s="131"/>
      <c r="PZR524" s="131"/>
      <c r="PZS524" s="131"/>
      <c r="PZT524" s="131"/>
      <c r="PZU524" s="131"/>
      <c r="PZV524" s="131"/>
      <c r="PZW524" s="131"/>
      <c r="PZX524" s="131"/>
      <c r="PZY524" s="131"/>
      <c r="PZZ524" s="131"/>
      <c r="QAA524" s="131"/>
      <c r="QAB524" s="131"/>
      <c r="QAC524" s="131"/>
      <c r="QAD524" s="131"/>
      <c r="QAE524" s="131"/>
      <c r="QAF524" s="131"/>
      <c r="QAG524" s="131"/>
      <c r="QAH524" s="131"/>
      <c r="QAI524" s="131"/>
      <c r="QAJ524" s="131"/>
      <c r="QAK524" s="131"/>
      <c r="QAL524" s="131"/>
      <c r="QAM524" s="131"/>
      <c r="QAN524" s="131"/>
      <c r="QAO524" s="131"/>
      <c r="QAP524" s="131"/>
      <c r="QAQ524" s="131"/>
      <c r="QAR524" s="131"/>
      <c r="QAS524" s="131"/>
      <c r="QAT524" s="131"/>
      <c r="QAU524" s="131"/>
      <c r="QAV524" s="131"/>
      <c r="QAW524" s="131"/>
      <c r="QAX524" s="131"/>
      <c r="QAY524" s="131"/>
      <c r="QAZ524" s="131"/>
      <c r="QBA524" s="131"/>
      <c r="QBB524" s="131"/>
      <c r="QBC524" s="131"/>
      <c r="QBD524" s="131"/>
      <c r="QBE524" s="131"/>
      <c r="QBF524" s="131"/>
      <c r="QBG524" s="131"/>
      <c r="QBH524" s="131"/>
      <c r="QBI524" s="131"/>
      <c r="QBJ524" s="131"/>
      <c r="QBK524" s="131"/>
      <c r="QBL524" s="131"/>
      <c r="QBM524" s="131"/>
      <c r="QBN524" s="131"/>
      <c r="QBO524" s="131"/>
      <c r="QBP524" s="131"/>
      <c r="QBQ524" s="131"/>
      <c r="QBR524" s="131"/>
      <c r="QBS524" s="131"/>
      <c r="QBT524" s="131"/>
      <c r="QBU524" s="131"/>
      <c r="QBV524" s="131"/>
      <c r="QBW524" s="131"/>
      <c r="QBX524" s="131"/>
      <c r="QBY524" s="131"/>
      <c r="QBZ524" s="131"/>
      <c r="QCA524" s="131"/>
      <c r="QCB524" s="131"/>
      <c r="QCC524" s="131"/>
      <c r="QCD524" s="131"/>
      <c r="QCE524" s="131"/>
      <c r="QCF524" s="131"/>
      <c r="QCG524" s="131"/>
      <c r="QCH524" s="131"/>
      <c r="QCI524" s="131"/>
      <c r="QCJ524" s="131"/>
      <c r="QCK524" s="131"/>
      <c r="QCL524" s="131"/>
      <c r="QCM524" s="131"/>
      <c r="QCN524" s="131"/>
      <c r="QCO524" s="131"/>
      <c r="QCP524" s="131"/>
      <c r="QCQ524" s="131"/>
      <c r="QCR524" s="131"/>
      <c r="QCS524" s="131"/>
      <c r="QCT524" s="131"/>
      <c r="QCU524" s="131"/>
      <c r="QCV524" s="131"/>
      <c r="QCW524" s="131"/>
      <c r="QCX524" s="131"/>
      <c r="QCY524" s="131"/>
      <c r="QCZ524" s="131"/>
      <c r="QDA524" s="131"/>
      <c r="QDB524" s="131"/>
      <c r="QDC524" s="131"/>
      <c r="QDD524" s="131"/>
      <c r="QDE524" s="131"/>
      <c r="QDF524" s="131"/>
      <c r="QDG524" s="131"/>
      <c r="QDH524" s="131"/>
      <c r="QDI524" s="131"/>
      <c r="QDJ524" s="131"/>
      <c r="QDK524" s="131"/>
      <c r="QDL524" s="131"/>
      <c r="QDM524" s="131"/>
      <c r="QDN524" s="131"/>
      <c r="QDO524" s="131"/>
      <c r="QDP524" s="131"/>
      <c r="QDQ524" s="131"/>
      <c r="QDR524" s="131"/>
      <c r="QDS524" s="131"/>
      <c r="QDT524" s="131"/>
      <c r="QDU524" s="131"/>
      <c r="QDV524" s="131"/>
      <c r="QDW524" s="131"/>
      <c r="QDX524" s="131"/>
      <c r="QDY524" s="131"/>
      <c r="QDZ524" s="131"/>
      <c r="QEA524" s="131"/>
      <c r="QEB524" s="131"/>
      <c r="QEC524" s="131"/>
      <c r="QED524" s="131"/>
      <c r="QEE524" s="131"/>
      <c r="QEF524" s="131"/>
      <c r="QEG524" s="131"/>
      <c r="QEH524" s="131"/>
      <c r="QEI524" s="131"/>
      <c r="QEJ524" s="131"/>
      <c r="QEK524" s="131"/>
      <c r="QEL524" s="131"/>
      <c r="QEM524" s="131"/>
      <c r="QEN524" s="131"/>
      <c r="QEO524" s="131"/>
      <c r="QEP524" s="131"/>
      <c r="QEQ524" s="131"/>
      <c r="QER524" s="131"/>
      <c r="QES524" s="131"/>
      <c r="QET524" s="131"/>
      <c r="QEU524" s="131"/>
      <c r="QEV524" s="131"/>
      <c r="QEW524" s="131"/>
      <c r="QEX524" s="131"/>
      <c r="QEY524" s="131"/>
      <c r="QEZ524" s="131"/>
      <c r="QFA524" s="131"/>
      <c r="QFB524" s="131"/>
      <c r="QFC524" s="131"/>
      <c r="QFD524" s="131"/>
      <c r="QFE524" s="131"/>
      <c r="QFF524" s="131"/>
      <c r="QFG524" s="131"/>
      <c r="QFH524" s="131"/>
      <c r="QFI524" s="131"/>
      <c r="QFJ524" s="131"/>
      <c r="QFK524" s="131"/>
      <c r="QFL524" s="131"/>
      <c r="QFM524" s="131"/>
      <c r="QFN524" s="131"/>
      <c r="QFO524" s="131"/>
      <c r="QFP524" s="131"/>
      <c r="QFQ524" s="131"/>
      <c r="QFR524" s="131"/>
      <c r="QFS524" s="131"/>
      <c r="QFT524" s="131"/>
      <c r="QFU524" s="131"/>
      <c r="QFV524" s="131"/>
      <c r="QFW524" s="131"/>
      <c r="QFX524" s="131"/>
      <c r="QFY524" s="131"/>
      <c r="QFZ524" s="131"/>
      <c r="QGA524" s="131"/>
      <c r="QGB524" s="131"/>
      <c r="QGC524" s="131"/>
      <c r="QGD524" s="131"/>
      <c r="QGE524" s="131"/>
      <c r="QGF524" s="131"/>
      <c r="QGG524" s="131"/>
      <c r="QGH524" s="131"/>
      <c r="QGI524" s="131"/>
      <c r="QGJ524" s="131"/>
      <c r="QGK524" s="131"/>
      <c r="QGL524" s="131"/>
      <c r="QGM524" s="131"/>
      <c r="QGN524" s="131"/>
      <c r="QGO524" s="131"/>
      <c r="QGP524" s="131"/>
      <c r="QGQ524" s="131"/>
      <c r="QGR524" s="131"/>
      <c r="QGS524" s="131"/>
      <c r="QGT524" s="131"/>
      <c r="QGU524" s="131"/>
      <c r="QGV524" s="131"/>
      <c r="QGW524" s="131"/>
      <c r="QGX524" s="131"/>
      <c r="QGY524" s="131"/>
      <c r="QGZ524" s="131"/>
      <c r="QHA524" s="131"/>
      <c r="QHB524" s="131"/>
      <c r="QHC524" s="131"/>
      <c r="QHD524" s="131"/>
      <c r="QHE524" s="131"/>
      <c r="QHF524" s="131"/>
      <c r="QHG524" s="131"/>
      <c r="QHH524" s="131"/>
      <c r="QHI524" s="131"/>
      <c r="QHJ524" s="131"/>
      <c r="QHK524" s="131"/>
      <c r="QHL524" s="131"/>
      <c r="QHM524" s="131"/>
      <c r="QHN524" s="131"/>
      <c r="QHO524" s="131"/>
      <c r="QHP524" s="131"/>
      <c r="QHQ524" s="131"/>
      <c r="QHR524" s="131"/>
      <c r="QHS524" s="131"/>
      <c r="QHT524" s="131"/>
      <c r="QHU524" s="131"/>
      <c r="QHV524" s="131"/>
      <c r="QHW524" s="131"/>
      <c r="QHX524" s="131"/>
      <c r="QHY524" s="131"/>
      <c r="QHZ524" s="131"/>
      <c r="QIA524" s="131"/>
      <c r="QIB524" s="131"/>
      <c r="QIC524" s="131"/>
      <c r="QID524" s="131"/>
      <c r="QIE524" s="131"/>
      <c r="QIF524" s="131"/>
      <c r="QIG524" s="131"/>
      <c r="QIH524" s="131"/>
      <c r="QII524" s="131"/>
      <c r="QIJ524" s="131"/>
      <c r="QIK524" s="131"/>
      <c r="QIL524" s="131"/>
      <c r="QIM524" s="131"/>
      <c r="QIN524" s="131"/>
      <c r="QIO524" s="131"/>
      <c r="QIP524" s="131"/>
      <c r="QIQ524" s="131"/>
      <c r="QIR524" s="131"/>
      <c r="QIS524" s="131"/>
      <c r="QIT524" s="131"/>
      <c r="QIU524" s="131"/>
      <c r="QIV524" s="131"/>
      <c r="QIW524" s="131"/>
      <c r="QIX524" s="131"/>
      <c r="QIY524" s="131"/>
      <c r="QIZ524" s="131"/>
      <c r="QJA524" s="131"/>
      <c r="QJB524" s="131"/>
      <c r="QJC524" s="131"/>
      <c r="QJD524" s="131"/>
      <c r="QJE524" s="131"/>
      <c r="QJF524" s="131"/>
      <c r="QJG524" s="131"/>
      <c r="QJH524" s="131"/>
      <c r="QJI524" s="131"/>
      <c r="QJJ524" s="131"/>
      <c r="QJK524" s="131"/>
      <c r="QJL524" s="131"/>
      <c r="QJM524" s="131"/>
      <c r="QJN524" s="131"/>
      <c r="QJO524" s="131"/>
      <c r="QJP524" s="131"/>
      <c r="QJQ524" s="131"/>
      <c r="QJR524" s="131"/>
      <c r="QJS524" s="131"/>
      <c r="QJT524" s="131"/>
      <c r="QJU524" s="131"/>
      <c r="QJV524" s="131"/>
      <c r="QJW524" s="131"/>
      <c r="QJX524" s="131"/>
      <c r="QJY524" s="131"/>
      <c r="QJZ524" s="131"/>
      <c r="QKA524" s="131"/>
      <c r="QKB524" s="131"/>
      <c r="QKC524" s="131"/>
      <c r="QKD524" s="131"/>
      <c r="QKE524" s="131"/>
      <c r="QKF524" s="131"/>
      <c r="QKG524" s="131"/>
      <c r="QKH524" s="131"/>
      <c r="QKI524" s="131"/>
      <c r="QKJ524" s="131"/>
      <c r="QKK524" s="131"/>
      <c r="QKL524" s="131"/>
      <c r="QKM524" s="131"/>
      <c r="QKN524" s="131"/>
      <c r="QKO524" s="131"/>
      <c r="QKP524" s="131"/>
      <c r="QKQ524" s="131"/>
      <c r="QKR524" s="131"/>
      <c r="QKS524" s="131"/>
      <c r="QKT524" s="131"/>
      <c r="QKU524" s="131"/>
      <c r="QKV524" s="131"/>
      <c r="QKW524" s="131"/>
      <c r="QKX524" s="131"/>
      <c r="QKY524" s="131"/>
      <c r="QKZ524" s="131"/>
      <c r="QLA524" s="131"/>
      <c r="QLB524" s="131"/>
      <c r="QLC524" s="131"/>
      <c r="QLD524" s="131"/>
      <c r="QLE524" s="131"/>
      <c r="QLF524" s="131"/>
      <c r="QLG524" s="131"/>
      <c r="QLH524" s="131"/>
      <c r="QLI524" s="131"/>
      <c r="QLJ524" s="131"/>
      <c r="QLK524" s="131"/>
      <c r="QLL524" s="131"/>
      <c r="QLM524" s="131"/>
      <c r="QLN524" s="131"/>
      <c r="QLO524" s="131"/>
      <c r="QLP524" s="131"/>
      <c r="QLQ524" s="131"/>
      <c r="QLR524" s="131"/>
      <c r="QLS524" s="131"/>
      <c r="QLT524" s="131"/>
      <c r="QLU524" s="131"/>
      <c r="QLV524" s="131"/>
      <c r="QLW524" s="131"/>
      <c r="QLX524" s="131"/>
      <c r="QLY524" s="131"/>
      <c r="QLZ524" s="131"/>
      <c r="QMA524" s="131"/>
      <c r="QMB524" s="131"/>
      <c r="QMC524" s="131"/>
      <c r="QMD524" s="131"/>
      <c r="QME524" s="131"/>
      <c r="QMF524" s="131"/>
      <c r="QMG524" s="131"/>
      <c r="QMH524" s="131"/>
      <c r="QMI524" s="131"/>
      <c r="QMJ524" s="131"/>
      <c r="QMK524" s="131"/>
      <c r="QML524" s="131"/>
      <c r="QMM524" s="131"/>
      <c r="QMN524" s="131"/>
      <c r="QMO524" s="131"/>
      <c r="QMP524" s="131"/>
      <c r="QMQ524" s="131"/>
      <c r="QMR524" s="131"/>
      <c r="QMS524" s="131"/>
      <c r="QMT524" s="131"/>
      <c r="QMU524" s="131"/>
      <c r="QMV524" s="131"/>
      <c r="QMW524" s="131"/>
      <c r="QMX524" s="131"/>
      <c r="QMY524" s="131"/>
      <c r="QMZ524" s="131"/>
      <c r="QNA524" s="131"/>
      <c r="QNB524" s="131"/>
      <c r="QNC524" s="131"/>
      <c r="QND524" s="131"/>
      <c r="QNE524" s="131"/>
      <c r="QNF524" s="131"/>
      <c r="QNG524" s="131"/>
      <c r="QNH524" s="131"/>
      <c r="QNI524" s="131"/>
      <c r="QNJ524" s="131"/>
      <c r="QNK524" s="131"/>
      <c r="QNL524" s="131"/>
      <c r="QNM524" s="131"/>
      <c r="QNN524" s="131"/>
      <c r="QNO524" s="131"/>
      <c r="QNP524" s="131"/>
      <c r="QNQ524" s="131"/>
      <c r="QNR524" s="131"/>
      <c r="QNS524" s="131"/>
      <c r="QNT524" s="131"/>
      <c r="QNU524" s="131"/>
      <c r="QNV524" s="131"/>
      <c r="QNW524" s="131"/>
      <c r="QNX524" s="131"/>
      <c r="QNY524" s="131"/>
      <c r="QNZ524" s="131"/>
      <c r="QOA524" s="131"/>
      <c r="QOB524" s="131"/>
      <c r="QOC524" s="131"/>
      <c r="QOD524" s="131"/>
      <c r="QOE524" s="131"/>
      <c r="QOF524" s="131"/>
      <c r="QOG524" s="131"/>
      <c r="QOH524" s="131"/>
      <c r="QOI524" s="131"/>
      <c r="QOJ524" s="131"/>
      <c r="QOK524" s="131"/>
      <c r="QOL524" s="131"/>
      <c r="QOM524" s="131"/>
      <c r="QON524" s="131"/>
      <c r="QOO524" s="131"/>
      <c r="QOP524" s="131"/>
      <c r="QOQ524" s="131"/>
      <c r="QOR524" s="131"/>
      <c r="QOS524" s="131"/>
      <c r="QOT524" s="131"/>
      <c r="QOU524" s="131"/>
      <c r="QOV524" s="131"/>
      <c r="QOW524" s="131"/>
      <c r="QOX524" s="131"/>
      <c r="QOY524" s="131"/>
      <c r="QOZ524" s="131"/>
      <c r="QPA524" s="131"/>
      <c r="QPB524" s="131"/>
      <c r="QPC524" s="131"/>
      <c r="QPD524" s="131"/>
      <c r="QPE524" s="131"/>
      <c r="QPF524" s="131"/>
      <c r="QPG524" s="131"/>
      <c r="QPH524" s="131"/>
      <c r="QPI524" s="131"/>
      <c r="QPJ524" s="131"/>
      <c r="QPK524" s="131"/>
      <c r="QPL524" s="131"/>
      <c r="QPM524" s="131"/>
      <c r="QPN524" s="131"/>
      <c r="QPO524" s="131"/>
      <c r="QPP524" s="131"/>
      <c r="QPQ524" s="131"/>
      <c r="QPR524" s="131"/>
      <c r="QPS524" s="131"/>
      <c r="QPT524" s="131"/>
      <c r="QPU524" s="131"/>
      <c r="QPV524" s="131"/>
      <c r="QPW524" s="131"/>
      <c r="QPX524" s="131"/>
      <c r="QPY524" s="131"/>
      <c r="QPZ524" s="131"/>
      <c r="QQA524" s="131"/>
      <c r="QQB524" s="131"/>
      <c r="QQC524" s="131"/>
      <c r="QQD524" s="131"/>
      <c r="QQE524" s="131"/>
      <c r="QQF524" s="131"/>
      <c r="QQG524" s="131"/>
      <c r="QQH524" s="131"/>
      <c r="QQI524" s="131"/>
      <c r="QQJ524" s="131"/>
      <c r="QQK524" s="131"/>
      <c r="QQL524" s="131"/>
      <c r="QQM524" s="131"/>
      <c r="QQN524" s="131"/>
      <c r="QQO524" s="131"/>
      <c r="QQP524" s="131"/>
      <c r="QQQ524" s="131"/>
      <c r="QQR524" s="131"/>
      <c r="QQS524" s="131"/>
      <c r="QQT524" s="131"/>
      <c r="QQU524" s="131"/>
      <c r="QQV524" s="131"/>
      <c r="QQW524" s="131"/>
      <c r="QQX524" s="131"/>
      <c r="QQY524" s="131"/>
      <c r="QQZ524" s="131"/>
      <c r="QRA524" s="131"/>
      <c r="QRB524" s="131"/>
      <c r="QRC524" s="131"/>
      <c r="QRD524" s="131"/>
      <c r="QRE524" s="131"/>
      <c r="QRF524" s="131"/>
      <c r="QRG524" s="131"/>
      <c r="QRH524" s="131"/>
      <c r="QRI524" s="131"/>
      <c r="QRJ524" s="131"/>
      <c r="QRK524" s="131"/>
      <c r="QRL524" s="131"/>
      <c r="QRM524" s="131"/>
      <c r="QRN524" s="131"/>
      <c r="QRO524" s="131"/>
      <c r="QRP524" s="131"/>
      <c r="QRQ524" s="131"/>
      <c r="QRR524" s="131"/>
      <c r="QRS524" s="131"/>
      <c r="QRT524" s="131"/>
      <c r="QRU524" s="131"/>
      <c r="QRV524" s="131"/>
      <c r="QRW524" s="131"/>
      <c r="QRX524" s="131"/>
      <c r="QRY524" s="131"/>
      <c r="QRZ524" s="131"/>
      <c r="QSA524" s="131"/>
      <c r="QSB524" s="131"/>
      <c r="QSC524" s="131"/>
      <c r="QSD524" s="131"/>
      <c r="QSE524" s="131"/>
      <c r="QSF524" s="131"/>
      <c r="QSG524" s="131"/>
      <c r="QSH524" s="131"/>
      <c r="QSI524" s="131"/>
      <c r="QSJ524" s="131"/>
      <c r="QSK524" s="131"/>
      <c r="QSL524" s="131"/>
      <c r="QSM524" s="131"/>
      <c r="QSN524" s="131"/>
      <c r="QSO524" s="131"/>
      <c r="QSP524" s="131"/>
      <c r="QSQ524" s="131"/>
      <c r="QSR524" s="131"/>
      <c r="QSS524" s="131"/>
      <c r="QST524" s="131"/>
      <c r="QSU524" s="131"/>
      <c r="QSV524" s="131"/>
      <c r="QSW524" s="131"/>
      <c r="QSX524" s="131"/>
      <c r="QSY524" s="131"/>
      <c r="QSZ524" s="131"/>
      <c r="QTA524" s="131"/>
      <c r="QTB524" s="131"/>
      <c r="QTC524" s="131"/>
      <c r="QTD524" s="131"/>
      <c r="QTE524" s="131"/>
      <c r="QTF524" s="131"/>
      <c r="QTG524" s="131"/>
      <c r="QTH524" s="131"/>
      <c r="QTI524" s="131"/>
      <c r="QTJ524" s="131"/>
      <c r="QTK524" s="131"/>
      <c r="QTL524" s="131"/>
      <c r="QTM524" s="131"/>
      <c r="QTN524" s="131"/>
      <c r="QTO524" s="131"/>
      <c r="QTP524" s="131"/>
      <c r="QTQ524" s="131"/>
      <c r="QTR524" s="131"/>
      <c r="QTS524" s="131"/>
      <c r="QTT524" s="131"/>
      <c r="QTU524" s="131"/>
      <c r="QTV524" s="131"/>
      <c r="QTW524" s="131"/>
      <c r="QTX524" s="131"/>
      <c r="QTY524" s="131"/>
      <c r="QTZ524" s="131"/>
      <c r="QUA524" s="131"/>
      <c r="QUB524" s="131"/>
      <c r="QUC524" s="131"/>
      <c r="QUD524" s="131"/>
      <c r="QUE524" s="131"/>
      <c r="QUF524" s="131"/>
      <c r="QUG524" s="131"/>
      <c r="QUH524" s="131"/>
      <c r="QUI524" s="131"/>
      <c r="QUJ524" s="131"/>
      <c r="QUK524" s="131"/>
      <c r="QUL524" s="131"/>
      <c r="QUM524" s="131"/>
      <c r="QUN524" s="131"/>
      <c r="QUO524" s="131"/>
      <c r="QUP524" s="131"/>
      <c r="QUQ524" s="131"/>
      <c r="QUR524" s="131"/>
      <c r="QUS524" s="131"/>
      <c r="QUT524" s="131"/>
      <c r="QUU524" s="131"/>
      <c r="QUV524" s="131"/>
      <c r="QUW524" s="131"/>
      <c r="QUX524" s="131"/>
      <c r="QUY524" s="131"/>
      <c r="QUZ524" s="131"/>
      <c r="QVA524" s="131"/>
      <c r="QVB524" s="131"/>
      <c r="QVC524" s="131"/>
      <c r="QVD524" s="131"/>
      <c r="QVE524" s="131"/>
      <c r="QVF524" s="131"/>
      <c r="QVG524" s="131"/>
      <c r="QVH524" s="131"/>
      <c r="QVI524" s="131"/>
      <c r="QVJ524" s="131"/>
      <c r="QVK524" s="131"/>
      <c r="QVL524" s="131"/>
      <c r="QVM524" s="131"/>
      <c r="QVN524" s="131"/>
      <c r="QVO524" s="131"/>
      <c r="QVP524" s="131"/>
      <c r="QVQ524" s="131"/>
      <c r="QVR524" s="131"/>
      <c r="QVS524" s="131"/>
      <c r="QVT524" s="131"/>
      <c r="QVU524" s="131"/>
      <c r="QVV524" s="131"/>
      <c r="QVW524" s="131"/>
      <c r="QVX524" s="131"/>
      <c r="QVY524" s="131"/>
      <c r="QVZ524" s="131"/>
      <c r="QWA524" s="131"/>
      <c r="QWB524" s="131"/>
      <c r="QWC524" s="131"/>
      <c r="QWD524" s="131"/>
      <c r="QWE524" s="131"/>
      <c r="QWF524" s="131"/>
      <c r="QWG524" s="131"/>
      <c r="QWH524" s="131"/>
      <c r="QWI524" s="131"/>
      <c r="QWJ524" s="131"/>
      <c r="QWK524" s="131"/>
      <c r="QWL524" s="131"/>
      <c r="QWM524" s="131"/>
      <c r="QWN524" s="131"/>
      <c r="QWO524" s="131"/>
      <c r="QWP524" s="131"/>
      <c r="QWQ524" s="131"/>
      <c r="QWR524" s="131"/>
      <c r="QWS524" s="131"/>
      <c r="QWT524" s="131"/>
      <c r="QWU524" s="131"/>
      <c r="QWV524" s="131"/>
      <c r="QWW524" s="131"/>
      <c r="QWX524" s="131"/>
      <c r="QWY524" s="131"/>
      <c r="QWZ524" s="131"/>
      <c r="QXA524" s="131"/>
      <c r="QXB524" s="131"/>
      <c r="QXC524" s="131"/>
      <c r="QXD524" s="131"/>
      <c r="QXE524" s="131"/>
      <c r="QXF524" s="131"/>
      <c r="QXG524" s="131"/>
      <c r="QXH524" s="131"/>
      <c r="QXI524" s="131"/>
      <c r="QXJ524" s="131"/>
      <c r="QXK524" s="131"/>
      <c r="QXL524" s="131"/>
      <c r="QXM524" s="131"/>
      <c r="QXN524" s="131"/>
      <c r="QXO524" s="131"/>
      <c r="QXP524" s="131"/>
      <c r="QXQ524" s="131"/>
      <c r="QXR524" s="131"/>
      <c r="QXS524" s="131"/>
      <c r="QXT524" s="131"/>
      <c r="QXU524" s="131"/>
      <c r="QXV524" s="131"/>
      <c r="QXW524" s="131"/>
      <c r="QXX524" s="131"/>
      <c r="QXY524" s="131"/>
      <c r="QXZ524" s="131"/>
      <c r="QYA524" s="131"/>
      <c r="QYB524" s="131"/>
      <c r="QYC524" s="131"/>
      <c r="QYD524" s="131"/>
      <c r="QYE524" s="131"/>
      <c r="QYF524" s="131"/>
      <c r="QYG524" s="131"/>
      <c r="QYH524" s="131"/>
      <c r="QYI524" s="131"/>
      <c r="QYJ524" s="131"/>
      <c r="QYK524" s="131"/>
      <c r="QYL524" s="131"/>
      <c r="QYM524" s="131"/>
      <c r="QYN524" s="131"/>
      <c r="QYO524" s="131"/>
      <c r="QYP524" s="131"/>
      <c r="QYQ524" s="131"/>
      <c r="QYR524" s="131"/>
      <c r="QYS524" s="131"/>
      <c r="QYT524" s="131"/>
      <c r="QYU524" s="131"/>
      <c r="QYV524" s="131"/>
      <c r="QYW524" s="131"/>
      <c r="QYX524" s="131"/>
      <c r="QYY524" s="131"/>
      <c r="QYZ524" s="131"/>
      <c r="QZA524" s="131"/>
      <c r="QZB524" s="131"/>
      <c r="QZC524" s="131"/>
      <c r="QZD524" s="131"/>
      <c r="QZE524" s="131"/>
      <c r="QZF524" s="131"/>
      <c r="QZG524" s="131"/>
      <c r="QZH524" s="131"/>
      <c r="QZI524" s="131"/>
      <c r="QZJ524" s="131"/>
      <c r="QZK524" s="131"/>
      <c r="QZL524" s="131"/>
      <c r="QZM524" s="131"/>
      <c r="QZN524" s="131"/>
      <c r="QZO524" s="131"/>
      <c r="QZP524" s="131"/>
      <c r="QZQ524" s="131"/>
      <c r="QZR524" s="131"/>
      <c r="QZS524" s="131"/>
      <c r="QZT524" s="131"/>
      <c r="QZU524" s="131"/>
      <c r="QZV524" s="131"/>
      <c r="QZW524" s="131"/>
      <c r="QZX524" s="131"/>
      <c r="QZY524" s="131"/>
      <c r="QZZ524" s="131"/>
      <c r="RAA524" s="131"/>
      <c r="RAB524" s="131"/>
      <c r="RAC524" s="131"/>
      <c r="RAD524" s="131"/>
      <c r="RAE524" s="131"/>
      <c r="RAF524" s="131"/>
      <c r="RAG524" s="131"/>
      <c r="RAH524" s="131"/>
      <c r="RAI524" s="131"/>
      <c r="RAJ524" s="131"/>
      <c r="RAK524" s="131"/>
      <c r="RAL524" s="131"/>
      <c r="RAM524" s="131"/>
      <c r="RAN524" s="131"/>
      <c r="RAO524" s="131"/>
      <c r="RAP524" s="131"/>
      <c r="RAQ524" s="131"/>
      <c r="RAR524" s="131"/>
      <c r="RAS524" s="131"/>
      <c r="RAT524" s="131"/>
      <c r="RAU524" s="131"/>
      <c r="RAV524" s="131"/>
      <c r="RAW524" s="131"/>
      <c r="RAX524" s="131"/>
      <c r="RAY524" s="131"/>
      <c r="RAZ524" s="131"/>
      <c r="RBA524" s="131"/>
      <c r="RBB524" s="131"/>
      <c r="RBC524" s="131"/>
      <c r="RBD524" s="131"/>
      <c r="RBE524" s="131"/>
      <c r="RBF524" s="131"/>
      <c r="RBG524" s="131"/>
      <c r="RBH524" s="131"/>
      <c r="RBI524" s="131"/>
      <c r="RBJ524" s="131"/>
      <c r="RBK524" s="131"/>
      <c r="RBL524" s="131"/>
      <c r="RBM524" s="131"/>
      <c r="RBN524" s="131"/>
      <c r="RBO524" s="131"/>
      <c r="RBP524" s="131"/>
      <c r="RBQ524" s="131"/>
      <c r="RBR524" s="131"/>
      <c r="RBS524" s="131"/>
      <c r="RBT524" s="131"/>
      <c r="RBU524" s="131"/>
      <c r="RBV524" s="131"/>
      <c r="RBW524" s="131"/>
      <c r="RBX524" s="131"/>
      <c r="RBY524" s="131"/>
      <c r="RBZ524" s="131"/>
      <c r="RCA524" s="131"/>
      <c r="RCB524" s="131"/>
      <c r="RCC524" s="131"/>
      <c r="RCD524" s="131"/>
      <c r="RCE524" s="131"/>
      <c r="RCF524" s="131"/>
      <c r="RCG524" s="131"/>
      <c r="RCH524" s="131"/>
      <c r="RCI524" s="131"/>
      <c r="RCJ524" s="131"/>
      <c r="RCK524" s="131"/>
      <c r="RCL524" s="131"/>
      <c r="RCM524" s="131"/>
      <c r="RCN524" s="131"/>
      <c r="RCO524" s="131"/>
      <c r="RCP524" s="131"/>
      <c r="RCQ524" s="131"/>
      <c r="RCR524" s="131"/>
      <c r="RCS524" s="131"/>
      <c r="RCT524" s="131"/>
      <c r="RCU524" s="131"/>
      <c r="RCV524" s="131"/>
      <c r="RCW524" s="131"/>
      <c r="RCX524" s="131"/>
      <c r="RCY524" s="131"/>
      <c r="RCZ524" s="131"/>
      <c r="RDA524" s="131"/>
      <c r="RDB524" s="131"/>
      <c r="RDC524" s="131"/>
      <c r="RDD524" s="131"/>
      <c r="RDE524" s="131"/>
      <c r="RDF524" s="131"/>
      <c r="RDG524" s="131"/>
      <c r="RDH524" s="131"/>
      <c r="RDI524" s="131"/>
      <c r="RDJ524" s="131"/>
      <c r="RDK524" s="131"/>
      <c r="RDL524" s="131"/>
      <c r="RDM524" s="131"/>
      <c r="RDN524" s="131"/>
      <c r="RDO524" s="131"/>
      <c r="RDP524" s="131"/>
      <c r="RDQ524" s="131"/>
      <c r="RDR524" s="131"/>
      <c r="RDS524" s="131"/>
      <c r="RDT524" s="131"/>
      <c r="RDU524" s="131"/>
      <c r="RDV524" s="131"/>
      <c r="RDW524" s="131"/>
      <c r="RDX524" s="131"/>
      <c r="RDY524" s="131"/>
      <c r="RDZ524" s="131"/>
      <c r="REA524" s="131"/>
      <c r="REB524" s="131"/>
      <c r="REC524" s="131"/>
      <c r="RED524" s="131"/>
      <c r="REE524" s="131"/>
      <c r="REF524" s="131"/>
      <c r="REG524" s="131"/>
      <c r="REH524" s="131"/>
      <c r="REI524" s="131"/>
      <c r="REJ524" s="131"/>
      <c r="REK524" s="131"/>
      <c r="REL524" s="131"/>
      <c r="REM524" s="131"/>
      <c r="REN524" s="131"/>
      <c r="REO524" s="131"/>
      <c r="REP524" s="131"/>
      <c r="REQ524" s="131"/>
      <c r="RER524" s="131"/>
      <c r="RES524" s="131"/>
      <c r="RET524" s="131"/>
      <c r="REU524" s="131"/>
      <c r="REV524" s="131"/>
      <c r="REW524" s="131"/>
      <c r="REX524" s="131"/>
      <c r="REY524" s="131"/>
      <c r="REZ524" s="131"/>
      <c r="RFA524" s="131"/>
      <c r="RFB524" s="131"/>
      <c r="RFC524" s="131"/>
      <c r="RFD524" s="131"/>
      <c r="RFE524" s="131"/>
      <c r="RFF524" s="131"/>
      <c r="RFG524" s="131"/>
      <c r="RFH524" s="131"/>
      <c r="RFI524" s="131"/>
      <c r="RFJ524" s="131"/>
      <c r="RFK524" s="131"/>
      <c r="RFL524" s="131"/>
      <c r="RFM524" s="131"/>
      <c r="RFN524" s="131"/>
      <c r="RFO524" s="131"/>
      <c r="RFP524" s="131"/>
      <c r="RFQ524" s="131"/>
      <c r="RFR524" s="131"/>
      <c r="RFS524" s="131"/>
      <c r="RFT524" s="131"/>
      <c r="RFU524" s="131"/>
      <c r="RFV524" s="131"/>
      <c r="RFW524" s="131"/>
      <c r="RFX524" s="131"/>
      <c r="RFY524" s="131"/>
      <c r="RFZ524" s="131"/>
      <c r="RGA524" s="131"/>
      <c r="RGB524" s="131"/>
      <c r="RGC524" s="131"/>
      <c r="RGD524" s="131"/>
      <c r="RGE524" s="131"/>
      <c r="RGF524" s="131"/>
      <c r="RGG524" s="131"/>
      <c r="RGH524" s="131"/>
      <c r="RGI524" s="131"/>
      <c r="RGJ524" s="131"/>
      <c r="RGK524" s="131"/>
      <c r="RGL524" s="131"/>
      <c r="RGM524" s="131"/>
      <c r="RGN524" s="131"/>
      <c r="RGO524" s="131"/>
      <c r="RGP524" s="131"/>
      <c r="RGQ524" s="131"/>
      <c r="RGR524" s="131"/>
      <c r="RGS524" s="131"/>
      <c r="RGT524" s="131"/>
      <c r="RGU524" s="131"/>
      <c r="RGV524" s="131"/>
      <c r="RGW524" s="131"/>
      <c r="RGX524" s="131"/>
      <c r="RGY524" s="131"/>
      <c r="RGZ524" s="131"/>
      <c r="RHA524" s="131"/>
      <c r="RHB524" s="131"/>
      <c r="RHC524" s="131"/>
      <c r="RHD524" s="131"/>
      <c r="RHE524" s="131"/>
      <c r="RHF524" s="131"/>
      <c r="RHG524" s="131"/>
      <c r="RHH524" s="131"/>
      <c r="RHI524" s="131"/>
      <c r="RHJ524" s="131"/>
      <c r="RHK524" s="131"/>
      <c r="RHL524" s="131"/>
      <c r="RHM524" s="131"/>
      <c r="RHN524" s="131"/>
      <c r="RHO524" s="131"/>
      <c r="RHP524" s="131"/>
      <c r="RHQ524" s="131"/>
      <c r="RHR524" s="131"/>
      <c r="RHS524" s="131"/>
      <c r="RHT524" s="131"/>
      <c r="RHU524" s="131"/>
      <c r="RHV524" s="131"/>
      <c r="RHW524" s="131"/>
      <c r="RHX524" s="131"/>
      <c r="RHY524" s="131"/>
      <c r="RHZ524" s="131"/>
      <c r="RIA524" s="131"/>
      <c r="RIB524" s="131"/>
      <c r="RIC524" s="131"/>
      <c r="RID524" s="131"/>
      <c r="RIE524" s="131"/>
      <c r="RIF524" s="131"/>
      <c r="RIG524" s="131"/>
      <c r="RIH524" s="131"/>
      <c r="RII524" s="131"/>
      <c r="RIJ524" s="131"/>
      <c r="RIK524" s="131"/>
      <c r="RIL524" s="131"/>
      <c r="RIM524" s="131"/>
      <c r="RIN524" s="131"/>
      <c r="RIO524" s="131"/>
      <c r="RIP524" s="131"/>
      <c r="RIQ524" s="131"/>
      <c r="RIR524" s="131"/>
      <c r="RIS524" s="131"/>
      <c r="RIT524" s="131"/>
      <c r="RIU524" s="131"/>
      <c r="RIV524" s="131"/>
      <c r="RIW524" s="131"/>
      <c r="RIX524" s="131"/>
      <c r="RIY524" s="131"/>
      <c r="RIZ524" s="131"/>
      <c r="RJA524" s="131"/>
      <c r="RJB524" s="131"/>
      <c r="RJC524" s="131"/>
      <c r="RJD524" s="131"/>
      <c r="RJE524" s="131"/>
      <c r="RJF524" s="131"/>
      <c r="RJG524" s="131"/>
      <c r="RJH524" s="131"/>
      <c r="RJI524" s="131"/>
      <c r="RJJ524" s="131"/>
      <c r="RJK524" s="131"/>
      <c r="RJL524" s="131"/>
      <c r="RJM524" s="131"/>
      <c r="RJN524" s="131"/>
      <c r="RJO524" s="131"/>
      <c r="RJP524" s="131"/>
      <c r="RJQ524" s="131"/>
      <c r="RJR524" s="131"/>
      <c r="RJS524" s="131"/>
      <c r="RJT524" s="131"/>
      <c r="RJU524" s="131"/>
      <c r="RJV524" s="131"/>
      <c r="RJW524" s="131"/>
      <c r="RJX524" s="131"/>
      <c r="RJY524" s="131"/>
      <c r="RJZ524" s="131"/>
      <c r="RKA524" s="131"/>
      <c r="RKB524" s="131"/>
      <c r="RKC524" s="131"/>
      <c r="RKD524" s="131"/>
      <c r="RKE524" s="131"/>
      <c r="RKF524" s="131"/>
      <c r="RKG524" s="131"/>
      <c r="RKH524" s="131"/>
      <c r="RKI524" s="131"/>
      <c r="RKJ524" s="131"/>
      <c r="RKK524" s="131"/>
      <c r="RKL524" s="131"/>
      <c r="RKM524" s="131"/>
      <c r="RKN524" s="131"/>
      <c r="RKO524" s="131"/>
      <c r="RKP524" s="131"/>
      <c r="RKQ524" s="131"/>
      <c r="RKR524" s="131"/>
      <c r="RKS524" s="131"/>
      <c r="RKT524" s="131"/>
      <c r="RKU524" s="131"/>
      <c r="RKV524" s="131"/>
      <c r="RKW524" s="131"/>
      <c r="RKX524" s="131"/>
      <c r="RKY524" s="131"/>
      <c r="RKZ524" s="131"/>
      <c r="RLA524" s="131"/>
      <c r="RLB524" s="131"/>
      <c r="RLC524" s="131"/>
      <c r="RLD524" s="131"/>
      <c r="RLE524" s="131"/>
      <c r="RLF524" s="131"/>
      <c r="RLG524" s="131"/>
      <c r="RLH524" s="131"/>
      <c r="RLI524" s="131"/>
      <c r="RLJ524" s="131"/>
      <c r="RLK524" s="131"/>
      <c r="RLL524" s="131"/>
      <c r="RLM524" s="131"/>
      <c r="RLN524" s="131"/>
      <c r="RLO524" s="131"/>
      <c r="RLP524" s="131"/>
      <c r="RLQ524" s="131"/>
      <c r="RLR524" s="131"/>
      <c r="RLS524" s="131"/>
      <c r="RLT524" s="131"/>
      <c r="RLU524" s="131"/>
      <c r="RLV524" s="131"/>
      <c r="RLW524" s="131"/>
      <c r="RLX524" s="131"/>
      <c r="RLY524" s="131"/>
      <c r="RLZ524" s="131"/>
      <c r="RMA524" s="131"/>
      <c r="RMB524" s="131"/>
      <c r="RMC524" s="131"/>
      <c r="RMD524" s="131"/>
      <c r="RME524" s="131"/>
      <c r="RMF524" s="131"/>
      <c r="RMG524" s="131"/>
      <c r="RMH524" s="131"/>
      <c r="RMI524" s="131"/>
      <c r="RMJ524" s="131"/>
      <c r="RMK524" s="131"/>
      <c r="RML524" s="131"/>
      <c r="RMM524" s="131"/>
      <c r="RMN524" s="131"/>
      <c r="RMO524" s="131"/>
      <c r="RMP524" s="131"/>
      <c r="RMQ524" s="131"/>
      <c r="RMR524" s="131"/>
      <c r="RMS524" s="131"/>
      <c r="RMT524" s="131"/>
      <c r="RMU524" s="131"/>
      <c r="RMV524" s="131"/>
      <c r="RMW524" s="131"/>
      <c r="RMX524" s="131"/>
      <c r="RMY524" s="131"/>
      <c r="RMZ524" s="131"/>
      <c r="RNA524" s="131"/>
      <c r="RNB524" s="131"/>
      <c r="RNC524" s="131"/>
      <c r="RND524" s="131"/>
      <c r="RNE524" s="131"/>
      <c r="RNF524" s="131"/>
      <c r="RNG524" s="131"/>
      <c r="RNH524" s="131"/>
      <c r="RNI524" s="131"/>
      <c r="RNJ524" s="131"/>
      <c r="RNK524" s="131"/>
      <c r="RNL524" s="131"/>
      <c r="RNM524" s="131"/>
      <c r="RNN524" s="131"/>
      <c r="RNO524" s="131"/>
      <c r="RNP524" s="131"/>
      <c r="RNQ524" s="131"/>
      <c r="RNR524" s="131"/>
      <c r="RNS524" s="131"/>
      <c r="RNT524" s="131"/>
      <c r="RNU524" s="131"/>
      <c r="RNV524" s="131"/>
      <c r="RNW524" s="131"/>
      <c r="RNX524" s="131"/>
      <c r="RNY524" s="131"/>
      <c r="RNZ524" s="131"/>
      <c r="ROA524" s="131"/>
      <c r="ROB524" s="131"/>
      <c r="ROC524" s="131"/>
      <c r="ROD524" s="131"/>
      <c r="ROE524" s="131"/>
      <c r="ROF524" s="131"/>
      <c r="ROG524" s="131"/>
      <c r="ROH524" s="131"/>
      <c r="ROI524" s="131"/>
      <c r="ROJ524" s="131"/>
      <c r="ROK524" s="131"/>
      <c r="ROL524" s="131"/>
      <c r="ROM524" s="131"/>
      <c r="RON524" s="131"/>
      <c r="ROO524" s="131"/>
      <c r="ROP524" s="131"/>
      <c r="ROQ524" s="131"/>
      <c r="ROR524" s="131"/>
      <c r="ROS524" s="131"/>
      <c r="ROT524" s="131"/>
      <c r="ROU524" s="131"/>
      <c r="ROV524" s="131"/>
      <c r="ROW524" s="131"/>
      <c r="ROX524" s="131"/>
      <c r="ROY524" s="131"/>
      <c r="ROZ524" s="131"/>
      <c r="RPA524" s="131"/>
      <c r="RPB524" s="131"/>
      <c r="RPC524" s="131"/>
      <c r="RPD524" s="131"/>
      <c r="RPE524" s="131"/>
      <c r="RPF524" s="131"/>
      <c r="RPG524" s="131"/>
      <c r="RPH524" s="131"/>
      <c r="RPI524" s="131"/>
      <c r="RPJ524" s="131"/>
      <c r="RPK524" s="131"/>
      <c r="RPL524" s="131"/>
      <c r="RPM524" s="131"/>
      <c r="RPN524" s="131"/>
      <c r="RPO524" s="131"/>
      <c r="RPP524" s="131"/>
      <c r="RPQ524" s="131"/>
      <c r="RPR524" s="131"/>
      <c r="RPS524" s="131"/>
      <c r="RPT524" s="131"/>
      <c r="RPU524" s="131"/>
      <c r="RPV524" s="131"/>
      <c r="RPW524" s="131"/>
      <c r="RPX524" s="131"/>
      <c r="RPY524" s="131"/>
      <c r="RPZ524" s="131"/>
      <c r="RQA524" s="131"/>
      <c r="RQB524" s="131"/>
      <c r="RQC524" s="131"/>
      <c r="RQD524" s="131"/>
      <c r="RQE524" s="131"/>
      <c r="RQF524" s="131"/>
      <c r="RQG524" s="131"/>
      <c r="RQH524" s="131"/>
      <c r="RQI524" s="131"/>
      <c r="RQJ524" s="131"/>
      <c r="RQK524" s="131"/>
      <c r="RQL524" s="131"/>
      <c r="RQM524" s="131"/>
      <c r="RQN524" s="131"/>
      <c r="RQO524" s="131"/>
      <c r="RQP524" s="131"/>
      <c r="RQQ524" s="131"/>
      <c r="RQR524" s="131"/>
      <c r="RQS524" s="131"/>
      <c r="RQT524" s="131"/>
      <c r="RQU524" s="131"/>
      <c r="RQV524" s="131"/>
      <c r="RQW524" s="131"/>
      <c r="RQX524" s="131"/>
      <c r="RQY524" s="131"/>
      <c r="RQZ524" s="131"/>
      <c r="RRA524" s="131"/>
      <c r="RRB524" s="131"/>
      <c r="RRC524" s="131"/>
      <c r="RRD524" s="131"/>
      <c r="RRE524" s="131"/>
      <c r="RRF524" s="131"/>
      <c r="RRG524" s="131"/>
      <c r="RRH524" s="131"/>
      <c r="RRI524" s="131"/>
      <c r="RRJ524" s="131"/>
      <c r="RRK524" s="131"/>
      <c r="RRL524" s="131"/>
      <c r="RRM524" s="131"/>
      <c r="RRN524" s="131"/>
      <c r="RRO524" s="131"/>
      <c r="RRP524" s="131"/>
      <c r="RRQ524" s="131"/>
      <c r="RRR524" s="131"/>
      <c r="RRS524" s="131"/>
      <c r="RRT524" s="131"/>
      <c r="RRU524" s="131"/>
      <c r="RRV524" s="131"/>
      <c r="RRW524" s="131"/>
      <c r="RRX524" s="131"/>
      <c r="RRY524" s="131"/>
      <c r="RRZ524" s="131"/>
      <c r="RSA524" s="131"/>
      <c r="RSB524" s="131"/>
      <c r="RSC524" s="131"/>
      <c r="RSD524" s="131"/>
      <c r="RSE524" s="131"/>
      <c r="RSF524" s="131"/>
      <c r="RSG524" s="131"/>
      <c r="RSH524" s="131"/>
      <c r="RSI524" s="131"/>
      <c r="RSJ524" s="131"/>
      <c r="RSK524" s="131"/>
      <c r="RSL524" s="131"/>
      <c r="RSM524" s="131"/>
      <c r="RSN524" s="131"/>
      <c r="RSO524" s="131"/>
      <c r="RSP524" s="131"/>
      <c r="RSQ524" s="131"/>
      <c r="RSR524" s="131"/>
      <c r="RSS524" s="131"/>
      <c r="RST524" s="131"/>
      <c r="RSU524" s="131"/>
      <c r="RSV524" s="131"/>
      <c r="RSW524" s="131"/>
      <c r="RSX524" s="131"/>
      <c r="RSY524" s="131"/>
      <c r="RSZ524" s="131"/>
      <c r="RTA524" s="131"/>
      <c r="RTB524" s="131"/>
      <c r="RTC524" s="131"/>
      <c r="RTD524" s="131"/>
      <c r="RTE524" s="131"/>
      <c r="RTF524" s="131"/>
      <c r="RTG524" s="131"/>
      <c r="RTH524" s="131"/>
      <c r="RTI524" s="131"/>
      <c r="RTJ524" s="131"/>
      <c r="RTK524" s="131"/>
      <c r="RTL524" s="131"/>
      <c r="RTM524" s="131"/>
      <c r="RTN524" s="131"/>
      <c r="RTO524" s="131"/>
      <c r="RTP524" s="131"/>
      <c r="RTQ524" s="131"/>
      <c r="RTR524" s="131"/>
      <c r="RTS524" s="131"/>
      <c r="RTT524" s="131"/>
      <c r="RTU524" s="131"/>
      <c r="RTV524" s="131"/>
      <c r="RTW524" s="131"/>
      <c r="RTX524" s="131"/>
      <c r="RTY524" s="131"/>
      <c r="RTZ524" s="131"/>
      <c r="RUA524" s="131"/>
      <c r="RUB524" s="131"/>
      <c r="RUC524" s="131"/>
      <c r="RUD524" s="131"/>
      <c r="RUE524" s="131"/>
      <c r="RUF524" s="131"/>
      <c r="RUG524" s="131"/>
      <c r="RUH524" s="131"/>
      <c r="RUI524" s="131"/>
      <c r="RUJ524" s="131"/>
      <c r="RUK524" s="131"/>
      <c r="RUL524" s="131"/>
      <c r="RUM524" s="131"/>
      <c r="RUN524" s="131"/>
      <c r="RUO524" s="131"/>
      <c r="RUP524" s="131"/>
      <c r="RUQ524" s="131"/>
      <c r="RUR524" s="131"/>
      <c r="RUS524" s="131"/>
      <c r="RUT524" s="131"/>
      <c r="RUU524" s="131"/>
      <c r="RUV524" s="131"/>
      <c r="RUW524" s="131"/>
      <c r="RUX524" s="131"/>
      <c r="RUY524" s="131"/>
      <c r="RUZ524" s="131"/>
      <c r="RVA524" s="131"/>
      <c r="RVB524" s="131"/>
      <c r="RVC524" s="131"/>
      <c r="RVD524" s="131"/>
      <c r="RVE524" s="131"/>
      <c r="RVF524" s="131"/>
      <c r="RVG524" s="131"/>
      <c r="RVH524" s="131"/>
      <c r="RVI524" s="131"/>
      <c r="RVJ524" s="131"/>
      <c r="RVK524" s="131"/>
      <c r="RVL524" s="131"/>
      <c r="RVM524" s="131"/>
      <c r="RVN524" s="131"/>
      <c r="RVO524" s="131"/>
      <c r="RVP524" s="131"/>
      <c r="RVQ524" s="131"/>
      <c r="RVR524" s="131"/>
      <c r="RVS524" s="131"/>
      <c r="RVT524" s="131"/>
      <c r="RVU524" s="131"/>
      <c r="RVV524" s="131"/>
      <c r="RVW524" s="131"/>
      <c r="RVX524" s="131"/>
      <c r="RVY524" s="131"/>
      <c r="RVZ524" s="131"/>
      <c r="RWA524" s="131"/>
      <c r="RWB524" s="131"/>
      <c r="RWC524" s="131"/>
      <c r="RWD524" s="131"/>
      <c r="RWE524" s="131"/>
      <c r="RWF524" s="131"/>
      <c r="RWG524" s="131"/>
      <c r="RWH524" s="131"/>
      <c r="RWI524" s="131"/>
      <c r="RWJ524" s="131"/>
      <c r="RWK524" s="131"/>
      <c r="RWL524" s="131"/>
      <c r="RWM524" s="131"/>
      <c r="RWN524" s="131"/>
      <c r="RWO524" s="131"/>
      <c r="RWP524" s="131"/>
      <c r="RWQ524" s="131"/>
      <c r="RWR524" s="131"/>
      <c r="RWS524" s="131"/>
      <c r="RWT524" s="131"/>
      <c r="RWU524" s="131"/>
      <c r="RWV524" s="131"/>
      <c r="RWW524" s="131"/>
      <c r="RWX524" s="131"/>
      <c r="RWY524" s="131"/>
      <c r="RWZ524" s="131"/>
      <c r="RXA524" s="131"/>
      <c r="RXB524" s="131"/>
      <c r="RXC524" s="131"/>
      <c r="RXD524" s="131"/>
      <c r="RXE524" s="131"/>
      <c r="RXF524" s="131"/>
      <c r="RXG524" s="131"/>
      <c r="RXH524" s="131"/>
      <c r="RXI524" s="131"/>
      <c r="RXJ524" s="131"/>
      <c r="RXK524" s="131"/>
      <c r="RXL524" s="131"/>
      <c r="RXM524" s="131"/>
      <c r="RXN524" s="131"/>
      <c r="RXO524" s="131"/>
      <c r="RXP524" s="131"/>
      <c r="RXQ524" s="131"/>
      <c r="RXR524" s="131"/>
      <c r="RXS524" s="131"/>
      <c r="RXT524" s="131"/>
      <c r="RXU524" s="131"/>
      <c r="RXV524" s="131"/>
      <c r="RXW524" s="131"/>
      <c r="RXX524" s="131"/>
      <c r="RXY524" s="131"/>
      <c r="RXZ524" s="131"/>
      <c r="RYA524" s="131"/>
      <c r="RYB524" s="131"/>
      <c r="RYC524" s="131"/>
      <c r="RYD524" s="131"/>
      <c r="RYE524" s="131"/>
      <c r="RYF524" s="131"/>
      <c r="RYG524" s="131"/>
      <c r="RYH524" s="131"/>
      <c r="RYI524" s="131"/>
      <c r="RYJ524" s="131"/>
      <c r="RYK524" s="131"/>
      <c r="RYL524" s="131"/>
      <c r="RYM524" s="131"/>
      <c r="RYN524" s="131"/>
      <c r="RYO524" s="131"/>
      <c r="RYP524" s="131"/>
      <c r="RYQ524" s="131"/>
      <c r="RYR524" s="131"/>
      <c r="RYS524" s="131"/>
      <c r="RYT524" s="131"/>
      <c r="RYU524" s="131"/>
      <c r="RYV524" s="131"/>
      <c r="RYW524" s="131"/>
      <c r="RYX524" s="131"/>
      <c r="RYY524" s="131"/>
      <c r="RYZ524" s="131"/>
      <c r="RZA524" s="131"/>
      <c r="RZB524" s="131"/>
      <c r="RZC524" s="131"/>
      <c r="RZD524" s="131"/>
      <c r="RZE524" s="131"/>
      <c r="RZF524" s="131"/>
      <c r="RZG524" s="131"/>
      <c r="RZH524" s="131"/>
      <c r="RZI524" s="131"/>
      <c r="RZJ524" s="131"/>
      <c r="RZK524" s="131"/>
      <c r="RZL524" s="131"/>
      <c r="RZM524" s="131"/>
      <c r="RZN524" s="131"/>
      <c r="RZO524" s="131"/>
      <c r="RZP524" s="131"/>
      <c r="RZQ524" s="131"/>
      <c r="RZR524" s="131"/>
      <c r="RZS524" s="131"/>
      <c r="RZT524" s="131"/>
      <c r="RZU524" s="131"/>
      <c r="RZV524" s="131"/>
      <c r="RZW524" s="131"/>
      <c r="RZX524" s="131"/>
      <c r="RZY524" s="131"/>
      <c r="RZZ524" s="131"/>
      <c r="SAA524" s="131"/>
      <c r="SAB524" s="131"/>
      <c r="SAC524" s="131"/>
      <c r="SAD524" s="131"/>
      <c r="SAE524" s="131"/>
      <c r="SAF524" s="131"/>
      <c r="SAG524" s="131"/>
      <c r="SAH524" s="131"/>
      <c r="SAI524" s="131"/>
      <c r="SAJ524" s="131"/>
      <c r="SAK524" s="131"/>
      <c r="SAL524" s="131"/>
      <c r="SAM524" s="131"/>
      <c r="SAN524" s="131"/>
      <c r="SAO524" s="131"/>
      <c r="SAP524" s="131"/>
      <c r="SAQ524" s="131"/>
      <c r="SAR524" s="131"/>
      <c r="SAS524" s="131"/>
      <c r="SAT524" s="131"/>
      <c r="SAU524" s="131"/>
      <c r="SAV524" s="131"/>
      <c r="SAW524" s="131"/>
      <c r="SAX524" s="131"/>
      <c r="SAY524" s="131"/>
      <c r="SAZ524" s="131"/>
      <c r="SBA524" s="131"/>
      <c r="SBB524" s="131"/>
      <c r="SBC524" s="131"/>
      <c r="SBD524" s="131"/>
      <c r="SBE524" s="131"/>
      <c r="SBF524" s="131"/>
      <c r="SBG524" s="131"/>
      <c r="SBH524" s="131"/>
      <c r="SBI524" s="131"/>
      <c r="SBJ524" s="131"/>
      <c r="SBK524" s="131"/>
      <c r="SBL524" s="131"/>
      <c r="SBM524" s="131"/>
      <c r="SBN524" s="131"/>
      <c r="SBO524" s="131"/>
      <c r="SBP524" s="131"/>
      <c r="SBQ524" s="131"/>
      <c r="SBR524" s="131"/>
      <c r="SBS524" s="131"/>
      <c r="SBT524" s="131"/>
      <c r="SBU524" s="131"/>
      <c r="SBV524" s="131"/>
      <c r="SBW524" s="131"/>
      <c r="SBX524" s="131"/>
      <c r="SBY524" s="131"/>
      <c r="SBZ524" s="131"/>
      <c r="SCA524" s="131"/>
      <c r="SCB524" s="131"/>
      <c r="SCC524" s="131"/>
      <c r="SCD524" s="131"/>
      <c r="SCE524" s="131"/>
      <c r="SCF524" s="131"/>
      <c r="SCG524" s="131"/>
      <c r="SCH524" s="131"/>
      <c r="SCI524" s="131"/>
      <c r="SCJ524" s="131"/>
      <c r="SCK524" s="131"/>
      <c r="SCL524" s="131"/>
      <c r="SCM524" s="131"/>
      <c r="SCN524" s="131"/>
      <c r="SCO524" s="131"/>
      <c r="SCP524" s="131"/>
      <c r="SCQ524" s="131"/>
      <c r="SCR524" s="131"/>
      <c r="SCS524" s="131"/>
      <c r="SCT524" s="131"/>
      <c r="SCU524" s="131"/>
      <c r="SCV524" s="131"/>
      <c r="SCW524" s="131"/>
      <c r="SCX524" s="131"/>
      <c r="SCY524" s="131"/>
      <c r="SCZ524" s="131"/>
      <c r="SDA524" s="131"/>
      <c r="SDB524" s="131"/>
      <c r="SDC524" s="131"/>
      <c r="SDD524" s="131"/>
      <c r="SDE524" s="131"/>
      <c r="SDF524" s="131"/>
      <c r="SDG524" s="131"/>
      <c r="SDH524" s="131"/>
      <c r="SDI524" s="131"/>
      <c r="SDJ524" s="131"/>
      <c r="SDK524" s="131"/>
      <c r="SDL524" s="131"/>
      <c r="SDM524" s="131"/>
      <c r="SDN524" s="131"/>
      <c r="SDO524" s="131"/>
      <c r="SDP524" s="131"/>
      <c r="SDQ524" s="131"/>
      <c r="SDR524" s="131"/>
      <c r="SDS524" s="131"/>
      <c r="SDT524" s="131"/>
      <c r="SDU524" s="131"/>
      <c r="SDV524" s="131"/>
      <c r="SDW524" s="131"/>
      <c r="SDX524" s="131"/>
      <c r="SDY524" s="131"/>
      <c r="SDZ524" s="131"/>
      <c r="SEA524" s="131"/>
      <c r="SEB524" s="131"/>
      <c r="SEC524" s="131"/>
      <c r="SED524" s="131"/>
      <c r="SEE524" s="131"/>
      <c r="SEF524" s="131"/>
      <c r="SEG524" s="131"/>
      <c r="SEH524" s="131"/>
      <c r="SEI524" s="131"/>
      <c r="SEJ524" s="131"/>
      <c r="SEK524" s="131"/>
      <c r="SEL524" s="131"/>
      <c r="SEM524" s="131"/>
      <c r="SEN524" s="131"/>
      <c r="SEO524" s="131"/>
      <c r="SEP524" s="131"/>
      <c r="SEQ524" s="131"/>
      <c r="SER524" s="131"/>
      <c r="SES524" s="131"/>
      <c r="SET524" s="131"/>
      <c r="SEU524" s="131"/>
      <c r="SEV524" s="131"/>
      <c r="SEW524" s="131"/>
      <c r="SEX524" s="131"/>
      <c r="SEY524" s="131"/>
      <c r="SEZ524" s="131"/>
      <c r="SFA524" s="131"/>
      <c r="SFB524" s="131"/>
      <c r="SFC524" s="131"/>
      <c r="SFD524" s="131"/>
      <c r="SFE524" s="131"/>
      <c r="SFF524" s="131"/>
      <c r="SFG524" s="131"/>
      <c r="SFH524" s="131"/>
      <c r="SFI524" s="131"/>
      <c r="SFJ524" s="131"/>
      <c r="SFK524" s="131"/>
      <c r="SFL524" s="131"/>
      <c r="SFM524" s="131"/>
      <c r="SFN524" s="131"/>
      <c r="SFO524" s="131"/>
      <c r="SFP524" s="131"/>
      <c r="SFQ524" s="131"/>
      <c r="SFR524" s="131"/>
      <c r="SFS524" s="131"/>
      <c r="SFT524" s="131"/>
      <c r="SFU524" s="131"/>
      <c r="SFV524" s="131"/>
      <c r="SFW524" s="131"/>
      <c r="SFX524" s="131"/>
      <c r="SFY524" s="131"/>
      <c r="SFZ524" s="131"/>
      <c r="SGA524" s="131"/>
      <c r="SGB524" s="131"/>
      <c r="SGC524" s="131"/>
      <c r="SGD524" s="131"/>
      <c r="SGE524" s="131"/>
      <c r="SGF524" s="131"/>
      <c r="SGG524" s="131"/>
      <c r="SGH524" s="131"/>
      <c r="SGI524" s="131"/>
      <c r="SGJ524" s="131"/>
      <c r="SGK524" s="131"/>
      <c r="SGL524" s="131"/>
      <c r="SGM524" s="131"/>
      <c r="SGN524" s="131"/>
      <c r="SGO524" s="131"/>
      <c r="SGP524" s="131"/>
      <c r="SGQ524" s="131"/>
      <c r="SGR524" s="131"/>
      <c r="SGS524" s="131"/>
      <c r="SGT524" s="131"/>
      <c r="SGU524" s="131"/>
      <c r="SGV524" s="131"/>
      <c r="SGW524" s="131"/>
      <c r="SGX524" s="131"/>
      <c r="SGY524" s="131"/>
      <c r="SGZ524" s="131"/>
      <c r="SHA524" s="131"/>
      <c r="SHB524" s="131"/>
      <c r="SHC524" s="131"/>
      <c r="SHD524" s="131"/>
      <c r="SHE524" s="131"/>
      <c r="SHF524" s="131"/>
      <c r="SHG524" s="131"/>
      <c r="SHH524" s="131"/>
      <c r="SHI524" s="131"/>
      <c r="SHJ524" s="131"/>
      <c r="SHK524" s="131"/>
      <c r="SHL524" s="131"/>
      <c r="SHM524" s="131"/>
      <c r="SHN524" s="131"/>
      <c r="SHO524" s="131"/>
      <c r="SHP524" s="131"/>
      <c r="SHQ524" s="131"/>
      <c r="SHR524" s="131"/>
      <c r="SHS524" s="131"/>
      <c r="SHT524" s="131"/>
      <c r="SHU524" s="131"/>
      <c r="SHV524" s="131"/>
      <c r="SHW524" s="131"/>
      <c r="SHX524" s="131"/>
      <c r="SHY524" s="131"/>
      <c r="SHZ524" s="131"/>
      <c r="SIA524" s="131"/>
      <c r="SIB524" s="131"/>
      <c r="SIC524" s="131"/>
      <c r="SID524" s="131"/>
      <c r="SIE524" s="131"/>
      <c r="SIF524" s="131"/>
      <c r="SIG524" s="131"/>
      <c r="SIH524" s="131"/>
      <c r="SII524" s="131"/>
      <c r="SIJ524" s="131"/>
      <c r="SIK524" s="131"/>
      <c r="SIL524" s="131"/>
      <c r="SIM524" s="131"/>
      <c r="SIN524" s="131"/>
      <c r="SIO524" s="131"/>
      <c r="SIP524" s="131"/>
      <c r="SIQ524" s="131"/>
      <c r="SIR524" s="131"/>
      <c r="SIS524" s="131"/>
      <c r="SIT524" s="131"/>
      <c r="SIU524" s="131"/>
      <c r="SIV524" s="131"/>
      <c r="SIW524" s="131"/>
      <c r="SIX524" s="131"/>
      <c r="SIY524" s="131"/>
      <c r="SIZ524" s="131"/>
      <c r="SJA524" s="131"/>
      <c r="SJB524" s="131"/>
      <c r="SJC524" s="131"/>
      <c r="SJD524" s="131"/>
      <c r="SJE524" s="131"/>
      <c r="SJF524" s="131"/>
      <c r="SJG524" s="131"/>
      <c r="SJH524" s="131"/>
      <c r="SJI524" s="131"/>
      <c r="SJJ524" s="131"/>
      <c r="SJK524" s="131"/>
      <c r="SJL524" s="131"/>
      <c r="SJM524" s="131"/>
      <c r="SJN524" s="131"/>
      <c r="SJO524" s="131"/>
      <c r="SJP524" s="131"/>
      <c r="SJQ524" s="131"/>
      <c r="SJR524" s="131"/>
      <c r="SJS524" s="131"/>
      <c r="SJT524" s="131"/>
      <c r="SJU524" s="131"/>
      <c r="SJV524" s="131"/>
      <c r="SJW524" s="131"/>
      <c r="SJX524" s="131"/>
      <c r="SJY524" s="131"/>
      <c r="SJZ524" s="131"/>
      <c r="SKA524" s="131"/>
      <c r="SKB524" s="131"/>
      <c r="SKC524" s="131"/>
      <c r="SKD524" s="131"/>
      <c r="SKE524" s="131"/>
      <c r="SKF524" s="131"/>
      <c r="SKG524" s="131"/>
      <c r="SKH524" s="131"/>
      <c r="SKI524" s="131"/>
      <c r="SKJ524" s="131"/>
      <c r="SKK524" s="131"/>
      <c r="SKL524" s="131"/>
      <c r="SKM524" s="131"/>
      <c r="SKN524" s="131"/>
      <c r="SKO524" s="131"/>
      <c r="SKP524" s="131"/>
      <c r="SKQ524" s="131"/>
      <c r="SKR524" s="131"/>
      <c r="SKS524" s="131"/>
      <c r="SKT524" s="131"/>
      <c r="SKU524" s="131"/>
      <c r="SKV524" s="131"/>
      <c r="SKW524" s="131"/>
      <c r="SKX524" s="131"/>
      <c r="SKY524" s="131"/>
      <c r="SKZ524" s="131"/>
      <c r="SLA524" s="131"/>
      <c r="SLB524" s="131"/>
      <c r="SLC524" s="131"/>
      <c r="SLD524" s="131"/>
      <c r="SLE524" s="131"/>
      <c r="SLF524" s="131"/>
      <c r="SLG524" s="131"/>
      <c r="SLH524" s="131"/>
      <c r="SLI524" s="131"/>
      <c r="SLJ524" s="131"/>
      <c r="SLK524" s="131"/>
      <c r="SLL524" s="131"/>
      <c r="SLM524" s="131"/>
      <c r="SLN524" s="131"/>
      <c r="SLO524" s="131"/>
      <c r="SLP524" s="131"/>
      <c r="SLQ524" s="131"/>
      <c r="SLR524" s="131"/>
      <c r="SLS524" s="131"/>
      <c r="SLT524" s="131"/>
      <c r="SLU524" s="131"/>
      <c r="SLV524" s="131"/>
      <c r="SLW524" s="131"/>
      <c r="SLX524" s="131"/>
      <c r="SLY524" s="131"/>
      <c r="SLZ524" s="131"/>
      <c r="SMA524" s="131"/>
      <c r="SMB524" s="131"/>
      <c r="SMC524" s="131"/>
      <c r="SMD524" s="131"/>
      <c r="SME524" s="131"/>
      <c r="SMF524" s="131"/>
      <c r="SMG524" s="131"/>
      <c r="SMH524" s="131"/>
      <c r="SMI524" s="131"/>
      <c r="SMJ524" s="131"/>
      <c r="SMK524" s="131"/>
      <c r="SML524" s="131"/>
      <c r="SMM524" s="131"/>
      <c r="SMN524" s="131"/>
      <c r="SMO524" s="131"/>
      <c r="SMP524" s="131"/>
      <c r="SMQ524" s="131"/>
      <c r="SMR524" s="131"/>
      <c r="SMS524" s="131"/>
      <c r="SMT524" s="131"/>
      <c r="SMU524" s="131"/>
      <c r="SMV524" s="131"/>
      <c r="SMW524" s="131"/>
      <c r="SMX524" s="131"/>
      <c r="SMY524" s="131"/>
      <c r="SMZ524" s="131"/>
      <c r="SNA524" s="131"/>
      <c r="SNB524" s="131"/>
      <c r="SNC524" s="131"/>
      <c r="SND524" s="131"/>
      <c r="SNE524" s="131"/>
      <c r="SNF524" s="131"/>
      <c r="SNG524" s="131"/>
      <c r="SNH524" s="131"/>
      <c r="SNI524" s="131"/>
      <c r="SNJ524" s="131"/>
      <c r="SNK524" s="131"/>
      <c r="SNL524" s="131"/>
      <c r="SNM524" s="131"/>
      <c r="SNN524" s="131"/>
      <c r="SNO524" s="131"/>
      <c r="SNP524" s="131"/>
      <c r="SNQ524" s="131"/>
      <c r="SNR524" s="131"/>
      <c r="SNS524" s="131"/>
      <c r="SNT524" s="131"/>
      <c r="SNU524" s="131"/>
      <c r="SNV524" s="131"/>
      <c r="SNW524" s="131"/>
      <c r="SNX524" s="131"/>
      <c r="SNY524" s="131"/>
      <c r="SNZ524" s="131"/>
      <c r="SOA524" s="131"/>
      <c r="SOB524" s="131"/>
      <c r="SOC524" s="131"/>
      <c r="SOD524" s="131"/>
      <c r="SOE524" s="131"/>
      <c r="SOF524" s="131"/>
      <c r="SOG524" s="131"/>
      <c r="SOH524" s="131"/>
      <c r="SOI524" s="131"/>
      <c r="SOJ524" s="131"/>
      <c r="SOK524" s="131"/>
      <c r="SOL524" s="131"/>
      <c r="SOM524" s="131"/>
      <c r="SON524" s="131"/>
      <c r="SOO524" s="131"/>
      <c r="SOP524" s="131"/>
      <c r="SOQ524" s="131"/>
      <c r="SOR524" s="131"/>
      <c r="SOS524" s="131"/>
      <c r="SOT524" s="131"/>
      <c r="SOU524" s="131"/>
      <c r="SOV524" s="131"/>
      <c r="SOW524" s="131"/>
      <c r="SOX524" s="131"/>
      <c r="SOY524" s="131"/>
      <c r="SOZ524" s="131"/>
      <c r="SPA524" s="131"/>
      <c r="SPB524" s="131"/>
      <c r="SPC524" s="131"/>
      <c r="SPD524" s="131"/>
      <c r="SPE524" s="131"/>
      <c r="SPF524" s="131"/>
      <c r="SPG524" s="131"/>
      <c r="SPH524" s="131"/>
      <c r="SPI524" s="131"/>
      <c r="SPJ524" s="131"/>
      <c r="SPK524" s="131"/>
      <c r="SPL524" s="131"/>
      <c r="SPM524" s="131"/>
      <c r="SPN524" s="131"/>
      <c r="SPO524" s="131"/>
      <c r="SPP524" s="131"/>
      <c r="SPQ524" s="131"/>
      <c r="SPR524" s="131"/>
      <c r="SPS524" s="131"/>
      <c r="SPT524" s="131"/>
      <c r="SPU524" s="131"/>
      <c r="SPV524" s="131"/>
      <c r="SPW524" s="131"/>
      <c r="SPX524" s="131"/>
      <c r="SPY524" s="131"/>
      <c r="SPZ524" s="131"/>
      <c r="SQA524" s="131"/>
      <c r="SQB524" s="131"/>
      <c r="SQC524" s="131"/>
      <c r="SQD524" s="131"/>
      <c r="SQE524" s="131"/>
      <c r="SQF524" s="131"/>
      <c r="SQG524" s="131"/>
      <c r="SQH524" s="131"/>
      <c r="SQI524" s="131"/>
      <c r="SQJ524" s="131"/>
      <c r="SQK524" s="131"/>
      <c r="SQL524" s="131"/>
      <c r="SQM524" s="131"/>
      <c r="SQN524" s="131"/>
      <c r="SQO524" s="131"/>
      <c r="SQP524" s="131"/>
      <c r="SQQ524" s="131"/>
      <c r="SQR524" s="131"/>
      <c r="SQS524" s="131"/>
      <c r="SQT524" s="131"/>
      <c r="SQU524" s="131"/>
      <c r="SQV524" s="131"/>
      <c r="SQW524" s="131"/>
      <c r="SQX524" s="131"/>
      <c r="SQY524" s="131"/>
      <c r="SQZ524" s="131"/>
      <c r="SRA524" s="131"/>
      <c r="SRB524" s="131"/>
      <c r="SRC524" s="131"/>
      <c r="SRD524" s="131"/>
      <c r="SRE524" s="131"/>
      <c r="SRF524" s="131"/>
      <c r="SRG524" s="131"/>
      <c r="SRH524" s="131"/>
      <c r="SRI524" s="131"/>
      <c r="SRJ524" s="131"/>
      <c r="SRK524" s="131"/>
      <c r="SRL524" s="131"/>
      <c r="SRM524" s="131"/>
      <c r="SRN524" s="131"/>
      <c r="SRO524" s="131"/>
      <c r="SRP524" s="131"/>
      <c r="SRQ524" s="131"/>
      <c r="SRR524" s="131"/>
      <c r="SRS524" s="131"/>
      <c r="SRT524" s="131"/>
      <c r="SRU524" s="131"/>
      <c r="SRV524" s="131"/>
      <c r="SRW524" s="131"/>
      <c r="SRX524" s="131"/>
      <c r="SRY524" s="131"/>
      <c r="SRZ524" s="131"/>
      <c r="SSA524" s="131"/>
      <c r="SSB524" s="131"/>
      <c r="SSC524" s="131"/>
      <c r="SSD524" s="131"/>
      <c r="SSE524" s="131"/>
      <c r="SSF524" s="131"/>
      <c r="SSG524" s="131"/>
      <c r="SSH524" s="131"/>
      <c r="SSI524" s="131"/>
      <c r="SSJ524" s="131"/>
      <c r="SSK524" s="131"/>
      <c r="SSL524" s="131"/>
      <c r="SSM524" s="131"/>
      <c r="SSN524" s="131"/>
      <c r="SSO524" s="131"/>
      <c r="SSP524" s="131"/>
      <c r="SSQ524" s="131"/>
      <c r="SSR524" s="131"/>
      <c r="SSS524" s="131"/>
      <c r="SST524" s="131"/>
      <c r="SSU524" s="131"/>
      <c r="SSV524" s="131"/>
      <c r="SSW524" s="131"/>
      <c r="SSX524" s="131"/>
      <c r="SSY524" s="131"/>
      <c r="SSZ524" s="131"/>
      <c r="STA524" s="131"/>
      <c r="STB524" s="131"/>
      <c r="STC524" s="131"/>
      <c r="STD524" s="131"/>
      <c r="STE524" s="131"/>
      <c r="STF524" s="131"/>
      <c r="STG524" s="131"/>
      <c r="STH524" s="131"/>
      <c r="STI524" s="131"/>
      <c r="STJ524" s="131"/>
      <c r="STK524" s="131"/>
      <c r="STL524" s="131"/>
      <c r="STM524" s="131"/>
      <c r="STN524" s="131"/>
      <c r="STO524" s="131"/>
      <c r="STP524" s="131"/>
      <c r="STQ524" s="131"/>
      <c r="STR524" s="131"/>
      <c r="STS524" s="131"/>
      <c r="STT524" s="131"/>
      <c r="STU524" s="131"/>
      <c r="STV524" s="131"/>
      <c r="STW524" s="131"/>
      <c r="STX524" s="131"/>
      <c r="STY524" s="131"/>
      <c r="STZ524" s="131"/>
      <c r="SUA524" s="131"/>
      <c r="SUB524" s="131"/>
      <c r="SUC524" s="131"/>
      <c r="SUD524" s="131"/>
      <c r="SUE524" s="131"/>
      <c r="SUF524" s="131"/>
      <c r="SUG524" s="131"/>
      <c r="SUH524" s="131"/>
      <c r="SUI524" s="131"/>
      <c r="SUJ524" s="131"/>
      <c r="SUK524" s="131"/>
      <c r="SUL524" s="131"/>
      <c r="SUM524" s="131"/>
      <c r="SUN524" s="131"/>
      <c r="SUO524" s="131"/>
      <c r="SUP524" s="131"/>
      <c r="SUQ524" s="131"/>
      <c r="SUR524" s="131"/>
      <c r="SUS524" s="131"/>
      <c r="SUT524" s="131"/>
      <c r="SUU524" s="131"/>
      <c r="SUV524" s="131"/>
      <c r="SUW524" s="131"/>
      <c r="SUX524" s="131"/>
      <c r="SUY524" s="131"/>
      <c r="SUZ524" s="131"/>
      <c r="SVA524" s="131"/>
      <c r="SVB524" s="131"/>
      <c r="SVC524" s="131"/>
      <c r="SVD524" s="131"/>
      <c r="SVE524" s="131"/>
      <c r="SVF524" s="131"/>
      <c r="SVG524" s="131"/>
      <c r="SVH524" s="131"/>
      <c r="SVI524" s="131"/>
      <c r="SVJ524" s="131"/>
      <c r="SVK524" s="131"/>
      <c r="SVL524" s="131"/>
      <c r="SVM524" s="131"/>
      <c r="SVN524" s="131"/>
      <c r="SVO524" s="131"/>
      <c r="SVP524" s="131"/>
      <c r="SVQ524" s="131"/>
      <c r="SVR524" s="131"/>
      <c r="SVS524" s="131"/>
      <c r="SVT524" s="131"/>
      <c r="SVU524" s="131"/>
      <c r="SVV524" s="131"/>
      <c r="SVW524" s="131"/>
      <c r="SVX524" s="131"/>
      <c r="SVY524" s="131"/>
      <c r="SVZ524" s="131"/>
      <c r="SWA524" s="131"/>
      <c r="SWB524" s="131"/>
      <c r="SWC524" s="131"/>
      <c r="SWD524" s="131"/>
      <c r="SWE524" s="131"/>
      <c r="SWF524" s="131"/>
      <c r="SWG524" s="131"/>
      <c r="SWH524" s="131"/>
      <c r="SWI524" s="131"/>
      <c r="SWJ524" s="131"/>
      <c r="SWK524" s="131"/>
      <c r="SWL524" s="131"/>
      <c r="SWM524" s="131"/>
      <c r="SWN524" s="131"/>
      <c r="SWO524" s="131"/>
      <c r="SWP524" s="131"/>
      <c r="SWQ524" s="131"/>
      <c r="SWR524" s="131"/>
      <c r="SWS524" s="131"/>
      <c r="SWT524" s="131"/>
      <c r="SWU524" s="131"/>
      <c r="SWV524" s="131"/>
      <c r="SWW524" s="131"/>
      <c r="SWX524" s="131"/>
      <c r="SWY524" s="131"/>
      <c r="SWZ524" s="131"/>
      <c r="SXA524" s="131"/>
      <c r="SXB524" s="131"/>
      <c r="SXC524" s="131"/>
      <c r="SXD524" s="131"/>
      <c r="SXE524" s="131"/>
      <c r="SXF524" s="131"/>
      <c r="SXG524" s="131"/>
      <c r="SXH524" s="131"/>
      <c r="SXI524" s="131"/>
      <c r="SXJ524" s="131"/>
      <c r="SXK524" s="131"/>
      <c r="SXL524" s="131"/>
      <c r="SXM524" s="131"/>
      <c r="SXN524" s="131"/>
      <c r="SXO524" s="131"/>
      <c r="SXP524" s="131"/>
      <c r="SXQ524" s="131"/>
      <c r="SXR524" s="131"/>
      <c r="SXS524" s="131"/>
      <c r="SXT524" s="131"/>
      <c r="SXU524" s="131"/>
      <c r="SXV524" s="131"/>
      <c r="SXW524" s="131"/>
      <c r="SXX524" s="131"/>
      <c r="SXY524" s="131"/>
      <c r="SXZ524" s="131"/>
      <c r="SYA524" s="131"/>
      <c r="SYB524" s="131"/>
      <c r="SYC524" s="131"/>
      <c r="SYD524" s="131"/>
      <c r="SYE524" s="131"/>
      <c r="SYF524" s="131"/>
      <c r="SYG524" s="131"/>
      <c r="SYH524" s="131"/>
      <c r="SYI524" s="131"/>
      <c r="SYJ524" s="131"/>
      <c r="SYK524" s="131"/>
      <c r="SYL524" s="131"/>
      <c r="SYM524" s="131"/>
      <c r="SYN524" s="131"/>
      <c r="SYO524" s="131"/>
      <c r="SYP524" s="131"/>
      <c r="SYQ524" s="131"/>
      <c r="SYR524" s="131"/>
      <c r="SYS524" s="131"/>
      <c r="SYT524" s="131"/>
      <c r="SYU524" s="131"/>
      <c r="SYV524" s="131"/>
      <c r="SYW524" s="131"/>
      <c r="SYX524" s="131"/>
      <c r="SYY524" s="131"/>
      <c r="SYZ524" s="131"/>
      <c r="SZA524" s="131"/>
      <c r="SZB524" s="131"/>
      <c r="SZC524" s="131"/>
      <c r="SZD524" s="131"/>
      <c r="SZE524" s="131"/>
      <c r="SZF524" s="131"/>
      <c r="SZG524" s="131"/>
      <c r="SZH524" s="131"/>
      <c r="SZI524" s="131"/>
      <c r="SZJ524" s="131"/>
      <c r="SZK524" s="131"/>
      <c r="SZL524" s="131"/>
      <c r="SZM524" s="131"/>
      <c r="SZN524" s="131"/>
      <c r="SZO524" s="131"/>
      <c r="SZP524" s="131"/>
      <c r="SZQ524" s="131"/>
      <c r="SZR524" s="131"/>
      <c r="SZS524" s="131"/>
      <c r="SZT524" s="131"/>
      <c r="SZU524" s="131"/>
      <c r="SZV524" s="131"/>
      <c r="SZW524" s="131"/>
      <c r="SZX524" s="131"/>
      <c r="SZY524" s="131"/>
      <c r="SZZ524" s="131"/>
      <c r="TAA524" s="131"/>
      <c r="TAB524" s="131"/>
      <c r="TAC524" s="131"/>
      <c r="TAD524" s="131"/>
      <c r="TAE524" s="131"/>
      <c r="TAF524" s="131"/>
      <c r="TAG524" s="131"/>
      <c r="TAH524" s="131"/>
      <c r="TAI524" s="131"/>
      <c r="TAJ524" s="131"/>
      <c r="TAK524" s="131"/>
      <c r="TAL524" s="131"/>
      <c r="TAM524" s="131"/>
      <c r="TAN524" s="131"/>
      <c r="TAO524" s="131"/>
      <c r="TAP524" s="131"/>
      <c r="TAQ524" s="131"/>
      <c r="TAR524" s="131"/>
      <c r="TAS524" s="131"/>
      <c r="TAT524" s="131"/>
      <c r="TAU524" s="131"/>
      <c r="TAV524" s="131"/>
      <c r="TAW524" s="131"/>
      <c r="TAX524" s="131"/>
      <c r="TAY524" s="131"/>
      <c r="TAZ524" s="131"/>
      <c r="TBA524" s="131"/>
      <c r="TBB524" s="131"/>
      <c r="TBC524" s="131"/>
      <c r="TBD524" s="131"/>
      <c r="TBE524" s="131"/>
      <c r="TBF524" s="131"/>
      <c r="TBG524" s="131"/>
      <c r="TBH524" s="131"/>
      <c r="TBI524" s="131"/>
      <c r="TBJ524" s="131"/>
      <c r="TBK524" s="131"/>
      <c r="TBL524" s="131"/>
      <c r="TBM524" s="131"/>
      <c r="TBN524" s="131"/>
      <c r="TBO524" s="131"/>
      <c r="TBP524" s="131"/>
      <c r="TBQ524" s="131"/>
      <c r="TBR524" s="131"/>
      <c r="TBS524" s="131"/>
      <c r="TBT524" s="131"/>
      <c r="TBU524" s="131"/>
      <c r="TBV524" s="131"/>
      <c r="TBW524" s="131"/>
      <c r="TBX524" s="131"/>
      <c r="TBY524" s="131"/>
      <c r="TBZ524" s="131"/>
      <c r="TCA524" s="131"/>
      <c r="TCB524" s="131"/>
      <c r="TCC524" s="131"/>
      <c r="TCD524" s="131"/>
      <c r="TCE524" s="131"/>
      <c r="TCF524" s="131"/>
      <c r="TCG524" s="131"/>
      <c r="TCH524" s="131"/>
      <c r="TCI524" s="131"/>
      <c r="TCJ524" s="131"/>
      <c r="TCK524" s="131"/>
      <c r="TCL524" s="131"/>
      <c r="TCM524" s="131"/>
      <c r="TCN524" s="131"/>
      <c r="TCO524" s="131"/>
      <c r="TCP524" s="131"/>
      <c r="TCQ524" s="131"/>
      <c r="TCR524" s="131"/>
      <c r="TCS524" s="131"/>
      <c r="TCT524" s="131"/>
      <c r="TCU524" s="131"/>
      <c r="TCV524" s="131"/>
      <c r="TCW524" s="131"/>
      <c r="TCX524" s="131"/>
      <c r="TCY524" s="131"/>
      <c r="TCZ524" s="131"/>
      <c r="TDA524" s="131"/>
      <c r="TDB524" s="131"/>
      <c r="TDC524" s="131"/>
      <c r="TDD524" s="131"/>
      <c r="TDE524" s="131"/>
      <c r="TDF524" s="131"/>
      <c r="TDG524" s="131"/>
      <c r="TDH524" s="131"/>
      <c r="TDI524" s="131"/>
      <c r="TDJ524" s="131"/>
      <c r="TDK524" s="131"/>
      <c r="TDL524" s="131"/>
      <c r="TDM524" s="131"/>
      <c r="TDN524" s="131"/>
      <c r="TDO524" s="131"/>
      <c r="TDP524" s="131"/>
      <c r="TDQ524" s="131"/>
      <c r="TDR524" s="131"/>
      <c r="TDS524" s="131"/>
      <c r="TDT524" s="131"/>
      <c r="TDU524" s="131"/>
      <c r="TDV524" s="131"/>
      <c r="TDW524" s="131"/>
      <c r="TDX524" s="131"/>
      <c r="TDY524" s="131"/>
      <c r="TDZ524" s="131"/>
      <c r="TEA524" s="131"/>
      <c r="TEB524" s="131"/>
      <c r="TEC524" s="131"/>
      <c r="TED524" s="131"/>
      <c r="TEE524" s="131"/>
      <c r="TEF524" s="131"/>
      <c r="TEG524" s="131"/>
      <c r="TEH524" s="131"/>
      <c r="TEI524" s="131"/>
      <c r="TEJ524" s="131"/>
      <c r="TEK524" s="131"/>
      <c r="TEL524" s="131"/>
      <c r="TEM524" s="131"/>
      <c r="TEN524" s="131"/>
      <c r="TEO524" s="131"/>
      <c r="TEP524" s="131"/>
      <c r="TEQ524" s="131"/>
      <c r="TER524" s="131"/>
      <c r="TES524" s="131"/>
      <c r="TET524" s="131"/>
      <c r="TEU524" s="131"/>
      <c r="TEV524" s="131"/>
      <c r="TEW524" s="131"/>
      <c r="TEX524" s="131"/>
      <c r="TEY524" s="131"/>
      <c r="TEZ524" s="131"/>
      <c r="TFA524" s="131"/>
      <c r="TFB524" s="131"/>
      <c r="TFC524" s="131"/>
      <c r="TFD524" s="131"/>
      <c r="TFE524" s="131"/>
      <c r="TFF524" s="131"/>
      <c r="TFG524" s="131"/>
      <c r="TFH524" s="131"/>
      <c r="TFI524" s="131"/>
      <c r="TFJ524" s="131"/>
      <c r="TFK524" s="131"/>
      <c r="TFL524" s="131"/>
      <c r="TFM524" s="131"/>
      <c r="TFN524" s="131"/>
      <c r="TFO524" s="131"/>
      <c r="TFP524" s="131"/>
      <c r="TFQ524" s="131"/>
      <c r="TFR524" s="131"/>
      <c r="TFS524" s="131"/>
      <c r="TFT524" s="131"/>
      <c r="TFU524" s="131"/>
      <c r="TFV524" s="131"/>
      <c r="TFW524" s="131"/>
      <c r="TFX524" s="131"/>
      <c r="TFY524" s="131"/>
      <c r="TFZ524" s="131"/>
      <c r="TGA524" s="131"/>
      <c r="TGB524" s="131"/>
      <c r="TGC524" s="131"/>
      <c r="TGD524" s="131"/>
      <c r="TGE524" s="131"/>
      <c r="TGF524" s="131"/>
      <c r="TGG524" s="131"/>
      <c r="TGH524" s="131"/>
      <c r="TGI524" s="131"/>
      <c r="TGJ524" s="131"/>
      <c r="TGK524" s="131"/>
      <c r="TGL524" s="131"/>
      <c r="TGM524" s="131"/>
      <c r="TGN524" s="131"/>
      <c r="TGO524" s="131"/>
      <c r="TGP524" s="131"/>
      <c r="TGQ524" s="131"/>
      <c r="TGR524" s="131"/>
      <c r="TGS524" s="131"/>
      <c r="TGT524" s="131"/>
      <c r="TGU524" s="131"/>
      <c r="TGV524" s="131"/>
      <c r="TGW524" s="131"/>
      <c r="TGX524" s="131"/>
      <c r="TGY524" s="131"/>
      <c r="TGZ524" s="131"/>
      <c r="THA524" s="131"/>
      <c r="THB524" s="131"/>
      <c r="THC524" s="131"/>
      <c r="THD524" s="131"/>
      <c r="THE524" s="131"/>
      <c r="THF524" s="131"/>
      <c r="THG524" s="131"/>
      <c r="THH524" s="131"/>
      <c r="THI524" s="131"/>
      <c r="THJ524" s="131"/>
      <c r="THK524" s="131"/>
      <c r="THL524" s="131"/>
      <c r="THM524" s="131"/>
      <c r="THN524" s="131"/>
      <c r="THO524" s="131"/>
      <c r="THP524" s="131"/>
      <c r="THQ524" s="131"/>
      <c r="THR524" s="131"/>
      <c r="THS524" s="131"/>
      <c r="THT524" s="131"/>
      <c r="THU524" s="131"/>
      <c r="THV524" s="131"/>
      <c r="THW524" s="131"/>
      <c r="THX524" s="131"/>
      <c r="THY524" s="131"/>
      <c r="THZ524" s="131"/>
      <c r="TIA524" s="131"/>
      <c r="TIB524" s="131"/>
      <c r="TIC524" s="131"/>
      <c r="TID524" s="131"/>
      <c r="TIE524" s="131"/>
      <c r="TIF524" s="131"/>
      <c r="TIG524" s="131"/>
      <c r="TIH524" s="131"/>
      <c r="TII524" s="131"/>
      <c r="TIJ524" s="131"/>
      <c r="TIK524" s="131"/>
      <c r="TIL524" s="131"/>
      <c r="TIM524" s="131"/>
      <c r="TIN524" s="131"/>
      <c r="TIO524" s="131"/>
      <c r="TIP524" s="131"/>
      <c r="TIQ524" s="131"/>
      <c r="TIR524" s="131"/>
      <c r="TIS524" s="131"/>
      <c r="TIT524" s="131"/>
      <c r="TIU524" s="131"/>
      <c r="TIV524" s="131"/>
      <c r="TIW524" s="131"/>
      <c r="TIX524" s="131"/>
      <c r="TIY524" s="131"/>
      <c r="TIZ524" s="131"/>
      <c r="TJA524" s="131"/>
      <c r="TJB524" s="131"/>
      <c r="TJC524" s="131"/>
      <c r="TJD524" s="131"/>
      <c r="TJE524" s="131"/>
      <c r="TJF524" s="131"/>
      <c r="TJG524" s="131"/>
      <c r="TJH524" s="131"/>
      <c r="TJI524" s="131"/>
      <c r="TJJ524" s="131"/>
      <c r="TJK524" s="131"/>
      <c r="TJL524" s="131"/>
      <c r="TJM524" s="131"/>
      <c r="TJN524" s="131"/>
      <c r="TJO524" s="131"/>
      <c r="TJP524" s="131"/>
      <c r="TJQ524" s="131"/>
      <c r="TJR524" s="131"/>
      <c r="TJS524" s="131"/>
      <c r="TJT524" s="131"/>
      <c r="TJU524" s="131"/>
      <c r="TJV524" s="131"/>
      <c r="TJW524" s="131"/>
      <c r="TJX524" s="131"/>
      <c r="TJY524" s="131"/>
      <c r="TJZ524" s="131"/>
      <c r="TKA524" s="131"/>
      <c r="TKB524" s="131"/>
      <c r="TKC524" s="131"/>
      <c r="TKD524" s="131"/>
      <c r="TKE524" s="131"/>
      <c r="TKF524" s="131"/>
      <c r="TKG524" s="131"/>
      <c r="TKH524" s="131"/>
      <c r="TKI524" s="131"/>
      <c r="TKJ524" s="131"/>
      <c r="TKK524" s="131"/>
      <c r="TKL524" s="131"/>
      <c r="TKM524" s="131"/>
      <c r="TKN524" s="131"/>
      <c r="TKO524" s="131"/>
      <c r="TKP524" s="131"/>
      <c r="TKQ524" s="131"/>
      <c r="TKR524" s="131"/>
      <c r="TKS524" s="131"/>
      <c r="TKT524" s="131"/>
      <c r="TKU524" s="131"/>
      <c r="TKV524" s="131"/>
      <c r="TKW524" s="131"/>
      <c r="TKX524" s="131"/>
      <c r="TKY524" s="131"/>
      <c r="TKZ524" s="131"/>
      <c r="TLA524" s="131"/>
      <c r="TLB524" s="131"/>
      <c r="TLC524" s="131"/>
      <c r="TLD524" s="131"/>
      <c r="TLE524" s="131"/>
      <c r="TLF524" s="131"/>
      <c r="TLG524" s="131"/>
      <c r="TLH524" s="131"/>
      <c r="TLI524" s="131"/>
      <c r="TLJ524" s="131"/>
      <c r="TLK524" s="131"/>
      <c r="TLL524" s="131"/>
      <c r="TLM524" s="131"/>
      <c r="TLN524" s="131"/>
      <c r="TLO524" s="131"/>
      <c r="TLP524" s="131"/>
      <c r="TLQ524" s="131"/>
      <c r="TLR524" s="131"/>
      <c r="TLS524" s="131"/>
      <c r="TLT524" s="131"/>
      <c r="TLU524" s="131"/>
      <c r="TLV524" s="131"/>
      <c r="TLW524" s="131"/>
      <c r="TLX524" s="131"/>
      <c r="TLY524" s="131"/>
      <c r="TLZ524" s="131"/>
      <c r="TMA524" s="131"/>
      <c r="TMB524" s="131"/>
      <c r="TMC524" s="131"/>
      <c r="TMD524" s="131"/>
      <c r="TME524" s="131"/>
      <c r="TMF524" s="131"/>
      <c r="TMG524" s="131"/>
      <c r="TMH524" s="131"/>
      <c r="TMI524" s="131"/>
      <c r="TMJ524" s="131"/>
      <c r="TMK524" s="131"/>
      <c r="TML524" s="131"/>
      <c r="TMM524" s="131"/>
      <c r="TMN524" s="131"/>
      <c r="TMO524" s="131"/>
      <c r="TMP524" s="131"/>
      <c r="TMQ524" s="131"/>
      <c r="TMR524" s="131"/>
      <c r="TMS524" s="131"/>
      <c r="TMT524" s="131"/>
      <c r="TMU524" s="131"/>
      <c r="TMV524" s="131"/>
      <c r="TMW524" s="131"/>
      <c r="TMX524" s="131"/>
      <c r="TMY524" s="131"/>
      <c r="TMZ524" s="131"/>
      <c r="TNA524" s="131"/>
      <c r="TNB524" s="131"/>
      <c r="TNC524" s="131"/>
      <c r="TND524" s="131"/>
      <c r="TNE524" s="131"/>
      <c r="TNF524" s="131"/>
      <c r="TNG524" s="131"/>
      <c r="TNH524" s="131"/>
      <c r="TNI524" s="131"/>
      <c r="TNJ524" s="131"/>
      <c r="TNK524" s="131"/>
      <c r="TNL524" s="131"/>
      <c r="TNM524" s="131"/>
      <c r="TNN524" s="131"/>
      <c r="TNO524" s="131"/>
      <c r="TNP524" s="131"/>
      <c r="TNQ524" s="131"/>
      <c r="TNR524" s="131"/>
      <c r="TNS524" s="131"/>
      <c r="TNT524" s="131"/>
      <c r="TNU524" s="131"/>
      <c r="TNV524" s="131"/>
      <c r="TNW524" s="131"/>
      <c r="TNX524" s="131"/>
      <c r="TNY524" s="131"/>
      <c r="TNZ524" s="131"/>
      <c r="TOA524" s="131"/>
      <c r="TOB524" s="131"/>
      <c r="TOC524" s="131"/>
      <c r="TOD524" s="131"/>
      <c r="TOE524" s="131"/>
      <c r="TOF524" s="131"/>
      <c r="TOG524" s="131"/>
      <c r="TOH524" s="131"/>
      <c r="TOI524" s="131"/>
      <c r="TOJ524" s="131"/>
      <c r="TOK524" s="131"/>
      <c r="TOL524" s="131"/>
      <c r="TOM524" s="131"/>
      <c r="TON524" s="131"/>
      <c r="TOO524" s="131"/>
      <c r="TOP524" s="131"/>
      <c r="TOQ524" s="131"/>
      <c r="TOR524" s="131"/>
      <c r="TOS524" s="131"/>
      <c r="TOT524" s="131"/>
      <c r="TOU524" s="131"/>
      <c r="TOV524" s="131"/>
      <c r="TOW524" s="131"/>
      <c r="TOX524" s="131"/>
      <c r="TOY524" s="131"/>
      <c r="TOZ524" s="131"/>
      <c r="TPA524" s="131"/>
      <c r="TPB524" s="131"/>
      <c r="TPC524" s="131"/>
      <c r="TPD524" s="131"/>
      <c r="TPE524" s="131"/>
      <c r="TPF524" s="131"/>
      <c r="TPG524" s="131"/>
      <c r="TPH524" s="131"/>
      <c r="TPI524" s="131"/>
      <c r="TPJ524" s="131"/>
      <c r="TPK524" s="131"/>
      <c r="TPL524" s="131"/>
      <c r="TPM524" s="131"/>
      <c r="TPN524" s="131"/>
      <c r="TPO524" s="131"/>
      <c r="TPP524" s="131"/>
      <c r="TPQ524" s="131"/>
      <c r="TPR524" s="131"/>
      <c r="TPS524" s="131"/>
      <c r="TPT524" s="131"/>
      <c r="TPU524" s="131"/>
      <c r="TPV524" s="131"/>
      <c r="TPW524" s="131"/>
      <c r="TPX524" s="131"/>
      <c r="TPY524" s="131"/>
      <c r="TPZ524" s="131"/>
      <c r="TQA524" s="131"/>
      <c r="TQB524" s="131"/>
      <c r="TQC524" s="131"/>
      <c r="TQD524" s="131"/>
      <c r="TQE524" s="131"/>
      <c r="TQF524" s="131"/>
      <c r="TQG524" s="131"/>
      <c r="TQH524" s="131"/>
      <c r="TQI524" s="131"/>
      <c r="TQJ524" s="131"/>
      <c r="TQK524" s="131"/>
      <c r="TQL524" s="131"/>
      <c r="TQM524" s="131"/>
      <c r="TQN524" s="131"/>
      <c r="TQO524" s="131"/>
      <c r="TQP524" s="131"/>
      <c r="TQQ524" s="131"/>
      <c r="TQR524" s="131"/>
      <c r="TQS524" s="131"/>
      <c r="TQT524" s="131"/>
      <c r="TQU524" s="131"/>
      <c r="TQV524" s="131"/>
      <c r="TQW524" s="131"/>
      <c r="TQX524" s="131"/>
      <c r="TQY524" s="131"/>
      <c r="TQZ524" s="131"/>
      <c r="TRA524" s="131"/>
      <c r="TRB524" s="131"/>
      <c r="TRC524" s="131"/>
      <c r="TRD524" s="131"/>
      <c r="TRE524" s="131"/>
      <c r="TRF524" s="131"/>
      <c r="TRG524" s="131"/>
      <c r="TRH524" s="131"/>
      <c r="TRI524" s="131"/>
      <c r="TRJ524" s="131"/>
      <c r="TRK524" s="131"/>
      <c r="TRL524" s="131"/>
      <c r="TRM524" s="131"/>
      <c r="TRN524" s="131"/>
      <c r="TRO524" s="131"/>
      <c r="TRP524" s="131"/>
      <c r="TRQ524" s="131"/>
      <c r="TRR524" s="131"/>
      <c r="TRS524" s="131"/>
      <c r="TRT524" s="131"/>
      <c r="TRU524" s="131"/>
      <c r="TRV524" s="131"/>
      <c r="TRW524" s="131"/>
      <c r="TRX524" s="131"/>
      <c r="TRY524" s="131"/>
      <c r="TRZ524" s="131"/>
      <c r="TSA524" s="131"/>
      <c r="TSB524" s="131"/>
      <c r="TSC524" s="131"/>
      <c r="TSD524" s="131"/>
      <c r="TSE524" s="131"/>
      <c r="TSF524" s="131"/>
      <c r="TSG524" s="131"/>
      <c r="TSH524" s="131"/>
      <c r="TSI524" s="131"/>
      <c r="TSJ524" s="131"/>
      <c r="TSK524" s="131"/>
      <c r="TSL524" s="131"/>
      <c r="TSM524" s="131"/>
      <c r="TSN524" s="131"/>
      <c r="TSO524" s="131"/>
      <c r="TSP524" s="131"/>
      <c r="TSQ524" s="131"/>
      <c r="TSR524" s="131"/>
      <c r="TSS524" s="131"/>
      <c r="TST524" s="131"/>
      <c r="TSU524" s="131"/>
      <c r="TSV524" s="131"/>
      <c r="TSW524" s="131"/>
      <c r="TSX524" s="131"/>
      <c r="TSY524" s="131"/>
      <c r="TSZ524" s="131"/>
      <c r="TTA524" s="131"/>
      <c r="TTB524" s="131"/>
      <c r="TTC524" s="131"/>
      <c r="TTD524" s="131"/>
      <c r="TTE524" s="131"/>
      <c r="TTF524" s="131"/>
      <c r="TTG524" s="131"/>
      <c r="TTH524" s="131"/>
      <c r="TTI524" s="131"/>
      <c r="TTJ524" s="131"/>
      <c r="TTK524" s="131"/>
      <c r="TTL524" s="131"/>
      <c r="TTM524" s="131"/>
      <c r="TTN524" s="131"/>
      <c r="TTO524" s="131"/>
      <c r="TTP524" s="131"/>
      <c r="TTQ524" s="131"/>
      <c r="TTR524" s="131"/>
      <c r="TTS524" s="131"/>
      <c r="TTT524" s="131"/>
      <c r="TTU524" s="131"/>
      <c r="TTV524" s="131"/>
      <c r="TTW524" s="131"/>
      <c r="TTX524" s="131"/>
      <c r="TTY524" s="131"/>
      <c r="TTZ524" s="131"/>
      <c r="TUA524" s="131"/>
      <c r="TUB524" s="131"/>
      <c r="TUC524" s="131"/>
      <c r="TUD524" s="131"/>
      <c r="TUE524" s="131"/>
      <c r="TUF524" s="131"/>
      <c r="TUG524" s="131"/>
      <c r="TUH524" s="131"/>
      <c r="TUI524" s="131"/>
      <c r="TUJ524" s="131"/>
      <c r="TUK524" s="131"/>
      <c r="TUL524" s="131"/>
      <c r="TUM524" s="131"/>
      <c r="TUN524" s="131"/>
      <c r="TUO524" s="131"/>
      <c r="TUP524" s="131"/>
      <c r="TUQ524" s="131"/>
      <c r="TUR524" s="131"/>
      <c r="TUS524" s="131"/>
      <c r="TUT524" s="131"/>
      <c r="TUU524" s="131"/>
      <c r="TUV524" s="131"/>
      <c r="TUW524" s="131"/>
      <c r="TUX524" s="131"/>
      <c r="TUY524" s="131"/>
      <c r="TUZ524" s="131"/>
      <c r="TVA524" s="131"/>
      <c r="TVB524" s="131"/>
      <c r="TVC524" s="131"/>
      <c r="TVD524" s="131"/>
      <c r="TVE524" s="131"/>
      <c r="TVF524" s="131"/>
      <c r="TVG524" s="131"/>
      <c r="TVH524" s="131"/>
      <c r="TVI524" s="131"/>
      <c r="TVJ524" s="131"/>
      <c r="TVK524" s="131"/>
      <c r="TVL524" s="131"/>
      <c r="TVM524" s="131"/>
      <c r="TVN524" s="131"/>
      <c r="TVO524" s="131"/>
      <c r="TVP524" s="131"/>
      <c r="TVQ524" s="131"/>
      <c r="TVR524" s="131"/>
      <c r="TVS524" s="131"/>
      <c r="TVT524" s="131"/>
      <c r="TVU524" s="131"/>
      <c r="TVV524" s="131"/>
      <c r="TVW524" s="131"/>
      <c r="TVX524" s="131"/>
      <c r="TVY524" s="131"/>
      <c r="TVZ524" s="131"/>
      <c r="TWA524" s="131"/>
      <c r="TWB524" s="131"/>
      <c r="TWC524" s="131"/>
      <c r="TWD524" s="131"/>
      <c r="TWE524" s="131"/>
      <c r="TWF524" s="131"/>
      <c r="TWG524" s="131"/>
      <c r="TWH524" s="131"/>
      <c r="TWI524" s="131"/>
      <c r="TWJ524" s="131"/>
      <c r="TWK524" s="131"/>
      <c r="TWL524" s="131"/>
      <c r="TWM524" s="131"/>
      <c r="TWN524" s="131"/>
      <c r="TWO524" s="131"/>
      <c r="TWP524" s="131"/>
      <c r="TWQ524" s="131"/>
      <c r="TWR524" s="131"/>
      <c r="TWS524" s="131"/>
      <c r="TWT524" s="131"/>
      <c r="TWU524" s="131"/>
      <c r="TWV524" s="131"/>
      <c r="TWW524" s="131"/>
      <c r="TWX524" s="131"/>
      <c r="TWY524" s="131"/>
      <c r="TWZ524" s="131"/>
      <c r="TXA524" s="131"/>
      <c r="TXB524" s="131"/>
      <c r="TXC524" s="131"/>
      <c r="TXD524" s="131"/>
      <c r="TXE524" s="131"/>
      <c r="TXF524" s="131"/>
      <c r="TXG524" s="131"/>
      <c r="TXH524" s="131"/>
      <c r="TXI524" s="131"/>
      <c r="TXJ524" s="131"/>
      <c r="TXK524" s="131"/>
      <c r="TXL524" s="131"/>
      <c r="TXM524" s="131"/>
      <c r="TXN524" s="131"/>
      <c r="TXO524" s="131"/>
      <c r="TXP524" s="131"/>
      <c r="TXQ524" s="131"/>
      <c r="TXR524" s="131"/>
      <c r="TXS524" s="131"/>
      <c r="TXT524" s="131"/>
      <c r="TXU524" s="131"/>
      <c r="TXV524" s="131"/>
      <c r="TXW524" s="131"/>
      <c r="TXX524" s="131"/>
      <c r="TXY524" s="131"/>
      <c r="TXZ524" s="131"/>
      <c r="TYA524" s="131"/>
      <c r="TYB524" s="131"/>
      <c r="TYC524" s="131"/>
      <c r="TYD524" s="131"/>
      <c r="TYE524" s="131"/>
      <c r="TYF524" s="131"/>
      <c r="TYG524" s="131"/>
      <c r="TYH524" s="131"/>
      <c r="TYI524" s="131"/>
      <c r="TYJ524" s="131"/>
      <c r="TYK524" s="131"/>
      <c r="TYL524" s="131"/>
      <c r="TYM524" s="131"/>
      <c r="TYN524" s="131"/>
      <c r="TYO524" s="131"/>
      <c r="TYP524" s="131"/>
      <c r="TYQ524" s="131"/>
      <c r="TYR524" s="131"/>
      <c r="TYS524" s="131"/>
      <c r="TYT524" s="131"/>
      <c r="TYU524" s="131"/>
      <c r="TYV524" s="131"/>
      <c r="TYW524" s="131"/>
      <c r="TYX524" s="131"/>
      <c r="TYY524" s="131"/>
      <c r="TYZ524" s="131"/>
      <c r="TZA524" s="131"/>
      <c r="TZB524" s="131"/>
      <c r="TZC524" s="131"/>
      <c r="TZD524" s="131"/>
      <c r="TZE524" s="131"/>
      <c r="TZF524" s="131"/>
      <c r="TZG524" s="131"/>
      <c r="TZH524" s="131"/>
      <c r="TZI524" s="131"/>
      <c r="TZJ524" s="131"/>
      <c r="TZK524" s="131"/>
      <c r="TZL524" s="131"/>
      <c r="TZM524" s="131"/>
      <c r="TZN524" s="131"/>
      <c r="TZO524" s="131"/>
      <c r="TZP524" s="131"/>
      <c r="TZQ524" s="131"/>
      <c r="TZR524" s="131"/>
      <c r="TZS524" s="131"/>
      <c r="TZT524" s="131"/>
      <c r="TZU524" s="131"/>
      <c r="TZV524" s="131"/>
      <c r="TZW524" s="131"/>
      <c r="TZX524" s="131"/>
      <c r="TZY524" s="131"/>
      <c r="TZZ524" s="131"/>
      <c r="UAA524" s="131"/>
      <c r="UAB524" s="131"/>
      <c r="UAC524" s="131"/>
      <c r="UAD524" s="131"/>
      <c r="UAE524" s="131"/>
      <c r="UAF524" s="131"/>
      <c r="UAG524" s="131"/>
      <c r="UAH524" s="131"/>
      <c r="UAI524" s="131"/>
      <c r="UAJ524" s="131"/>
      <c r="UAK524" s="131"/>
      <c r="UAL524" s="131"/>
      <c r="UAM524" s="131"/>
      <c r="UAN524" s="131"/>
      <c r="UAO524" s="131"/>
      <c r="UAP524" s="131"/>
      <c r="UAQ524" s="131"/>
      <c r="UAR524" s="131"/>
      <c r="UAS524" s="131"/>
      <c r="UAT524" s="131"/>
      <c r="UAU524" s="131"/>
      <c r="UAV524" s="131"/>
      <c r="UAW524" s="131"/>
      <c r="UAX524" s="131"/>
      <c r="UAY524" s="131"/>
      <c r="UAZ524" s="131"/>
      <c r="UBA524" s="131"/>
      <c r="UBB524" s="131"/>
      <c r="UBC524" s="131"/>
      <c r="UBD524" s="131"/>
      <c r="UBE524" s="131"/>
      <c r="UBF524" s="131"/>
      <c r="UBG524" s="131"/>
      <c r="UBH524" s="131"/>
      <c r="UBI524" s="131"/>
      <c r="UBJ524" s="131"/>
      <c r="UBK524" s="131"/>
      <c r="UBL524" s="131"/>
      <c r="UBM524" s="131"/>
      <c r="UBN524" s="131"/>
      <c r="UBO524" s="131"/>
      <c r="UBP524" s="131"/>
      <c r="UBQ524" s="131"/>
      <c r="UBR524" s="131"/>
      <c r="UBS524" s="131"/>
      <c r="UBT524" s="131"/>
      <c r="UBU524" s="131"/>
      <c r="UBV524" s="131"/>
      <c r="UBW524" s="131"/>
      <c r="UBX524" s="131"/>
      <c r="UBY524" s="131"/>
      <c r="UBZ524" s="131"/>
      <c r="UCA524" s="131"/>
      <c r="UCB524" s="131"/>
      <c r="UCC524" s="131"/>
      <c r="UCD524" s="131"/>
      <c r="UCE524" s="131"/>
      <c r="UCF524" s="131"/>
      <c r="UCG524" s="131"/>
      <c r="UCH524" s="131"/>
      <c r="UCI524" s="131"/>
      <c r="UCJ524" s="131"/>
      <c r="UCK524" s="131"/>
      <c r="UCL524" s="131"/>
      <c r="UCM524" s="131"/>
      <c r="UCN524" s="131"/>
      <c r="UCO524" s="131"/>
      <c r="UCP524" s="131"/>
      <c r="UCQ524" s="131"/>
      <c r="UCR524" s="131"/>
      <c r="UCS524" s="131"/>
      <c r="UCT524" s="131"/>
      <c r="UCU524" s="131"/>
      <c r="UCV524" s="131"/>
      <c r="UCW524" s="131"/>
      <c r="UCX524" s="131"/>
      <c r="UCY524" s="131"/>
      <c r="UCZ524" s="131"/>
      <c r="UDA524" s="131"/>
      <c r="UDB524" s="131"/>
      <c r="UDC524" s="131"/>
      <c r="UDD524" s="131"/>
      <c r="UDE524" s="131"/>
      <c r="UDF524" s="131"/>
      <c r="UDG524" s="131"/>
      <c r="UDH524" s="131"/>
      <c r="UDI524" s="131"/>
      <c r="UDJ524" s="131"/>
      <c r="UDK524" s="131"/>
      <c r="UDL524" s="131"/>
      <c r="UDM524" s="131"/>
      <c r="UDN524" s="131"/>
      <c r="UDO524" s="131"/>
      <c r="UDP524" s="131"/>
      <c r="UDQ524" s="131"/>
      <c r="UDR524" s="131"/>
      <c r="UDS524" s="131"/>
      <c r="UDT524" s="131"/>
      <c r="UDU524" s="131"/>
      <c r="UDV524" s="131"/>
      <c r="UDW524" s="131"/>
      <c r="UDX524" s="131"/>
      <c r="UDY524" s="131"/>
      <c r="UDZ524" s="131"/>
      <c r="UEA524" s="131"/>
      <c r="UEB524" s="131"/>
      <c r="UEC524" s="131"/>
      <c r="UED524" s="131"/>
      <c r="UEE524" s="131"/>
      <c r="UEF524" s="131"/>
      <c r="UEG524" s="131"/>
      <c r="UEH524" s="131"/>
      <c r="UEI524" s="131"/>
      <c r="UEJ524" s="131"/>
      <c r="UEK524" s="131"/>
      <c r="UEL524" s="131"/>
      <c r="UEM524" s="131"/>
      <c r="UEN524" s="131"/>
      <c r="UEO524" s="131"/>
      <c r="UEP524" s="131"/>
      <c r="UEQ524" s="131"/>
      <c r="UER524" s="131"/>
      <c r="UES524" s="131"/>
      <c r="UET524" s="131"/>
      <c r="UEU524" s="131"/>
      <c r="UEV524" s="131"/>
      <c r="UEW524" s="131"/>
      <c r="UEX524" s="131"/>
      <c r="UEY524" s="131"/>
      <c r="UEZ524" s="131"/>
      <c r="UFA524" s="131"/>
      <c r="UFB524" s="131"/>
      <c r="UFC524" s="131"/>
      <c r="UFD524" s="131"/>
      <c r="UFE524" s="131"/>
      <c r="UFF524" s="131"/>
      <c r="UFG524" s="131"/>
      <c r="UFH524" s="131"/>
      <c r="UFI524" s="131"/>
      <c r="UFJ524" s="131"/>
      <c r="UFK524" s="131"/>
      <c r="UFL524" s="131"/>
      <c r="UFM524" s="131"/>
      <c r="UFN524" s="131"/>
      <c r="UFO524" s="131"/>
      <c r="UFP524" s="131"/>
      <c r="UFQ524" s="131"/>
      <c r="UFR524" s="131"/>
      <c r="UFS524" s="131"/>
      <c r="UFT524" s="131"/>
      <c r="UFU524" s="131"/>
      <c r="UFV524" s="131"/>
      <c r="UFW524" s="131"/>
      <c r="UFX524" s="131"/>
      <c r="UFY524" s="131"/>
      <c r="UFZ524" s="131"/>
      <c r="UGA524" s="131"/>
      <c r="UGB524" s="131"/>
      <c r="UGC524" s="131"/>
      <c r="UGD524" s="131"/>
      <c r="UGE524" s="131"/>
      <c r="UGF524" s="131"/>
      <c r="UGG524" s="131"/>
      <c r="UGH524" s="131"/>
      <c r="UGI524" s="131"/>
      <c r="UGJ524" s="131"/>
      <c r="UGK524" s="131"/>
      <c r="UGL524" s="131"/>
      <c r="UGM524" s="131"/>
      <c r="UGN524" s="131"/>
      <c r="UGO524" s="131"/>
      <c r="UGP524" s="131"/>
      <c r="UGQ524" s="131"/>
      <c r="UGR524" s="131"/>
      <c r="UGS524" s="131"/>
      <c r="UGT524" s="131"/>
      <c r="UGU524" s="131"/>
      <c r="UGV524" s="131"/>
      <c r="UGW524" s="131"/>
      <c r="UGX524" s="131"/>
      <c r="UGY524" s="131"/>
      <c r="UGZ524" s="131"/>
      <c r="UHA524" s="131"/>
      <c r="UHB524" s="131"/>
      <c r="UHC524" s="131"/>
      <c r="UHD524" s="131"/>
      <c r="UHE524" s="131"/>
      <c r="UHF524" s="131"/>
      <c r="UHG524" s="131"/>
      <c r="UHH524" s="131"/>
      <c r="UHI524" s="131"/>
      <c r="UHJ524" s="131"/>
      <c r="UHK524" s="131"/>
      <c r="UHL524" s="131"/>
      <c r="UHM524" s="131"/>
      <c r="UHN524" s="131"/>
      <c r="UHO524" s="131"/>
      <c r="UHP524" s="131"/>
      <c r="UHQ524" s="131"/>
      <c r="UHR524" s="131"/>
      <c r="UHS524" s="131"/>
      <c r="UHT524" s="131"/>
      <c r="UHU524" s="131"/>
      <c r="UHV524" s="131"/>
      <c r="UHW524" s="131"/>
      <c r="UHX524" s="131"/>
      <c r="UHY524" s="131"/>
      <c r="UHZ524" s="131"/>
      <c r="UIA524" s="131"/>
      <c r="UIB524" s="131"/>
      <c r="UIC524" s="131"/>
      <c r="UID524" s="131"/>
      <c r="UIE524" s="131"/>
      <c r="UIF524" s="131"/>
      <c r="UIG524" s="131"/>
      <c r="UIH524" s="131"/>
      <c r="UII524" s="131"/>
      <c r="UIJ524" s="131"/>
      <c r="UIK524" s="131"/>
      <c r="UIL524" s="131"/>
      <c r="UIM524" s="131"/>
      <c r="UIN524" s="131"/>
      <c r="UIO524" s="131"/>
      <c r="UIP524" s="131"/>
      <c r="UIQ524" s="131"/>
      <c r="UIR524" s="131"/>
      <c r="UIS524" s="131"/>
      <c r="UIT524" s="131"/>
      <c r="UIU524" s="131"/>
      <c r="UIV524" s="131"/>
      <c r="UIW524" s="131"/>
      <c r="UIX524" s="131"/>
      <c r="UIY524" s="131"/>
      <c r="UIZ524" s="131"/>
      <c r="UJA524" s="131"/>
      <c r="UJB524" s="131"/>
      <c r="UJC524" s="131"/>
      <c r="UJD524" s="131"/>
      <c r="UJE524" s="131"/>
      <c r="UJF524" s="131"/>
      <c r="UJG524" s="131"/>
      <c r="UJH524" s="131"/>
      <c r="UJI524" s="131"/>
      <c r="UJJ524" s="131"/>
      <c r="UJK524" s="131"/>
      <c r="UJL524" s="131"/>
      <c r="UJM524" s="131"/>
      <c r="UJN524" s="131"/>
      <c r="UJO524" s="131"/>
      <c r="UJP524" s="131"/>
      <c r="UJQ524" s="131"/>
      <c r="UJR524" s="131"/>
      <c r="UJS524" s="131"/>
      <c r="UJT524" s="131"/>
      <c r="UJU524" s="131"/>
      <c r="UJV524" s="131"/>
      <c r="UJW524" s="131"/>
      <c r="UJX524" s="131"/>
      <c r="UJY524" s="131"/>
      <c r="UJZ524" s="131"/>
      <c r="UKA524" s="131"/>
      <c r="UKB524" s="131"/>
      <c r="UKC524" s="131"/>
      <c r="UKD524" s="131"/>
      <c r="UKE524" s="131"/>
      <c r="UKF524" s="131"/>
      <c r="UKG524" s="131"/>
      <c r="UKH524" s="131"/>
      <c r="UKI524" s="131"/>
      <c r="UKJ524" s="131"/>
      <c r="UKK524" s="131"/>
      <c r="UKL524" s="131"/>
      <c r="UKM524" s="131"/>
      <c r="UKN524" s="131"/>
      <c r="UKO524" s="131"/>
      <c r="UKP524" s="131"/>
      <c r="UKQ524" s="131"/>
      <c r="UKR524" s="131"/>
      <c r="UKS524" s="131"/>
      <c r="UKT524" s="131"/>
      <c r="UKU524" s="131"/>
      <c r="UKV524" s="131"/>
      <c r="UKW524" s="131"/>
      <c r="UKX524" s="131"/>
      <c r="UKY524" s="131"/>
      <c r="UKZ524" s="131"/>
      <c r="ULA524" s="131"/>
      <c r="ULB524" s="131"/>
      <c r="ULC524" s="131"/>
      <c r="ULD524" s="131"/>
      <c r="ULE524" s="131"/>
      <c r="ULF524" s="131"/>
      <c r="ULG524" s="131"/>
      <c r="ULH524" s="131"/>
      <c r="ULI524" s="131"/>
      <c r="ULJ524" s="131"/>
      <c r="ULK524" s="131"/>
      <c r="ULL524" s="131"/>
      <c r="ULM524" s="131"/>
      <c r="ULN524" s="131"/>
      <c r="ULO524" s="131"/>
      <c r="ULP524" s="131"/>
      <c r="ULQ524" s="131"/>
      <c r="ULR524" s="131"/>
      <c r="ULS524" s="131"/>
      <c r="ULT524" s="131"/>
      <c r="ULU524" s="131"/>
      <c r="ULV524" s="131"/>
      <c r="ULW524" s="131"/>
      <c r="ULX524" s="131"/>
      <c r="ULY524" s="131"/>
      <c r="ULZ524" s="131"/>
      <c r="UMA524" s="131"/>
      <c r="UMB524" s="131"/>
      <c r="UMC524" s="131"/>
      <c r="UMD524" s="131"/>
      <c r="UME524" s="131"/>
      <c r="UMF524" s="131"/>
      <c r="UMG524" s="131"/>
      <c r="UMH524" s="131"/>
      <c r="UMI524" s="131"/>
      <c r="UMJ524" s="131"/>
      <c r="UMK524" s="131"/>
      <c r="UML524" s="131"/>
      <c r="UMM524" s="131"/>
      <c r="UMN524" s="131"/>
      <c r="UMO524" s="131"/>
      <c r="UMP524" s="131"/>
      <c r="UMQ524" s="131"/>
      <c r="UMR524" s="131"/>
      <c r="UMS524" s="131"/>
      <c r="UMT524" s="131"/>
      <c r="UMU524" s="131"/>
      <c r="UMV524" s="131"/>
      <c r="UMW524" s="131"/>
      <c r="UMX524" s="131"/>
      <c r="UMY524" s="131"/>
      <c r="UMZ524" s="131"/>
      <c r="UNA524" s="131"/>
      <c r="UNB524" s="131"/>
      <c r="UNC524" s="131"/>
      <c r="UND524" s="131"/>
      <c r="UNE524" s="131"/>
      <c r="UNF524" s="131"/>
      <c r="UNG524" s="131"/>
      <c r="UNH524" s="131"/>
      <c r="UNI524" s="131"/>
      <c r="UNJ524" s="131"/>
      <c r="UNK524" s="131"/>
      <c r="UNL524" s="131"/>
      <c r="UNM524" s="131"/>
      <c r="UNN524" s="131"/>
      <c r="UNO524" s="131"/>
      <c r="UNP524" s="131"/>
      <c r="UNQ524" s="131"/>
      <c r="UNR524" s="131"/>
      <c r="UNS524" s="131"/>
      <c r="UNT524" s="131"/>
      <c r="UNU524" s="131"/>
      <c r="UNV524" s="131"/>
      <c r="UNW524" s="131"/>
      <c r="UNX524" s="131"/>
      <c r="UNY524" s="131"/>
      <c r="UNZ524" s="131"/>
      <c r="UOA524" s="131"/>
      <c r="UOB524" s="131"/>
      <c r="UOC524" s="131"/>
      <c r="UOD524" s="131"/>
      <c r="UOE524" s="131"/>
      <c r="UOF524" s="131"/>
      <c r="UOG524" s="131"/>
      <c r="UOH524" s="131"/>
      <c r="UOI524" s="131"/>
      <c r="UOJ524" s="131"/>
      <c r="UOK524" s="131"/>
      <c r="UOL524" s="131"/>
      <c r="UOM524" s="131"/>
      <c r="UON524" s="131"/>
      <c r="UOO524" s="131"/>
      <c r="UOP524" s="131"/>
      <c r="UOQ524" s="131"/>
      <c r="UOR524" s="131"/>
      <c r="UOS524" s="131"/>
      <c r="UOT524" s="131"/>
      <c r="UOU524" s="131"/>
      <c r="UOV524" s="131"/>
      <c r="UOW524" s="131"/>
      <c r="UOX524" s="131"/>
      <c r="UOY524" s="131"/>
      <c r="UOZ524" s="131"/>
      <c r="UPA524" s="131"/>
      <c r="UPB524" s="131"/>
      <c r="UPC524" s="131"/>
      <c r="UPD524" s="131"/>
      <c r="UPE524" s="131"/>
      <c r="UPF524" s="131"/>
      <c r="UPG524" s="131"/>
      <c r="UPH524" s="131"/>
      <c r="UPI524" s="131"/>
      <c r="UPJ524" s="131"/>
      <c r="UPK524" s="131"/>
      <c r="UPL524" s="131"/>
      <c r="UPM524" s="131"/>
      <c r="UPN524" s="131"/>
      <c r="UPO524" s="131"/>
      <c r="UPP524" s="131"/>
      <c r="UPQ524" s="131"/>
      <c r="UPR524" s="131"/>
      <c r="UPS524" s="131"/>
      <c r="UPT524" s="131"/>
      <c r="UPU524" s="131"/>
      <c r="UPV524" s="131"/>
      <c r="UPW524" s="131"/>
      <c r="UPX524" s="131"/>
      <c r="UPY524" s="131"/>
      <c r="UPZ524" s="131"/>
      <c r="UQA524" s="131"/>
      <c r="UQB524" s="131"/>
      <c r="UQC524" s="131"/>
      <c r="UQD524" s="131"/>
      <c r="UQE524" s="131"/>
      <c r="UQF524" s="131"/>
      <c r="UQG524" s="131"/>
      <c r="UQH524" s="131"/>
      <c r="UQI524" s="131"/>
      <c r="UQJ524" s="131"/>
      <c r="UQK524" s="131"/>
      <c r="UQL524" s="131"/>
      <c r="UQM524" s="131"/>
      <c r="UQN524" s="131"/>
      <c r="UQO524" s="131"/>
      <c r="UQP524" s="131"/>
      <c r="UQQ524" s="131"/>
      <c r="UQR524" s="131"/>
      <c r="UQS524" s="131"/>
      <c r="UQT524" s="131"/>
      <c r="UQU524" s="131"/>
      <c r="UQV524" s="131"/>
      <c r="UQW524" s="131"/>
      <c r="UQX524" s="131"/>
      <c r="UQY524" s="131"/>
      <c r="UQZ524" s="131"/>
      <c r="URA524" s="131"/>
      <c r="URB524" s="131"/>
      <c r="URC524" s="131"/>
      <c r="URD524" s="131"/>
      <c r="URE524" s="131"/>
      <c r="URF524" s="131"/>
      <c r="URG524" s="131"/>
      <c r="URH524" s="131"/>
      <c r="URI524" s="131"/>
      <c r="URJ524" s="131"/>
      <c r="URK524" s="131"/>
      <c r="URL524" s="131"/>
      <c r="URM524" s="131"/>
      <c r="URN524" s="131"/>
      <c r="URO524" s="131"/>
      <c r="URP524" s="131"/>
      <c r="URQ524" s="131"/>
      <c r="URR524" s="131"/>
      <c r="URS524" s="131"/>
      <c r="URT524" s="131"/>
      <c r="URU524" s="131"/>
      <c r="URV524" s="131"/>
      <c r="URW524" s="131"/>
      <c r="URX524" s="131"/>
      <c r="URY524" s="131"/>
      <c r="URZ524" s="131"/>
      <c r="USA524" s="131"/>
      <c r="USB524" s="131"/>
      <c r="USC524" s="131"/>
      <c r="USD524" s="131"/>
      <c r="USE524" s="131"/>
      <c r="USF524" s="131"/>
      <c r="USG524" s="131"/>
      <c r="USH524" s="131"/>
      <c r="USI524" s="131"/>
      <c r="USJ524" s="131"/>
      <c r="USK524" s="131"/>
      <c r="USL524" s="131"/>
      <c r="USM524" s="131"/>
      <c r="USN524" s="131"/>
      <c r="USO524" s="131"/>
      <c r="USP524" s="131"/>
      <c r="USQ524" s="131"/>
      <c r="USR524" s="131"/>
      <c r="USS524" s="131"/>
      <c r="UST524" s="131"/>
      <c r="USU524" s="131"/>
      <c r="USV524" s="131"/>
      <c r="USW524" s="131"/>
      <c r="USX524" s="131"/>
      <c r="USY524" s="131"/>
      <c r="USZ524" s="131"/>
      <c r="UTA524" s="131"/>
      <c r="UTB524" s="131"/>
      <c r="UTC524" s="131"/>
      <c r="UTD524" s="131"/>
      <c r="UTE524" s="131"/>
      <c r="UTF524" s="131"/>
      <c r="UTG524" s="131"/>
      <c r="UTH524" s="131"/>
      <c r="UTI524" s="131"/>
      <c r="UTJ524" s="131"/>
      <c r="UTK524" s="131"/>
      <c r="UTL524" s="131"/>
      <c r="UTM524" s="131"/>
      <c r="UTN524" s="131"/>
      <c r="UTO524" s="131"/>
      <c r="UTP524" s="131"/>
      <c r="UTQ524" s="131"/>
      <c r="UTR524" s="131"/>
      <c r="UTS524" s="131"/>
      <c r="UTT524" s="131"/>
      <c r="UTU524" s="131"/>
      <c r="UTV524" s="131"/>
      <c r="UTW524" s="131"/>
      <c r="UTX524" s="131"/>
      <c r="UTY524" s="131"/>
      <c r="UTZ524" s="131"/>
      <c r="UUA524" s="131"/>
      <c r="UUB524" s="131"/>
      <c r="UUC524" s="131"/>
      <c r="UUD524" s="131"/>
      <c r="UUE524" s="131"/>
      <c r="UUF524" s="131"/>
      <c r="UUG524" s="131"/>
      <c r="UUH524" s="131"/>
      <c r="UUI524" s="131"/>
      <c r="UUJ524" s="131"/>
      <c r="UUK524" s="131"/>
      <c r="UUL524" s="131"/>
      <c r="UUM524" s="131"/>
      <c r="UUN524" s="131"/>
      <c r="UUO524" s="131"/>
      <c r="UUP524" s="131"/>
      <c r="UUQ524" s="131"/>
      <c r="UUR524" s="131"/>
      <c r="UUS524" s="131"/>
      <c r="UUT524" s="131"/>
      <c r="UUU524" s="131"/>
      <c r="UUV524" s="131"/>
      <c r="UUW524" s="131"/>
      <c r="UUX524" s="131"/>
      <c r="UUY524" s="131"/>
      <c r="UUZ524" s="131"/>
      <c r="UVA524" s="131"/>
      <c r="UVB524" s="131"/>
      <c r="UVC524" s="131"/>
      <c r="UVD524" s="131"/>
      <c r="UVE524" s="131"/>
      <c r="UVF524" s="131"/>
      <c r="UVG524" s="131"/>
      <c r="UVH524" s="131"/>
      <c r="UVI524" s="131"/>
      <c r="UVJ524" s="131"/>
      <c r="UVK524" s="131"/>
      <c r="UVL524" s="131"/>
      <c r="UVM524" s="131"/>
      <c r="UVN524" s="131"/>
      <c r="UVO524" s="131"/>
      <c r="UVP524" s="131"/>
      <c r="UVQ524" s="131"/>
      <c r="UVR524" s="131"/>
      <c r="UVS524" s="131"/>
      <c r="UVT524" s="131"/>
      <c r="UVU524" s="131"/>
      <c r="UVV524" s="131"/>
      <c r="UVW524" s="131"/>
      <c r="UVX524" s="131"/>
      <c r="UVY524" s="131"/>
      <c r="UVZ524" s="131"/>
      <c r="UWA524" s="131"/>
      <c r="UWB524" s="131"/>
      <c r="UWC524" s="131"/>
      <c r="UWD524" s="131"/>
      <c r="UWE524" s="131"/>
      <c r="UWF524" s="131"/>
      <c r="UWG524" s="131"/>
      <c r="UWH524" s="131"/>
      <c r="UWI524" s="131"/>
      <c r="UWJ524" s="131"/>
      <c r="UWK524" s="131"/>
      <c r="UWL524" s="131"/>
      <c r="UWM524" s="131"/>
      <c r="UWN524" s="131"/>
      <c r="UWO524" s="131"/>
      <c r="UWP524" s="131"/>
      <c r="UWQ524" s="131"/>
      <c r="UWR524" s="131"/>
      <c r="UWS524" s="131"/>
      <c r="UWT524" s="131"/>
      <c r="UWU524" s="131"/>
      <c r="UWV524" s="131"/>
      <c r="UWW524" s="131"/>
      <c r="UWX524" s="131"/>
      <c r="UWY524" s="131"/>
      <c r="UWZ524" s="131"/>
      <c r="UXA524" s="131"/>
      <c r="UXB524" s="131"/>
      <c r="UXC524" s="131"/>
      <c r="UXD524" s="131"/>
      <c r="UXE524" s="131"/>
      <c r="UXF524" s="131"/>
      <c r="UXG524" s="131"/>
      <c r="UXH524" s="131"/>
      <c r="UXI524" s="131"/>
      <c r="UXJ524" s="131"/>
      <c r="UXK524" s="131"/>
      <c r="UXL524" s="131"/>
      <c r="UXM524" s="131"/>
      <c r="UXN524" s="131"/>
      <c r="UXO524" s="131"/>
      <c r="UXP524" s="131"/>
      <c r="UXQ524" s="131"/>
      <c r="UXR524" s="131"/>
      <c r="UXS524" s="131"/>
      <c r="UXT524" s="131"/>
      <c r="UXU524" s="131"/>
      <c r="UXV524" s="131"/>
      <c r="UXW524" s="131"/>
      <c r="UXX524" s="131"/>
      <c r="UXY524" s="131"/>
      <c r="UXZ524" s="131"/>
      <c r="UYA524" s="131"/>
      <c r="UYB524" s="131"/>
      <c r="UYC524" s="131"/>
      <c r="UYD524" s="131"/>
      <c r="UYE524" s="131"/>
      <c r="UYF524" s="131"/>
      <c r="UYG524" s="131"/>
      <c r="UYH524" s="131"/>
      <c r="UYI524" s="131"/>
      <c r="UYJ524" s="131"/>
      <c r="UYK524" s="131"/>
      <c r="UYL524" s="131"/>
      <c r="UYM524" s="131"/>
      <c r="UYN524" s="131"/>
      <c r="UYO524" s="131"/>
      <c r="UYP524" s="131"/>
      <c r="UYQ524" s="131"/>
      <c r="UYR524" s="131"/>
      <c r="UYS524" s="131"/>
      <c r="UYT524" s="131"/>
      <c r="UYU524" s="131"/>
      <c r="UYV524" s="131"/>
      <c r="UYW524" s="131"/>
      <c r="UYX524" s="131"/>
      <c r="UYY524" s="131"/>
      <c r="UYZ524" s="131"/>
      <c r="UZA524" s="131"/>
      <c r="UZB524" s="131"/>
      <c r="UZC524" s="131"/>
      <c r="UZD524" s="131"/>
      <c r="UZE524" s="131"/>
      <c r="UZF524" s="131"/>
      <c r="UZG524" s="131"/>
      <c r="UZH524" s="131"/>
      <c r="UZI524" s="131"/>
      <c r="UZJ524" s="131"/>
      <c r="UZK524" s="131"/>
      <c r="UZL524" s="131"/>
      <c r="UZM524" s="131"/>
      <c r="UZN524" s="131"/>
      <c r="UZO524" s="131"/>
      <c r="UZP524" s="131"/>
      <c r="UZQ524" s="131"/>
      <c r="UZR524" s="131"/>
      <c r="UZS524" s="131"/>
      <c r="UZT524" s="131"/>
      <c r="UZU524" s="131"/>
      <c r="UZV524" s="131"/>
      <c r="UZW524" s="131"/>
      <c r="UZX524" s="131"/>
      <c r="UZY524" s="131"/>
      <c r="UZZ524" s="131"/>
      <c r="VAA524" s="131"/>
      <c r="VAB524" s="131"/>
      <c r="VAC524" s="131"/>
      <c r="VAD524" s="131"/>
      <c r="VAE524" s="131"/>
      <c r="VAF524" s="131"/>
      <c r="VAG524" s="131"/>
      <c r="VAH524" s="131"/>
      <c r="VAI524" s="131"/>
      <c r="VAJ524" s="131"/>
      <c r="VAK524" s="131"/>
      <c r="VAL524" s="131"/>
      <c r="VAM524" s="131"/>
      <c r="VAN524" s="131"/>
      <c r="VAO524" s="131"/>
      <c r="VAP524" s="131"/>
      <c r="VAQ524" s="131"/>
      <c r="VAR524" s="131"/>
      <c r="VAS524" s="131"/>
      <c r="VAT524" s="131"/>
      <c r="VAU524" s="131"/>
      <c r="VAV524" s="131"/>
      <c r="VAW524" s="131"/>
      <c r="VAX524" s="131"/>
      <c r="VAY524" s="131"/>
      <c r="VAZ524" s="131"/>
      <c r="VBA524" s="131"/>
      <c r="VBB524" s="131"/>
      <c r="VBC524" s="131"/>
      <c r="VBD524" s="131"/>
      <c r="VBE524" s="131"/>
      <c r="VBF524" s="131"/>
      <c r="VBG524" s="131"/>
      <c r="VBH524" s="131"/>
      <c r="VBI524" s="131"/>
      <c r="VBJ524" s="131"/>
      <c r="VBK524" s="131"/>
      <c r="VBL524" s="131"/>
      <c r="VBM524" s="131"/>
      <c r="VBN524" s="131"/>
      <c r="VBO524" s="131"/>
      <c r="VBP524" s="131"/>
      <c r="VBQ524" s="131"/>
      <c r="VBR524" s="131"/>
      <c r="VBS524" s="131"/>
      <c r="VBT524" s="131"/>
      <c r="VBU524" s="131"/>
      <c r="VBV524" s="131"/>
      <c r="VBW524" s="131"/>
      <c r="VBX524" s="131"/>
      <c r="VBY524" s="131"/>
      <c r="VBZ524" s="131"/>
      <c r="VCA524" s="131"/>
      <c r="VCB524" s="131"/>
      <c r="VCC524" s="131"/>
      <c r="VCD524" s="131"/>
      <c r="VCE524" s="131"/>
      <c r="VCF524" s="131"/>
      <c r="VCG524" s="131"/>
      <c r="VCH524" s="131"/>
      <c r="VCI524" s="131"/>
      <c r="VCJ524" s="131"/>
      <c r="VCK524" s="131"/>
      <c r="VCL524" s="131"/>
      <c r="VCM524" s="131"/>
      <c r="VCN524" s="131"/>
      <c r="VCO524" s="131"/>
      <c r="VCP524" s="131"/>
      <c r="VCQ524" s="131"/>
      <c r="VCR524" s="131"/>
      <c r="VCS524" s="131"/>
      <c r="VCT524" s="131"/>
      <c r="VCU524" s="131"/>
      <c r="VCV524" s="131"/>
      <c r="VCW524" s="131"/>
      <c r="VCX524" s="131"/>
      <c r="VCY524" s="131"/>
      <c r="VCZ524" s="131"/>
      <c r="VDA524" s="131"/>
      <c r="VDB524" s="131"/>
      <c r="VDC524" s="131"/>
      <c r="VDD524" s="131"/>
      <c r="VDE524" s="131"/>
      <c r="VDF524" s="131"/>
      <c r="VDG524" s="131"/>
      <c r="VDH524" s="131"/>
      <c r="VDI524" s="131"/>
      <c r="VDJ524" s="131"/>
      <c r="VDK524" s="131"/>
      <c r="VDL524" s="131"/>
      <c r="VDM524" s="131"/>
      <c r="VDN524" s="131"/>
      <c r="VDO524" s="131"/>
      <c r="VDP524" s="131"/>
      <c r="VDQ524" s="131"/>
      <c r="VDR524" s="131"/>
      <c r="VDS524" s="131"/>
      <c r="VDT524" s="131"/>
      <c r="VDU524" s="131"/>
      <c r="VDV524" s="131"/>
      <c r="VDW524" s="131"/>
      <c r="VDX524" s="131"/>
      <c r="VDY524" s="131"/>
      <c r="VDZ524" s="131"/>
      <c r="VEA524" s="131"/>
      <c r="VEB524" s="131"/>
      <c r="VEC524" s="131"/>
      <c r="VED524" s="131"/>
      <c r="VEE524" s="131"/>
      <c r="VEF524" s="131"/>
      <c r="VEG524" s="131"/>
      <c r="VEH524" s="131"/>
      <c r="VEI524" s="131"/>
      <c r="VEJ524" s="131"/>
      <c r="VEK524" s="131"/>
      <c r="VEL524" s="131"/>
      <c r="VEM524" s="131"/>
      <c r="VEN524" s="131"/>
      <c r="VEO524" s="131"/>
      <c r="VEP524" s="131"/>
      <c r="VEQ524" s="131"/>
      <c r="VER524" s="131"/>
      <c r="VES524" s="131"/>
      <c r="VET524" s="131"/>
      <c r="VEU524" s="131"/>
      <c r="VEV524" s="131"/>
      <c r="VEW524" s="131"/>
      <c r="VEX524" s="131"/>
      <c r="VEY524" s="131"/>
      <c r="VEZ524" s="131"/>
      <c r="VFA524" s="131"/>
      <c r="VFB524" s="131"/>
      <c r="VFC524" s="131"/>
      <c r="VFD524" s="131"/>
      <c r="VFE524" s="131"/>
      <c r="VFF524" s="131"/>
      <c r="VFG524" s="131"/>
      <c r="VFH524" s="131"/>
      <c r="VFI524" s="131"/>
      <c r="VFJ524" s="131"/>
      <c r="VFK524" s="131"/>
      <c r="VFL524" s="131"/>
      <c r="VFM524" s="131"/>
      <c r="VFN524" s="131"/>
      <c r="VFO524" s="131"/>
      <c r="VFP524" s="131"/>
      <c r="VFQ524" s="131"/>
      <c r="VFR524" s="131"/>
      <c r="VFS524" s="131"/>
      <c r="VFT524" s="131"/>
      <c r="VFU524" s="131"/>
      <c r="VFV524" s="131"/>
      <c r="VFW524" s="131"/>
      <c r="VFX524" s="131"/>
      <c r="VFY524" s="131"/>
      <c r="VFZ524" s="131"/>
      <c r="VGA524" s="131"/>
      <c r="VGB524" s="131"/>
      <c r="VGC524" s="131"/>
      <c r="VGD524" s="131"/>
      <c r="VGE524" s="131"/>
      <c r="VGF524" s="131"/>
      <c r="VGG524" s="131"/>
      <c r="VGH524" s="131"/>
      <c r="VGI524" s="131"/>
      <c r="VGJ524" s="131"/>
      <c r="VGK524" s="131"/>
      <c r="VGL524" s="131"/>
      <c r="VGM524" s="131"/>
      <c r="VGN524" s="131"/>
      <c r="VGO524" s="131"/>
      <c r="VGP524" s="131"/>
      <c r="VGQ524" s="131"/>
      <c r="VGR524" s="131"/>
      <c r="VGS524" s="131"/>
      <c r="VGT524" s="131"/>
      <c r="VGU524" s="131"/>
      <c r="VGV524" s="131"/>
      <c r="VGW524" s="131"/>
      <c r="VGX524" s="131"/>
      <c r="VGY524" s="131"/>
      <c r="VGZ524" s="131"/>
      <c r="VHA524" s="131"/>
      <c r="VHB524" s="131"/>
      <c r="VHC524" s="131"/>
      <c r="VHD524" s="131"/>
      <c r="VHE524" s="131"/>
      <c r="VHF524" s="131"/>
      <c r="VHG524" s="131"/>
      <c r="VHH524" s="131"/>
      <c r="VHI524" s="131"/>
      <c r="VHJ524" s="131"/>
      <c r="VHK524" s="131"/>
      <c r="VHL524" s="131"/>
      <c r="VHM524" s="131"/>
      <c r="VHN524" s="131"/>
      <c r="VHO524" s="131"/>
      <c r="VHP524" s="131"/>
      <c r="VHQ524" s="131"/>
      <c r="VHR524" s="131"/>
      <c r="VHS524" s="131"/>
      <c r="VHT524" s="131"/>
      <c r="VHU524" s="131"/>
      <c r="VHV524" s="131"/>
      <c r="VHW524" s="131"/>
      <c r="VHX524" s="131"/>
      <c r="VHY524" s="131"/>
      <c r="VHZ524" s="131"/>
      <c r="VIA524" s="131"/>
      <c r="VIB524" s="131"/>
      <c r="VIC524" s="131"/>
      <c r="VID524" s="131"/>
      <c r="VIE524" s="131"/>
      <c r="VIF524" s="131"/>
      <c r="VIG524" s="131"/>
      <c r="VIH524" s="131"/>
      <c r="VII524" s="131"/>
      <c r="VIJ524" s="131"/>
      <c r="VIK524" s="131"/>
      <c r="VIL524" s="131"/>
      <c r="VIM524" s="131"/>
      <c r="VIN524" s="131"/>
      <c r="VIO524" s="131"/>
      <c r="VIP524" s="131"/>
      <c r="VIQ524" s="131"/>
      <c r="VIR524" s="131"/>
      <c r="VIS524" s="131"/>
      <c r="VIT524" s="131"/>
      <c r="VIU524" s="131"/>
      <c r="VIV524" s="131"/>
      <c r="VIW524" s="131"/>
      <c r="VIX524" s="131"/>
      <c r="VIY524" s="131"/>
      <c r="VIZ524" s="131"/>
      <c r="VJA524" s="131"/>
      <c r="VJB524" s="131"/>
      <c r="VJC524" s="131"/>
      <c r="VJD524" s="131"/>
      <c r="VJE524" s="131"/>
      <c r="VJF524" s="131"/>
      <c r="VJG524" s="131"/>
      <c r="VJH524" s="131"/>
      <c r="VJI524" s="131"/>
      <c r="VJJ524" s="131"/>
      <c r="VJK524" s="131"/>
      <c r="VJL524" s="131"/>
      <c r="VJM524" s="131"/>
      <c r="VJN524" s="131"/>
      <c r="VJO524" s="131"/>
      <c r="VJP524" s="131"/>
      <c r="VJQ524" s="131"/>
      <c r="VJR524" s="131"/>
      <c r="VJS524" s="131"/>
      <c r="VJT524" s="131"/>
      <c r="VJU524" s="131"/>
      <c r="VJV524" s="131"/>
      <c r="VJW524" s="131"/>
      <c r="VJX524" s="131"/>
      <c r="VJY524" s="131"/>
      <c r="VJZ524" s="131"/>
      <c r="VKA524" s="131"/>
      <c r="VKB524" s="131"/>
      <c r="VKC524" s="131"/>
      <c r="VKD524" s="131"/>
      <c r="VKE524" s="131"/>
      <c r="VKF524" s="131"/>
      <c r="VKG524" s="131"/>
      <c r="VKH524" s="131"/>
      <c r="VKI524" s="131"/>
      <c r="VKJ524" s="131"/>
      <c r="VKK524" s="131"/>
      <c r="VKL524" s="131"/>
      <c r="VKM524" s="131"/>
      <c r="VKN524" s="131"/>
      <c r="VKO524" s="131"/>
      <c r="VKP524" s="131"/>
      <c r="VKQ524" s="131"/>
      <c r="VKR524" s="131"/>
      <c r="VKS524" s="131"/>
      <c r="VKT524" s="131"/>
      <c r="VKU524" s="131"/>
      <c r="VKV524" s="131"/>
      <c r="VKW524" s="131"/>
      <c r="VKX524" s="131"/>
      <c r="VKY524" s="131"/>
      <c r="VKZ524" s="131"/>
      <c r="VLA524" s="131"/>
      <c r="VLB524" s="131"/>
      <c r="VLC524" s="131"/>
      <c r="VLD524" s="131"/>
      <c r="VLE524" s="131"/>
      <c r="VLF524" s="131"/>
      <c r="VLG524" s="131"/>
      <c r="VLH524" s="131"/>
      <c r="VLI524" s="131"/>
      <c r="VLJ524" s="131"/>
      <c r="VLK524" s="131"/>
      <c r="VLL524" s="131"/>
      <c r="VLM524" s="131"/>
      <c r="VLN524" s="131"/>
      <c r="VLO524" s="131"/>
      <c r="VLP524" s="131"/>
      <c r="VLQ524" s="131"/>
      <c r="VLR524" s="131"/>
      <c r="VLS524" s="131"/>
      <c r="VLT524" s="131"/>
      <c r="VLU524" s="131"/>
      <c r="VLV524" s="131"/>
      <c r="VLW524" s="131"/>
      <c r="VLX524" s="131"/>
      <c r="VLY524" s="131"/>
      <c r="VLZ524" s="131"/>
      <c r="VMA524" s="131"/>
      <c r="VMB524" s="131"/>
      <c r="VMC524" s="131"/>
      <c r="VMD524" s="131"/>
      <c r="VME524" s="131"/>
      <c r="VMF524" s="131"/>
      <c r="VMG524" s="131"/>
      <c r="VMH524" s="131"/>
      <c r="VMI524" s="131"/>
      <c r="VMJ524" s="131"/>
      <c r="VMK524" s="131"/>
      <c r="VML524" s="131"/>
      <c r="VMM524" s="131"/>
      <c r="VMN524" s="131"/>
      <c r="VMO524" s="131"/>
      <c r="VMP524" s="131"/>
      <c r="VMQ524" s="131"/>
      <c r="VMR524" s="131"/>
      <c r="VMS524" s="131"/>
      <c r="VMT524" s="131"/>
      <c r="VMU524" s="131"/>
      <c r="VMV524" s="131"/>
      <c r="VMW524" s="131"/>
      <c r="VMX524" s="131"/>
      <c r="VMY524" s="131"/>
      <c r="VMZ524" s="131"/>
      <c r="VNA524" s="131"/>
      <c r="VNB524" s="131"/>
      <c r="VNC524" s="131"/>
      <c r="VND524" s="131"/>
      <c r="VNE524" s="131"/>
      <c r="VNF524" s="131"/>
      <c r="VNG524" s="131"/>
      <c r="VNH524" s="131"/>
      <c r="VNI524" s="131"/>
      <c r="VNJ524" s="131"/>
      <c r="VNK524" s="131"/>
      <c r="VNL524" s="131"/>
      <c r="VNM524" s="131"/>
      <c r="VNN524" s="131"/>
      <c r="VNO524" s="131"/>
      <c r="VNP524" s="131"/>
      <c r="VNQ524" s="131"/>
      <c r="VNR524" s="131"/>
      <c r="VNS524" s="131"/>
      <c r="VNT524" s="131"/>
      <c r="VNU524" s="131"/>
      <c r="VNV524" s="131"/>
      <c r="VNW524" s="131"/>
      <c r="VNX524" s="131"/>
      <c r="VNY524" s="131"/>
      <c r="VNZ524" s="131"/>
      <c r="VOA524" s="131"/>
      <c r="VOB524" s="131"/>
      <c r="VOC524" s="131"/>
      <c r="VOD524" s="131"/>
      <c r="VOE524" s="131"/>
      <c r="VOF524" s="131"/>
      <c r="VOG524" s="131"/>
      <c r="VOH524" s="131"/>
      <c r="VOI524" s="131"/>
      <c r="VOJ524" s="131"/>
      <c r="VOK524" s="131"/>
      <c r="VOL524" s="131"/>
      <c r="VOM524" s="131"/>
      <c r="VON524" s="131"/>
      <c r="VOO524" s="131"/>
      <c r="VOP524" s="131"/>
      <c r="VOQ524" s="131"/>
      <c r="VOR524" s="131"/>
      <c r="VOS524" s="131"/>
      <c r="VOT524" s="131"/>
      <c r="VOU524" s="131"/>
      <c r="VOV524" s="131"/>
      <c r="VOW524" s="131"/>
      <c r="VOX524" s="131"/>
      <c r="VOY524" s="131"/>
      <c r="VOZ524" s="131"/>
      <c r="VPA524" s="131"/>
      <c r="VPB524" s="131"/>
      <c r="VPC524" s="131"/>
      <c r="VPD524" s="131"/>
      <c r="VPE524" s="131"/>
      <c r="VPF524" s="131"/>
      <c r="VPG524" s="131"/>
      <c r="VPH524" s="131"/>
      <c r="VPI524" s="131"/>
      <c r="VPJ524" s="131"/>
      <c r="VPK524" s="131"/>
      <c r="VPL524" s="131"/>
      <c r="VPM524" s="131"/>
      <c r="VPN524" s="131"/>
      <c r="VPO524" s="131"/>
      <c r="VPP524" s="131"/>
      <c r="VPQ524" s="131"/>
      <c r="VPR524" s="131"/>
      <c r="VPS524" s="131"/>
      <c r="VPT524" s="131"/>
      <c r="VPU524" s="131"/>
      <c r="VPV524" s="131"/>
      <c r="VPW524" s="131"/>
      <c r="VPX524" s="131"/>
      <c r="VPY524" s="131"/>
      <c r="VPZ524" s="131"/>
      <c r="VQA524" s="131"/>
      <c r="VQB524" s="131"/>
      <c r="VQC524" s="131"/>
      <c r="VQD524" s="131"/>
      <c r="VQE524" s="131"/>
      <c r="VQF524" s="131"/>
      <c r="VQG524" s="131"/>
      <c r="VQH524" s="131"/>
      <c r="VQI524" s="131"/>
      <c r="VQJ524" s="131"/>
      <c r="VQK524" s="131"/>
      <c r="VQL524" s="131"/>
      <c r="VQM524" s="131"/>
      <c r="VQN524" s="131"/>
      <c r="VQO524" s="131"/>
      <c r="VQP524" s="131"/>
      <c r="VQQ524" s="131"/>
      <c r="VQR524" s="131"/>
      <c r="VQS524" s="131"/>
      <c r="VQT524" s="131"/>
      <c r="VQU524" s="131"/>
      <c r="VQV524" s="131"/>
      <c r="VQW524" s="131"/>
      <c r="VQX524" s="131"/>
      <c r="VQY524" s="131"/>
      <c r="VQZ524" s="131"/>
      <c r="VRA524" s="131"/>
      <c r="VRB524" s="131"/>
      <c r="VRC524" s="131"/>
      <c r="VRD524" s="131"/>
      <c r="VRE524" s="131"/>
      <c r="VRF524" s="131"/>
      <c r="VRG524" s="131"/>
      <c r="VRH524" s="131"/>
      <c r="VRI524" s="131"/>
      <c r="VRJ524" s="131"/>
      <c r="VRK524" s="131"/>
      <c r="VRL524" s="131"/>
      <c r="VRM524" s="131"/>
      <c r="VRN524" s="131"/>
      <c r="VRO524" s="131"/>
      <c r="VRP524" s="131"/>
      <c r="VRQ524" s="131"/>
      <c r="VRR524" s="131"/>
      <c r="VRS524" s="131"/>
      <c r="VRT524" s="131"/>
      <c r="VRU524" s="131"/>
      <c r="VRV524" s="131"/>
      <c r="VRW524" s="131"/>
      <c r="VRX524" s="131"/>
      <c r="VRY524" s="131"/>
      <c r="VRZ524" s="131"/>
      <c r="VSA524" s="131"/>
      <c r="VSB524" s="131"/>
      <c r="VSC524" s="131"/>
      <c r="VSD524" s="131"/>
      <c r="VSE524" s="131"/>
      <c r="VSF524" s="131"/>
      <c r="VSG524" s="131"/>
      <c r="VSH524" s="131"/>
      <c r="VSI524" s="131"/>
      <c r="VSJ524" s="131"/>
      <c r="VSK524" s="131"/>
      <c r="VSL524" s="131"/>
      <c r="VSM524" s="131"/>
      <c r="VSN524" s="131"/>
      <c r="VSO524" s="131"/>
      <c r="VSP524" s="131"/>
      <c r="VSQ524" s="131"/>
      <c r="VSR524" s="131"/>
      <c r="VSS524" s="131"/>
      <c r="VST524" s="131"/>
      <c r="VSU524" s="131"/>
      <c r="VSV524" s="131"/>
      <c r="VSW524" s="131"/>
      <c r="VSX524" s="131"/>
      <c r="VSY524" s="131"/>
      <c r="VSZ524" s="131"/>
      <c r="VTA524" s="131"/>
      <c r="VTB524" s="131"/>
      <c r="VTC524" s="131"/>
      <c r="VTD524" s="131"/>
      <c r="VTE524" s="131"/>
      <c r="VTF524" s="131"/>
      <c r="VTG524" s="131"/>
      <c r="VTH524" s="131"/>
      <c r="VTI524" s="131"/>
      <c r="VTJ524" s="131"/>
      <c r="VTK524" s="131"/>
      <c r="VTL524" s="131"/>
      <c r="VTM524" s="131"/>
      <c r="VTN524" s="131"/>
      <c r="VTO524" s="131"/>
      <c r="VTP524" s="131"/>
      <c r="VTQ524" s="131"/>
      <c r="VTR524" s="131"/>
      <c r="VTS524" s="131"/>
      <c r="VTT524" s="131"/>
      <c r="VTU524" s="131"/>
      <c r="VTV524" s="131"/>
      <c r="VTW524" s="131"/>
      <c r="VTX524" s="131"/>
      <c r="VTY524" s="131"/>
      <c r="VTZ524" s="131"/>
      <c r="VUA524" s="131"/>
      <c r="VUB524" s="131"/>
      <c r="VUC524" s="131"/>
      <c r="VUD524" s="131"/>
      <c r="VUE524" s="131"/>
      <c r="VUF524" s="131"/>
      <c r="VUG524" s="131"/>
      <c r="VUH524" s="131"/>
      <c r="VUI524" s="131"/>
      <c r="VUJ524" s="131"/>
      <c r="VUK524" s="131"/>
      <c r="VUL524" s="131"/>
      <c r="VUM524" s="131"/>
      <c r="VUN524" s="131"/>
      <c r="VUO524" s="131"/>
      <c r="VUP524" s="131"/>
      <c r="VUQ524" s="131"/>
      <c r="VUR524" s="131"/>
      <c r="VUS524" s="131"/>
      <c r="VUT524" s="131"/>
      <c r="VUU524" s="131"/>
      <c r="VUV524" s="131"/>
      <c r="VUW524" s="131"/>
      <c r="VUX524" s="131"/>
      <c r="VUY524" s="131"/>
      <c r="VUZ524" s="131"/>
      <c r="VVA524" s="131"/>
      <c r="VVB524" s="131"/>
      <c r="VVC524" s="131"/>
      <c r="VVD524" s="131"/>
      <c r="VVE524" s="131"/>
      <c r="VVF524" s="131"/>
      <c r="VVG524" s="131"/>
      <c r="VVH524" s="131"/>
      <c r="VVI524" s="131"/>
      <c r="VVJ524" s="131"/>
      <c r="VVK524" s="131"/>
      <c r="VVL524" s="131"/>
      <c r="VVM524" s="131"/>
      <c r="VVN524" s="131"/>
      <c r="VVO524" s="131"/>
      <c r="VVP524" s="131"/>
      <c r="VVQ524" s="131"/>
      <c r="VVR524" s="131"/>
      <c r="VVS524" s="131"/>
      <c r="VVT524" s="131"/>
      <c r="VVU524" s="131"/>
      <c r="VVV524" s="131"/>
      <c r="VVW524" s="131"/>
      <c r="VVX524" s="131"/>
      <c r="VVY524" s="131"/>
      <c r="VVZ524" s="131"/>
      <c r="VWA524" s="131"/>
      <c r="VWB524" s="131"/>
      <c r="VWC524" s="131"/>
      <c r="VWD524" s="131"/>
      <c r="VWE524" s="131"/>
      <c r="VWF524" s="131"/>
      <c r="VWG524" s="131"/>
      <c r="VWH524" s="131"/>
      <c r="VWI524" s="131"/>
      <c r="VWJ524" s="131"/>
      <c r="VWK524" s="131"/>
      <c r="VWL524" s="131"/>
      <c r="VWM524" s="131"/>
      <c r="VWN524" s="131"/>
      <c r="VWO524" s="131"/>
      <c r="VWP524" s="131"/>
      <c r="VWQ524" s="131"/>
      <c r="VWR524" s="131"/>
      <c r="VWS524" s="131"/>
      <c r="VWT524" s="131"/>
      <c r="VWU524" s="131"/>
      <c r="VWV524" s="131"/>
      <c r="VWW524" s="131"/>
      <c r="VWX524" s="131"/>
      <c r="VWY524" s="131"/>
      <c r="VWZ524" s="131"/>
      <c r="VXA524" s="131"/>
      <c r="VXB524" s="131"/>
      <c r="VXC524" s="131"/>
      <c r="VXD524" s="131"/>
      <c r="VXE524" s="131"/>
      <c r="VXF524" s="131"/>
      <c r="VXG524" s="131"/>
      <c r="VXH524" s="131"/>
      <c r="VXI524" s="131"/>
      <c r="VXJ524" s="131"/>
      <c r="VXK524" s="131"/>
      <c r="VXL524" s="131"/>
      <c r="VXM524" s="131"/>
      <c r="VXN524" s="131"/>
      <c r="VXO524" s="131"/>
      <c r="VXP524" s="131"/>
      <c r="VXQ524" s="131"/>
      <c r="VXR524" s="131"/>
      <c r="VXS524" s="131"/>
      <c r="VXT524" s="131"/>
      <c r="VXU524" s="131"/>
      <c r="VXV524" s="131"/>
      <c r="VXW524" s="131"/>
      <c r="VXX524" s="131"/>
      <c r="VXY524" s="131"/>
      <c r="VXZ524" s="131"/>
      <c r="VYA524" s="131"/>
      <c r="VYB524" s="131"/>
      <c r="VYC524" s="131"/>
      <c r="VYD524" s="131"/>
      <c r="VYE524" s="131"/>
      <c r="VYF524" s="131"/>
      <c r="VYG524" s="131"/>
      <c r="VYH524" s="131"/>
      <c r="VYI524" s="131"/>
      <c r="VYJ524" s="131"/>
      <c r="VYK524" s="131"/>
      <c r="VYL524" s="131"/>
      <c r="VYM524" s="131"/>
      <c r="VYN524" s="131"/>
      <c r="VYO524" s="131"/>
      <c r="VYP524" s="131"/>
      <c r="VYQ524" s="131"/>
      <c r="VYR524" s="131"/>
      <c r="VYS524" s="131"/>
      <c r="VYT524" s="131"/>
      <c r="VYU524" s="131"/>
      <c r="VYV524" s="131"/>
      <c r="VYW524" s="131"/>
      <c r="VYX524" s="131"/>
      <c r="VYY524" s="131"/>
      <c r="VYZ524" s="131"/>
      <c r="VZA524" s="131"/>
      <c r="VZB524" s="131"/>
      <c r="VZC524" s="131"/>
      <c r="VZD524" s="131"/>
      <c r="VZE524" s="131"/>
      <c r="VZF524" s="131"/>
      <c r="VZG524" s="131"/>
      <c r="VZH524" s="131"/>
      <c r="VZI524" s="131"/>
      <c r="VZJ524" s="131"/>
      <c r="VZK524" s="131"/>
      <c r="VZL524" s="131"/>
      <c r="VZM524" s="131"/>
      <c r="VZN524" s="131"/>
      <c r="VZO524" s="131"/>
      <c r="VZP524" s="131"/>
      <c r="VZQ524" s="131"/>
      <c r="VZR524" s="131"/>
      <c r="VZS524" s="131"/>
      <c r="VZT524" s="131"/>
      <c r="VZU524" s="131"/>
      <c r="VZV524" s="131"/>
      <c r="VZW524" s="131"/>
      <c r="VZX524" s="131"/>
      <c r="VZY524" s="131"/>
      <c r="VZZ524" s="131"/>
      <c r="WAA524" s="131"/>
      <c r="WAB524" s="131"/>
      <c r="WAC524" s="131"/>
      <c r="WAD524" s="131"/>
      <c r="WAE524" s="131"/>
      <c r="WAF524" s="131"/>
      <c r="WAG524" s="131"/>
      <c r="WAH524" s="131"/>
      <c r="WAI524" s="131"/>
      <c r="WAJ524" s="131"/>
      <c r="WAK524" s="131"/>
      <c r="WAL524" s="131"/>
      <c r="WAM524" s="131"/>
      <c r="WAN524" s="131"/>
      <c r="WAO524" s="131"/>
      <c r="WAP524" s="131"/>
      <c r="WAQ524" s="131"/>
      <c r="WAR524" s="131"/>
      <c r="WAS524" s="131"/>
      <c r="WAT524" s="131"/>
      <c r="WAU524" s="131"/>
      <c r="WAV524" s="131"/>
      <c r="WAW524" s="131"/>
      <c r="WAX524" s="131"/>
      <c r="WAY524" s="131"/>
      <c r="WAZ524" s="131"/>
      <c r="WBA524" s="131"/>
      <c r="WBB524" s="131"/>
      <c r="WBC524" s="131"/>
      <c r="WBD524" s="131"/>
      <c r="WBE524" s="131"/>
      <c r="WBF524" s="131"/>
      <c r="WBG524" s="131"/>
      <c r="WBH524" s="131"/>
      <c r="WBI524" s="131"/>
      <c r="WBJ524" s="131"/>
      <c r="WBK524" s="131"/>
      <c r="WBL524" s="131"/>
      <c r="WBM524" s="131"/>
      <c r="WBN524" s="131"/>
      <c r="WBO524" s="131"/>
      <c r="WBP524" s="131"/>
      <c r="WBQ524" s="131"/>
      <c r="WBR524" s="131"/>
      <c r="WBS524" s="131"/>
      <c r="WBT524" s="131"/>
      <c r="WBU524" s="131"/>
      <c r="WBV524" s="131"/>
      <c r="WBW524" s="131"/>
      <c r="WBX524" s="131"/>
      <c r="WBY524" s="131"/>
      <c r="WBZ524" s="131"/>
      <c r="WCA524" s="131"/>
      <c r="WCB524" s="131"/>
      <c r="WCC524" s="131"/>
      <c r="WCD524" s="131"/>
      <c r="WCE524" s="131"/>
      <c r="WCF524" s="131"/>
      <c r="WCG524" s="131"/>
      <c r="WCH524" s="131"/>
      <c r="WCI524" s="131"/>
      <c r="WCJ524" s="131"/>
      <c r="WCK524" s="131"/>
      <c r="WCL524" s="131"/>
      <c r="WCM524" s="131"/>
      <c r="WCN524" s="131"/>
      <c r="WCO524" s="131"/>
      <c r="WCP524" s="131"/>
      <c r="WCQ524" s="131"/>
      <c r="WCR524" s="131"/>
      <c r="WCS524" s="131"/>
      <c r="WCT524" s="131"/>
      <c r="WCU524" s="131"/>
      <c r="WCV524" s="131"/>
      <c r="WCW524" s="131"/>
      <c r="WCX524" s="131"/>
      <c r="WCY524" s="131"/>
      <c r="WCZ524" s="131"/>
      <c r="WDA524" s="131"/>
      <c r="WDB524" s="131"/>
      <c r="WDC524" s="131"/>
      <c r="WDD524" s="131"/>
      <c r="WDE524" s="131"/>
      <c r="WDF524" s="131"/>
      <c r="WDG524" s="131"/>
      <c r="WDH524" s="131"/>
      <c r="WDI524" s="131"/>
      <c r="WDJ524" s="131"/>
      <c r="WDK524" s="131"/>
      <c r="WDL524" s="131"/>
      <c r="WDM524" s="131"/>
      <c r="WDN524" s="131"/>
      <c r="WDO524" s="131"/>
      <c r="WDP524" s="131"/>
      <c r="WDQ524" s="131"/>
      <c r="WDR524" s="131"/>
      <c r="WDS524" s="131"/>
      <c r="WDT524" s="131"/>
      <c r="WDU524" s="131"/>
      <c r="WDV524" s="131"/>
      <c r="WDW524" s="131"/>
      <c r="WDX524" s="131"/>
      <c r="WDY524" s="131"/>
      <c r="WDZ524" s="131"/>
      <c r="WEA524" s="131"/>
      <c r="WEB524" s="131"/>
      <c r="WEC524" s="131"/>
      <c r="WED524" s="131"/>
      <c r="WEE524" s="131"/>
      <c r="WEF524" s="131"/>
      <c r="WEG524" s="131"/>
      <c r="WEH524" s="131"/>
      <c r="WEI524" s="131"/>
      <c r="WEJ524" s="131"/>
      <c r="WEK524" s="131"/>
      <c r="WEL524" s="131"/>
      <c r="WEM524" s="131"/>
      <c r="WEN524" s="131"/>
      <c r="WEO524" s="131"/>
      <c r="WEP524" s="131"/>
      <c r="WEQ524" s="131"/>
      <c r="WER524" s="131"/>
      <c r="WES524" s="131"/>
      <c r="WET524" s="131"/>
      <c r="WEU524" s="131"/>
      <c r="WEV524" s="131"/>
      <c r="WEW524" s="131"/>
      <c r="WEX524" s="131"/>
      <c r="WEY524" s="131"/>
      <c r="WEZ524" s="131"/>
      <c r="WFA524" s="131"/>
      <c r="WFB524" s="131"/>
      <c r="WFC524" s="131"/>
      <c r="WFD524" s="131"/>
      <c r="WFE524" s="131"/>
      <c r="WFF524" s="131"/>
      <c r="WFG524" s="131"/>
      <c r="WFH524" s="131"/>
      <c r="WFI524" s="131"/>
      <c r="WFJ524" s="131"/>
      <c r="WFK524" s="131"/>
      <c r="WFL524" s="131"/>
      <c r="WFM524" s="131"/>
      <c r="WFN524" s="131"/>
      <c r="WFO524" s="131"/>
      <c r="WFP524" s="131"/>
      <c r="WFQ524" s="131"/>
      <c r="WFR524" s="131"/>
      <c r="WFS524" s="131"/>
      <c r="WFT524" s="131"/>
      <c r="WFU524" s="131"/>
      <c r="WFV524" s="131"/>
      <c r="WFW524" s="131"/>
      <c r="WFX524" s="131"/>
      <c r="WFY524" s="131"/>
      <c r="WFZ524" s="131"/>
      <c r="WGA524" s="131"/>
      <c r="WGB524" s="131"/>
      <c r="WGC524" s="131"/>
      <c r="WGD524" s="131"/>
      <c r="WGE524" s="131"/>
      <c r="WGF524" s="131"/>
      <c r="WGG524" s="131"/>
      <c r="WGH524" s="131"/>
      <c r="WGI524" s="131"/>
      <c r="WGJ524" s="131"/>
      <c r="WGK524" s="131"/>
      <c r="WGL524" s="131"/>
      <c r="WGM524" s="131"/>
      <c r="WGN524" s="131"/>
      <c r="WGO524" s="131"/>
      <c r="WGP524" s="131"/>
      <c r="WGQ524" s="131"/>
      <c r="WGR524" s="131"/>
      <c r="WGS524" s="131"/>
      <c r="WGT524" s="131"/>
      <c r="WGU524" s="131"/>
      <c r="WGV524" s="131"/>
      <c r="WGW524" s="131"/>
      <c r="WGX524" s="131"/>
      <c r="WGY524" s="131"/>
      <c r="WGZ524" s="131"/>
      <c r="WHA524" s="131"/>
      <c r="WHB524" s="131"/>
      <c r="WHC524" s="131"/>
      <c r="WHD524" s="131"/>
      <c r="WHE524" s="131"/>
      <c r="WHF524" s="131"/>
      <c r="WHG524" s="131"/>
      <c r="WHH524" s="131"/>
      <c r="WHI524" s="131"/>
      <c r="WHJ524" s="131"/>
      <c r="WHK524" s="131"/>
      <c r="WHL524" s="131"/>
      <c r="WHM524" s="131"/>
      <c r="WHN524" s="131"/>
      <c r="WHO524" s="131"/>
      <c r="WHP524" s="131"/>
      <c r="WHQ524" s="131"/>
      <c r="WHR524" s="131"/>
      <c r="WHS524" s="131"/>
      <c r="WHT524" s="131"/>
      <c r="WHU524" s="131"/>
      <c r="WHV524" s="131"/>
      <c r="WHW524" s="131"/>
      <c r="WHX524" s="131"/>
      <c r="WHY524" s="131"/>
      <c r="WHZ524" s="131"/>
      <c r="WIA524" s="131"/>
      <c r="WIB524" s="131"/>
      <c r="WIC524" s="131"/>
      <c r="WID524" s="131"/>
      <c r="WIE524" s="131"/>
      <c r="WIF524" s="131"/>
      <c r="WIG524" s="131"/>
      <c r="WIH524" s="131"/>
      <c r="WII524" s="131"/>
      <c r="WIJ524" s="131"/>
      <c r="WIK524" s="131"/>
      <c r="WIL524" s="131"/>
      <c r="WIM524" s="131"/>
      <c r="WIN524" s="131"/>
      <c r="WIO524" s="131"/>
      <c r="WIP524" s="131"/>
      <c r="WIQ524" s="131"/>
      <c r="WIR524" s="131"/>
      <c r="WIS524" s="131"/>
      <c r="WIT524" s="131"/>
      <c r="WIU524" s="131"/>
      <c r="WIV524" s="131"/>
      <c r="WIW524" s="131"/>
      <c r="WIX524" s="131"/>
      <c r="WIY524" s="131"/>
      <c r="WIZ524" s="131"/>
      <c r="WJA524" s="131"/>
      <c r="WJB524" s="131"/>
      <c r="WJC524" s="131"/>
      <c r="WJD524" s="131"/>
      <c r="WJE524" s="131"/>
      <c r="WJF524" s="131"/>
      <c r="WJG524" s="131"/>
      <c r="WJH524" s="131"/>
      <c r="WJI524" s="131"/>
      <c r="WJJ524" s="131"/>
      <c r="WJK524" s="131"/>
      <c r="WJL524" s="131"/>
      <c r="WJM524" s="131"/>
      <c r="WJN524" s="131"/>
      <c r="WJO524" s="131"/>
      <c r="WJP524" s="131"/>
      <c r="WJQ524" s="131"/>
      <c r="WJR524" s="131"/>
      <c r="WJS524" s="131"/>
      <c r="WJT524" s="131"/>
      <c r="WJU524" s="131"/>
      <c r="WJV524" s="131"/>
      <c r="WJW524" s="131"/>
      <c r="WJX524" s="131"/>
      <c r="WJY524" s="131"/>
      <c r="WJZ524" s="131"/>
      <c r="WKA524" s="131"/>
      <c r="WKB524" s="131"/>
      <c r="WKC524" s="131"/>
      <c r="WKD524" s="131"/>
      <c r="WKE524" s="131"/>
      <c r="WKF524" s="131"/>
      <c r="WKG524" s="131"/>
      <c r="WKH524" s="131"/>
      <c r="WKI524" s="131"/>
      <c r="WKJ524" s="131"/>
      <c r="WKK524" s="131"/>
      <c r="WKL524" s="131"/>
      <c r="WKM524" s="131"/>
      <c r="WKN524" s="131"/>
      <c r="WKO524" s="131"/>
      <c r="WKP524" s="131"/>
      <c r="WKQ524" s="131"/>
      <c r="WKR524" s="131"/>
      <c r="WKS524" s="131"/>
      <c r="WKT524" s="131"/>
      <c r="WKU524" s="131"/>
      <c r="WKV524" s="131"/>
      <c r="WKW524" s="131"/>
      <c r="WKX524" s="131"/>
      <c r="WKY524" s="131"/>
      <c r="WKZ524" s="131"/>
      <c r="WLA524" s="131"/>
      <c r="WLB524" s="131"/>
      <c r="WLC524" s="131"/>
      <c r="WLD524" s="131"/>
      <c r="WLE524" s="131"/>
      <c r="WLF524" s="131"/>
      <c r="WLG524" s="131"/>
      <c r="WLH524" s="131"/>
      <c r="WLI524" s="131"/>
      <c r="WLJ524" s="131"/>
      <c r="WLK524" s="131"/>
      <c r="WLL524" s="131"/>
      <c r="WLM524" s="131"/>
      <c r="WLN524" s="131"/>
      <c r="WLO524" s="131"/>
      <c r="WLP524" s="131"/>
      <c r="WLQ524" s="131"/>
      <c r="WLR524" s="131"/>
      <c r="WLS524" s="131"/>
      <c r="WLT524" s="131"/>
      <c r="WLU524" s="131"/>
      <c r="WLV524" s="131"/>
      <c r="WLW524" s="131"/>
      <c r="WLX524" s="131"/>
      <c r="WLY524" s="131"/>
      <c r="WLZ524" s="131"/>
      <c r="WMA524" s="131"/>
      <c r="WMB524" s="131"/>
      <c r="WMC524" s="131"/>
      <c r="WMD524" s="131"/>
      <c r="WME524" s="131"/>
      <c r="WMF524" s="131"/>
      <c r="WMG524" s="131"/>
      <c r="WMH524" s="131"/>
      <c r="WMI524" s="131"/>
      <c r="WMJ524" s="131"/>
      <c r="WMK524" s="131"/>
      <c r="WML524" s="131"/>
      <c r="WMM524" s="131"/>
      <c r="WMN524" s="131"/>
      <c r="WMO524" s="131"/>
      <c r="WMP524" s="131"/>
      <c r="WMQ524" s="131"/>
      <c r="WMR524" s="131"/>
      <c r="WMS524" s="131"/>
      <c r="WMT524" s="131"/>
      <c r="WMU524" s="131"/>
      <c r="WMV524" s="131"/>
      <c r="WMW524" s="131"/>
      <c r="WMX524" s="131"/>
      <c r="WMY524" s="131"/>
      <c r="WMZ524" s="131"/>
      <c r="WNA524" s="131"/>
      <c r="WNB524" s="131"/>
      <c r="WNC524" s="131"/>
      <c r="WND524" s="131"/>
      <c r="WNE524" s="131"/>
      <c r="WNF524" s="131"/>
      <c r="WNG524" s="131"/>
      <c r="WNH524" s="131"/>
      <c r="WNI524" s="131"/>
      <c r="WNJ524" s="131"/>
      <c r="WNK524" s="131"/>
      <c r="WNL524" s="131"/>
      <c r="WNM524" s="131"/>
      <c r="WNN524" s="131"/>
      <c r="WNO524" s="131"/>
      <c r="WNP524" s="131"/>
      <c r="WNQ524" s="131"/>
      <c r="WNR524" s="131"/>
      <c r="WNS524" s="131"/>
      <c r="WNT524" s="131"/>
      <c r="WNU524" s="131"/>
      <c r="WNV524" s="131"/>
      <c r="WNW524" s="131"/>
      <c r="WNX524" s="131"/>
      <c r="WNY524" s="131"/>
      <c r="WNZ524" s="131"/>
      <c r="WOA524" s="131"/>
      <c r="WOB524" s="131"/>
      <c r="WOC524" s="131"/>
      <c r="WOD524" s="131"/>
      <c r="WOE524" s="131"/>
      <c r="WOF524" s="131"/>
      <c r="WOG524" s="131"/>
      <c r="WOH524" s="131"/>
      <c r="WOI524" s="131"/>
      <c r="WOJ524" s="131"/>
      <c r="WOK524" s="131"/>
      <c r="WOL524" s="131"/>
      <c r="WOM524" s="131"/>
      <c r="WON524" s="131"/>
      <c r="WOO524" s="131"/>
      <c r="WOP524" s="131"/>
      <c r="WOQ524" s="131"/>
      <c r="WOR524" s="131"/>
      <c r="WOS524" s="131"/>
      <c r="WOT524" s="131"/>
      <c r="WOU524" s="131"/>
      <c r="WOV524" s="131"/>
      <c r="WOW524" s="131"/>
      <c r="WOX524" s="131"/>
      <c r="WOY524" s="131"/>
      <c r="WOZ524" s="131"/>
      <c r="WPA524" s="131"/>
      <c r="WPB524" s="131"/>
      <c r="WPC524" s="131"/>
      <c r="WPD524" s="131"/>
      <c r="WPE524" s="131"/>
      <c r="WPF524" s="131"/>
      <c r="WPG524" s="131"/>
      <c r="WPH524" s="131"/>
      <c r="WPI524" s="131"/>
      <c r="WPJ524" s="131"/>
      <c r="WPK524" s="131"/>
      <c r="WPL524" s="131"/>
      <c r="WPM524" s="131"/>
      <c r="WPN524" s="131"/>
      <c r="WPO524" s="131"/>
      <c r="WPP524" s="131"/>
      <c r="WPQ524" s="131"/>
      <c r="WPR524" s="131"/>
      <c r="WPS524" s="131"/>
      <c r="WPT524" s="131"/>
      <c r="WPU524" s="131"/>
      <c r="WPV524" s="131"/>
      <c r="WPW524" s="131"/>
      <c r="WPX524" s="131"/>
      <c r="WPY524" s="131"/>
      <c r="WPZ524" s="131"/>
      <c r="WQA524" s="131"/>
      <c r="WQB524" s="131"/>
      <c r="WQC524" s="131"/>
      <c r="WQD524" s="131"/>
      <c r="WQE524" s="131"/>
      <c r="WQF524" s="131"/>
      <c r="WQG524" s="131"/>
      <c r="WQH524" s="131"/>
      <c r="WQI524" s="131"/>
      <c r="WQJ524" s="131"/>
      <c r="WQK524" s="131"/>
      <c r="WQL524" s="131"/>
      <c r="WQM524" s="131"/>
      <c r="WQN524" s="131"/>
      <c r="WQO524" s="131"/>
      <c r="WQP524" s="131"/>
      <c r="WQQ524" s="131"/>
      <c r="WQR524" s="131"/>
      <c r="WQS524" s="131"/>
      <c r="WQT524" s="131"/>
      <c r="WQU524" s="131"/>
      <c r="WQV524" s="131"/>
      <c r="WQW524" s="131"/>
      <c r="WQX524" s="131"/>
      <c r="WQY524" s="131"/>
      <c r="WQZ524" s="131"/>
      <c r="WRA524" s="131"/>
      <c r="WRB524" s="131"/>
      <c r="WRC524" s="131"/>
      <c r="WRD524" s="131"/>
      <c r="WRE524" s="131"/>
      <c r="WRF524" s="131"/>
      <c r="WRG524" s="131"/>
      <c r="WRH524" s="131"/>
      <c r="WRI524" s="131"/>
      <c r="WRJ524" s="131"/>
      <c r="WRK524" s="131"/>
      <c r="WRL524" s="131"/>
      <c r="WRM524" s="131"/>
      <c r="WRN524" s="131"/>
      <c r="WRO524" s="131"/>
      <c r="WRP524" s="131"/>
      <c r="WRQ524" s="131"/>
      <c r="WRR524" s="131"/>
      <c r="WRS524" s="131"/>
      <c r="WRT524" s="131"/>
      <c r="WRU524" s="131"/>
      <c r="WRV524" s="131"/>
      <c r="WRW524" s="131"/>
      <c r="WRX524" s="131"/>
      <c r="WRY524" s="131"/>
      <c r="WRZ524" s="131"/>
      <c r="WSA524" s="131"/>
      <c r="WSB524" s="131"/>
      <c r="WSC524" s="131"/>
      <c r="WSD524" s="131"/>
      <c r="WSE524" s="131"/>
      <c r="WSF524" s="131"/>
      <c r="WSG524" s="131"/>
      <c r="WSH524" s="131"/>
      <c r="WSI524" s="131"/>
      <c r="WSJ524" s="131"/>
      <c r="WSK524" s="131"/>
      <c r="WSL524" s="131"/>
      <c r="WSM524" s="131"/>
      <c r="WSN524" s="131"/>
      <c r="WSO524" s="131"/>
      <c r="WSP524" s="131"/>
      <c r="WSQ524" s="131"/>
      <c r="WSR524" s="131"/>
      <c r="WSS524" s="131"/>
      <c r="WST524" s="131"/>
      <c r="WSU524" s="131"/>
      <c r="WSV524" s="131"/>
      <c r="WSW524" s="131"/>
      <c r="WSX524" s="131"/>
      <c r="WSY524" s="131"/>
      <c r="WSZ524" s="131"/>
      <c r="WTA524" s="131"/>
      <c r="WTB524" s="131"/>
      <c r="WTC524" s="131"/>
      <c r="WTD524" s="131"/>
      <c r="WTE524" s="131"/>
      <c r="WTF524" s="131"/>
      <c r="WTG524" s="131"/>
      <c r="WTH524" s="131"/>
      <c r="WTI524" s="131"/>
      <c r="WTJ524" s="131"/>
      <c r="WTK524" s="131"/>
      <c r="WTL524" s="131"/>
      <c r="WTM524" s="131"/>
      <c r="WTN524" s="131"/>
      <c r="WTO524" s="131"/>
      <c r="WTP524" s="131"/>
      <c r="WTQ524" s="131"/>
      <c r="WTR524" s="131"/>
      <c r="WTS524" s="131"/>
      <c r="WTT524" s="131"/>
      <c r="WTU524" s="131"/>
      <c r="WTV524" s="131"/>
      <c r="WTW524" s="131"/>
      <c r="WTX524" s="131"/>
      <c r="WTY524" s="131"/>
      <c r="WTZ524" s="131"/>
      <c r="WUA524" s="131"/>
      <c r="WUB524" s="131"/>
      <c r="WUC524" s="131"/>
      <c r="WUD524" s="131"/>
      <c r="WUE524" s="131"/>
      <c r="WUF524" s="131"/>
      <c r="WUG524" s="131"/>
      <c r="WUH524" s="131"/>
      <c r="WUI524" s="131"/>
      <c r="WUJ524" s="131"/>
      <c r="WUK524" s="131"/>
      <c r="WUL524" s="131"/>
      <c r="WUM524" s="131"/>
      <c r="WUN524" s="131"/>
      <c r="WUO524" s="131"/>
      <c r="WUP524" s="131"/>
      <c r="WUQ524" s="131"/>
      <c r="WUR524" s="131"/>
      <c r="WUS524" s="131"/>
      <c r="WUT524" s="131"/>
      <c r="WUU524" s="131"/>
      <c r="WUV524" s="131"/>
      <c r="WUW524" s="131"/>
      <c r="WUX524" s="131"/>
      <c r="WUY524" s="131"/>
      <c r="WUZ524" s="131"/>
      <c r="WVA524" s="131"/>
      <c r="WVB524" s="131"/>
      <c r="WVC524" s="131"/>
      <c r="WVD524" s="131"/>
      <c r="WVE524" s="131"/>
      <c r="WVF524" s="131"/>
      <c r="WVG524" s="131"/>
      <c r="WVH524" s="131"/>
      <c r="WVI524" s="131"/>
      <c r="WVJ524" s="131"/>
      <c r="WVK524" s="131"/>
      <c r="WVL524" s="131"/>
      <c r="WVM524" s="131"/>
      <c r="WVN524" s="131"/>
      <c r="WVO524" s="131"/>
      <c r="WVP524" s="131"/>
      <c r="WVQ524" s="131"/>
      <c r="WVR524" s="131"/>
      <c r="WVS524" s="131"/>
      <c r="WVT524" s="131"/>
      <c r="WVU524" s="131"/>
      <c r="WVV524" s="131"/>
      <c r="WVW524" s="131"/>
      <c r="WVX524" s="131"/>
      <c r="WVY524" s="131"/>
      <c r="WVZ524" s="131"/>
      <c r="WWA524" s="131"/>
      <c r="WWB524" s="131"/>
      <c r="WWC524" s="131"/>
      <c r="WWD524" s="131"/>
      <c r="WWE524" s="131"/>
      <c r="WWF524" s="131"/>
      <c r="WWG524" s="131"/>
      <c r="WWH524" s="131"/>
      <c r="WWI524" s="131"/>
      <c r="WWJ524" s="131"/>
      <c r="WWK524" s="131"/>
      <c r="WWL524" s="131"/>
      <c r="WWM524" s="131"/>
      <c r="WWN524" s="131"/>
      <c r="WWO524" s="131"/>
      <c r="WWP524" s="131"/>
      <c r="WWQ524" s="131"/>
      <c r="WWR524" s="131"/>
      <c r="WWS524" s="131"/>
      <c r="WWT524" s="131"/>
      <c r="WWU524" s="131"/>
      <c r="WWV524" s="131"/>
      <c r="WWW524" s="131"/>
      <c r="WWX524" s="131"/>
      <c r="WWY524" s="131"/>
      <c r="WWZ524" s="131"/>
      <c r="WXA524" s="131"/>
      <c r="WXB524" s="131"/>
      <c r="WXC524" s="131"/>
      <c r="WXD524" s="131"/>
      <c r="WXE524" s="131"/>
      <c r="WXF524" s="131"/>
      <c r="WXG524" s="131"/>
      <c r="WXH524" s="131"/>
      <c r="WXI524" s="131"/>
      <c r="WXJ524" s="131"/>
      <c r="WXK524" s="131"/>
      <c r="WXL524" s="131"/>
      <c r="WXM524" s="131"/>
      <c r="WXN524" s="131"/>
      <c r="WXO524" s="131"/>
      <c r="WXP524" s="131"/>
      <c r="WXQ524" s="131"/>
      <c r="WXR524" s="131"/>
      <c r="WXS524" s="131"/>
      <c r="WXT524" s="131"/>
      <c r="WXU524" s="131"/>
      <c r="WXV524" s="131"/>
      <c r="WXW524" s="131"/>
      <c r="WXX524" s="131"/>
      <c r="WXY524" s="131"/>
      <c r="WXZ524" s="131"/>
      <c r="WYA524" s="131"/>
      <c r="WYB524" s="131"/>
      <c r="WYC524" s="131"/>
      <c r="WYD524" s="131"/>
      <c r="WYE524" s="131"/>
      <c r="WYF524" s="131"/>
      <c r="WYG524" s="131"/>
      <c r="WYH524" s="131"/>
      <c r="WYI524" s="131"/>
      <c r="WYJ524" s="131"/>
      <c r="WYK524" s="131"/>
      <c r="WYL524" s="131"/>
      <c r="WYM524" s="131"/>
      <c r="WYN524" s="131"/>
      <c r="WYO524" s="131"/>
      <c r="WYP524" s="131"/>
      <c r="WYQ524" s="131"/>
      <c r="WYR524" s="131"/>
      <c r="WYS524" s="131"/>
      <c r="WYT524" s="131"/>
      <c r="WYU524" s="131"/>
      <c r="WYV524" s="131"/>
      <c r="WYW524" s="131"/>
      <c r="WYX524" s="131"/>
      <c r="WYY524" s="131"/>
      <c r="WYZ524" s="131"/>
      <c r="WZA524" s="131"/>
      <c r="WZB524" s="131"/>
      <c r="WZC524" s="131"/>
      <c r="WZD524" s="131"/>
      <c r="WZE524" s="131"/>
      <c r="WZF524" s="131"/>
      <c r="WZG524" s="131"/>
      <c r="WZH524" s="131"/>
      <c r="WZI524" s="131"/>
      <c r="WZJ524" s="131"/>
      <c r="WZK524" s="131"/>
      <c r="WZL524" s="131"/>
      <c r="WZM524" s="131"/>
      <c r="WZN524" s="131"/>
      <c r="WZO524" s="131"/>
      <c r="WZP524" s="131"/>
      <c r="WZQ524" s="131"/>
      <c r="WZR524" s="131"/>
      <c r="WZS524" s="131"/>
      <c r="WZT524" s="131"/>
      <c r="WZU524" s="131"/>
      <c r="WZV524" s="131"/>
      <c r="WZW524" s="131"/>
      <c r="WZX524" s="131"/>
      <c r="WZY524" s="131"/>
      <c r="WZZ524" s="131"/>
      <c r="XAA524" s="131"/>
      <c r="XAB524" s="131"/>
      <c r="XAC524" s="131"/>
      <c r="XAD524" s="131"/>
      <c r="XAE524" s="131"/>
      <c r="XAF524" s="131"/>
      <c r="XAG524" s="131"/>
      <c r="XAH524" s="131"/>
      <c r="XAI524" s="131"/>
      <c r="XAJ524" s="131"/>
      <c r="XAK524" s="131"/>
      <c r="XAL524" s="131"/>
      <c r="XAM524" s="131"/>
      <c r="XAN524" s="131"/>
      <c r="XAO524" s="131"/>
      <c r="XAP524" s="131"/>
      <c r="XAQ524" s="131"/>
      <c r="XAR524" s="131"/>
      <c r="XAS524" s="131"/>
      <c r="XAT524" s="131"/>
      <c r="XAU524" s="131"/>
      <c r="XAV524" s="131"/>
      <c r="XAW524" s="131"/>
      <c r="XAX524" s="131"/>
      <c r="XAY524" s="131"/>
      <c r="XAZ524" s="131"/>
      <c r="XBA524" s="131"/>
      <c r="XBB524" s="131"/>
      <c r="XBC524" s="131"/>
      <c r="XBD524" s="131"/>
      <c r="XBE524" s="131"/>
      <c r="XBF524" s="131"/>
      <c r="XBG524" s="131"/>
      <c r="XBH524" s="131"/>
      <c r="XBI524" s="131"/>
      <c r="XBJ524" s="131"/>
      <c r="XBK524" s="131"/>
      <c r="XBL524" s="131"/>
      <c r="XBM524" s="131"/>
      <c r="XBN524" s="131"/>
      <c r="XBO524" s="131"/>
      <c r="XBP524" s="131"/>
      <c r="XBQ524" s="131"/>
      <c r="XBR524" s="131"/>
      <c r="XBS524" s="131"/>
      <c r="XBT524" s="131"/>
      <c r="XBU524" s="131"/>
      <c r="XBV524" s="131"/>
      <c r="XBW524" s="131"/>
      <c r="XBX524" s="131"/>
      <c r="XBY524" s="131"/>
      <c r="XBZ524" s="131"/>
      <c r="XCA524" s="131"/>
      <c r="XCB524" s="131"/>
      <c r="XCC524" s="131"/>
      <c r="XCD524" s="131"/>
      <c r="XCE524" s="131"/>
      <c r="XCF524" s="131"/>
      <c r="XCG524" s="131"/>
      <c r="XCH524" s="131"/>
      <c r="XCI524" s="131"/>
      <c r="XCJ524" s="131"/>
      <c r="XCK524" s="131"/>
      <c r="XCL524" s="131"/>
      <c r="XCM524" s="131"/>
      <c r="XCN524" s="131"/>
      <c r="XCO524" s="131"/>
      <c r="XCP524" s="131"/>
      <c r="XCQ524" s="131"/>
      <c r="XCR524" s="131"/>
      <c r="XCS524" s="131"/>
      <c r="XCT524" s="131"/>
      <c r="XCU524" s="131"/>
      <c r="XCV524" s="131"/>
      <c r="XCW524" s="131"/>
      <c r="XCX524" s="131"/>
      <c r="XCY524" s="131"/>
      <c r="XCZ524" s="131"/>
      <c r="XDA524" s="131"/>
      <c r="XDB524" s="131"/>
      <c r="XDC524" s="131"/>
      <c r="XDD524" s="131"/>
      <c r="XDE524" s="131"/>
      <c r="XDF524" s="131"/>
      <c r="XDG524" s="131"/>
      <c r="XDH524" s="131"/>
      <c r="XDI524" s="131"/>
      <c r="XDJ524" s="131"/>
      <c r="XDK524" s="131"/>
      <c r="XDL524" s="131"/>
      <c r="XDM524" s="131"/>
      <c r="XDN524" s="131"/>
      <c r="XDO524" s="131"/>
      <c r="XDP524" s="131"/>
      <c r="XDQ524" s="131"/>
      <c r="XDR524" s="131"/>
      <c r="XDS524" s="131"/>
      <c r="XDT524" s="131"/>
      <c r="XDU524" s="131"/>
      <c r="XDV524" s="131"/>
      <c r="XDW524" s="131"/>
      <c r="XDX524" s="131"/>
      <c r="XDY524" s="131"/>
      <c r="XDZ524" s="131"/>
      <c r="XEA524" s="131"/>
      <c r="XEB524" s="131"/>
      <c r="XEC524" s="131"/>
      <c r="XED524" s="131"/>
      <c r="XEE524" s="131"/>
      <c r="XEF524" s="131"/>
      <c r="XEG524" s="131"/>
      <c r="XEH524" s="131"/>
      <c r="XEI524" s="131"/>
      <c r="XEJ524" s="131"/>
      <c r="XEK524" s="131"/>
      <c r="XEL524" s="131"/>
      <c r="XEM524" s="131"/>
      <c r="XEN524" s="131"/>
      <c r="XEO524" s="131"/>
      <c r="XEP524" s="131"/>
      <c r="XEQ524" s="131"/>
      <c r="XER524" s="131"/>
      <c r="XES524" s="131"/>
      <c r="XET524" s="131"/>
      <c r="XEU524" s="131"/>
      <c r="XEV524" s="131"/>
      <c r="XEW524" s="131"/>
      <c r="XEX524" s="131"/>
      <c r="XEY524" s="131"/>
      <c r="XEZ524" s="131"/>
      <c r="XFA524" s="131"/>
      <c r="XFB524" s="131"/>
      <c r="XFC524" s="131"/>
    </row>
    <row r="525" spans="1:16383" s="134" customFormat="1">
      <c r="A525" s="107"/>
      <c r="B525" s="40" t="s">
        <v>811</v>
      </c>
      <c r="C525" s="40"/>
      <c r="D525" s="40" t="s">
        <v>871</v>
      </c>
      <c r="E525" s="40" t="s">
        <v>855</v>
      </c>
      <c r="F525" s="40" t="s">
        <v>333</v>
      </c>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133"/>
      <c r="DV525" s="133"/>
      <c r="DW525" s="133"/>
      <c r="DX525" s="133"/>
      <c r="DY525" s="133"/>
      <c r="DZ525" s="133"/>
      <c r="EA525" s="133"/>
      <c r="EB525" s="133"/>
      <c r="EC525" s="133"/>
      <c r="ED525" s="133"/>
      <c r="EE525" s="133"/>
      <c r="EF525" s="133"/>
      <c r="EG525" s="133"/>
      <c r="EH525" s="133"/>
      <c r="EI525" s="133"/>
      <c r="EJ525" s="133"/>
      <c r="EK525" s="133"/>
      <c r="EL525" s="133"/>
      <c r="EM525" s="133"/>
      <c r="EN525" s="133"/>
      <c r="EO525" s="133"/>
      <c r="EP525" s="133"/>
      <c r="EQ525" s="133"/>
      <c r="ER525" s="133"/>
      <c r="ES525" s="133"/>
      <c r="ET525" s="133"/>
      <c r="EU525" s="133"/>
      <c r="EV525" s="133"/>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c r="GN525" s="133"/>
      <c r="GO525" s="133"/>
      <c r="GP525" s="133"/>
      <c r="GQ525" s="133"/>
      <c r="GR525" s="133"/>
      <c r="GS525" s="133"/>
      <c r="GT525" s="133"/>
      <c r="GU525" s="133"/>
      <c r="GV525" s="133"/>
      <c r="GW525" s="133"/>
      <c r="GX525" s="133"/>
      <c r="GY525" s="133"/>
      <c r="GZ525" s="133"/>
      <c r="HA525" s="133"/>
      <c r="HB525" s="133"/>
      <c r="HC525" s="133"/>
      <c r="HD525" s="133"/>
      <c r="HE525" s="133"/>
      <c r="HF525" s="133"/>
      <c r="HG525" s="133"/>
      <c r="HH525" s="133"/>
      <c r="HI525" s="133"/>
      <c r="HJ525" s="133"/>
      <c r="HK525" s="133"/>
      <c r="HL525" s="133"/>
      <c r="HM525" s="133"/>
      <c r="HN525" s="133"/>
      <c r="HO525" s="133"/>
      <c r="HP525" s="133"/>
      <c r="HQ525" s="133"/>
      <c r="HR525" s="133"/>
      <c r="HS525" s="133"/>
      <c r="HT525" s="133"/>
      <c r="HU525" s="133"/>
      <c r="HV525" s="133"/>
      <c r="HW525" s="133"/>
      <c r="HX525" s="133"/>
      <c r="HY525" s="133"/>
      <c r="HZ525" s="133"/>
      <c r="IA525" s="133"/>
      <c r="IB525" s="133"/>
      <c r="IC525" s="133"/>
      <c r="ID525" s="133"/>
      <c r="IE525" s="133"/>
      <c r="IF525" s="133"/>
      <c r="IG525" s="133"/>
      <c r="IH525" s="133"/>
      <c r="II525" s="133"/>
      <c r="IJ525" s="133"/>
      <c r="IK525" s="133"/>
      <c r="IL525" s="133"/>
      <c r="IM525" s="133"/>
      <c r="IN525" s="133"/>
      <c r="IO525" s="133"/>
      <c r="IP525" s="133"/>
      <c r="IQ525" s="133"/>
      <c r="IR525" s="133"/>
      <c r="IS525" s="133"/>
      <c r="IT525" s="133"/>
      <c r="IU525" s="133"/>
      <c r="IV525" s="133"/>
      <c r="IW525" s="133"/>
      <c r="IX525" s="133"/>
      <c r="IY525" s="133"/>
      <c r="IZ525" s="133"/>
      <c r="JA525" s="133"/>
      <c r="JB525" s="133"/>
      <c r="JC525" s="133"/>
      <c r="JD525" s="133"/>
      <c r="JE525" s="133"/>
      <c r="JF525" s="133"/>
      <c r="JG525" s="133"/>
      <c r="JH525" s="133"/>
      <c r="JI525" s="133"/>
      <c r="JJ525" s="133"/>
      <c r="JK525" s="133"/>
      <c r="JL525" s="133"/>
      <c r="JM525" s="133"/>
      <c r="JN525" s="133"/>
      <c r="JO525" s="133"/>
      <c r="JP525" s="133"/>
      <c r="JQ525" s="133"/>
      <c r="JR525" s="133"/>
      <c r="JS525" s="133"/>
      <c r="JT525" s="133"/>
      <c r="JU525" s="133"/>
      <c r="JV525" s="133"/>
      <c r="JW525" s="133"/>
      <c r="JX525" s="133"/>
      <c r="JY525" s="133"/>
      <c r="JZ525" s="133"/>
      <c r="KA525" s="133"/>
      <c r="KB525" s="133"/>
      <c r="KC525" s="133"/>
      <c r="KD525" s="133"/>
      <c r="KE525" s="133"/>
      <c r="KF525" s="133"/>
      <c r="KG525" s="133"/>
      <c r="KH525" s="133"/>
      <c r="KI525" s="133"/>
      <c r="KJ525" s="133"/>
      <c r="KK525" s="133"/>
      <c r="KL525" s="133"/>
      <c r="KM525" s="133"/>
      <c r="KN525" s="133"/>
      <c r="KO525" s="133"/>
      <c r="KP525" s="133"/>
      <c r="KQ525" s="133"/>
      <c r="KR525" s="133"/>
      <c r="KS525" s="133"/>
      <c r="KT525" s="133"/>
      <c r="KU525" s="133"/>
      <c r="KV525" s="133"/>
      <c r="KW525" s="133"/>
      <c r="KX525" s="133"/>
      <c r="KY525" s="133"/>
      <c r="KZ525" s="133"/>
      <c r="LA525" s="133"/>
      <c r="LB525" s="133"/>
      <c r="LC525" s="133"/>
      <c r="LD525" s="133"/>
      <c r="LE525" s="133"/>
      <c r="LF525" s="133"/>
      <c r="LG525" s="133"/>
      <c r="LH525" s="133"/>
      <c r="LI525" s="133"/>
      <c r="LJ525" s="133"/>
      <c r="LK525" s="133"/>
      <c r="LL525" s="133"/>
      <c r="LM525" s="133"/>
      <c r="LN525" s="133"/>
      <c r="LO525" s="133"/>
      <c r="LP525" s="133"/>
      <c r="LQ525" s="133"/>
      <c r="LR525" s="133"/>
      <c r="LS525" s="133"/>
      <c r="LT525" s="133"/>
      <c r="LU525" s="133"/>
      <c r="LV525" s="133"/>
      <c r="LW525" s="133"/>
      <c r="LX525" s="133"/>
      <c r="LY525" s="133"/>
      <c r="LZ525" s="133"/>
      <c r="MA525" s="133"/>
      <c r="MB525" s="133"/>
      <c r="MC525" s="133"/>
      <c r="MD525" s="133"/>
      <c r="ME525" s="133"/>
      <c r="MF525" s="133"/>
      <c r="MG525" s="133"/>
      <c r="MH525" s="133"/>
      <c r="MI525" s="133"/>
      <c r="MJ525" s="133"/>
      <c r="MK525" s="133"/>
      <c r="ML525" s="133"/>
      <c r="MM525" s="133"/>
      <c r="MN525" s="133"/>
      <c r="MO525" s="133"/>
      <c r="MP525" s="133"/>
      <c r="MQ525" s="133"/>
      <c r="MR525" s="133"/>
      <c r="MS525" s="133"/>
      <c r="MT525" s="133"/>
      <c r="MU525" s="133"/>
      <c r="MV525" s="133"/>
      <c r="MW525" s="133"/>
      <c r="MX525" s="133"/>
      <c r="MY525" s="133"/>
      <c r="MZ525" s="133"/>
      <c r="NA525" s="133"/>
      <c r="NB525" s="133"/>
      <c r="NC525" s="133"/>
      <c r="ND525" s="133"/>
      <c r="NE525" s="133"/>
      <c r="NF525" s="133"/>
      <c r="NG525" s="133"/>
      <c r="NH525" s="133"/>
      <c r="NI525" s="133"/>
      <c r="NJ525" s="133"/>
      <c r="NK525" s="133"/>
      <c r="NL525" s="133"/>
      <c r="NM525" s="133"/>
      <c r="NN525" s="133"/>
      <c r="NO525" s="133"/>
      <c r="NP525" s="133"/>
      <c r="NQ525" s="133"/>
      <c r="NR525" s="133"/>
      <c r="NS525" s="133"/>
      <c r="NT525" s="133"/>
      <c r="NU525" s="133"/>
      <c r="NV525" s="133"/>
      <c r="NW525" s="133"/>
      <c r="NX525" s="133"/>
      <c r="NY525" s="133"/>
      <c r="NZ525" s="133"/>
      <c r="OA525" s="133"/>
      <c r="OB525" s="133"/>
      <c r="OC525" s="133"/>
      <c r="OD525" s="133"/>
      <c r="OE525" s="133"/>
      <c r="OF525" s="133"/>
      <c r="OG525" s="133"/>
      <c r="OH525" s="133"/>
      <c r="OI525" s="133"/>
      <c r="OJ525" s="133"/>
      <c r="OK525" s="133"/>
      <c r="OL525" s="133"/>
      <c r="OM525" s="133"/>
      <c r="ON525" s="133"/>
      <c r="OO525" s="133"/>
      <c r="OP525" s="133"/>
      <c r="OQ525" s="133"/>
      <c r="OR525" s="133"/>
      <c r="OS525" s="133"/>
      <c r="OT525" s="133"/>
      <c r="OU525" s="133"/>
      <c r="OV525" s="133"/>
      <c r="OW525" s="133"/>
      <c r="OX525" s="133"/>
      <c r="OY525" s="133"/>
      <c r="OZ525" s="133"/>
      <c r="PA525" s="133"/>
      <c r="PB525" s="133"/>
      <c r="PC525" s="133"/>
      <c r="PD525" s="133"/>
      <c r="PE525" s="133"/>
      <c r="PF525" s="133"/>
      <c r="PG525" s="133"/>
      <c r="PH525" s="133"/>
      <c r="PI525" s="133"/>
      <c r="PJ525" s="133"/>
      <c r="PK525" s="133"/>
      <c r="PL525" s="133"/>
      <c r="PM525" s="133"/>
      <c r="PN525" s="133"/>
      <c r="PO525" s="133"/>
      <c r="PP525" s="133"/>
      <c r="PQ525" s="133"/>
      <c r="PR525" s="133"/>
      <c r="PS525" s="133"/>
      <c r="PT525" s="133"/>
      <c r="PU525" s="133"/>
      <c r="PV525" s="133"/>
      <c r="PW525" s="133"/>
      <c r="PX525" s="133"/>
      <c r="PY525" s="133"/>
      <c r="PZ525" s="133"/>
      <c r="QA525" s="133"/>
      <c r="QB525" s="133"/>
      <c r="QC525" s="133"/>
      <c r="QD525" s="133"/>
      <c r="QE525" s="133"/>
      <c r="QF525" s="133"/>
      <c r="QG525" s="133"/>
      <c r="QH525" s="133"/>
      <c r="QI525" s="133"/>
      <c r="QJ525" s="133"/>
      <c r="QK525" s="133"/>
      <c r="QL525" s="133"/>
      <c r="QM525" s="133"/>
      <c r="QN525" s="133"/>
      <c r="QO525" s="133"/>
      <c r="QP525" s="133"/>
      <c r="QQ525" s="133"/>
      <c r="QR525" s="133"/>
      <c r="QS525" s="133"/>
      <c r="QT525" s="133"/>
      <c r="QU525" s="133"/>
      <c r="QV525" s="133"/>
      <c r="QW525" s="133"/>
      <c r="QX525" s="133"/>
      <c r="QY525" s="133"/>
      <c r="QZ525" s="133"/>
      <c r="RA525" s="133"/>
      <c r="RB525" s="133"/>
      <c r="RC525" s="133"/>
      <c r="RD525" s="133"/>
      <c r="RE525" s="133"/>
      <c r="RF525" s="133"/>
      <c r="RG525" s="133"/>
      <c r="RH525" s="133"/>
      <c r="RI525" s="133"/>
      <c r="RJ525" s="133"/>
      <c r="RK525" s="133"/>
      <c r="RL525" s="133"/>
      <c r="RM525" s="133"/>
      <c r="RN525" s="133"/>
      <c r="RO525" s="133"/>
      <c r="RP525" s="133"/>
      <c r="RQ525" s="133"/>
      <c r="RR525" s="133"/>
      <c r="RS525" s="133"/>
      <c r="RT525" s="133"/>
      <c r="RU525" s="133"/>
      <c r="RV525" s="133"/>
      <c r="RW525" s="133"/>
      <c r="RX525" s="133"/>
      <c r="RY525" s="133"/>
      <c r="RZ525" s="133"/>
      <c r="SA525" s="133"/>
      <c r="SB525" s="133"/>
      <c r="SC525" s="133"/>
      <c r="SD525" s="133"/>
      <c r="SE525" s="133"/>
      <c r="SF525" s="133"/>
      <c r="SG525" s="133"/>
      <c r="SH525" s="133"/>
      <c r="SI525" s="133"/>
      <c r="SJ525" s="133"/>
      <c r="SK525" s="133"/>
      <c r="SL525" s="133"/>
      <c r="SM525" s="133"/>
      <c r="SN525" s="133"/>
      <c r="SO525" s="133"/>
      <c r="SP525" s="133"/>
      <c r="SQ525" s="133"/>
      <c r="SR525" s="133"/>
      <c r="SS525" s="133"/>
      <c r="ST525" s="133"/>
      <c r="SU525" s="133"/>
      <c r="SV525" s="133"/>
      <c r="SW525" s="133"/>
      <c r="SX525" s="133"/>
      <c r="SY525" s="133"/>
      <c r="SZ525" s="133"/>
      <c r="TA525" s="133"/>
      <c r="TB525" s="133"/>
      <c r="TC525" s="133"/>
      <c r="TD525" s="133"/>
      <c r="TE525" s="133"/>
      <c r="TF525" s="133"/>
      <c r="TG525" s="133"/>
      <c r="TH525" s="133"/>
      <c r="TI525" s="133"/>
      <c r="TJ525" s="133"/>
      <c r="TK525" s="133"/>
      <c r="TL525" s="133"/>
      <c r="TM525" s="133"/>
      <c r="TN525" s="133"/>
      <c r="TO525" s="133"/>
      <c r="TP525" s="133"/>
      <c r="TQ525" s="133"/>
      <c r="TR525" s="133"/>
      <c r="TS525" s="133"/>
      <c r="TT525" s="133"/>
      <c r="TU525" s="133"/>
      <c r="TV525" s="133"/>
      <c r="TW525" s="133"/>
      <c r="TX525" s="133"/>
      <c r="TY525" s="133"/>
      <c r="TZ525" s="133"/>
      <c r="UA525" s="133"/>
      <c r="UB525" s="133"/>
      <c r="UC525" s="133"/>
      <c r="UD525" s="133"/>
      <c r="UE525" s="133"/>
      <c r="UF525" s="133"/>
      <c r="UG525" s="133"/>
      <c r="UH525" s="133"/>
      <c r="UI525" s="133"/>
      <c r="UJ525" s="133"/>
      <c r="UK525" s="133"/>
      <c r="UL525" s="133"/>
      <c r="UM525" s="133"/>
      <c r="UN525" s="133"/>
      <c r="UO525" s="133"/>
      <c r="UP525" s="133"/>
      <c r="UQ525" s="133"/>
      <c r="UR525" s="133"/>
      <c r="US525" s="133"/>
      <c r="UT525" s="133"/>
      <c r="UU525" s="133"/>
      <c r="UV525" s="133"/>
      <c r="UW525" s="133"/>
      <c r="UX525" s="133"/>
      <c r="UY525" s="133"/>
      <c r="UZ525" s="133"/>
      <c r="VA525" s="133"/>
      <c r="VB525" s="133"/>
      <c r="VC525" s="133"/>
      <c r="VD525" s="133"/>
      <c r="VE525" s="133"/>
      <c r="VF525" s="133"/>
      <c r="VG525" s="133"/>
      <c r="VH525" s="133"/>
      <c r="VI525" s="133"/>
      <c r="VJ525" s="133"/>
      <c r="VK525" s="133"/>
      <c r="VL525" s="133"/>
      <c r="VM525" s="133"/>
      <c r="VN525" s="133"/>
      <c r="VO525" s="133"/>
      <c r="VP525" s="133"/>
      <c r="VQ525" s="133"/>
      <c r="VR525" s="133"/>
      <c r="VS525" s="133"/>
      <c r="VT525" s="133"/>
      <c r="VU525" s="133"/>
      <c r="VV525" s="133"/>
      <c r="VW525" s="133"/>
      <c r="VX525" s="133"/>
      <c r="VY525" s="133"/>
      <c r="VZ525" s="133"/>
      <c r="WA525" s="133"/>
      <c r="WB525" s="133"/>
      <c r="WC525" s="133"/>
      <c r="WD525" s="133"/>
      <c r="WE525" s="133"/>
      <c r="WF525" s="133"/>
      <c r="WG525" s="133"/>
      <c r="WH525" s="133"/>
      <c r="WI525" s="133"/>
      <c r="WJ525" s="133"/>
      <c r="WK525" s="133"/>
      <c r="WL525" s="133"/>
      <c r="WM525" s="133"/>
      <c r="WN525" s="133"/>
      <c r="WO525" s="133"/>
      <c r="WP525" s="133"/>
      <c r="WQ525" s="133"/>
      <c r="WR525" s="133"/>
      <c r="WS525" s="133"/>
      <c r="WT525" s="133"/>
      <c r="WU525" s="133"/>
      <c r="WV525" s="133"/>
      <c r="WW525" s="133"/>
      <c r="WX525" s="133"/>
      <c r="WY525" s="133"/>
      <c r="WZ525" s="133"/>
      <c r="XA525" s="133"/>
      <c r="XB525" s="133"/>
      <c r="XC525" s="133"/>
      <c r="XD525" s="133"/>
      <c r="XE525" s="133"/>
      <c r="XF525" s="133"/>
      <c r="XG525" s="133"/>
      <c r="XH525" s="133"/>
      <c r="XI525" s="133"/>
      <c r="XJ525" s="133"/>
      <c r="XK525" s="133"/>
      <c r="XL525" s="133"/>
      <c r="XM525" s="133"/>
      <c r="XN525" s="133"/>
      <c r="XO525" s="133"/>
      <c r="XP525" s="133"/>
      <c r="XQ525" s="133"/>
      <c r="XR525" s="133"/>
      <c r="XS525" s="133"/>
      <c r="XT525" s="133"/>
      <c r="XU525" s="133"/>
      <c r="XV525" s="133"/>
      <c r="XW525" s="133"/>
      <c r="XX525" s="133"/>
      <c r="XY525" s="133"/>
      <c r="XZ525" s="133"/>
      <c r="YA525" s="133"/>
      <c r="YB525" s="133"/>
      <c r="YC525" s="133"/>
      <c r="YD525" s="133"/>
      <c r="YE525" s="133"/>
      <c r="YF525" s="133"/>
      <c r="YG525" s="133"/>
      <c r="YH525" s="133"/>
      <c r="YI525" s="133"/>
      <c r="YJ525" s="133"/>
      <c r="YK525" s="133"/>
      <c r="YL525" s="133"/>
      <c r="YM525" s="133"/>
      <c r="YN525" s="133"/>
      <c r="YO525" s="133"/>
      <c r="YP525" s="133"/>
      <c r="YQ525" s="133"/>
      <c r="YR525" s="133"/>
      <c r="YS525" s="133"/>
      <c r="YT525" s="133"/>
      <c r="YU525" s="133"/>
      <c r="YV525" s="133"/>
      <c r="YW525" s="133"/>
      <c r="YX525" s="133"/>
      <c r="YY525" s="133"/>
      <c r="YZ525" s="133"/>
      <c r="ZA525" s="133"/>
      <c r="ZB525" s="133"/>
      <c r="ZC525" s="133"/>
      <c r="ZD525" s="133"/>
      <c r="ZE525" s="133"/>
      <c r="ZF525" s="133"/>
      <c r="ZG525" s="133"/>
      <c r="ZH525" s="133"/>
      <c r="ZI525" s="133"/>
      <c r="ZJ525" s="133"/>
      <c r="ZK525" s="133"/>
      <c r="ZL525" s="133"/>
      <c r="ZM525" s="133"/>
      <c r="ZN525" s="133"/>
      <c r="ZO525" s="133"/>
      <c r="ZP525" s="133"/>
      <c r="ZQ525" s="133"/>
      <c r="ZR525" s="133"/>
      <c r="ZS525" s="133"/>
      <c r="ZT525" s="133"/>
      <c r="ZU525" s="133"/>
      <c r="ZV525" s="133"/>
      <c r="ZW525" s="133"/>
      <c r="ZX525" s="133"/>
      <c r="ZY525" s="133"/>
      <c r="ZZ525" s="133"/>
      <c r="AAA525" s="133"/>
      <c r="AAB525" s="133"/>
      <c r="AAC525" s="133"/>
      <c r="AAD525" s="133"/>
      <c r="AAE525" s="133"/>
      <c r="AAF525" s="133"/>
      <c r="AAG525" s="133"/>
      <c r="AAH525" s="133"/>
      <c r="AAI525" s="133"/>
      <c r="AAJ525" s="133"/>
      <c r="AAK525" s="133"/>
      <c r="AAL525" s="133"/>
      <c r="AAM525" s="133"/>
      <c r="AAN525" s="133"/>
      <c r="AAO525" s="133"/>
      <c r="AAP525" s="133"/>
      <c r="AAQ525" s="133"/>
      <c r="AAR525" s="133"/>
      <c r="AAS525" s="133"/>
      <c r="AAT525" s="133"/>
      <c r="AAU525" s="133"/>
      <c r="AAV525" s="133"/>
      <c r="AAW525" s="133"/>
      <c r="AAX525" s="133"/>
      <c r="AAY525" s="133"/>
      <c r="AAZ525" s="133"/>
      <c r="ABA525" s="133"/>
      <c r="ABB525" s="133"/>
      <c r="ABC525" s="133"/>
      <c r="ABD525" s="133"/>
      <c r="ABE525" s="133"/>
      <c r="ABF525" s="133"/>
      <c r="ABG525" s="133"/>
      <c r="ABH525" s="133"/>
      <c r="ABI525" s="133"/>
      <c r="ABJ525" s="133"/>
      <c r="ABK525" s="133"/>
      <c r="ABL525" s="133"/>
      <c r="ABM525" s="133"/>
      <c r="ABN525" s="133"/>
      <c r="ABO525" s="133"/>
      <c r="ABP525" s="133"/>
      <c r="ABQ525" s="133"/>
      <c r="ABR525" s="133"/>
      <c r="ABS525" s="133"/>
      <c r="ABT525" s="133"/>
      <c r="ABU525" s="133"/>
      <c r="ABV525" s="133"/>
      <c r="ABW525" s="133"/>
      <c r="ABX525" s="133"/>
      <c r="ABY525" s="133"/>
      <c r="ABZ525" s="133"/>
      <c r="ACA525" s="133"/>
      <c r="ACB525" s="133"/>
      <c r="ACC525" s="133"/>
      <c r="ACD525" s="133"/>
      <c r="ACE525" s="133"/>
      <c r="ACF525" s="133"/>
      <c r="ACG525" s="133"/>
      <c r="ACH525" s="133"/>
      <c r="ACI525" s="133"/>
      <c r="ACJ525" s="133"/>
      <c r="ACK525" s="133"/>
      <c r="ACL525" s="133"/>
      <c r="ACM525" s="133"/>
      <c r="ACN525" s="133"/>
      <c r="ACO525" s="133"/>
      <c r="ACP525" s="133"/>
      <c r="ACQ525" s="133"/>
      <c r="ACR525" s="133"/>
      <c r="ACS525" s="133"/>
      <c r="ACT525" s="133"/>
      <c r="ACU525" s="133"/>
      <c r="ACV525" s="133"/>
      <c r="ACW525" s="133"/>
      <c r="ACX525" s="133"/>
      <c r="ACY525" s="133"/>
      <c r="ACZ525" s="133"/>
      <c r="ADA525" s="133"/>
      <c r="ADB525" s="133"/>
      <c r="ADC525" s="133"/>
      <c r="ADD525" s="133"/>
      <c r="ADE525" s="133"/>
      <c r="ADF525" s="133"/>
      <c r="ADG525" s="133"/>
      <c r="ADH525" s="133"/>
      <c r="ADI525" s="133"/>
      <c r="ADJ525" s="133"/>
      <c r="ADK525" s="133"/>
      <c r="ADL525" s="133"/>
      <c r="ADM525" s="133"/>
      <c r="ADN525" s="133"/>
      <c r="ADO525" s="133"/>
      <c r="ADP525" s="133"/>
      <c r="ADQ525" s="133"/>
      <c r="ADR525" s="133"/>
      <c r="ADS525" s="133"/>
      <c r="ADT525" s="133"/>
      <c r="ADU525" s="133"/>
      <c r="ADV525" s="133"/>
      <c r="ADW525" s="133"/>
      <c r="ADX525" s="133"/>
      <c r="ADY525" s="133"/>
      <c r="ADZ525" s="133"/>
      <c r="AEA525" s="133"/>
      <c r="AEB525" s="133"/>
      <c r="AEC525" s="133"/>
      <c r="AED525" s="133"/>
      <c r="AEE525" s="133"/>
      <c r="AEF525" s="133"/>
      <c r="AEG525" s="133"/>
      <c r="AEH525" s="133"/>
      <c r="AEI525" s="133"/>
      <c r="AEJ525" s="133"/>
      <c r="AEK525" s="133"/>
      <c r="AEL525" s="133"/>
      <c r="AEM525" s="133"/>
      <c r="AEN525" s="133"/>
      <c r="AEO525" s="133"/>
      <c r="AEP525" s="133"/>
      <c r="AEQ525" s="133"/>
      <c r="AER525" s="133"/>
      <c r="AES525" s="133"/>
      <c r="AET525" s="133"/>
      <c r="AEU525" s="133"/>
      <c r="AEV525" s="133"/>
      <c r="AEW525" s="133"/>
      <c r="AEX525" s="133"/>
      <c r="AEY525" s="133"/>
      <c r="AEZ525" s="133"/>
      <c r="AFA525" s="133"/>
      <c r="AFB525" s="133"/>
      <c r="AFC525" s="133"/>
      <c r="AFD525" s="133"/>
      <c r="AFE525" s="133"/>
      <c r="AFF525" s="133"/>
      <c r="AFG525" s="133"/>
      <c r="AFH525" s="133"/>
      <c r="AFI525" s="133"/>
      <c r="AFJ525" s="133"/>
      <c r="AFK525" s="133"/>
      <c r="AFL525" s="133"/>
      <c r="AFM525" s="133"/>
      <c r="AFN525" s="133"/>
      <c r="AFO525" s="133"/>
      <c r="AFP525" s="133"/>
      <c r="AFQ525" s="133"/>
      <c r="AFR525" s="133"/>
      <c r="AFS525" s="133"/>
      <c r="AFT525" s="133"/>
      <c r="AFU525" s="133"/>
      <c r="AFV525" s="133"/>
      <c r="AFW525" s="133"/>
      <c r="AFX525" s="133"/>
      <c r="AFY525" s="133"/>
      <c r="AFZ525" s="133"/>
      <c r="AGA525" s="133"/>
      <c r="AGB525" s="133"/>
      <c r="AGC525" s="133"/>
      <c r="AGD525" s="133"/>
      <c r="AGE525" s="133"/>
      <c r="AGF525" s="133"/>
      <c r="AGG525" s="133"/>
      <c r="AGH525" s="133"/>
      <c r="AGI525" s="133"/>
      <c r="AGJ525" s="133"/>
      <c r="AGK525" s="133"/>
      <c r="AGL525" s="133"/>
      <c r="AGM525" s="133"/>
      <c r="AGN525" s="133"/>
      <c r="AGO525" s="133"/>
      <c r="AGP525" s="133"/>
      <c r="AGQ525" s="133"/>
      <c r="AGR525" s="133"/>
      <c r="AGS525" s="133"/>
      <c r="AGT525" s="133"/>
      <c r="AGU525" s="133"/>
      <c r="AGV525" s="133"/>
      <c r="AGW525" s="133"/>
      <c r="AGX525" s="133"/>
      <c r="AGY525" s="133"/>
      <c r="AGZ525" s="133"/>
      <c r="AHA525" s="133"/>
      <c r="AHB525" s="133"/>
      <c r="AHC525" s="133"/>
      <c r="AHD525" s="133"/>
      <c r="AHE525" s="133"/>
      <c r="AHF525" s="133"/>
      <c r="AHG525" s="133"/>
      <c r="AHH525" s="133"/>
      <c r="AHI525" s="133"/>
      <c r="AHJ525" s="133"/>
      <c r="AHK525" s="133"/>
      <c r="AHL525" s="133"/>
      <c r="AHM525" s="133"/>
      <c r="AHN525" s="133"/>
      <c r="AHO525" s="133"/>
      <c r="AHP525" s="133"/>
      <c r="AHQ525" s="133"/>
      <c r="AHR525" s="133"/>
      <c r="AHS525" s="133"/>
      <c r="AHT525" s="133"/>
      <c r="AHU525" s="133"/>
      <c r="AHV525" s="133"/>
      <c r="AHW525" s="133"/>
      <c r="AHX525" s="133"/>
      <c r="AHY525" s="133"/>
      <c r="AHZ525" s="133"/>
      <c r="AIA525" s="133"/>
      <c r="AIB525" s="133"/>
      <c r="AIC525" s="133"/>
      <c r="AID525" s="133"/>
      <c r="AIE525" s="133"/>
      <c r="AIF525" s="133"/>
      <c r="AIG525" s="133"/>
      <c r="AIH525" s="133"/>
      <c r="AII525" s="133"/>
      <c r="AIJ525" s="133"/>
      <c r="AIK525" s="133"/>
      <c r="AIL525" s="133"/>
      <c r="AIM525" s="133"/>
      <c r="AIN525" s="133"/>
      <c r="AIO525" s="133"/>
      <c r="AIP525" s="133"/>
      <c r="AIQ525" s="133"/>
      <c r="AIR525" s="133"/>
      <c r="AIS525" s="133"/>
      <c r="AIT525" s="133"/>
      <c r="AIU525" s="133"/>
      <c r="AIV525" s="133"/>
      <c r="AIW525" s="133"/>
      <c r="AIX525" s="133"/>
      <c r="AIY525" s="133"/>
      <c r="AIZ525" s="133"/>
      <c r="AJA525" s="133"/>
      <c r="AJB525" s="133"/>
      <c r="AJC525" s="133"/>
      <c r="AJD525" s="133"/>
      <c r="AJE525" s="133"/>
      <c r="AJF525" s="133"/>
      <c r="AJG525" s="133"/>
      <c r="AJH525" s="133"/>
      <c r="AJI525" s="133"/>
      <c r="AJJ525" s="133"/>
      <c r="AJK525" s="133"/>
      <c r="AJL525" s="133"/>
      <c r="AJM525" s="133"/>
      <c r="AJN525" s="133"/>
      <c r="AJO525" s="133"/>
      <c r="AJP525" s="133"/>
      <c r="AJQ525" s="133"/>
      <c r="AJR525" s="133"/>
      <c r="AJS525" s="133"/>
      <c r="AJT525" s="133"/>
      <c r="AJU525" s="133"/>
      <c r="AJV525" s="133"/>
      <c r="AJW525" s="133"/>
      <c r="AJX525" s="133"/>
      <c r="AJY525" s="133"/>
      <c r="AJZ525" s="133"/>
      <c r="AKA525" s="133"/>
      <c r="AKB525" s="133"/>
      <c r="AKC525" s="133"/>
      <c r="AKD525" s="133"/>
      <c r="AKE525" s="133"/>
      <c r="AKF525" s="133"/>
      <c r="AKG525" s="133"/>
      <c r="AKH525" s="133"/>
      <c r="AKI525" s="133"/>
      <c r="AKJ525" s="133"/>
      <c r="AKK525" s="133"/>
      <c r="AKL525" s="133"/>
      <c r="AKM525" s="133"/>
      <c r="AKN525" s="133"/>
      <c r="AKO525" s="133"/>
      <c r="AKP525" s="133"/>
      <c r="AKQ525" s="133"/>
      <c r="AKR525" s="133"/>
      <c r="AKS525" s="133"/>
      <c r="AKT525" s="133"/>
      <c r="AKU525" s="133"/>
      <c r="AKV525" s="133"/>
      <c r="AKW525" s="133"/>
      <c r="AKX525" s="133"/>
      <c r="AKY525" s="133"/>
      <c r="AKZ525" s="133"/>
      <c r="ALA525" s="133"/>
      <c r="ALB525" s="133"/>
      <c r="ALC525" s="133"/>
      <c r="ALD525" s="133"/>
      <c r="ALE525" s="133"/>
      <c r="ALF525" s="133"/>
      <c r="ALG525" s="133"/>
      <c r="ALH525" s="133"/>
      <c r="ALI525" s="133"/>
      <c r="ALJ525" s="133"/>
      <c r="ALK525" s="133"/>
      <c r="ALL525" s="133"/>
      <c r="ALM525" s="133"/>
      <c r="ALN525" s="133"/>
      <c r="ALO525" s="133"/>
      <c r="ALP525" s="133"/>
      <c r="ALQ525" s="133"/>
      <c r="ALR525" s="133"/>
      <c r="ALS525" s="133"/>
      <c r="ALT525" s="133"/>
      <c r="ALU525" s="133"/>
      <c r="ALV525" s="133"/>
      <c r="ALW525" s="133"/>
      <c r="ALX525" s="133"/>
      <c r="ALY525" s="133"/>
      <c r="ALZ525" s="133"/>
      <c r="AMA525" s="133"/>
      <c r="AMB525" s="133"/>
      <c r="AMC525" s="133"/>
      <c r="AMD525" s="133"/>
      <c r="AME525" s="133"/>
      <c r="AMF525" s="133"/>
      <c r="AMG525" s="133"/>
      <c r="AMH525" s="133"/>
      <c r="AMI525" s="133"/>
      <c r="AMJ525" s="133"/>
      <c r="AMK525" s="133"/>
      <c r="AML525" s="133"/>
      <c r="AMM525" s="133"/>
      <c r="AMN525" s="133"/>
      <c r="AMO525" s="133"/>
      <c r="AMP525" s="133"/>
      <c r="AMQ525" s="133"/>
      <c r="AMR525" s="133"/>
      <c r="AMS525" s="133"/>
      <c r="AMT525" s="133"/>
      <c r="AMU525" s="133"/>
      <c r="AMV525" s="133"/>
      <c r="AMW525" s="133"/>
      <c r="AMX525" s="133"/>
      <c r="AMY525" s="133"/>
      <c r="AMZ525" s="133"/>
      <c r="ANA525" s="133"/>
      <c r="ANB525" s="133"/>
      <c r="ANC525" s="133"/>
      <c r="AND525" s="133"/>
      <c r="ANE525" s="133"/>
      <c r="ANF525" s="133"/>
      <c r="ANG525" s="133"/>
      <c r="ANH525" s="133"/>
      <c r="ANI525" s="133"/>
      <c r="ANJ525" s="133"/>
      <c r="ANK525" s="133"/>
      <c r="ANL525" s="133"/>
      <c r="ANM525" s="133"/>
      <c r="ANN525" s="133"/>
      <c r="ANO525" s="133"/>
      <c r="ANP525" s="133"/>
      <c r="ANQ525" s="133"/>
      <c r="ANR525" s="133"/>
      <c r="ANS525" s="133"/>
      <c r="ANT525" s="133"/>
      <c r="ANU525" s="133"/>
      <c r="ANV525" s="133"/>
      <c r="ANW525" s="133"/>
      <c r="ANX525" s="133"/>
      <c r="ANY525" s="133"/>
      <c r="ANZ525" s="133"/>
      <c r="AOA525" s="133"/>
      <c r="AOB525" s="133"/>
      <c r="AOC525" s="133"/>
      <c r="AOD525" s="133"/>
      <c r="AOE525" s="133"/>
      <c r="AOF525" s="133"/>
      <c r="AOG525" s="133"/>
      <c r="AOH525" s="133"/>
      <c r="AOI525" s="133"/>
      <c r="AOJ525" s="133"/>
      <c r="AOK525" s="133"/>
      <c r="AOL525" s="133"/>
      <c r="AOM525" s="133"/>
      <c r="AON525" s="133"/>
      <c r="AOO525" s="133"/>
      <c r="AOP525" s="133"/>
      <c r="AOQ525" s="133"/>
      <c r="AOR525" s="133"/>
      <c r="AOS525" s="133"/>
      <c r="AOT525" s="133"/>
      <c r="AOU525" s="133"/>
      <c r="AOV525" s="133"/>
      <c r="AOW525" s="133"/>
      <c r="AOX525" s="133"/>
      <c r="AOY525" s="133"/>
      <c r="AOZ525" s="133"/>
      <c r="APA525" s="133"/>
      <c r="APB525" s="133"/>
      <c r="APC525" s="133"/>
      <c r="APD525" s="133"/>
      <c r="APE525" s="133"/>
      <c r="APF525" s="133"/>
      <c r="APG525" s="133"/>
      <c r="APH525" s="133"/>
      <c r="API525" s="133"/>
      <c r="APJ525" s="133"/>
      <c r="APK525" s="133"/>
      <c r="APL525" s="133"/>
      <c r="APM525" s="133"/>
      <c r="APN525" s="133"/>
      <c r="APO525" s="133"/>
      <c r="APP525" s="133"/>
      <c r="APQ525" s="133"/>
      <c r="APR525" s="133"/>
      <c r="APS525" s="133"/>
      <c r="APT525" s="133"/>
      <c r="APU525" s="133"/>
      <c r="APV525" s="133"/>
      <c r="APW525" s="133"/>
      <c r="APX525" s="133"/>
      <c r="APY525" s="133"/>
      <c r="APZ525" s="133"/>
      <c r="AQA525" s="133"/>
      <c r="AQB525" s="133"/>
      <c r="AQC525" s="133"/>
      <c r="AQD525" s="133"/>
      <c r="AQE525" s="133"/>
      <c r="AQF525" s="133"/>
      <c r="AQG525" s="133"/>
      <c r="AQH525" s="133"/>
      <c r="AQI525" s="133"/>
      <c r="AQJ525" s="133"/>
      <c r="AQK525" s="133"/>
      <c r="AQL525" s="133"/>
      <c r="AQM525" s="133"/>
      <c r="AQN525" s="133"/>
      <c r="AQO525" s="133"/>
      <c r="AQP525" s="133"/>
      <c r="AQQ525" s="133"/>
      <c r="AQR525" s="133"/>
      <c r="AQS525" s="133"/>
      <c r="AQT525" s="133"/>
      <c r="AQU525" s="133"/>
      <c r="AQV525" s="133"/>
      <c r="AQW525" s="133"/>
      <c r="AQX525" s="133"/>
      <c r="AQY525" s="133"/>
      <c r="AQZ525" s="133"/>
      <c r="ARA525" s="133"/>
      <c r="ARB525" s="133"/>
      <c r="ARC525" s="133"/>
      <c r="ARD525" s="133"/>
      <c r="ARE525" s="133"/>
      <c r="ARF525" s="133"/>
      <c r="ARG525" s="133"/>
      <c r="ARH525" s="133"/>
      <c r="ARI525" s="133"/>
      <c r="ARJ525" s="133"/>
      <c r="ARK525" s="133"/>
      <c r="ARL525" s="133"/>
      <c r="ARM525" s="133"/>
      <c r="ARN525" s="133"/>
      <c r="ARO525" s="133"/>
      <c r="ARP525" s="133"/>
      <c r="ARQ525" s="133"/>
      <c r="ARR525" s="133"/>
      <c r="ARS525" s="133"/>
      <c r="ART525" s="133"/>
      <c r="ARU525" s="133"/>
      <c r="ARV525" s="133"/>
      <c r="ARW525" s="133"/>
      <c r="ARX525" s="133"/>
      <c r="ARY525" s="133"/>
      <c r="ARZ525" s="133"/>
      <c r="ASA525" s="133"/>
      <c r="ASB525" s="133"/>
      <c r="ASC525" s="133"/>
      <c r="ASD525" s="133"/>
      <c r="ASE525" s="133"/>
      <c r="ASF525" s="133"/>
      <c r="ASG525" s="133"/>
      <c r="ASH525" s="133"/>
      <c r="ASI525" s="133"/>
      <c r="ASJ525" s="133"/>
      <c r="ASK525" s="133"/>
      <c r="ASL525" s="133"/>
      <c r="ASM525" s="133"/>
      <c r="ASN525" s="133"/>
      <c r="ASO525" s="133"/>
      <c r="ASP525" s="133"/>
      <c r="ASQ525" s="133"/>
      <c r="ASR525" s="133"/>
      <c r="ASS525" s="133"/>
      <c r="AST525" s="133"/>
      <c r="ASU525" s="133"/>
      <c r="ASV525" s="133"/>
      <c r="ASW525" s="133"/>
      <c r="ASX525" s="133"/>
      <c r="ASY525" s="133"/>
      <c r="ASZ525" s="133"/>
      <c r="ATA525" s="133"/>
      <c r="ATB525" s="133"/>
      <c r="ATC525" s="133"/>
      <c r="ATD525" s="133"/>
      <c r="ATE525" s="133"/>
      <c r="ATF525" s="133"/>
      <c r="ATG525" s="133"/>
      <c r="ATH525" s="133"/>
      <c r="ATI525" s="133"/>
      <c r="ATJ525" s="133"/>
      <c r="ATK525" s="133"/>
      <c r="ATL525" s="133"/>
      <c r="ATM525" s="133"/>
      <c r="ATN525" s="133"/>
      <c r="ATO525" s="133"/>
      <c r="ATP525" s="133"/>
      <c r="ATQ525" s="133"/>
      <c r="ATR525" s="133"/>
      <c r="ATS525" s="133"/>
      <c r="ATT525" s="133"/>
      <c r="ATU525" s="133"/>
      <c r="ATV525" s="133"/>
      <c r="ATW525" s="133"/>
      <c r="ATX525" s="133"/>
      <c r="ATY525" s="133"/>
      <c r="ATZ525" s="133"/>
      <c r="AUA525" s="133"/>
      <c r="AUB525" s="133"/>
      <c r="AUC525" s="133"/>
      <c r="AUD525" s="133"/>
      <c r="AUE525" s="133"/>
      <c r="AUF525" s="133"/>
      <c r="AUG525" s="133"/>
      <c r="AUH525" s="133"/>
      <c r="AUI525" s="133"/>
      <c r="AUJ525" s="133"/>
      <c r="AUK525" s="133"/>
      <c r="AUL525" s="133"/>
      <c r="AUM525" s="133"/>
      <c r="AUN525" s="133"/>
      <c r="AUO525" s="133"/>
      <c r="AUP525" s="133"/>
      <c r="AUQ525" s="133"/>
      <c r="AUR525" s="133"/>
      <c r="AUS525" s="133"/>
      <c r="AUT525" s="133"/>
      <c r="AUU525" s="133"/>
      <c r="AUV525" s="133"/>
      <c r="AUW525" s="133"/>
      <c r="AUX525" s="133"/>
      <c r="AUY525" s="133"/>
      <c r="AUZ525" s="133"/>
      <c r="AVA525" s="133"/>
      <c r="AVB525" s="133"/>
      <c r="AVC525" s="133"/>
      <c r="AVD525" s="133"/>
      <c r="AVE525" s="133"/>
      <c r="AVF525" s="133"/>
      <c r="AVG525" s="133"/>
      <c r="AVH525" s="133"/>
      <c r="AVI525" s="133"/>
      <c r="AVJ525" s="133"/>
      <c r="AVK525" s="133"/>
      <c r="AVL525" s="133"/>
      <c r="AVM525" s="133"/>
      <c r="AVN525" s="133"/>
      <c r="AVO525" s="133"/>
      <c r="AVP525" s="133"/>
      <c r="AVQ525" s="133"/>
      <c r="AVR525" s="133"/>
      <c r="AVS525" s="133"/>
      <c r="AVT525" s="133"/>
      <c r="AVU525" s="133"/>
      <c r="AVV525" s="133"/>
      <c r="AVW525" s="133"/>
      <c r="AVX525" s="133"/>
      <c r="AVY525" s="133"/>
      <c r="AVZ525" s="133"/>
      <c r="AWA525" s="133"/>
      <c r="AWB525" s="133"/>
      <c r="AWC525" s="133"/>
      <c r="AWD525" s="133"/>
      <c r="AWE525" s="133"/>
      <c r="AWF525" s="133"/>
      <c r="AWG525" s="133"/>
      <c r="AWH525" s="133"/>
      <c r="AWI525" s="133"/>
      <c r="AWJ525" s="133"/>
      <c r="AWK525" s="133"/>
      <c r="AWL525" s="133"/>
      <c r="AWM525" s="133"/>
      <c r="AWN525" s="133"/>
      <c r="AWO525" s="133"/>
      <c r="AWP525" s="133"/>
      <c r="AWQ525" s="133"/>
      <c r="AWR525" s="133"/>
      <c r="AWS525" s="133"/>
      <c r="AWT525" s="133"/>
      <c r="AWU525" s="133"/>
      <c r="AWV525" s="133"/>
      <c r="AWW525" s="133"/>
      <c r="AWX525" s="133"/>
      <c r="AWY525" s="133"/>
      <c r="AWZ525" s="133"/>
      <c r="AXA525" s="133"/>
      <c r="AXB525" s="133"/>
      <c r="AXC525" s="133"/>
      <c r="AXD525" s="133"/>
      <c r="AXE525" s="133"/>
      <c r="AXF525" s="133"/>
      <c r="AXG525" s="133"/>
      <c r="AXH525" s="133"/>
      <c r="AXI525" s="133"/>
      <c r="AXJ525" s="133"/>
      <c r="AXK525" s="133"/>
      <c r="AXL525" s="133"/>
      <c r="AXM525" s="133"/>
      <c r="AXN525" s="133"/>
      <c r="AXO525" s="133"/>
      <c r="AXP525" s="133"/>
      <c r="AXQ525" s="133"/>
      <c r="AXR525" s="133"/>
      <c r="AXS525" s="133"/>
      <c r="AXT525" s="133"/>
      <c r="AXU525" s="133"/>
      <c r="AXV525" s="133"/>
      <c r="AXW525" s="133"/>
      <c r="AXX525" s="133"/>
      <c r="AXY525" s="133"/>
      <c r="AXZ525" s="133"/>
      <c r="AYA525" s="133"/>
      <c r="AYB525" s="133"/>
      <c r="AYC525" s="133"/>
      <c r="AYD525" s="133"/>
      <c r="AYE525" s="133"/>
      <c r="AYF525" s="133"/>
      <c r="AYG525" s="133"/>
      <c r="AYH525" s="133"/>
      <c r="AYI525" s="133"/>
      <c r="AYJ525" s="133"/>
      <c r="AYK525" s="133"/>
      <c r="AYL525" s="133"/>
      <c r="AYM525" s="133"/>
      <c r="AYN525" s="133"/>
      <c r="AYO525" s="133"/>
      <c r="AYP525" s="133"/>
      <c r="AYQ525" s="133"/>
      <c r="AYR525" s="133"/>
      <c r="AYS525" s="133"/>
      <c r="AYT525" s="133"/>
      <c r="AYU525" s="133"/>
      <c r="AYV525" s="133"/>
      <c r="AYW525" s="133"/>
      <c r="AYX525" s="133"/>
      <c r="AYY525" s="133"/>
      <c r="AYZ525" s="133"/>
      <c r="AZA525" s="133"/>
      <c r="AZB525" s="133"/>
      <c r="AZC525" s="133"/>
      <c r="AZD525" s="133"/>
      <c r="AZE525" s="133"/>
      <c r="AZF525" s="133"/>
      <c r="AZG525" s="133"/>
      <c r="AZH525" s="133"/>
      <c r="AZI525" s="133"/>
      <c r="AZJ525" s="133"/>
      <c r="AZK525" s="133"/>
      <c r="AZL525" s="133"/>
      <c r="AZM525" s="133"/>
      <c r="AZN525" s="133"/>
      <c r="AZO525" s="133"/>
      <c r="AZP525" s="133"/>
      <c r="AZQ525" s="133"/>
      <c r="AZR525" s="133"/>
      <c r="AZS525" s="133"/>
      <c r="AZT525" s="133"/>
      <c r="AZU525" s="133"/>
      <c r="AZV525" s="133"/>
      <c r="AZW525" s="133"/>
      <c r="AZX525" s="133"/>
      <c r="AZY525" s="133"/>
      <c r="AZZ525" s="133"/>
      <c r="BAA525" s="133"/>
      <c r="BAB525" s="133"/>
      <c r="BAC525" s="133"/>
      <c r="BAD525" s="133"/>
      <c r="BAE525" s="133"/>
      <c r="BAF525" s="133"/>
      <c r="BAG525" s="133"/>
      <c r="BAH525" s="133"/>
      <c r="BAI525" s="133"/>
      <c r="BAJ525" s="133"/>
      <c r="BAK525" s="133"/>
      <c r="BAL525" s="133"/>
      <c r="BAM525" s="133"/>
      <c r="BAN525" s="133"/>
      <c r="BAO525" s="133"/>
      <c r="BAP525" s="133"/>
      <c r="BAQ525" s="133"/>
      <c r="BAR525" s="133"/>
      <c r="BAS525" s="133"/>
      <c r="BAT525" s="133"/>
      <c r="BAU525" s="133"/>
      <c r="BAV525" s="133"/>
      <c r="BAW525" s="133"/>
      <c r="BAX525" s="133"/>
      <c r="BAY525" s="133"/>
      <c r="BAZ525" s="133"/>
      <c r="BBA525" s="133"/>
      <c r="BBB525" s="133"/>
      <c r="BBC525" s="133"/>
      <c r="BBD525" s="133"/>
      <c r="BBE525" s="133"/>
      <c r="BBF525" s="133"/>
      <c r="BBG525" s="133"/>
      <c r="BBH525" s="133"/>
      <c r="BBI525" s="133"/>
      <c r="BBJ525" s="133"/>
      <c r="BBK525" s="133"/>
      <c r="BBL525" s="133"/>
      <c r="BBM525" s="133"/>
      <c r="BBN525" s="133"/>
      <c r="BBO525" s="133"/>
      <c r="BBP525" s="133"/>
      <c r="BBQ525" s="133"/>
      <c r="BBR525" s="133"/>
      <c r="BBS525" s="133"/>
      <c r="BBT525" s="133"/>
      <c r="BBU525" s="133"/>
      <c r="BBV525" s="133"/>
      <c r="BBW525" s="133"/>
      <c r="BBX525" s="133"/>
      <c r="BBY525" s="133"/>
      <c r="BBZ525" s="133"/>
      <c r="BCA525" s="133"/>
      <c r="BCB525" s="133"/>
      <c r="BCC525" s="133"/>
      <c r="BCD525" s="133"/>
      <c r="BCE525" s="133"/>
      <c r="BCF525" s="133"/>
      <c r="BCG525" s="133"/>
      <c r="BCH525" s="133"/>
      <c r="BCI525" s="133"/>
      <c r="BCJ525" s="133"/>
      <c r="BCK525" s="133"/>
      <c r="BCL525" s="133"/>
      <c r="BCM525" s="133"/>
      <c r="BCN525" s="133"/>
      <c r="BCO525" s="133"/>
      <c r="BCP525" s="133"/>
      <c r="BCQ525" s="133"/>
      <c r="BCR525" s="133"/>
      <c r="BCS525" s="133"/>
      <c r="BCT525" s="133"/>
      <c r="BCU525" s="133"/>
      <c r="BCV525" s="133"/>
      <c r="BCW525" s="133"/>
      <c r="BCX525" s="133"/>
      <c r="BCY525" s="133"/>
      <c r="BCZ525" s="133"/>
      <c r="BDA525" s="133"/>
      <c r="BDB525" s="133"/>
      <c r="BDC525" s="133"/>
      <c r="BDD525" s="133"/>
      <c r="BDE525" s="133"/>
      <c r="BDF525" s="133"/>
      <c r="BDG525" s="133"/>
      <c r="BDH525" s="133"/>
      <c r="BDI525" s="133"/>
      <c r="BDJ525" s="133"/>
      <c r="BDK525" s="133"/>
      <c r="BDL525" s="133"/>
      <c r="BDM525" s="133"/>
      <c r="BDN525" s="133"/>
      <c r="BDO525" s="133"/>
      <c r="BDP525" s="133"/>
      <c r="BDQ525" s="133"/>
      <c r="BDR525" s="133"/>
      <c r="BDS525" s="133"/>
      <c r="BDT525" s="133"/>
      <c r="BDU525" s="133"/>
      <c r="BDV525" s="133"/>
      <c r="BDW525" s="133"/>
      <c r="BDX525" s="133"/>
      <c r="BDY525" s="133"/>
      <c r="BDZ525" s="133"/>
      <c r="BEA525" s="133"/>
      <c r="BEB525" s="133"/>
      <c r="BEC525" s="133"/>
      <c r="BED525" s="133"/>
      <c r="BEE525" s="133"/>
      <c r="BEF525" s="133"/>
      <c r="BEG525" s="133"/>
      <c r="BEH525" s="133"/>
      <c r="BEI525" s="133"/>
      <c r="BEJ525" s="133"/>
      <c r="BEK525" s="133"/>
      <c r="BEL525" s="133"/>
      <c r="BEM525" s="133"/>
      <c r="BEN525" s="133"/>
      <c r="BEO525" s="133"/>
      <c r="BEP525" s="133"/>
      <c r="BEQ525" s="133"/>
      <c r="BER525" s="133"/>
      <c r="BES525" s="133"/>
      <c r="BET525" s="133"/>
      <c r="BEU525" s="133"/>
      <c r="BEV525" s="133"/>
      <c r="BEW525" s="133"/>
      <c r="BEX525" s="133"/>
      <c r="BEY525" s="133"/>
      <c r="BEZ525" s="133"/>
      <c r="BFA525" s="133"/>
      <c r="BFB525" s="133"/>
      <c r="BFC525" s="133"/>
      <c r="BFD525" s="133"/>
      <c r="BFE525" s="133"/>
      <c r="BFF525" s="133"/>
      <c r="BFG525" s="133"/>
      <c r="BFH525" s="133"/>
      <c r="BFI525" s="133"/>
      <c r="BFJ525" s="133"/>
      <c r="BFK525" s="133"/>
      <c r="BFL525" s="133"/>
      <c r="BFM525" s="133"/>
      <c r="BFN525" s="133"/>
      <c r="BFO525" s="133"/>
      <c r="BFP525" s="133"/>
      <c r="BFQ525" s="133"/>
      <c r="BFR525" s="133"/>
      <c r="BFS525" s="133"/>
      <c r="BFT525" s="133"/>
      <c r="BFU525" s="133"/>
      <c r="BFV525" s="133"/>
      <c r="BFW525" s="133"/>
      <c r="BFX525" s="133"/>
      <c r="BFY525" s="133"/>
      <c r="BFZ525" s="133"/>
      <c r="BGA525" s="133"/>
      <c r="BGB525" s="133"/>
      <c r="BGC525" s="133"/>
      <c r="BGD525" s="133"/>
      <c r="BGE525" s="133"/>
      <c r="BGF525" s="133"/>
      <c r="BGG525" s="133"/>
      <c r="BGH525" s="133"/>
      <c r="BGI525" s="133"/>
      <c r="BGJ525" s="133"/>
      <c r="BGK525" s="133"/>
      <c r="BGL525" s="133"/>
      <c r="BGM525" s="133"/>
      <c r="BGN525" s="133"/>
      <c r="BGO525" s="133"/>
      <c r="BGP525" s="133"/>
      <c r="BGQ525" s="133"/>
      <c r="BGR525" s="133"/>
      <c r="BGS525" s="133"/>
      <c r="BGT525" s="133"/>
      <c r="BGU525" s="133"/>
      <c r="BGV525" s="133"/>
      <c r="BGW525" s="133"/>
      <c r="BGX525" s="133"/>
      <c r="BGY525" s="133"/>
      <c r="BGZ525" s="133"/>
      <c r="BHA525" s="133"/>
      <c r="BHB525" s="133"/>
      <c r="BHC525" s="133"/>
      <c r="BHD525" s="133"/>
      <c r="BHE525" s="133"/>
      <c r="BHF525" s="133"/>
      <c r="BHG525" s="133"/>
      <c r="BHH525" s="133"/>
      <c r="BHI525" s="133"/>
      <c r="BHJ525" s="133"/>
      <c r="BHK525" s="133"/>
      <c r="BHL525" s="133"/>
      <c r="BHM525" s="133"/>
      <c r="BHN525" s="133"/>
      <c r="BHO525" s="133"/>
      <c r="BHP525" s="133"/>
      <c r="BHQ525" s="133"/>
      <c r="BHR525" s="133"/>
      <c r="BHS525" s="133"/>
      <c r="BHT525" s="133"/>
      <c r="BHU525" s="133"/>
      <c r="BHV525" s="133"/>
      <c r="BHW525" s="133"/>
      <c r="BHX525" s="133"/>
      <c r="BHY525" s="133"/>
      <c r="BHZ525" s="133"/>
      <c r="BIA525" s="133"/>
      <c r="BIB525" s="133"/>
      <c r="BIC525" s="133"/>
      <c r="BID525" s="133"/>
      <c r="BIE525" s="133"/>
      <c r="BIF525" s="133"/>
      <c r="BIG525" s="133"/>
      <c r="BIH525" s="133"/>
      <c r="BII525" s="133"/>
      <c r="BIJ525" s="133"/>
      <c r="BIK525" s="133"/>
      <c r="BIL525" s="133"/>
      <c r="BIM525" s="133"/>
      <c r="BIN525" s="133"/>
      <c r="BIO525" s="133"/>
      <c r="BIP525" s="133"/>
      <c r="BIQ525" s="133"/>
      <c r="BIR525" s="133"/>
      <c r="BIS525" s="133"/>
      <c r="BIT525" s="133"/>
      <c r="BIU525" s="133"/>
      <c r="BIV525" s="133"/>
      <c r="BIW525" s="133"/>
      <c r="BIX525" s="133"/>
      <c r="BIY525" s="133"/>
      <c r="BIZ525" s="133"/>
      <c r="BJA525" s="133"/>
      <c r="BJB525" s="133"/>
      <c r="BJC525" s="133"/>
      <c r="BJD525" s="133"/>
      <c r="BJE525" s="133"/>
      <c r="BJF525" s="133"/>
      <c r="BJG525" s="133"/>
      <c r="BJH525" s="133"/>
      <c r="BJI525" s="133"/>
      <c r="BJJ525" s="133"/>
      <c r="BJK525" s="133"/>
      <c r="BJL525" s="133"/>
      <c r="BJM525" s="133"/>
      <c r="BJN525" s="133"/>
      <c r="BJO525" s="133"/>
      <c r="BJP525" s="133"/>
      <c r="BJQ525" s="133"/>
      <c r="BJR525" s="133"/>
      <c r="BJS525" s="133"/>
      <c r="BJT525" s="133"/>
      <c r="BJU525" s="133"/>
      <c r="BJV525" s="133"/>
      <c r="BJW525" s="133"/>
      <c r="BJX525" s="133"/>
      <c r="BJY525" s="133"/>
      <c r="BJZ525" s="133"/>
      <c r="BKA525" s="133"/>
      <c r="BKB525" s="133"/>
      <c r="BKC525" s="133"/>
      <c r="BKD525" s="133"/>
      <c r="BKE525" s="133"/>
      <c r="BKF525" s="133"/>
      <c r="BKG525" s="133"/>
      <c r="BKH525" s="133"/>
      <c r="BKI525" s="133"/>
      <c r="BKJ525" s="133"/>
      <c r="BKK525" s="133"/>
      <c r="BKL525" s="133"/>
      <c r="BKM525" s="133"/>
      <c r="BKN525" s="133"/>
      <c r="BKO525" s="133"/>
      <c r="BKP525" s="133"/>
      <c r="BKQ525" s="133"/>
      <c r="BKR525" s="133"/>
      <c r="BKS525" s="133"/>
      <c r="BKT525" s="133"/>
      <c r="BKU525" s="133"/>
      <c r="BKV525" s="133"/>
      <c r="BKW525" s="133"/>
      <c r="BKX525" s="133"/>
      <c r="BKY525" s="133"/>
      <c r="BKZ525" s="133"/>
      <c r="BLA525" s="133"/>
      <c r="BLB525" s="133"/>
      <c r="BLC525" s="133"/>
      <c r="BLD525" s="133"/>
      <c r="BLE525" s="133"/>
      <c r="BLF525" s="133"/>
      <c r="BLG525" s="133"/>
      <c r="BLH525" s="133"/>
      <c r="BLI525" s="133"/>
      <c r="BLJ525" s="133"/>
      <c r="BLK525" s="133"/>
      <c r="BLL525" s="133"/>
      <c r="BLM525" s="133"/>
      <c r="BLN525" s="133"/>
      <c r="BLO525" s="133"/>
      <c r="BLP525" s="133"/>
      <c r="BLQ525" s="133"/>
      <c r="BLR525" s="133"/>
      <c r="BLS525" s="133"/>
      <c r="BLT525" s="133"/>
      <c r="BLU525" s="133"/>
      <c r="BLV525" s="133"/>
      <c r="BLW525" s="133"/>
      <c r="BLX525" s="133"/>
      <c r="BLY525" s="133"/>
      <c r="BLZ525" s="133"/>
      <c r="BMA525" s="133"/>
      <c r="BMB525" s="133"/>
      <c r="BMC525" s="133"/>
      <c r="BMD525" s="133"/>
      <c r="BME525" s="133"/>
      <c r="BMF525" s="133"/>
      <c r="BMG525" s="133"/>
      <c r="BMH525" s="133"/>
      <c r="BMI525" s="133"/>
      <c r="BMJ525" s="133"/>
      <c r="BMK525" s="133"/>
      <c r="BML525" s="133"/>
      <c r="BMM525" s="133"/>
      <c r="BMN525" s="133"/>
      <c r="BMO525" s="133"/>
      <c r="BMP525" s="133"/>
      <c r="BMQ525" s="133"/>
      <c r="BMR525" s="133"/>
      <c r="BMS525" s="133"/>
      <c r="BMT525" s="133"/>
      <c r="BMU525" s="133"/>
      <c r="BMV525" s="133"/>
      <c r="BMW525" s="133"/>
      <c r="BMX525" s="133"/>
      <c r="BMY525" s="133"/>
      <c r="BMZ525" s="133"/>
      <c r="BNA525" s="133"/>
      <c r="BNB525" s="133"/>
      <c r="BNC525" s="133"/>
      <c r="BND525" s="133"/>
      <c r="BNE525" s="133"/>
      <c r="BNF525" s="133"/>
      <c r="BNG525" s="133"/>
      <c r="BNH525" s="133"/>
      <c r="BNI525" s="133"/>
      <c r="BNJ525" s="133"/>
      <c r="BNK525" s="133"/>
      <c r="BNL525" s="133"/>
      <c r="BNM525" s="133"/>
      <c r="BNN525" s="133"/>
      <c r="BNO525" s="133"/>
      <c r="BNP525" s="133"/>
      <c r="BNQ525" s="133"/>
      <c r="BNR525" s="133"/>
      <c r="BNS525" s="133"/>
      <c r="BNT525" s="133"/>
      <c r="BNU525" s="133"/>
      <c r="BNV525" s="133"/>
      <c r="BNW525" s="133"/>
      <c r="BNX525" s="133"/>
      <c r="BNY525" s="133"/>
      <c r="BNZ525" s="133"/>
      <c r="BOA525" s="133"/>
      <c r="BOB525" s="133"/>
      <c r="BOC525" s="133"/>
      <c r="BOD525" s="133"/>
      <c r="BOE525" s="133"/>
      <c r="BOF525" s="133"/>
      <c r="BOG525" s="133"/>
      <c r="BOH525" s="133"/>
      <c r="BOI525" s="133"/>
      <c r="BOJ525" s="133"/>
      <c r="BOK525" s="133"/>
      <c r="BOL525" s="133"/>
      <c r="BOM525" s="133"/>
      <c r="BON525" s="133"/>
      <c r="BOO525" s="133"/>
      <c r="BOP525" s="133"/>
      <c r="BOQ525" s="133"/>
      <c r="BOR525" s="133"/>
      <c r="BOS525" s="133"/>
      <c r="BOT525" s="133"/>
      <c r="BOU525" s="133"/>
      <c r="BOV525" s="133"/>
      <c r="BOW525" s="133"/>
      <c r="BOX525" s="133"/>
      <c r="BOY525" s="133"/>
      <c r="BOZ525" s="133"/>
      <c r="BPA525" s="133"/>
      <c r="BPB525" s="133"/>
      <c r="BPC525" s="133"/>
      <c r="BPD525" s="133"/>
      <c r="BPE525" s="133"/>
      <c r="BPF525" s="133"/>
      <c r="BPG525" s="133"/>
      <c r="BPH525" s="133"/>
      <c r="BPI525" s="133"/>
      <c r="BPJ525" s="133"/>
      <c r="BPK525" s="133"/>
      <c r="BPL525" s="133"/>
      <c r="BPM525" s="133"/>
      <c r="BPN525" s="133"/>
      <c r="BPO525" s="133"/>
      <c r="BPP525" s="133"/>
      <c r="BPQ525" s="133"/>
      <c r="BPR525" s="133"/>
      <c r="BPS525" s="133"/>
      <c r="BPT525" s="133"/>
      <c r="BPU525" s="133"/>
      <c r="BPV525" s="133"/>
      <c r="BPW525" s="133"/>
      <c r="BPX525" s="133"/>
      <c r="BPY525" s="133"/>
      <c r="BPZ525" s="133"/>
      <c r="BQA525" s="133"/>
      <c r="BQB525" s="133"/>
      <c r="BQC525" s="133"/>
      <c r="BQD525" s="133"/>
      <c r="BQE525" s="133"/>
      <c r="BQF525" s="133"/>
      <c r="BQG525" s="133"/>
      <c r="BQH525" s="133"/>
      <c r="BQI525" s="133"/>
      <c r="BQJ525" s="133"/>
      <c r="BQK525" s="133"/>
      <c r="BQL525" s="133"/>
      <c r="BQM525" s="133"/>
      <c r="BQN525" s="133"/>
      <c r="BQO525" s="133"/>
      <c r="BQP525" s="133"/>
      <c r="BQQ525" s="133"/>
      <c r="BQR525" s="133"/>
      <c r="BQS525" s="133"/>
      <c r="BQT525" s="133"/>
      <c r="BQU525" s="133"/>
      <c r="BQV525" s="133"/>
      <c r="BQW525" s="133"/>
      <c r="BQX525" s="133"/>
      <c r="BQY525" s="133"/>
      <c r="BQZ525" s="133"/>
      <c r="BRA525" s="133"/>
      <c r="BRB525" s="133"/>
      <c r="BRC525" s="133"/>
      <c r="BRD525" s="133"/>
      <c r="BRE525" s="133"/>
      <c r="BRF525" s="133"/>
      <c r="BRG525" s="133"/>
      <c r="BRH525" s="133"/>
      <c r="BRI525" s="133"/>
      <c r="BRJ525" s="133"/>
      <c r="BRK525" s="133"/>
      <c r="BRL525" s="133"/>
      <c r="BRM525" s="133"/>
      <c r="BRN525" s="133"/>
      <c r="BRO525" s="133"/>
      <c r="BRP525" s="133"/>
      <c r="BRQ525" s="133"/>
      <c r="BRR525" s="133"/>
      <c r="BRS525" s="133"/>
      <c r="BRT525" s="133"/>
      <c r="BRU525" s="133"/>
      <c r="BRV525" s="133"/>
      <c r="BRW525" s="133"/>
      <c r="BRX525" s="133"/>
      <c r="BRY525" s="133"/>
      <c r="BRZ525" s="133"/>
      <c r="BSA525" s="133"/>
      <c r="BSB525" s="133"/>
      <c r="BSC525" s="133"/>
      <c r="BSD525" s="133"/>
      <c r="BSE525" s="133"/>
      <c r="BSF525" s="133"/>
      <c r="BSG525" s="133"/>
      <c r="BSH525" s="133"/>
      <c r="BSI525" s="133"/>
      <c r="BSJ525" s="133"/>
      <c r="BSK525" s="133"/>
      <c r="BSL525" s="133"/>
      <c r="BSM525" s="133"/>
      <c r="BSN525" s="133"/>
      <c r="BSO525" s="133"/>
      <c r="BSP525" s="133"/>
      <c r="BSQ525" s="133"/>
      <c r="BSR525" s="133"/>
      <c r="BSS525" s="133"/>
      <c r="BST525" s="133"/>
      <c r="BSU525" s="133"/>
      <c r="BSV525" s="133"/>
      <c r="BSW525" s="133"/>
      <c r="BSX525" s="133"/>
      <c r="BSY525" s="133"/>
      <c r="BSZ525" s="133"/>
      <c r="BTA525" s="133"/>
      <c r="BTB525" s="133"/>
      <c r="BTC525" s="133"/>
      <c r="BTD525" s="133"/>
      <c r="BTE525" s="133"/>
      <c r="BTF525" s="133"/>
      <c r="BTG525" s="133"/>
      <c r="BTH525" s="133"/>
      <c r="BTI525" s="133"/>
      <c r="BTJ525" s="133"/>
      <c r="BTK525" s="133"/>
      <c r="BTL525" s="133"/>
      <c r="BTM525" s="133"/>
      <c r="BTN525" s="133"/>
      <c r="BTO525" s="133"/>
      <c r="BTP525" s="133"/>
      <c r="BTQ525" s="133"/>
      <c r="BTR525" s="133"/>
      <c r="BTS525" s="133"/>
      <c r="BTT525" s="133"/>
      <c r="BTU525" s="133"/>
      <c r="BTV525" s="133"/>
      <c r="BTW525" s="133"/>
      <c r="BTX525" s="133"/>
      <c r="BTY525" s="133"/>
      <c r="BTZ525" s="133"/>
      <c r="BUA525" s="133"/>
      <c r="BUB525" s="133"/>
      <c r="BUC525" s="133"/>
      <c r="BUD525" s="133"/>
      <c r="BUE525" s="133"/>
      <c r="BUF525" s="133"/>
      <c r="BUG525" s="133"/>
      <c r="BUH525" s="133"/>
      <c r="BUI525" s="133"/>
      <c r="BUJ525" s="133"/>
      <c r="BUK525" s="133"/>
      <c r="BUL525" s="133"/>
      <c r="BUM525" s="133"/>
      <c r="BUN525" s="133"/>
      <c r="BUO525" s="133"/>
      <c r="BUP525" s="133"/>
      <c r="BUQ525" s="133"/>
      <c r="BUR525" s="133"/>
      <c r="BUS525" s="133"/>
      <c r="BUT525" s="133"/>
      <c r="BUU525" s="133"/>
      <c r="BUV525" s="133"/>
      <c r="BUW525" s="133"/>
      <c r="BUX525" s="133"/>
      <c r="BUY525" s="133"/>
      <c r="BUZ525" s="133"/>
      <c r="BVA525" s="133"/>
      <c r="BVB525" s="133"/>
      <c r="BVC525" s="133"/>
      <c r="BVD525" s="133"/>
      <c r="BVE525" s="133"/>
      <c r="BVF525" s="133"/>
      <c r="BVG525" s="133"/>
      <c r="BVH525" s="133"/>
      <c r="BVI525" s="133"/>
      <c r="BVJ525" s="133"/>
      <c r="BVK525" s="133"/>
      <c r="BVL525" s="133"/>
      <c r="BVM525" s="133"/>
      <c r="BVN525" s="133"/>
      <c r="BVO525" s="133"/>
      <c r="BVP525" s="133"/>
      <c r="BVQ525" s="133"/>
      <c r="BVR525" s="133"/>
      <c r="BVS525" s="133"/>
      <c r="BVT525" s="133"/>
      <c r="BVU525" s="133"/>
      <c r="BVV525" s="133"/>
      <c r="BVW525" s="133"/>
      <c r="BVX525" s="133"/>
      <c r="BVY525" s="133"/>
      <c r="BVZ525" s="133"/>
      <c r="BWA525" s="133"/>
      <c r="BWB525" s="133"/>
      <c r="BWC525" s="133"/>
      <c r="BWD525" s="133"/>
      <c r="BWE525" s="133"/>
      <c r="BWF525" s="133"/>
      <c r="BWG525" s="133"/>
      <c r="BWH525" s="133"/>
      <c r="BWI525" s="133"/>
      <c r="BWJ525" s="133"/>
      <c r="BWK525" s="133"/>
      <c r="BWL525" s="133"/>
      <c r="BWM525" s="133"/>
      <c r="BWN525" s="133"/>
      <c r="BWO525" s="133"/>
      <c r="BWP525" s="133"/>
      <c r="BWQ525" s="133"/>
      <c r="BWR525" s="133"/>
      <c r="BWS525" s="133"/>
      <c r="BWT525" s="133"/>
      <c r="BWU525" s="133"/>
      <c r="BWV525" s="133"/>
      <c r="BWW525" s="133"/>
      <c r="BWX525" s="133"/>
      <c r="BWY525" s="133"/>
      <c r="BWZ525" s="133"/>
      <c r="BXA525" s="133"/>
      <c r="BXB525" s="133"/>
      <c r="BXC525" s="133"/>
      <c r="BXD525" s="133"/>
      <c r="BXE525" s="133"/>
      <c r="BXF525" s="133"/>
      <c r="BXG525" s="133"/>
      <c r="BXH525" s="133"/>
      <c r="BXI525" s="133"/>
      <c r="BXJ525" s="133"/>
      <c r="BXK525" s="133"/>
      <c r="BXL525" s="133"/>
      <c r="BXM525" s="133"/>
      <c r="BXN525" s="133"/>
      <c r="BXO525" s="133"/>
      <c r="BXP525" s="133"/>
      <c r="BXQ525" s="133"/>
      <c r="BXR525" s="133"/>
      <c r="BXS525" s="133"/>
      <c r="BXT525" s="133"/>
      <c r="BXU525" s="133"/>
      <c r="BXV525" s="133"/>
      <c r="BXW525" s="133"/>
      <c r="BXX525" s="133"/>
      <c r="BXY525" s="133"/>
      <c r="BXZ525" s="133"/>
      <c r="BYA525" s="133"/>
      <c r="BYB525" s="133"/>
      <c r="BYC525" s="133"/>
      <c r="BYD525" s="133"/>
      <c r="BYE525" s="133"/>
      <c r="BYF525" s="133"/>
      <c r="BYG525" s="133"/>
      <c r="BYH525" s="133"/>
      <c r="BYI525" s="133"/>
      <c r="BYJ525" s="133"/>
      <c r="BYK525" s="133"/>
      <c r="BYL525" s="133"/>
      <c r="BYM525" s="133"/>
      <c r="BYN525" s="133"/>
      <c r="BYO525" s="133"/>
      <c r="BYP525" s="133"/>
      <c r="BYQ525" s="133"/>
      <c r="BYR525" s="133"/>
      <c r="BYS525" s="133"/>
      <c r="BYT525" s="133"/>
      <c r="BYU525" s="133"/>
      <c r="BYV525" s="133"/>
      <c r="BYW525" s="133"/>
      <c r="BYX525" s="133"/>
      <c r="BYY525" s="133"/>
      <c r="BYZ525" s="133"/>
      <c r="BZA525" s="133"/>
      <c r="BZB525" s="133"/>
      <c r="BZC525" s="133"/>
      <c r="BZD525" s="133"/>
      <c r="BZE525" s="133"/>
      <c r="BZF525" s="133"/>
      <c r="BZG525" s="133"/>
      <c r="BZH525" s="133"/>
      <c r="BZI525" s="133"/>
      <c r="BZJ525" s="133"/>
      <c r="BZK525" s="133"/>
      <c r="BZL525" s="133"/>
      <c r="BZM525" s="133"/>
      <c r="BZN525" s="133"/>
      <c r="BZO525" s="133"/>
      <c r="BZP525" s="133"/>
      <c r="BZQ525" s="133"/>
      <c r="BZR525" s="133"/>
      <c r="BZS525" s="133"/>
      <c r="BZT525" s="133"/>
      <c r="BZU525" s="133"/>
      <c r="BZV525" s="133"/>
      <c r="BZW525" s="133"/>
      <c r="BZX525" s="133"/>
      <c r="BZY525" s="133"/>
      <c r="BZZ525" s="133"/>
      <c r="CAA525" s="133"/>
      <c r="CAB525" s="133"/>
      <c r="CAC525" s="133"/>
      <c r="CAD525" s="133"/>
      <c r="CAE525" s="133"/>
      <c r="CAF525" s="133"/>
      <c r="CAG525" s="133"/>
      <c r="CAH525" s="133"/>
      <c r="CAI525" s="133"/>
      <c r="CAJ525" s="133"/>
      <c r="CAK525" s="133"/>
      <c r="CAL525" s="133"/>
      <c r="CAM525" s="133"/>
      <c r="CAN525" s="133"/>
      <c r="CAO525" s="133"/>
      <c r="CAP525" s="133"/>
      <c r="CAQ525" s="133"/>
      <c r="CAR525" s="133"/>
      <c r="CAS525" s="133"/>
      <c r="CAT525" s="133"/>
      <c r="CAU525" s="133"/>
      <c r="CAV525" s="133"/>
      <c r="CAW525" s="133"/>
      <c r="CAX525" s="133"/>
      <c r="CAY525" s="133"/>
      <c r="CAZ525" s="133"/>
      <c r="CBA525" s="133"/>
      <c r="CBB525" s="133"/>
      <c r="CBC525" s="133"/>
      <c r="CBD525" s="133"/>
      <c r="CBE525" s="133"/>
      <c r="CBF525" s="133"/>
      <c r="CBG525" s="133"/>
      <c r="CBH525" s="133"/>
      <c r="CBI525" s="133"/>
      <c r="CBJ525" s="133"/>
      <c r="CBK525" s="133"/>
      <c r="CBL525" s="133"/>
      <c r="CBM525" s="133"/>
      <c r="CBN525" s="133"/>
      <c r="CBO525" s="133"/>
      <c r="CBP525" s="133"/>
      <c r="CBQ525" s="133"/>
      <c r="CBR525" s="133"/>
      <c r="CBS525" s="133"/>
      <c r="CBT525" s="133"/>
      <c r="CBU525" s="133"/>
      <c r="CBV525" s="133"/>
      <c r="CBW525" s="133"/>
      <c r="CBX525" s="133"/>
      <c r="CBY525" s="133"/>
      <c r="CBZ525" s="133"/>
      <c r="CCA525" s="133"/>
      <c r="CCB525" s="133"/>
      <c r="CCC525" s="133"/>
      <c r="CCD525" s="133"/>
      <c r="CCE525" s="133"/>
      <c r="CCF525" s="133"/>
      <c r="CCG525" s="133"/>
      <c r="CCH525" s="133"/>
      <c r="CCI525" s="133"/>
      <c r="CCJ525" s="133"/>
      <c r="CCK525" s="133"/>
      <c r="CCL525" s="133"/>
      <c r="CCM525" s="133"/>
      <c r="CCN525" s="133"/>
      <c r="CCO525" s="133"/>
      <c r="CCP525" s="133"/>
      <c r="CCQ525" s="133"/>
      <c r="CCR525" s="133"/>
      <c r="CCS525" s="133"/>
      <c r="CCT525" s="133"/>
      <c r="CCU525" s="133"/>
      <c r="CCV525" s="133"/>
      <c r="CCW525" s="133"/>
      <c r="CCX525" s="133"/>
      <c r="CCY525" s="133"/>
      <c r="CCZ525" s="133"/>
      <c r="CDA525" s="133"/>
      <c r="CDB525" s="133"/>
      <c r="CDC525" s="133"/>
      <c r="CDD525" s="133"/>
      <c r="CDE525" s="133"/>
      <c r="CDF525" s="133"/>
      <c r="CDG525" s="133"/>
      <c r="CDH525" s="133"/>
      <c r="CDI525" s="133"/>
      <c r="CDJ525" s="133"/>
      <c r="CDK525" s="133"/>
      <c r="CDL525" s="133"/>
      <c r="CDM525" s="133"/>
      <c r="CDN525" s="133"/>
      <c r="CDO525" s="133"/>
      <c r="CDP525" s="133"/>
      <c r="CDQ525" s="133"/>
      <c r="CDR525" s="133"/>
      <c r="CDS525" s="133"/>
      <c r="CDT525" s="133"/>
      <c r="CDU525" s="133"/>
      <c r="CDV525" s="133"/>
      <c r="CDW525" s="133"/>
      <c r="CDX525" s="133"/>
      <c r="CDY525" s="133"/>
      <c r="CDZ525" s="133"/>
      <c r="CEA525" s="133"/>
      <c r="CEB525" s="133"/>
      <c r="CEC525" s="133"/>
      <c r="CED525" s="133"/>
      <c r="CEE525" s="133"/>
      <c r="CEF525" s="133"/>
      <c r="CEG525" s="133"/>
      <c r="CEH525" s="133"/>
      <c r="CEI525" s="133"/>
      <c r="CEJ525" s="133"/>
      <c r="CEK525" s="133"/>
      <c r="CEL525" s="133"/>
      <c r="CEM525" s="133"/>
      <c r="CEN525" s="133"/>
      <c r="CEO525" s="133"/>
      <c r="CEP525" s="133"/>
      <c r="CEQ525" s="133"/>
      <c r="CER525" s="133"/>
      <c r="CES525" s="133"/>
      <c r="CET525" s="133"/>
      <c r="CEU525" s="133"/>
      <c r="CEV525" s="133"/>
      <c r="CEW525" s="133"/>
      <c r="CEX525" s="133"/>
      <c r="CEY525" s="133"/>
      <c r="CEZ525" s="133"/>
      <c r="CFA525" s="133"/>
      <c r="CFB525" s="133"/>
      <c r="CFC525" s="133"/>
      <c r="CFD525" s="133"/>
      <c r="CFE525" s="133"/>
      <c r="CFF525" s="133"/>
      <c r="CFG525" s="133"/>
      <c r="CFH525" s="133"/>
      <c r="CFI525" s="133"/>
      <c r="CFJ525" s="133"/>
      <c r="CFK525" s="133"/>
      <c r="CFL525" s="133"/>
      <c r="CFM525" s="133"/>
      <c r="CFN525" s="133"/>
      <c r="CFO525" s="133"/>
      <c r="CFP525" s="133"/>
      <c r="CFQ525" s="133"/>
      <c r="CFR525" s="133"/>
      <c r="CFS525" s="133"/>
      <c r="CFT525" s="133"/>
      <c r="CFU525" s="133"/>
      <c r="CFV525" s="133"/>
      <c r="CFW525" s="133"/>
      <c r="CFX525" s="133"/>
      <c r="CFY525" s="133"/>
      <c r="CFZ525" s="133"/>
      <c r="CGA525" s="133"/>
      <c r="CGB525" s="133"/>
      <c r="CGC525" s="133"/>
      <c r="CGD525" s="133"/>
      <c r="CGE525" s="133"/>
      <c r="CGF525" s="133"/>
      <c r="CGG525" s="133"/>
      <c r="CGH525" s="133"/>
      <c r="CGI525" s="133"/>
      <c r="CGJ525" s="133"/>
      <c r="CGK525" s="133"/>
      <c r="CGL525" s="133"/>
      <c r="CGM525" s="133"/>
      <c r="CGN525" s="133"/>
      <c r="CGO525" s="133"/>
      <c r="CGP525" s="133"/>
      <c r="CGQ525" s="133"/>
      <c r="CGR525" s="133"/>
      <c r="CGS525" s="133"/>
      <c r="CGT525" s="133"/>
      <c r="CGU525" s="133"/>
      <c r="CGV525" s="133"/>
      <c r="CGW525" s="133"/>
      <c r="CGX525" s="133"/>
      <c r="CGY525" s="133"/>
      <c r="CGZ525" s="133"/>
      <c r="CHA525" s="133"/>
      <c r="CHB525" s="133"/>
      <c r="CHC525" s="133"/>
      <c r="CHD525" s="133"/>
      <c r="CHE525" s="133"/>
      <c r="CHF525" s="133"/>
      <c r="CHG525" s="133"/>
      <c r="CHH525" s="133"/>
      <c r="CHI525" s="133"/>
      <c r="CHJ525" s="133"/>
      <c r="CHK525" s="133"/>
      <c r="CHL525" s="133"/>
      <c r="CHM525" s="133"/>
      <c r="CHN525" s="133"/>
      <c r="CHO525" s="133"/>
      <c r="CHP525" s="133"/>
      <c r="CHQ525" s="133"/>
      <c r="CHR525" s="133"/>
      <c r="CHS525" s="133"/>
      <c r="CHT525" s="133"/>
      <c r="CHU525" s="133"/>
      <c r="CHV525" s="133"/>
      <c r="CHW525" s="133"/>
      <c r="CHX525" s="133"/>
      <c r="CHY525" s="133"/>
      <c r="CHZ525" s="133"/>
      <c r="CIA525" s="133"/>
      <c r="CIB525" s="133"/>
      <c r="CIC525" s="133"/>
      <c r="CID525" s="133"/>
      <c r="CIE525" s="133"/>
      <c r="CIF525" s="133"/>
      <c r="CIG525" s="133"/>
      <c r="CIH525" s="133"/>
      <c r="CII525" s="133"/>
      <c r="CIJ525" s="133"/>
      <c r="CIK525" s="133"/>
      <c r="CIL525" s="133"/>
      <c r="CIM525" s="133"/>
      <c r="CIN525" s="133"/>
      <c r="CIO525" s="133"/>
      <c r="CIP525" s="133"/>
      <c r="CIQ525" s="133"/>
      <c r="CIR525" s="133"/>
      <c r="CIS525" s="133"/>
      <c r="CIT525" s="133"/>
      <c r="CIU525" s="133"/>
      <c r="CIV525" s="133"/>
      <c r="CIW525" s="133"/>
      <c r="CIX525" s="133"/>
      <c r="CIY525" s="133"/>
      <c r="CIZ525" s="133"/>
      <c r="CJA525" s="133"/>
      <c r="CJB525" s="133"/>
      <c r="CJC525" s="133"/>
      <c r="CJD525" s="133"/>
      <c r="CJE525" s="133"/>
      <c r="CJF525" s="133"/>
      <c r="CJG525" s="133"/>
      <c r="CJH525" s="133"/>
      <c r="CJI525" s="133"/>
      <c r="CJJ525" s="133"/>
      <c r="CJK525" s="133"/>
      <c r="CJL525" s="133"/>
      <c r="CJM525" s="133"/>
      <c r="CJN525" s="133"/>
      <c r="CJO525" s="133"/>
      <c r="CJP525" s="133"/>
      <c r="CJQ525" s="133"/>
      <c r="CJR525" s="133"/>
      <c r="CJS525" s="133"/>
      <c r="CJT525" s="133"/>
      <c r="CJU525" s="133"/>
      <c r="CJV525" s="133"/>
      <c r="CJW525" s="133"/>
      <c r="CJX525" s="133"/>
      <c r="CJY525" s="133"/>
      <c r="CJZ525" s="133"/>
      <c r="CKA525" s="133"/>
      <c r="CKB525" s="133"/>
      <c r="CKC525" s="133"/>
      <c r="CKD525" s="133"/>
      <c r="CKE525" s="133"/>
      <c r="CKF525" s="133"/>
      <c r="CKG525" s="133"/>
      <c r="CKH525" s="133"/>
      <c r="CKI525" s="133"/>
      <c r="CKJ525" s="133"/>
      <c r="CKK525" s="133"/>
      <c r="CKL525" s="133"/>
      <c r="CKM525" s="133"/>
      <c r="CKN525" s="133"/>
      <c r="CKO525" s="133"/>
      <c r="CKP525" s="133"/>
      <c r="CKQ525" s="133"/>
      <c r="CKR525" s="133"/>
      <c r="CKS525" s="133"/>
      <c r="CKT525" s="133"/>
      <c r="CKU525" s="133"/>
      <c r="CKV525" s="133"/>
      <c r="CKW525" s="133"/>
      <c r="CKX525" s="133"/>
      <c r="CKY525" s="133"/>
      <c r="CKZ525" s="133"/>
      <c r="CLA525" s="133"/>
      <c r="CLB525" s="133"/>
      <c r="CLC525" s="133"/>
      <c r="CLD525" s="133"/>
      <c r="CLE525" s="133"/>
      <c r="CLF525" s="133"/>
      <c r="CLG525" s="133"/>
      <c r="CLH525" s="133"/>
      <c r="CLI525" s="133"/>
      <c r="CLJ525" s="133"/>
      <c r="CLK525" s="133"/>
      <c r="CLL525" s="133"/>
      <c r="CLM525" s="133"/>
      <c r="CLN525" s="133"/>
      <c r="CLO525" s="133"/>
      <c r="CLP525" s="133"/>
      <c r="CLQ525" s="133"/>
      <c r="CLR525" s="133"/>
      <c r="CLS525" s="133"/>
      <c r="CLT525" s="133"/>
      <c r="CLU525" s="133"/>
      <c r="CLV525" s="133"/>
      <c r="CLW525" s="133"/>
      <c r="CLX525" s="133"/>
      <c r="CLY525" s="133"/>
      <c r="CLZ525" s="133"/>
      <c r="CMA525" s="133"/>
      <c r="CMB525" s="133"/>
      <c r="CMC525" s="133"/>
      <c r="CMD525" s="133"/>
      <c r="CME525" s="133"/>
      <c r="CMF525" s="133"/>
      <c r="CMG525" s="133"/>
      <c r="CMH525" s="133"/>
      <c r="CMI525" s="133"/>
      <c r="CMJ525" s="133"/>
      <c r="CMK525" s="133"/>
      <c r="CML525" s="133"/>
      <c r="CMM525" s="133"/>
      <c r="CMN525" s="133"/>
      <c r="CMO525" s="133"/>
      <c r="CMP525" s="133"/>
      <c r="CMQ525" s="133"/>
      <c r="CMR525" s="133"/>
      <c r="CMS525" s="133"/>
      <c r="CMT525" s="133"/>
      <c r="CMU525" s="133"/>
      <c r="CMV525" s="133"/>
      <c r="CMW525" s="133"/>
      <c r="CMX525" s="133"/>
      <c r="CMY525" s="133"/>
      <c r="CMZ525" s="133"/>
      <c r="CNA525" s="133"/>
      <c r="CNB525" s="133"/>
      <c r="CNC525" s="133"/>
      <c r="CND525" s="133"/>
      <c r="CNE525" s="133"/>
      <c r="CNF525" s="133"/>
      <c r="CNG525" s="133"/>
      <c r="CNH525" s="133"/>
      <c r="CNI525" s="133"/>
      <c r="CNJ525" s="133"/>
      <c r="CNK525" s="133"/>
      <c r="CNL525" s="133"/>
      <c r="CNM525" s="133"/>
      <c r="CNN525" s="133"/>
      <c r="CNO525" s="133"/>
      <c r="CNP525" s="133"/>
      <c r="CNQ525" s="133"/>
      <c r="CNR525" s="133"/>
      <c r="CNS525" s="133"/>
      <c r="CNT525" s="133"/>
      <c r="CNU525" s="133"/>
      <c r="CNV525" s="133"/>
      <c r="CNW525" s="133"/>
      <c r="CNX525" s="133"/>
      <c r="CNY525" s="133"/>
      <c r="CNZ525" s="133"/>
      <c r="COA525" s="133"/>
      <c r="COB525" s="133"/>
      <c r="COC525" s="133"/>
      <c r="COD525" s="133"/>
      <c r="COE525" s="133"/>
      <c r="COF525" s="133"/>
      <c r="COG525" s="133"/>
      <c r="COH525" s="133"/>
      <c r="COI525" s="133"/>
      <c r="COJ525" s="133"/>
      <c r="COK525" s="133"/>
      <c r="COL525" s="133"/>
      <c r="COM525" s="133"/>
      <c r="CON525" s="133"/>
      <c r="COO525" s="133"/>
      <c r="COP525" s="133"/>
      <c r="COQ525" s="133"/>
      <c r="COR525" s="133"/>
      <c r="COS525" s="133"/>
      <c r="COT525" s="133"/>
      <c r="COU525" s="133"/>
      <c r="COV525" s="133"/>
      <c r="COW525" s="133"/>
      <c r="COX525" s="133"/>
      <c r="COY525" s="133"/>
      <c r="COZ525" s="133"/>
      <c r="CPA525" s="133"/>
      <c r="CPB525" s="133"/>
      <c r="CPC525" s="133"/>
      <c r="CPD525" s="133"/>
      <c r="CPE525" s="133"/>
      <c r="CPF525" s="133"/>
      <c r="CPG525" s="133"/>
      <c r="CPH525" s="133"/>
      <c r="CPI525" s="133"/>
      <c r="CPJ525" s="133"/>
      <c r="CPK525" s="133"/>
      <c r="CPL525" s="133"/>
      <c r="CPM525" s="133"/>
      <c r="CPN525" s="133"/>
      <c r="CPO525" s="133"/>
      <c r="CPP525" s="133"/>
      <c r="CPQ525" s="133"/>
      <c r="CPR525" s="133"/>
      <c r="CPS525" s="133"/>
      <c r="CPT525" s="133"/>
      <c r="CPU525" s="133"/>
      <c r="CPV525" s="133"/>
      <c r="CPW525" s="133"/>
      <c r="CPX525" s="133"/>
      <c r="CPY525" s="133"/>
      <c r="CPZ525" s="133"/>
      <c r="CQA525" s="133"/>
      <c r="CQB525" s="133"/>
      <c r="CQC525" s="133"/>
      <c r="CQD525" s="133"/>
      <c r="CQE525" s="133"/>
      <c r="CQF525" s="133"/>
      <c r="CQG525" s="133"/>
      <c r="CQH525" s="133"/>
      <c r="CQI525" s="133"/>
      <c r="CQJ525" s="133"/>
      <c r="CQK525" s="133"/>
      <c r="CQL525" s="133"/>
      <c r="CQM525" s="133"/>
      <c r="CQN525" s="133"/>
      <c r="CQO525" s="133"/>
      <c r="CQP525" s="133"/>
      <c r="CQQ525" s="133"/>
      <c r="CQR525" s="133"/>
      <c r="CQS525" s="133"/>
      <c r="CQT525" s="133"/>
      <c r="CQU525" s="133"/>
      <c r="CQV525" s="133"/>
      <c r="CQW525" s="133"/>
      <c r="CQX525" s="133"/>
      <c r="CQY525" s="133"/>
      <c r="CQZ525" s="133"/>
      <c r="CRA525" s="133"/>
      <c r="CRB525" s="133"/>
      <c r="CRC525" s="133"/>
      <c r="CRD525" s="133"/>
      <c r="CRE525" s="133"/>
      <c r="CRF525" s="133"/>
      <c r="CRG525" s="133"/>
      <c r="CRH525" s="133"/>
      <c r="CRI525" s="133"/>
      <c r="CRJ525" s="133"/>
      <c r="CRK525" s="133"/>
      <c r="CRL525" s="133"/>
      <c r="CRM525" s="133"/>
      <c r="CRN525" s="133"/>
      <c r="CRO525" s="133"/>
      <c r="CRP525" s="133"/>
      <c r="CRQ525" s="133"/>
      <c r="CRR525" s="133"/>
      <c r="CRS525" s="133"/>
      <c r="CRT525" s="133"/>
      <c r="CRU525" s="133"/>
      <c r="CRV525" s="133"/>
      <c r="CRW525" s="133"/>
      <c r="CRX525" s="133"/>
      <c r="CRY525" s="133"/>
      <c r="CRZ525" s="133"/>
      <c r="CSA525" s="133"/>
      <c r="CSB525" s="133"/>
      <c r="CSC525" s="133"/>
      <c r="CSD525" s="133"/>
      <c r="CSE525" s="133"/>
      <c r="CSF525" s="133"/>
      <c r="CSG525" s="133"/>
      <c r="CSH525" s="133"/>
      <c r="CSI525" s="133"/>
      <c r="CSJ525" s="133"/>
      <c r="CSK525" s="133"/>
      <c r="CSL525" s="133"/>
      <c r="CSM525" s="133"/>
      <c r="CSN525" s="133"/>
      <c r="CSO525" s="133"/>
      <c r="CSP525" s="133"/>
      <c r="CSQ525" s="133"/>
      <c r="CSR525" s="133"/>
      <c r="CSS525" s="133"/>
      <c r="CST525" s="133"/>
      <c r="CSU525" s="133"/>
      <c r="CSV525" s="133"/>
      <c r="CSW525" s="133"/>
      <c r="CSX525" s="133"/>
      <c r="CSY525" s="133"/>
      <c r="CSZ525" s="133"/>
      <c r="CTA525" s="133"/>
      <c r="CTB525" s="133"/>
      <c r="CTC525" s="133"/>
      <c r="CTD525" s="133"/>
      <c r="CTE525" s="133"/>
      <c r="CTF525" s="133"/>
      <c r="CTG525" s="133"/>
      <c r="CTH525" s="133"/>
      <c r="CTI525" s="133"/>
      <c r="CTJ525" s="133"/>
      <c r="CTK525" s="133"/>
      <c r="CTL525" s="133"/>
      <c r="CTM525" s="133"/>
      <c r="CTN525" s="133"/>
      <c r="CTO525" s="133"/>
      <c r="CTP525" s="133"/>
      <c r="CTQ525" s="133"/>
      <c r="CTR525" s="133"/>
      <c r="CTS525" s="133"/>
      <c r="CTT525" s="133"/>
      <c r="CTU525" s="133"/>
      <c r="CTV525" s="133"/>
      <c r="CTW525" s="133"/>
      <c r="CTX525" s="133"/>
      <c r="CTY525" s="133"/>
      <c r="CTZ525" s="133"/>
      <c r="CUA525" s="133"/>
      <c r="CUB525" s="133"/>
      <c r="CUC525" s="133"/>
      <c r="CUD525" s="133"/>
      <c r="CUE525" s="133"/>
      <c r="CUF525" s="133"/>
      <c r="CUG525" s="133"/>
      <c r="CUH525" s="133"/>
      <c r="CUI525" s="133"/>
      <c r="CUJ525" s="133"/>
      <c r="CUK525" s="133"/>
      <c r="CUL525" s="133"/>
      <c r="CUM525" s="133"/>
      <c r="CUN525" s="133"/>
      <c r="CUO525" s="133"/>
      <c r="CUP525" s="133"/>
      <c r="CUQ525" s="133"/>
      <c r="CUR525" s="133"/>
      <c r="CUS525" s="133"/>
      <c r="CUT525" s="133"/>
      <c r="CUU525" s="133"/>
      <c r="CUV525" s="133"/>
      <c r="CUW525" s="133"/>
      <c r="CUX525" s="133"/>
      <c r="CUY525" s="133"/>
      <c r="CUZ525" s="133"/>
      <c r="CVA525" s="133"/>
      <c r="CVB525" s="133"/>
      <c r="CVC525" s="133"/>
      <c r="CVD525" s="133"/>
      <c r="CVE525" s="133"/>
      <c r="CVF525" s="133"/>
      <c r="CVG525" s="133"/>
      <c r="CVH525" s="133"/>
      <c r="CVI525" s="133"/>
      <c r="CVJ525" s="133"/>
      <c r="CVK525" s="133"/>
      <c r="CVL525" s="133"/>
      <c r="CVM525" s="133"/>
      <c r="CVN525" s="133"/>
      <c r="CVO525" s="133"/>
      <c r="CVP525" s="133"/>
      <c r="CVQ525" s="133"/>
      <c r="CVR525" s="133"/>
      <c r="CVS525" s="133"/>
      <c r="CVT525" s="133"/>
      <c r="CVU525" s="133"/>
      <c r="CVV525" s="133"/>
      <c r="CVW525" s="133"/>
      <c r="CVX525" s="133"/>
      <c r="CVY525" s="133"/>
      <c r="CVZ525" s="133"/>
      <c r="CWA525" s="133"/>
      <c r="CWB525" s="133"/>
      <c r="CWC525" s="133"/>
      <c r="CWD525" s="133"/>
      <c r="CWE525" s="133"/>
      <c r="CWF525" s="133"/>
      <c r="CWG525" s="133"/>
      <c r="CWH525" s="133"/>
      <c r="CWI525" s="133"/>
      <c r="CWJ525" s="133"/>
      <c r="CWK525" s="133"/>
      <c r="CWL525" s="133"/>
      <c r="CWM525" s="133"/>
      <c r="CWN525" s="133"/>
      <c r="CWO525" s="133"/>
      <c r="CWP525" s="133"/>
      <c r="CWQ525" s="133"/>
      <c r="CWR525" s="133"/>
      <c r="CWS525" s="133"/>
      <c r="CWT525" s="133"/>
      <c r="CWU525" s="133"/>
      <c r="CWV525" s="133"/>
      <c r="CWW525" s="133"/>
      <c r="CWX525" s="133"/>
      <c r="CWY525" s="133"/>
      <c r="CWZ525" s="133"/>
      <c r="CXA525" s="133"/>
      <c r="CXB525" s="133"/>
      <c r="CXC525" s="133"/>
      <c r="CXD525" s="133"/>
      <c r="CXE525" s="133"/>
      <c r="CXF525" s="133"/>
      <c r="CXG525" s="133"/>
      <c r="CXH525" s="133"/>
      <c r="CXI525" s="133"/>
      <c r="CXJ525" s="133"/>
      <c r="CXK525" s="133"/>
      <c r="CXL525" s="133"/>
      <c r="CXM525" s="133"/>
      <c r="CXN525" s="133"/>
      <c r="CXO525" s="133"/>
      <c r="CXP525" s="133"/>
      <c r="CXQ525" s="133"/>
      <c r="CXR525" s="133"/>
      <c r="CXS525" s="133"/>
      <c r="CXT525" s="133"/>
      <c r="CXU525" s="133"/>
      <c r="CXV525" s="133"/>
      <c r="CXW525" s="133"/>
      <c r="CXX525" s="133"/>
      <c r="CXY525" s="133"/>
      <c r="CXZ525" s="133"/>
      <c r="CYA525" s="133"/>
      <c r="CYB525" s="133"/>
      <c r="CYC525" s="133"/>
      <c r="CYD525" s="133"/>
      <c r="CYE525" s="133"/>
      <c r="CYF525" s="133"/>
      <c r="CYG525" s="133"/>
      <c r="CYH525" s="133"/>
      <c r="CYI525" s="133"/>
      <c r="CYJ525" s="133"/>
      <c r="CYK525" s="133"/>
      <c r="CYL525" s="133"/>
      <c r="CYM525" s="133"/>
      <c r="CYN525" s="133"/>
      <c r="CYO525" s="133"/>
      <c r="CYP525" s="133"/>
      <c r="CYQ525" s="133"/>
      <c r="CYR525" s="133"/>
      <c r="CYS525" s="133"/>
      <c r="CYT525" s="133"/>
      <c r="CYU525" s="133"/>
      <c r="CYV525" s="133"/>
      <c r="CYW525" s="133"/>
      <c r="CYX525" s="133"/>
      <c r="CYY525" s="133"/>
      <c r="CYZ525" s="133"/>
      <c r="CZA525" s="133"/>
      <c r="CZB525" s="133"/>
      <c r="CZC525" s="133"/>
      <c r="CZD525" s="133"/>
      <c r="CZE525" s="133"/>
      <c r="CZF525" s="133"/>
      <c r="CZG525" s="133"/>
      <c r="CZH525" s="133"/>
      <c r="CZI525" s="133"/>
      <c r="CZJ525" s="133"/>
      <c r="CZK525" s="133"/>
      <c r="CZL525" s="133"/>
      <c r="CZM525" s="133"/>
      <c r="CZN525" s="133"/>
      <c r="CZO525" s="133"/>
      <c r="CZP525" s="133"/>
      <c r="CZQ525" s="133"/>
      <c r="CZR525" s="133"/>
      <c r="CZS525" s="133"/>
      <c r="CZT525" s="133"/>
      <c r="CZU525" s="133"/>
      <c r="CZV525" s="133"/>
      <c r="CZW525" s="133"/>
      <c r="CZX525" s="133"/>
      <c r="CZY525" s="133"/>
      <c r="CZZ525" s="133"/>
      <c r="DAA525" s="133"/>
      <c r="DAB525" s="133"/>
      <c r="DAC525" s="133"/>
      <c r="DAD525" s="133"/>
      <c r="DAE525" s="133"/>
      <c r="DAF525" s="133"/>
      <c r="DAG525" s="133"/>
      <c r="DAH525" s="133"/>
      <c r="DAI525" s="133"/>
      <c r="DAJ525" s="133"/>
      <c r="DAK525" s="133"/>
      <c r="DAL525" s="133"/>
      <c r="DAM525" s="133"/>
      <c r="DAN525" s="133"/>
      <c r="DAO525" s="133"/>
      <c r="DAP525" s="133"/>
      <c r="DAQ525" s="133"/>
      <c r="DAR525" s="133"/>
      <c r="DAS525" s="133"/>
      <c r="DAT525" s="133"/>
      <c r="DAU525" s="133"/>
      <c r="DAV525" s="133"/>
      <c r="DAW525" s="133"/>
      <c r="DAX525" s="133"/>
      <c r="DAY525" s="133"/>
      <c r="DAZ525" s="133"/>
      <c r="DBA525" s="133"/>
      <c r="DBB525" s="133"/>
      <c r="DBC525" s="133"/>
      <c r="DBD525" s="133"/>
      <c r="DBE525" s="133"/>
      <c r="DBF525" s="133"/>
      <c r="DBG525" s="133"/>
      <c r="DBH525" s="133"/>
      <c r="DBI525" s="133"/>
      <c r="DBJ525" s="133"/>
      <c r="DBK525" s="133"/>
      <c r="DBL525" s="133"/>
      <c r="DBM525" s="133"/>
      <c r="DBN525" s="133"/>
      <c r="DBO525" s="133"/>
      <c r="DBP525" s="133"/>
      <c r="DBQ525" s="133"/>
      <c r="DBR525" s="133"/>
      <c r="DBS525" s="133"/>
      <c r="DBT525" s="133"/>
      <c r="DBU525" s="133"/>
      <c r="DBV525" s="133"/>
      <c r="DBW525" s="133"/>
      <c r="DBX525" s="133"/>
      <c r="DBY525" s="133"/>
      <c r="DBZ525" s="133"/>
      <c r="DCA525" s="133"/>
      <c r="DCB525" s="133"/>
      <c r="DCC525" s="133"/>
      <c r="DCD525" s="133"/>
      <c r="DCE525" s="133"/>
      <c r="DCF525" s="133"/>
      <c r="DCG525" s="133"/>
      <c r="DCH525" s="133"/>
      <c r="DCI525" s="133"/>
      <c r="DCJ525" s="133"/>
      <c r="DCK525" s="133"/>
      <c r="DCL525" s="133"/>
      <c r="DCM525" s="133"/>
      <c r="DCN525" s="133"/>
      <c r="DCO525" s="133"/>
      <c r="DCP525" s="133"/>
      <c r="DCQ525" s="133"/>
      <c r="DCR525" s="133"/>
      <c r="DCS525" s="133"/>
      <c r="DCT525" s="133"/>
      <c r="DCU525" s="133"/>
      <c r="DCV525" s="133"/>
      <c r="DCW525" s="133"/>
      <c r="DCX525" s="133"/>
      <c r="DCY525" s="133"/>
      <c r="DCZ525" s="133"/>
      <c r="DDA525" s="133"/>
      <c r="DDB525" s="133"/>
      <c r="DDC525" s="133"/>
      <c r="DDD525" s="133"/>
      <c r="DDE525" s="133"/>
      <c r="DDF525" s="133"/>
      <c r="DDG525" s="133"/>
      <c r="DDH525" s="133"/>
      <c r="DDI525" s="133"/>
      <c r="DDJ525" s="133"/>
      <c r="DDK525" s="133"/>
      <c r="DDL525" s="133"/>
      <c r="DDM525" s="133"/>
      <c r="DDN525" s="133"/>
      <c r="DDO525" s="133"/>
      <c r="DDP525" s="133"/>
      <c r="DDQ525" s="133"/>
      <c r="DDR525" s="133"/>
      <c r="DDS525" s="133"/>
      <c r="DDT525" s="133"/>
      <c r="DDU525" s="133"/>
      <c r="DDV525" s="133"/>
      <c r="DDW525" s="133"/>
      <c r="DDX525" s="133"/>
      <c r="DDY525" s="133"/>
      <c r="DDZ525" s="133"/>
      <c r="DEA525" s="133"/>
      <c r="DEB525" s="133"/>
      <c r="DEC525" s="133"/>
      <c r="DED525" s="133"/>
      <c r="DEE525" s="133"/>
      <c r="DEF525" s="133"/>
      <c r="DEG525" s="133"/>
      <c r="DEH525" s="133"/>
      <c r="DEI525" s="133"/>
      <c r="DEJ525" s="133"/>
      <c r="DEK525" s="133"/>
      <c r="DEL525" s="133"/>
      <c r="DEM525" s="133"/>
      <c r="DEN525" s="133"/>
      <c r="DEO525" s="133"/>
      <c r="DEP525" s="133"/>
      <c r="DEQ525" s="133"/>
      <c r="DER525" s="133"/>
      <c r="DES525" s="133"/>
      <c r="DET525" s="133"/>
      <c r="DEU525" s="133"/>
      <c r="DEV525" s="133"/>
      <c r="DEW525" s="133"/>
      <c r="DEX525" s="133"/>
      <c r="DEY525" s="133"/>
      <c r="DEZ525" s="133"/>
      <c r="DFA525" s="133"/>
      <c r="DFB525" s="133"/>
      <c r="DFC525" s="133"/>
      <c r="DFD525" s="133"/>
      <c r="DFE525" s="133"/>
      <c r="DFF525" s="133"/>
      <c r="DFG525" s="133"/>
      <c r="DFH525" s="133"/>
      <c r="DFI525" s="133"/>
      <c r="DFJ525" s="133"/>
      <c r="DFK525" s="133"/>
      <c r="DFL525" s="133"/>
      <c r="DFM525" s="133"/>
      <c r="DFN525" s="133"/>
      <c r="DFO525" s="133"/>
      <c r="DFP525" s="133"/>
      <c r="DFQ525" s="133"/>
      <c r="DFR525" s="133"/>
      <c r="DFS525" s="133"/>
      <c r="DFT525" s="133"/>
      <c r="DFU525" s="133"/>
      <c r="DFV525" s="133"/>
      <c r="DFW525" s="133"/>
      <c r="DFX525" s="133"/>
      <c r="DFY525" s="133"/>
      <c r="DFZ525" s="133"/>
      <c r="DGA525" s="133"/>
      <c r="DGB525" s="133"/>
      <c r="DGC525" s="133"/>
      <c r="DGD525" s="133"/>
      <c r="DGE525" s="133"/>
      <c r="DGF525" s="133"/>
      <c r="DGG525" s="133"/>
      <c r="DGH525" s="133"/>
      <c r="DGI525" s="133"/>
      <c r="DGJ525" s="133"/>
      <c r="DGK525" s="133"/>
      <c r="DGL525" s="133"/>
      <c r="DGM525" s="133"/>
      <c r="DGN525" s="133"/>
      <c r="DGO525" s="133"/>
      <c r="DGP525" s="133"/>
      <c r="DGQ525" s="133"/>
      <c r="DGR525" s="133"/>
      <c r="DGS525" s="133"/>
      <c r="DGT525" s="133"/>
      <c r="DGU525" s="133"/>
      <c r="DGV525" s="133"/>
      <c r="DGW525" s="133"/>
      <c r="DGX525" s="133"/>
      <c r="DGY525" s="133"/>
      <c r="DGZ525" s="133"/>
      <c r="DHA525" s="133"/>
      <c r="DHB525" s="133"/>
      <c r="DHC525" s="133"/>
      <c r="DHD525" s="133"/>
      <c r="DHE525" s="133"/>
      <c r="DHF525" s="133"/>
      <c r="DHG525" s="133"/>
      <c r="DHH525" s="133"/>
      <c r="DHI525" s="133"/>
      <c r="DHJ525" s="133"/>
      <c r="DHK525" s="133"/>
      <c r="DHL525" s="133"/>
      <c r="DHM525" s="133"/>
      <c r="DHN525" s="133"/>
      <c r="DHO525" s="133"/>
      <c r="DHP525" s="133"/>
      <c r="DHQ525" s="133"/>
      <c r="DHR525" s="133"/>
      <c r="DHS525" s="133"/>
      <c r="DHT525" s="133"/>
      <c r="DHU525" s="133"/>
      <c r="DHV525" s="133"/>
      <c r="DHW525" s="133"/>
      <c r="DHX525" s="133"/>
      <c r="DHY525" s="133"/>
      <c r="DHZ525" s="133"/>
      <c r="DIA525" s="133"/>
      <c r="DIB525" s="133"/>
      <c r="DIC525" s="133"/>
      <c r="DID525" s="133"/>
      <c r="DIE525" s="133"/>
      <c r="DIF525" s="133"/>
      <c r="DIG525" s="133"/>
      <c r="DIH525" s="133"/>
      <c r="DII525" s="133"/>
      <c r="DIJ525" s="133"/>
      <c r="DIK525" s="133"/>
      <c r="DIL525" s="133"/>
      <c r="DIM525" s="133"/>
      <c r="DIN525" s="133"/>
      <c r="DIO525" s="133"/>
      <c r="DIP525" s="133"/>
      <c r="DIQ525" s="133"/>
      <c r="DIR525" s="133"/>
      <c r="DIS525" s="133"/>
      <c r="DIT525" s="133"/>
      <c r="DIU525" s="133"/>
      <c r="DIV525" s="133"/>
      <c r="DIW525" s="133"/>
      <c r="DIX525" s="133"/>
      <c r="DIY525" s="133"/>
      <c r="DIZ525" s="133"/>
      <c r="DJA525" s="133"/>
      <c r="DJB525" s="133"/>
      <c r="DJC525" s="133"/>
      <c r="DJD525" s="133"/>
      <c r="DJE525" s="133"/>
      <c r="DJF525" s="133"/>
      <c r="DJG525" s="133"/>
      <c r="DJH525" s="133"/>
      <c r="DJI525" s="133"/>
      <c r="DJJ525" s="133"/>
      <c r="DJK525" s="133"/>
      <c r="DJL525" s="133"/>
      <c r="DJM525" s="133"/>
      <c r="DJN525" s="133"/>
      <c r="DJO525" s="133"/>
      <c r="DJP525" s="133"/>
      <c r="DJQ525" s="133"/>
      <c r="DJR525" s="133"/>
      <c r="DJS525" s="133"/>
      <c r="DJT525" s="133"/>
      <c r="DJU525" s="133"/>
      <c r="DJV525" s="133"/>
      <c r="DJW525" s="133"/>
      <c r="DJX525" s="133"/>
      <c r="DJY525" s="133"/>
      <c r="DJZ525" s="133"/>
      <c r="DKA525" s="133"/>
      <c r="DKB525" s="133"/>
      <c r="DKC525" s="133"/>
      <c r="DKD525" s="133"/>
      <c r="DKE525" s="133"/>
      <c r="DKF525" s="133"/>
      <c r="DKG525" s="133"/>
      <c r="DKH525" s="133"/>
      <c r="DKI525" s="133"/>
      <c r="DKJ525" s="133"/>
      <c r="DKK525" s="133"/>
      <c r="DKL525" s="133"/>
      <c r="DKM525" s="133"/>
      <c r="DKN525" s="133"/>
      <c r="DKO525" s="133"/>
      <c r="DKP525" s="133"/>
      <c r="DKQ525" s="133"/>
      <c r="DKR525" s="133"/>
      <c r="DKS525" s="133"/>
      <c r="DKT525" s="133"/>
      <c r="DKU525" s="133"/>
      <c r="DKV525" s="133"/>
      <c r="DKW525" s="133"/>
      <c r="DKX525" s="133"/>
      <c r="DKY525" s="133"/>
      <c r="DKZ525" s="133"/>
      <c r="DLA525" s="133"/>
      <c r="DLB525" s="133"/>
      <c r="DLC525" s="133"/>
      <c r="DLD525" s="133"/>
      <c r="DLE525" s="133"/>
      <c r="DLF525" s="133"/>
      <c r="DLG525" s="133"/>
      <c r="DLH525" s="133"/>
      <c r="DLI525" s="133"/>
      <c r="DLJ525" s="133"/>
      <c r="DLK525" s="133"/>
      <c r="DLL525" s="133"/>
      <c r="DLM525" s="133"/>
      <c r="DLN525" s="133"/>
      <c r="DLO525" s="133"/>
      <c r="DLP525" s="133"/>
      <c r="DLQ525" s="133"/>
      <c r="DLR525" s="133"/>
      <c r="DLS525" s="133"/>
      <c r="DLT525" s="133"/>
      <c r="DLU525" s="133"/>
      <c r="DLV525" s="133"/>
      <c r="DLW525" s="133"/>
      <c r="DLX525" s="133"/>
      <c r="DLY525" s="133"/>
      <c r="DLZ525" s="133"/>
      <c r="DMA525" s="133"/>
      <c r="DMB525" s="133"/>
      <c r="DMC525" s="133"/>
      <c r="DMD525" s="133"/>
      <c r="DME525" s="133"/>
      <c r="DMF525" s="133"/>
      <c r="DMG525" s="133"/>
      <c r="DMH525" s="133"/>
      <c r="DMI525" s="133"/>
      <c r="DMJ525" s="133"/>
      <c r="DMK525" s="133"/>
      <c r="DML525" s="133"/>
      <c r="DMM525" s="133"/>
      <c r="DMN525" s="133"/>
      <c r="DMO525" s="133"/>
      <c r="DMP525" s="133"/>
      <c r="DMQ525" s="133"/>
      <c r="DMR525" s="133"/>
      <c r="DMS525" s="133"/>
      <c r="DMT525" s="133"/>
      <c r="DMU525" s="133"/>
      <c r="DMV525" s="133"/>
      <c r="DMW525" s="133"/>
      <c r="DMX525" s="133"/>
      <c r="DMY525" s="133"/>
      <c r="DMZ525" s="133"/>
      <c r="DNA525" s="133"/>
      <c r="DNB525" s="133"/>
      <c r="DNC525" s="133"/>
      <c r="DND525" s="133"/>
      <c r="DNE525" s="133"/>
      <c r="DNF525" s="133"/>
      <c r="DNG525" s="133"/>
      <c r="DNH525" s="133"/>
      <c r="DNI525" s="133"/>
      <c r="DNJ525" s="133"/>
      <c r="DNK525" s="133"/>
      <c r="DNL525" s="133"/>
      <c r="DNM525" s="133"/>
      <c r="DNN525" s="133"/>
      <c r="DNO525" s="133"/>
      <c r="DNP525" s="133"/>
      <c r="DNQ525" s="133"/>
      <c r="DNR525" s="133"/>
      <c r="DNS525" s="133"/>
      <c r="DNT525" s="133"/>
      <c r="DNU525" s="133"/>
      <c r="DNV525" s="133"/>
      <c r="DNW525" s="133"/>
      <c r="DNX525" s="133"/>
      <c r="DNY525" s="133"/>
      <c r="DNZ525" s="133"/>
      <c r="DOA525" s="133"/>
      <c r="DOB525" s="133"/>
      <c r="DOC525" s="133"/>
      <c r="DOD525" s="133"/>
      <c r="DOE525" s="133"/>
      <c r="DOF525" s="133"/>
      <c r="DOG525" s="133"/>
      <c r="DOH525" s="133"/>
      <c r="DOI525" s="133"/>
      <c r="DOJ525" s="133"/>
      <c r="DOK525" s="133"/>
      <c r="DOL525" s="133"/>
      <c r="DOM525" s="133"/>
      <c r="DON525" s="133"/>
      <c r="DOO525" s="133"/>
      <c r="DOP525" s="133"/>
      <c r="DOQ525" s="133"/>
      <c r="DOR525" s="133"/>
      <c r="DOS525" s="133"/>
      <c r="DOT525" s="133"/>
      <c r="DOU525" s="133"/>
      <c r="DOV525" s="133"/>
      <c r="DOW525" s="133"/>
      <c r="DOX525" s="133"/>
      <c r="DOY525" s="133"/>
      <c r="DOZ525" s="133"/>
      <c r="DPA525" s="133"/>
      <c r="DPB525" s="133"/>
      <c r="DPC525" s="133"/>
      <c r="DPD525" s="133"/>
      <c r="DPE525" s="133"/>
      <c r="DPF525" s="133"/>
      <c r="DPG525" s="133"/>
      <c r="DPH525" s="133"/>
      <c r="DPI525" s="133"/>
      <c r="DPJ525" s="133"/>
      <c r="DPK525" s="133"/>
      <c r="DPL525" s="133"/>
      <c r="DPM525" s="133"/>
      <c r="DPN525" s="133"/>
      <c r="DPO525" s="133"/>
      <c r="DPP525" s="133"/>
      <c r="DPQ525" s="133"/>
      <c r="DPR525" s="133"/>
      <c r="DPS525" s="133"/>
      <c r="DPT525" s="133"/>
      <c r="DPU525" s="133"/>
      <c r="DPV525" s="133"/>
      <c r="DPW525" s="133"/>
      <c r="DPX525" s="133"/>
      <c r="DPY525" s="133"/>
      <c r="DPZ525" s="133"/>
      <c r="DQA525" s="133"/>
      <c r="DQB525" s="133"/>
      <c r="DQC525" s="133"/>
      <c r="DQD525" s="133"/>
      <c r="DQE525" s="133"/>
      <c r="DQF525" s="133"/>
      <c r="DQG525" s="133"/>
      <c r="DQH525" s="133"/>
      <c r="DQI525" s="133"/>
      <c r="DQJ525" s="133"/>
      <c r="DQK525" s="133"/>
      <c r="DQL525" s="133"/>
      <c r="DQM525" s="133"/>
      <c r="DQN525" s="133"/>
      <c r="DQO525" s="133"/>
      <c r="DQP525" s="133"/>
      <c r="DQQ525" s="133"/>
      <c r="DQR525" s="133"/>
      <c r="DQS525" s="133"/>
      <c r="DQT525" s="133"/>
      <c r="DQU525" s="133"/>
      <c r="DQV525" s="133"/>
      <c r="DQW525" s="133"/>
      <c r="DQX525" s="133"/>
      <c r="DQY525" s="133"/>
      <c r="DQZ525" s="133"/>
      <c r="DRA525" s="133"/>
      <c r="DRB525" s="133"/>
      <c r="DRC525" s="133"/>
      <c r="DRD525" s="133"/>
      <c r="DRE525" s="133"/>
      <c r="DRF525" s="133"/>
      <c r="DRG525" s="133"/>
      <c r="DRH525" s="133"/>
      <c r="DRI525" s="133"/>
      <c r="DRJ525" s="133"/>
      <c r="DRK525" s="133"/>
      <c r="DRL525" s="133"/>
      <c r="DRM525" s="133"/>
      <c r="DRN525" s="133"/>
      <c r="DRO525" s="133"/>
      <c r="DRP525" s="133"/>
      <c r="DRQ525" s="133"/>
      <c r="DRR525" s="133"/>
      <c r="DRS525" s="133"/>
      <c r="DRT525" s="133"/>
      <c r="DRU525" s="133"/>
      <c r="DRV525" s="133"/>
      <c r="DRW525" s="133"/>
      <c r="DRX525" s="133"/>
      <c r="DRY525" s="133"/>
      <c r="DRZ525" s="133"/>
      <c r="DSA525" s="133"/>
      <c r="DSB525" s="133"/>
      <c r="DSC525" s="133"/>
      <c r="DSD525" s="133"/>
      <c r="DSE525" s="133"/>
      <c r="DSF525" s="133"/>
      <c r="DSG525" s="133"/>
      <c r="DSH525" s="133"/>
      <c r="DSI525" s="133"/>
      <c r="DSJ525" s="133"/>
      <c r="DSK525" s="133"/>
      <c r="DSL525" s="133"/>
      <c r="DSM525" s="133"/>
      <c r="DSN525" s="133"/>
      <c r="DSO525" s="133"/>
      <c r="DSP525" s="133"/>
      <c r="DSQ525" s="133"/>
      <c r="DSR525" s="133"/>
      <c r="DSS525" s="133"/>
      <c r="DST525" s="133"/>
      <c r="DSU525" s="133"/>
      <c r="DSV525" s="133"/>
      <c r="DSW525" s="133"/>
      <c r="DSX525" s="133"/>
      <c r="DSY525" s="133"/>
      <c r="DSZ525" s="133"/>
      <c r="DTA525" s="133"/>
      <c r="DTB525" s="133"/>
      <c r="DTC525" s="133"/>
      <c r="DTD525" s="133"/>
      <c r="DTE525" s="133"/>
      <c r="DTF525" s="133"/>
      <c r="DTG525" s="133"/>
      <c r="DTH525" s="133"/>
      <c r="DTI525" s="133"/>
      <c r="DTJ525" s="133"/>
      <c r="DTK525" s="133"/>
      <c r="DTL525" s="133"/>
      <c r="DTM525" s="133"/>
      <c r="DTN525" s="133"/>
      <c r="DTO525" s="133"/>
      <c r="DTP525" s="133"/>
      <c r="DTQ525" s="133"/>
      <c r="DTR525" s="133"/>
      <c r="DTS525" s="133"/>
      <c r="DTT525" s="133"/>
      <c r="DTU525" s="133"/>
      <c r="DTV525" s="133"/>
      <c r="DTW525" s="133"/>
      <c r="DTX525" s="133"/>
      <c r="DTY525" s="133"/>
      <c r="DTZ525" s="133"/>
      <c r="DUA525" s="133"/>
      <c r="DUB525" s="133"/>
      <c r="DUC525" s="133"/>
      <c r="DUD525" s="133"/>
      <c r="DUE525" s="133"/>
      <c r="DUF525" s="133"/>
      <c r="DUG525" s="133"/>
      <c r="DUH525" s="133"/>
      <c r="DUI525" s="133"/>
      <c r="DUJ525" s="133"/>
      <c r="DUK525" s="133"/>
      <c r="DUL525" s="133"/>
      <c r="DUM525" s="133"/>
      <c r="DUN525" s="133"/>
      <c r="DUO525" s="133"/>
      <c r="DUP525" s="133"/>
      <c r="DUQ525" s="133"/>
      <c r="DUR525" s="133"/>
      <c r="DUS525" s="133"/>
      <c r="DUT525" s="133"/>
      <c r="DUU525" s="133"/>
      <c r="DUV525" s="133"/>
      <c r="DUW525" s="133"/>
      <c r="DUX525" s="133"/>
      <c r="DUY525" s="133"/>
      <c r="DUZ525" s="133"/>
      <c r="DVA525" s="133"/>
      <c r="DVB525" s="133"/>
      <c r="DVC525" s="133"/>
      <c r="DVD525" s="133"/>
      <c r="DVE525" s="133"/>
      <c r="DVF525" s="133"/>
      <c r="DVG525" s="133"/>
      <c r="DVH525" s="133"/>
      <c r="DVI525" s="133"/>
      <c r="DVJ525" s="133"/>
      <c r="DVK525" s="133"/>
      <c r="DVL525" s="133"/>
      <c r="DVM525" s="133"/>
      <c r="DVN525" s="133"/>
      <c r="DVO525" s="133"/>
      <c r="DVP525" s="133"/>
      <c r="DVQ525" s="133"/>
      <c r="DVR525" s="133"/>
      <c r="DVS525" s="133"/>
      <c r="DVT525" s="133"/>
      <c r="DVU525" s="133"/>
      <c r="DVV525" s="133"/>
      <c r="DVW525" s="133"/>
      <c r="DVX525" s="133"/>
      <c r="DVY525" s="133"/>
      <c r="DVZ525" s="133"/>
      <c r="DWA525" s="133"/>
      <c r="DWB525" s="133"/>
      <c r="DWC525" s="133"/>
      <c r="DWD525" s="133"/>
      <c r="DWE525" s="133"/>
      <c r="DWF525" s="133"/>
      <c r="DWG525" s="133"/>
      <c r="DWH525" s="133"/>
      <c r="DWI525" s="133"/>
      <c r="DWJ525" s="133"/>
      <c r="DWK525" s="133"/>
      <c r="DWL525" s="133"/>
      <c r="DWM525" s="133"/>
      <c r="DWN525" s="133"/>
      <c r="DWO525" s="133"/>
      <c r="DWP525" s="133"/>
      <c r="DWQ525" s="133"/>
      <c r="DWR525" s="133"/>
      <c r="DWS525" s="133"/>
      <c r="DWT525" s="133"/>
      <c r="DWU525" s="133"/>
      <c r="DWV525" s="133"/>
      <c r="DWW525" s="133"/>
      <c r="DWX525" s="133"/>
      <c r="DWY525" s="133"/>
      <c r="DWZ525" s="133"/>
      <c r="DXA525" s="133"/>
      <c r="DXB525" s="133"/>
      <c r="DXC525" s="133"/>
      <c r="DXD525" s="133"/>
      <c r="DXE525" s="133"/>
      <c r="DXF525" s="133"/>
      <c r="DXG525" s="133"/>
      <c r="DXH525" s="133"/>
      <c r="DXI525" s="133"/>
      <c r="DXJ525" s="133"/>
      <c r="DXK525" s="133"/>
      <c r="DXL525" s="133"/>
      <c r="DXM525" s="133"/>
      <c r="DXN525" s="133"/>
      <c r="DXO525" s="133"/>
      <c r="DXP525" s="133"/>
      <c r="DXQ525" s="133"/>
      <c r="DXR525" s="133"/>
      <c r="DXS525" s="133"/>
      <c r="DXT525" s="133"/>
      <c r="DXU525" s="133"/>
      <c r="DXV525" s="133"/>
      <c r="DXW525" s="133"/>
      <c r="DXX525" s="133"/>
      <c r="DXY525" s="133"/>
      <c r="DXZ525" s="133"/>
      <c r="DYA525" s="133"/>
      <c r="DYB525" s="133"/>
      <c r="DYC525" s="133"/>
      <c r="DYD525" s="133"/>
      <c r="DYE525" s="133"/>
      <c r="DYF525" s="133"/>
      <c r="DYG525" s="133"/>
      <c r="DYH525" s="133"/>
      <c r="DYI525" s="133"/>
      <c r="DYJ525" s="133"/>
      <c r="DYK525" s="133"/>
      <c r="DYL525" s="133"/>
      <c r="DYM525" s="133"/>
      <c r="DYN525" s="133"/>
      <c r="DYO525" s="133"/>
      <c r="DYP525" s="133"/>
      <c r="DYQ525" s="133"/>
      <c r="DYR525" s="133"/>
      <c r="DYS525" s="133"/>
      <c r="DYT525" s="133"/>
      <c r="DYU525" s="133"/>
      <c r="DYV525" s="133"/>
      <c r="DYW525" s="133"/>
      <c r="DYX525" s="133"/>
      <c r="DYY525" s="133"/>
      <c r="DYZ525" s="133"/>
      <c r="DZA525" s="133"/>
      <c r="DZB525" s="133"/>
      <c r="DZC525" s="133"/>
      <c r="DZD525" s="133"/>
      <c r="DZE525" s="133"/>
      <c r="DZF525" s="133"/>
      <c r="DZG525" s="133"/>
      <c r="DZH525" s="133"/>
      <c r="DZI525" s="133"/>
      <c r="DZJ525" s="133"/>
      <c r="DZK525" s="133"/>
      <c r="DZL525" s="133"/>
      <c r="DZM525" s="133"/>
      <c r="DZN525" s="133"/>
      <c r="DZO525" s="133"/>
      <c r="DZP525" s="133"/>
      <c r="DZQ525" s="133"/>
      <c r="DZR525" s="133"/>
      <c r="DZS525" s="133"/>
      <c r="DZT525" s="133"/>
      <c r="DZU525" s="133"/>
      <c r="DZV525" s="133"/>
      <c r="DZW525" s="133"/>
      <c r="DZX525" s="133"/>
      <c r="DZY525" s="133"/>
      <c r="DZZ525" s="133"/>
      <c r="EAA525" s="133"/>
      <c r="EAB525" s="133"/>
      <c r="EAC525" s="133"/>
      <c r="EAD525" s="133"/>
      <c r="EAE525" s="133"/>
      <c r="EAF525" s="133"/>
      <c r="EAG525" s="133"/>
      <c r="EAH525" s="133"/>
      <c r="EAI525" s="133"/>
      <c r="EAJ525" s="133"/>
      <c r="EAK525" s="133"/>
      <c r="EAL525" s="133"/>
      <c r="EAM525" s="133"/>
      <c r="EAN525" s="133"/>
      <c r="EAO525" s="133"/>
      <c r="EAP525" s="133"/>
      <c r="EAQ525" s="133"/>
      <c r="EAR525" s="133"/>
      <c r="EAS525" s="133"/>
      <c r="EAT525" s="133"/>
      <c r="EAU525" s="133"/>
      <c r="EAV525" s="133"/>
      <c r="EAW525" s="133"/>
      <c r="EAX525" s="133"/>
      <c r="EAY525" s="133"/>
      <c r="EAZ525" s="133"/>
      <c r="EBA525" s="133"/>
      <c r="EBB525" s="133"/>
      <c r="EBC525" s="133"/>
      <c r="EBD525" s="133"/>
      <c r="EBE525" s="133"/>
      <c r="EBF525" s="133"/>
      <c r="EBG525" s="133"/>
      <c r="EBH525" s="133"/>
      <c r="EBI525" s="133"/>
      <c r="EBJ525" s="133"/>
      <c r="EBK525" s="133"/>
      <c r="EBL525" s="133"/>
      <c r="EBM525" s="133"/>
      <c r="EBN525" s="133"/>
      <c r="EBO525" s="133"/>
      <c r="EBP525" s="133"/>
      <c r="EBQ525" s="133"/>
      <c r="EBR525" s="133"/>
      <c r="EBS525" s="133"/>
      <c r="EBT525" s="133"/>
      <c r="EBU525" s="133"/>
      <c r="EBV525" s="133"/>
      <c r="EBW525" s="133"/>
      <c r="EBX525" s="133"/>
      <c r="EBY525" s="133"/>
      <c r="EBZ525" s="133"/>
      <c r="ECA525" s="133"/>
      <c r="ECB525" s="133"/>
      <c r="ECC525" s="133"/>
      <c r="ECD525" s="133"/>
      <c r="ECE525" s="133"/>
      <c r="ECF525" s="133"/>
      <c r="ECG525" s="133"/>
      <c r="ECH525" s="133"/>
      <c r="ECI525" s="133"/>
      <c r="ECJ525" s="133"/>
      <c r="ECK525" s="133"/>
      <c r="ECL525" s="133"/>
      <c r="ECM525" s="133"/>
      <c r="ECN525" s="133"/>
      <c r="ECO525" s="133"/>
      <c r="ECP525" s="133"/>
      <c r="ECQ525" s="133"/>
      <c r="ECR525" s="133"/>
      <c r="ECS525" s="133"/>
      <c r="ECT525" s="133"/>
      <c r="ECU525" s="133"/>
      <c r="ECV525" s="133"/>
      <c r="ECW525" s="133"/>
      <c r="ECX525" s="133"/>
      <c r="ECY525" s="133"/>
      <c r="ECZ525" s="133"/>
      <c r="EDA525" s="133"/>
      <c r="EDB525" s="133"/>
      <c r="EDC525" s="133"/>
      <c r="EDD525" s="133"/>
      <c r="EDE525" s="133"/>
      <c r="EDF525" s="133"/>
      <c r="EDG525" s="133"/>
      <c r="EDH525" s="133"/>
      <c r="EDI525" s="133"/>
      <c r="EDJ525" s="133"/>
      <c r="EDK525" s="133"/>
      <c r="EDL525" s="133"/>
      <c r="EDM525" s="133"/>
      <c r="EDN525" s="133"/>
      <c r="EDO525" s="133"/>
      <c r="EDP525" s="133"/>
      <c r="EDQ525" s="133"/>
      <c r="EDR525" s="133"/>
      <c r="EDS525" s="133"/>
      <c r="EDT525" s="133"/>
      <c r="EDU525" s="133"/>
      <c r="EDV525" s="133"/>
      <c r="EDW525" s="133"/>
      <c r="EDX525" s="133"/>
      <c r="EDY525" s="133"/>
      <c r="EDZ525" s="133"/>
      <c r="EEA525" s="133"/>
      <c r="EEB525" s="133"/>
      <c r="EEC525" s="133"/>
      <c r="EED525" s="133"/>
      <c r="EEE525" s="133"/>
      <c r="EEF525" s="133"/>
      <c r="EEG525" s="133"/>
      <c r="EEH525" s="133"/>
      <c r="EEI525" s="133"/>
      <c r="EEJ525" s="133"/>
      <c r="EEK525" s="133"/>
      <c r="EEL525" s="133"/>
      <c r="EEM525" s="133"/>
      <c r="EEN525" s="133"/>
      <c r="EEO525" s="133"/>
      <c r="EEP525" s="133"/>
      <c r="EEQ525" s="133"/>
      <c r="EER525" s="133"/>
      <c r="EES525" s="133"/>
      <c r="EET525" s="133"/>
      <c r="EEU525" s="133"/>
      <c r="EEV525" s="133"/>
      <c r="EEW525" s="133"/>
      <c r="EEX525" s="133"/>
      <c r="EEY525" s="133"/>
      <c r="EEZ525" s="133"/>
      <c r="EFA525" s="133"/>
      <c r="EFB525" s="133"/>
      <c r="EFC525" s="133"/>
      <c r="EFD525" s="133"/>
      <c r="EFE525" s="133"/>
      <c r="EFF525" s="133"/>
      <c r="EFG525" s="133"/>
      <c r="EFH525" s="133"/>
      <c r="EFI525" s="133"/>
      <c r="EFJ525" s="133"/>
      <c r="EFK525" s="133"/>
      <c r="EFL525" s="133"/>
      <c r="EFM525" s="133"/>
      <c r="EFN525" s="133"/>
      <c r="EFO525" s="133"/>
      <c r="EFP525" s="133"/>
      <c r="EFQ525" s="133"/>
      <c r="EFR525" s="133"/>
      <c r="EFS525" s="133"/>
      <c r="EFT525" s="133"/>
      <c r="EFU525" s="133"/>
      <c r="EFV525" s="133"/>
      <c r="EFW525" s="133"/>
      <c r="EFX525" s="133"/>
      <c r="EFY525" s="133"/>
      <c r="EFZ525" s="133"/>
      <c r="EGA525" s="133"/>
      <c r="EGB525" s="133"/>
      <c r="EGC525" s="133"/>
      <c r="EGD525" s="133"/>
      <c r="EGE525" s="133"/>
      <c r="EGF525" s="133"/>
      <c r="EGG525" s="133"/>
      <c r="EGH525" s="133"/>
      <c r="EGI525" s="133"/>
      <c r="EGJ525" s="133"/>
      <c r="EGK525" s="133"/>
      <c r="EGL525" s="133"/>
      <c r="EGM525" s="133"/>
      <c r="EGN525" s="133"/>
      <c r="EGO525" s="133"/>
      <c r="EGP525" s="133"/>
      <c r="EGQ525" s="133"/>
      <c r="EGR525" s="133"/>
      <c r="EGS525" s="133"/>
      <c r="EGT525" s="133"/>
      <c r="EGU525" s="133"/>
      <c r="EGV525" s="133"/>
      <c r="EGW525" s="133"/>
      <c r="EGX525" s="133"/>
      <c r="EGY525" s="133"/>
      <c r="EGZ525" s="133"/>
      <c r="EHA525" s="133"/>
      <c r="EHB525" s="133"/>
      <c r="EHC525" s="133"/>
      <c r="EHD525" s="133"/>
      <c r="EHE525" s="133"/>
      <c r="EHF525" s="133"/>
      <c r="EHG525" s="133"/>
      <c r="EHH525" s="133"/>
      <c r="EHI525" s="133"/>
      <c r="EHJ525" s="133"/>
      <c r="EHK525" s="133"/>
      <c r="EHL525" s="133"/>
      <c r="EHM525" s="133"/>
      <c r="EHN525" s="133"/>
      <c r="EHO525" s="133"/>
      <c r="EHP525" s="133"/>
      <c r="EHQ525" s="133"/>
      <c r="EHR525" s="133"/>
      <c r="EHS525" s="133"/>
      <c r="EHT525" s="133"/>
      <c r="EHU525" s="133"/>
      <c r="EHV525" s="133"/>
      <c r="EHW525" s="133"/>
      <c r="EHX525" s="133"/>
      <c r="EHY525" s="133"/>
      <c r="EHZ525" s="133"/>
      <c r="EIA525" s="133"/>
      <c r="EIB525" s="133"/>
      <c r="EIC525" s="133"/>
      <c r="EID525" s="133"/>
      <c r="EIE525" s="133"/>
      <c r="EIF525" s="133"/>
      <c r="EIG525" s="133"/>
      <c r="EIH525" s="133"/>
      <c r="EII525" s="133"/>
      <c r="EIJ525" s="133"/>
      <c r="EIK525" s="133"/>
      <c r="EIL525" s="133"/>
      <c r="EIM525" s="133"/>
      <c r="EIN525" s="133"/>
      <c r="EIO525" s="133"/>
      <c r="EIP525" s="133"/>
      <c r="EIQ525" s="133"/>
      <c r="EIR525" s="133"/>
      <c r="EIS525" s="133"/>
      <c r="EIT525" s="133"/>
      <c r="EIU525" s="133"/>
      <c r="EIV525" s="133"/>
      <c r="EIW525" s="133"/>
      <c r="EIX525" s="133"/>
      <c r="EIY525" s="133"/>
      <c r="EIZ525" s="133"/>
      <c r="EJA525" s="133"/>
      <c r="EJB525" s="133"/>
      <c r="EJC525" s="133"/>
      <c r="EJD525" s="133"/>
      <c r="EJE525" s="133"/>
      <c r="EJF525" s="133"/>
      <c r="EJG525" s="133"/>
      <c r="EJH525" s="133"/>
      <c r="EJI525" s="133"/>
      <c r="EJJ525" s="133"/>
      <c r="EJK525" s="133"/>
      <c r="EJL525" s="133"/>
      <c r="EJM525" s="133"/>
      <c r="EJN525" s="133"/>
      <c r="EJO525" s="133"/>
      <c r="EJP525" s="133"/>
      <c r="EJQ525" s="133"/>
      <c r="EJR525" s="133"/>
      <c r="EJS525" s="133"/>
      <c r="EJT525" s="133"/>
      <c r="EJU525" s="133"/>
      <c r="EJV525" s="133"/>
      <c r="EJW525" s="133"/>
      <c r="EJX525" s="133"/>
      <c r="EJY525" s="133"/>
      <c r="EJZ525" s="133"/>
      <c r="EKA525" s="133"/>
      <c r="EKB525" s="133"/>
      <c r="EKC525" s="133"/>
      <c r="EKD525" s="133"/>
      <c r="EKE525" s="133"/>
      <c r="EKF525" s="133"/>
      <c r="EKG525" s="133"/>
      <c r="EKH525" s="133"/>
      <c r="EKI525" s="133"/>
      <c r="EKJ525" s="133"/>
      <c r="EKK525" s="133"/>
      <c r="EKL525" s="133"/>
      <c r="EKM525" s="133"/>
      <c r="EKN525" s="133"/>
      <c r="EKO525" s="133"/>
      <c r="EKP525" s="133"/>
      <c r="EKQ525" s="133"/>
      <c r="EKR525" s="133"/>
      <c r="EKS525" s="133"/>
      <c r="EKT525" s="133"/>
      <c r="EKU525" s="133"/>
      <c r="EKV525" s="133"/>
      <c r="EKW525" s="133"/>
      <c r="EKX525" s="133"/>
      <c r="EKY525" s="133"/>
      <c r="EKZ525" s="133"/>
      <c r="ELA525" s="133"/>
      <c r="ELB525" s="133"/>
      <c r="ELC525" s="133"/>
      <c r="ELD525" s="133"/>
      <c r="ELE525" s="133"/>
      <c r="ELF525" s="133"/>
      <c r="ELG525" s="133"/>
      <c r="ELH525" s="133"/>
      <c r="ELI525" s="133"/>
      <c r="ELJ525" s="133"/>
      <c r="ELK525" s="133"/>
      <c r="ELL525" s="133"/>
      <c r="ELM525" s="133"/>
      <c r="ELN525" s="133"/>
      <c r="ELO525" s="133"/>
      <c r="ELP525" s="133"/>
      <c r="ELQ525" s="133"/>
      <c r="ELR525" s="133"/>
      <c r="ELS525" s="133"/>
      <c r="ELT525" s="133"/>
      <c r="ELU525" s="133"/>
      <c r="ELV525" s="133"/>
      <c r="ELW525" s="133"/>
      <c r="ELX525" s="133"/>
      <c r="ELY525" s="133"/>
      <c r="ELZ525" s="133"/>
      <c r="EMA525" s="133"/>
      <c r="EMB525" s="133"/>
      <c r="EMC525" s="133"/>
      <c r="EMD525" s="133"/>
      <c r="EME525" s="133"/>
      <c r="EMF525" s="133"/>
      <c r="EMG525" s="133"/>
      <c r="EMH525" s="133"/>
      <c r="EMI525" s="133"/>
      <c r="EMJ525" s="133"/>
      <c r="EMK525" s="133"/>
      <c r="EML525" s="133"/>
      <c r="EMM525" s="133"/>
      <c r="EMN525" s="133"/>
      <c r="EMO525" s="133"/>
      <c r="EMP525" s="133"/>
      <c r="EMQ525" s="133"/>
      <c r="EMR525" s="133"/>
      <c r="EMS525" s="133"/>
      <c r="EMT525" s="133"/>
      <c r="EMU525" s="133"/>
      <c r="EMV525" s="133"/>
      <c r="EMW525" s="133"/>
      <c r="EMX525" s="133"/>
      <c r="EMY525" s="133"/>
      <c r="EMZ525" s="133"/>
      <c r="ENA525" s="133"/>
      <c r="ENB525" s="133"/>
      <c r="ENC525" s="133"/>
      <c r="END525" s="133"/>
      <c r="ENE525" s="133"/>
      <c r="ENF525" s="133"/>
      <c r="ENG525" s="133"/>
      <c r="ENH525" s="133"/>
      <c r="ENI525" s="133"/>
      <c r="ENJ525" s="133"/>
      <c r="ENK525" s="133"/>
      <c r="ENL525" s="133"/>
      <c r="ENM525" s="133"/>
      <c r="ENN525" s="133"/>
      <c r="ENO525" s="133"/>
      <c r="ENP525" s="133"/>
      <c r="ENQ525" s="133"/>
      <c r="ENR525" s="133"/>
      <c r="ENS525" s="133"/>
      <c r="ENT525" s="133"/>
      <c r="ENU525" s="133"/>
      <c r="ENV525" s="133"/>
      <c r="ENW525" s="133"/>
      <c r="ENX525" s="133"/>
      <c r="ENY525" s="133"/>
      <c r="ENZ525" s="133"/>
      <c r="EOA525" s="133"/>
      <c r="EOB525" s="133"/>
      <c r="EOC525" s="133"/>
      <c r="EOD525" s="133"/>
      <c r="EOE525" s="133"/>
      <c r="EOF525" s="133"/>
      <c r="EOG525" s="133"/>
      <c r="EOH525" s="133"/>
      <c r="EOI525" s="133"/>
      <c r="EOJ525" s="133"/>
      <c r="EOK525" s="133"/>
      <c r="EOL525" s="133"/>
      <c r="EOM525" s="133"/>
      <c r="EON525" s="133"/>
      <c r="EOO525" s="133"/>
      <c r="EOP525" s="133"/>
      <c r="EOQ525" s="133"/>
      <c r="EOR525" s="133"/>
      <c r="EOS525" s="133"/>
      <c r="EOT525" s="133"/>
      <c r="EOU525" s="133"/>
      <c r="EOV525" s="133"/>
      <c r="EOW525" s="133"/>
      <c r="EOX525" s="133"/>
      <c r="EOY525" s="133"/>
      <c r="EOZ525" s="133"/>
      <c r="EPA525" s="133"/>
      <c r="EPB525" s="133"/>
      <c r="EPC525" s="133"/>
      <c r="EPD525" s="133"/>
      <c r="EPE525" s="133"/>
      <c r="EPF525" s="133"/>
      <c r="EPG525" s="133"/>
      <c r="EPH525" s="133"/>
      <c r="EPI525" s="133"/>
      <c r="EPJ525" s="133"/>
      <c r="EPK525" s="133"/>
      <c r="EPL525" s="133"/>
      <c r="EPM525" s="133"/>
      <c r="EPN525" s="133"/>
      <c r="EPO525" s="133"/>
      <c r="EPP525" s="133"/>
      <c r="EPQ525" s="133"/>
      <c r="EPR525" s="133"/>
      <c r="EPS525" s="133"/>
      <c r="EPT525" s="133"/>
      <c r="EPU525" s="133"/>
      <c r="EPV525" s="133"/>
      <c r="EPW525" s="133"/>
      <c r="EPX525" s="133"/>
      <c r="EPY525" s="133"/>
      <c r="EPZ525" s="133"/>
      <c r="EQA525" s="133"/>
      <c r="EQB525" s="133"/>
      <c r="EQC525" s="133"/>
      <c r="EQD525" s="133"/>
      <c r="EQE525" s="133"/>
      <c r="EQF525" s="133"/>
      <c r="EQG525" s="133"/>
      <c r="EQH525" s="133"/>
      <c r="EQI525" s="133"/>
      <c r="EQJ525" s="133"/>
      <c r="EQK525" s="133"/>
      <c r="EQL525" s="133"/>
      <c r="EQM525" s="133"/>
      <c r="EQN525" s="133"/>
      <c r="EQO525" s="133"/>
      <c r="EQP525" s="133"/>
      <c r="EQQ525" s="133"/>
      <c r="EQR525" s="133"/>
      <c r="EQS525" s="133"/>
      <c r="EQT525" s="133"/>
      <c r="EQU525" s="133"/>
      <c r="EQV525" s="133"/>
      <c r="EQW525" s="133"/>
      <c r="EQX525" s="133"/>
      <c r="EQY525" s="133"/>
      <c r="EQZ525" s="133"/>
      <c r="ERA525" s="133"/>
      <c r="ERB525" s="133"/>
      <c r="ERC525" s="133"/>
      <c r="ERD525" s="133"/>
      <c r="ERE525" s="133"/>
      <c r="ERF525" s="133"/>
      <c r="ERG525" s="133"/>
      <c r="ERH525" s="133"/>
      <c r="ERI525" s="133"/>
      <c r="ERJ525" s="133"/>
      <c r="ERK525" s="133"/>
      <c r="ERL525" s="133"/>
      <c r="ERM525" s="133"/>
      <c r="ERN525" s="133"/>
      <c r="ERO525" s="133"/>
      <c r="ERP525" s="133"/>
      <c r="ERQ525" s="133"/>
      <c r="ERR525" s="133"/>
      <c r="ERS525" s="133"/>
      <c r="ERT525" s="133"/>
      <c r="ERU525" s="133"/>
      <c r="ERV525" s="133"/>
      <c r="ERW525" s="133"/>
      <c r="ERX525" s="133"/>
      <c r="ERY525" s="133"/>
      <c r="ERZ525" s="133"/>
      <c r="ESA525" s="133"/>
      <c r="ESB525" s="133"/>
      <c r="ESC525" s="133"/>
      <c r="ESD525" s="133"/>
      <c r="ESE525" s="133"/>
      <c r="ESF525" s="133"/>
      <c r="ESG525" s="133"/>
      <c r="ESH525" s="133"/>
      <c r="ESI525" s="133"/>
      <c r="ESJ525" s="133"/>
      <c r="ESK525" s="133"/>
      <c r="ESL525" s="133"/>
      <c r="ESM525" s="133"/>
      <c r="ESN525" s="133"/>
      <c r="ESO525" s="133"/>
      <c r="ESP525" s="133"/>
      <c r="ESQ525" s="133"/>
      <c r="ESR525" s="133"/>
      <c r="ESS525" s="133"/>
      <c r="EST525" s="133"/>
      <c r="ESU525" s="133"/>
      <c r="ESV525" s="133"/>
      <c r="ESW525" s="133"/>
      <c r="ESX525" s="133"/>
      <c r="ESY525" s="133"/>
      <c r="ESZ525" s="133"/>
      <c r="ETA525" s="133"/>
      <c r="ETB525" s="133"/>
      <c r="ETC525" s="133"/>
      <c r="ETD525" s="133"/>
      <c r="ETE525" s="133"/>
      <c r="ETF525" s="133"/>
      <c r="ETG525" s="133"/>
      <c r="ETH525" s="133"/>
      <c r="ETI525" s="133"/>
      <c r="ETJ525" s="133"/>
      <c r="ETK525" s="133"/>
      <c r="ETL525" s="133"/>
      <c r="ETM525" s="133"/>
      <c r="ETN525" s="133"/>
      <c r="ETO525" s="133"/>
      <c r="ETP525" s="133"/>
      <c r="ETQ525" s="133"/>
      <c r="ETR525" s="133"/>
      <c r="ETS525" s="133"/>
      <c r="ETT525" s="133"/>
      <c r="ETU525" s="133"/>
      <c r="ETV525" s="133"/>
      <c r="ETW525" s="133"/>
      <c r="ETX525" s="133"/>
      <c r="ETY525" s="133"/>
      <c r="ETZ525" s="133"/>
      <c r="EUA525" s="133"/>
      <c r="EUB525" s="133"/>
      <c r="EUC525" s="133"/>
      <c r="EUD525" s="133"/>
      <c r="EUE525" s="133"/>
      <c r="EUF525" s="133"/>
      <c r="EUG525" s="133"/>
      <c r="EUH525" s="133"/>
      <c r="EUI525" s="133"/>
      <c r="EUJ525" s="133"/>
      <c r="EUK525" s="133"/>
      <c r="EUL525" s="133"/>
      <c r="EUM525" s="133"/>
      <c r="EUN525" s="133"/>
      <c r="EUO525" s="133"/>
      <c r="EUP525" s="133"/>
      <c r="EUQ525" s="133"/>
      <c r="EUR525" s="133"/>
      <c r="EUS525" s="133"/>
      <c r="EUT525" s="133"/>
      <c r="EUU525" s="133"/>
      <c r="EUV525" s="133"/>
      <c r="EUW525" s="133"/>
      <c r="EUX525" s="133"/>
      <c r="EUY525" s="133"/>
      <c r="EUZ525" s="133"/>
      <c r="EVA525" s="133"/>
      <c r="EVB525" s="133"/>
      <c r="EVC525" s="133"/>
      <c r="EVD525" s="133"/>
      <c r="EVE525" s="133"/>
      <c r="EVF525" s="133"/>
      <c r="EVG525" s="133"/>
      <c r="EVH525" s="133"/>
      <c r="EVI525" s="133"/>
      <c r="EVJ525" s="133"/>
      <c r="EVK525" s="133"/>
      <c r="EVL525" s="133"/>
      <c r="EVM525" s="133"/>
      <c r="EVN525" s="133"/>
      <c r="EVO525" s="133"/>
      <c r="EVP525" s="133"/>
      <c r="EVQ525" s="133"/>
      <c r="EVR525" s="133"/>
      <c r="EVS525" s="133"/>
      <c r="EVT525" s="133"/>
      <c r="EVU525" s="133"/>
      <c r="EVV525" s="133"/>
      <c r="EVW525" s="133"/>
      <c r="EVX525" s="133"/>
      <c r="EVY525" s="133"/>
      <c r="EVZ525" s="133"/>
      <c r="EWA525" s="133"/>
      <c r="EWB525" s="133"/>
      <c r="EWC525" s="133"/>
      <c r="EWD525" s="133"/>
      <c r="EWE525" s="133"/>
      <c r="EWF525" s="133"/>
      <c r="EWG525" s="133"/>
      <c r="EWH525" s="133"/>
      <c r="EWI525" s="133"/>
      <c r="EWJ525" s="133"/>
      <c r="EWK525" s="133"/>
      <c r="EWL525" s="133"/>
      <c r="EWM525" s="133"/>
      <c r="EWN525" s="133"/>
      <c r="EWO525" s="133"/>
      <c r="EWP525" s="133"/>
      <c r="EWQ525" s="133"/>
      <c r="EWR525" s="133"/>
      <c r="EWS525" s="133"/>
      <c r="EWT525" s="133"/>
      <c r="EWU525" s="133"/>
      <c r="EWV525" s="133"/>
      <c r="EWW525" s="133"/>
      <c r="EWX525" s="133"/>
      <c r="EWY525" s="133"/>
      <c r="EWZ525" s="133"/>
      <c r="EXA525" s="133"/>
      <c r="EXB525" s="133"/>
      <c r="EXC525" s="133"/>
      <c r="EXD525" s="133"/>
      <c r="EXE525" s="133"/>
      <c r="EXF525" s="133"/>
      <c r="EXG525" s="133"/>
      <c r="EXH525" s="133"/>
      <c r="EXI525" s="133"/>
      <c r="EXJ525" s="133"/>
      <c r="EXK525" s="133"/>
      <c r="EXL525" s="133"/>
      <c r="EXM525" s="133"/>
      <c r="EXN525" s="133"/>
      <c r="EXO525" s="133"/>
      <c r="EXP525" s="133"/>
      <c r="EXQ525" s="133"/>
      <c r="EXR525" s="133"/>
      <c r="EXS525" s="133"/>
      <c r="EXT525" s="133"/>
      <c r="EXU525" s="133"/>
      <c r="EXV525" s="133"/>
      <c r="EXW525" s="133"/>
      <c r="EXX525" s="133"/>
      <c r="EXY525" s="133"/>
      <c r="EXZ525" s="133"/>
      <c r="EYA525" s="133"/>
      <c r="EYB525" s="133"/>
      <c r="EYC525" s="133"/>
      <c r="EYD525" s="133"/>
      <c r="EYE525" s="133"/>
      <c r="EYF525" s="133"/>
      <c r="EYG525" s="133"/>
      <c r="EYH525" s="133"/>
      <c r="EYI525" s="133"/>
      <c r="EYJ525" s="133"/>
      <c r="EYK525" s="133"/>
      <c r="EYL525" s="133"/>
      <c r="EYM525" s="133"/>
      <c r="EYN525" s="133"/>
      <c r="EYO525" s="133"/>
      <c r="EYP525" s="133"/>
      <c r="EYQ525" s="133"/>
      <c r="EYR525" s="133"/>
      <c r="EYS525" s="133"/>
      <c r="EYT525" s="133"/>
      <c r="EYU525" s="133"/>
      <c r="EYV525" s="133"/>
      <c r="EYW525" s="133"/>
      <c r="EYX525" s="133"/>
      <c r="EYY525" s="133"/>
      <c r="EYZ525" s="133"/>
      <c r="EZA525" s="133"/>
      <c r="EZB525" s="133"/>
      <c r="EZC525" s="133"/>
      <c r="EZD525" s="133"/>
      <c r="EZE525" s="133"/>
      <c r="EZF525" s="133"/>
      <c r="EZG525" s="133"/>
      <c r="EZH525" s="133"/>
      <c r="EZI525" s="133"/>
      <c r="EZJ525" s="133"/>
      <c r="EZK525" s="133"/>
      <c r="EZL525" s="133"/>
      <c r="EZM525" s="133"/>
      <c r="EZN525" s="133"/>
      <c r="EZO525" s="133"/>
      <c r="EZP525" s="133"/>
      <c r="EZQ525" s="133"/>
      <c r="EZR525" s="133"/>
      <c r="EZS525" s="133"/>
      <c r="EZT525" s="133"/>
      <c r="EZU525" s="133"/>
      <c r="EZV525" s="133"/>
      <c r="EZW525" s="133"/>
      <c r="EZX525" s="133"/>
      <c r="EZY525" s="133"/>
      <c r="EZZ525" s="133"/>
      <c r="FAA525" s="133"/>
      <c r="FAB525" s="133"/>
      <c r="FAC525" s="133"/>
      <c r="FAD525" s="133"/>
      <c r="FAE525" s="133"/>
      <c r="FAF525" s="133"/>
      <c r="FAG525" s="133"/>
      <c r="FAH525" s="133"/>
      <c r="FAI525" s="133"/>
      <c r="FAJ525" s="133"/>
      <c r="FAK525" s="133"/>
      <c r="FAL525" s="133"/>
      <c r="FAM525" s="133"/>
      <c r="FAN525" s="133"/>
      <c r="FAO525" s="133"/>
      <c r="FAP525" s="133"/>
      <c r="FAQ525" s="133"/>
      <c r="FAR525" s="133"/>
      <c r="FAS525" s="133"/>
      <c r="FAT525" s="133"/>
      <c r="FAU525" s="133"/>
      <c r="FAV525" s="133"/>
      <c r="FAW525" s="133"/>
      <c r="FAX525" s="133"/>
      <c r="FAY525" s="133"/>
      <c r="FAZ525" s="133"/>
      <c r="FBA525" s="133"/>
      <c r="FBB525" s="133"/>
      <c r="FBC525" s="133"/>
      <c r="FBD525" s="133"/>
      <c r="FBE525" s="133"/>
      <c r="FBF525" s="133"/>
      <c r="FBG525" s="133"/>
      <c r="FBH525" s="133"/>
      <c r="FBI525" s="133"/>
      <c r="FBJ525" s="133"/>
      <c r="FBK525" s="133"/>
      <c r="FBL525" s="133"/>
      <c r="FBM525" s="133"/>
      <c r="FBN525" s="133"/>
      <c r="FBO525" s="133"/>
      <c r="FBP525" s="133"/>
      <c r="FBQ525" s="133"/>
      <c r="FBR525" s="133"/>
      <c r="FBS525" s="133"/>
      <c r="FBT525" s="133"/>
      <c r="FBU525" s="133"/>
      <c r="FBV525" s="133"/>
      <c r="FBW525" s="133"/>
      <c r="FBX525" s="133"/>
      <c r="FBY525" s="133"/>
      <c r="FBZ525" s="133"/>
      <c r="FCA525" s="133"/>
      <c r="FCB525" s="133"/>
      <c r="FCC525" s="133"/>
      <c r="FCD525" s="133"/>
      <c r="FCE525" s="133"/>
      <c r="FCF525" s="133"/>
      <c r="FCG525" s="133"/>
      <c r="FCH525" s="133"/>
      <c r="FCI525" s="133"/>
      <c r="FCJ525" s="133"/>
      <c r="FCK525" s="133"/>
      <c r="FCL525" s="133"/>
      <c r="FCM525" s="133"/>
      <c r="FCN525" s="133"/>
      <c r="FCO525" s="133"/>
      <c r="FCP525" s="133"/>
      <c r="FCQ525" s="133"/>
      <c r="FCR525" s="133"/>
      <c r="FCS525" s="133"/>
      <c r="FCT525" s="133"/>
      <c r="FCU525" s="133"/>
      <c r="FCV525" s="133"/>
      <c r="FCW525" s="133"/>
      <c r="FCX525" s="133"/>
      <c r="FCY525" s="133"/>
      <c r="FCZ525" s="133"/>
      <c r="FDA525" s="133"/>
      <c r="FDB525" s="133"/>
      <c r="FDC525" s="133"/>
      <c r="FDD525" s="133"/>
      <c r="FDE525" s="133"/>
      <c r="FDF525" s="133"/>
      <c r="FDG525" s="133"/>
      <c r="FDH525" s="133"/>
      <c r="FDI525" s="133"/>
      <c r="FDJ525" s="133"/>
      <c r="FDK525" s="133"/>
      <c r="FDL525" s="133"/>
      <c r="FDM525" s="133"/>
      <c r="FDN525" s="133"/>
      <c r="FDO525" s="133"/>
      <c r="FDP525" s="133"/>
      <c r="FDQ525" s="133"/>
      <c r="FDR525" s="133"/>
      <c r="FDS525" s="133"/>
      <c r="FDT525" s="133"/>
      <c r="FDU525" s="133"/>
      <c r="FDV525" s="133"/>
      <c r="FDW525" s="133"/>
      <c r="FDX525" s="133"/>
      <c r="FDY525" s="133"/>
      <c r="FDZ525" s="133"/>
      <c r="FEA525" s="133"/>
      <c r="FEB525" s="133"/>
      <c r="FEC525" s="133"/>
      <c r="FED525" s="133"/>
      <c r="FEE525" s="133"/>
      <c r="FEF525" s="133"/>
      <c r="FEG525" s="133"/>
      <c r="FEH525" s="133"/>
      <c r="FEI525" s="133"/>
      <c r="FEJ525" s="133"/>
      <c r="FEK525" s="133"/>
      <c r="FEL525" s="133"/>
      <c r="FEM525" s="133"/>
      <c r="FEN525" s="133"/>
      <c r="FEO525" s="133"/>
      <c r="FEP525" s="133"/>
      <c r="FEQ525" s="133"/>
      <c r="FER525" s="133"/>
      <c r="FES525" s="133"/>
      <c r="FET525" s="133"/>
      <c r="FEU525" s="133"/>
      <c r="FEV525" s="133"/>
      <c r="FEW525" s="133"/>
      <c r="FEX525" s="133"/>
      <c r="FEY525" s="133"/>
      <c r="FEZ525" s="133"/>
      <c r="FFA525" s="133"/>
      <c r="FFB525" s="133"/>
      <c r="FFC525" s="133"/>
      <c r="FFD525" s="133"/>
      <c r="FFE525" s="133"/>
      <c r="FFF525" s="133"/>
      <c r="FFG525" s="133"/>
      <c r="FFH525" s="133"/>
      <c r="FFI525" s="133"/>
      <c r="FFJ525" s="133"/>
      <c r="FFK525" s="133"/>
      <c r="FFL525" s="133"/>
      <c r="FFM525" s="133"/>
      <c r="FFN525" s="133"/>
      <c r="FFO525" s="133"/>
      <c r="FFP525" s="133"/>
      <c r="FFQ525" s="133"/>
      <c r="FFR525" s="133"/>
      <c r="FFS525" s="133"/>
      <c r="FFT525" s="133"/>
      <c r="FFU525" s="133"/>
      <c r="FFV525" s="133"/>
      <c r="FFW525" s="133"/>
      <c r="FFX525" s="133"/>
      <c r="FFY525" s="133"/>
      <c r="FFZ525" s="133"/>
      <c r="FGA525" s="133"/>
      <c r="FGB525" s="133"/>
      <c r="FGC525" s="133"/>
      <c r="FGD525" s="133"/>
      <c r="FGE525" s="133"/>
      <c r="FGF525" s="133"/>
      <c r="FGG525" s="133"/>
      <c r="FGH525" s="133"/>
      <c r="FGI525" s="133"/>
      <c r="FGJ525" s="133"/>
      <c r="FGK525" s="133"/>
      <c r="FGL525" s="133"/>
      <c r="FGM525" s="133"/>
      <c r="FGN525" s="133"/>
      <c r="FGO525" s="133"/>
      <c r="FGP525" s="133"/>
      <c r="FGQ525" s="133"/>
      <c r="FGR525" s="133"/>
      <c r="FGS525" s="133"/>
      <c r="FGT525" s="133"/>
      <c r="FGU525" s="133"/>
      <c r="FGV525" s="133"/>
      <c r="FGW525" s="133"/>
      <c r="FGX525" s="133"/>
      <c r="FGY525" s="133"/>
      <c r="FGZ525" s="133"/>
      <c r="FHA525" s="133"/>
      <c r="FHB525" s="133"/>
      <c r="FHC525" s="133"/>
      <c r="FHD525" s="133"/>
      <c r="FHE525" s="133"/>
      <c r="FHF525" s="133"/>
      <c r="FHG525" s="133"/>
      <c r="FHH525" s="133"/>
      <c r="FHI525" s="133"/>
      <c r="FHJ525" s="133"/>
      <c r="FHK525" s="133"/>
      <c r="FHL525" s="133"/>
      <c r="FHM525" s="133"/>
      <c r="FHN525" s="133"/>
      <c r="FHO525" s="133"/>
      <c r="FHP525" s="133"/>
      <c r="FHQ525" s="133"/>
      <c r="FHR525" s="133"/>
      <c r="FHS525" s="133"/>
      <c r="FHT525" s="133"/>
      <c r="FHU525" s="133"/>
      <c r="FHV525" s="133"/>
      <c r="FHW525" s="133"/>
      <c r="FHX525" s="133"/>
      <c r="FHY525" s="133"/>
      <c r="FHZ525" s="133"/>
      <c r="FIA525" s="133"/>
      <c r="FIB525" s="133"/>
      <c r="FIC525" s="133"/>
      <c r="FID525" s="133"/>
      <c r="FIE525" s="133"/>
      <c r="FIF525" s="133"/>
      <c r="FIG525" s="133"/>
      <c r="FIH525" s="133"/>
      <c r="FII525" s="133"/>
      <c r="FIJ525" s="133"/>
      <c r="FIK525" s="133"/>
      <c r="FIL525" s="133"/>
      <c r="FIM525" s="133"/>
      <c r="FIN525" s="133"/>
      <c r="FIO525" s="133"/>
      <c r="FIP525" s="133"/>
      <c r="FIQ525" s="133"/>
      <c r="FIR525" s="133"/>
      <c r="FIS525" s="133"/>
      <c r="FIT525" s="133"/>
      <c r="FIU525" s="133"/>
      <c r="FIV525" s="133"/>
      <c r="FIW525" s="133"/>
      <c r="FIX525" s="133"/>
      <c r="FIY525" s="133"/>
      <c r="FIZ525" s="133"/>
      <c r="FJA525" s="133"/>
      <c r="FJB525" s="133"/>
      <c r="FJC525" s="133"/>
      <c r="FJD525" s="133"/>
      <c r="FJE525" s="133"/>
      <c r="FJF525" s="133"/>
      <c r="FJG525" s="133"/>
      <c r="FJH525" s="133"/>
      <c r="FJI525" s="133"/>
      <c r="FJJ525" s="133"/>
      <c r="FJK525" s="133"/>
      <c r="FJL525" s="133"/>
      <c r="FJM525" s="133"/>
      <c r="FJN525" s="133"/>
      <c r="FJO525" s="133"/>
      <c r="FJP525" s="133"/>
      <c r="FJQ525" s="133"/>
      <c r="FJR525" s="133"/>
      <c r="FJS525" s="133"/>
      <c r="FJT525" s="133"/>
      <c r="FJU525" s="133"/>
      <c r="FJV525" s="133"/>
      <c r="FJW525" s="133"/>
      <c r="FJX525" s="133"/>
      <c r="FJY525" s="133"/>
      <c r="FJZ525" s="133"/>
      <c r="FKA525" s="133"/>
      <c r="FKB525" s="133"/>
      <c r="FKC525" s="133"/>
      <c r="FKD525" s="133"/>
      <c r="FKE525" s="133"/>
      <c r="FKF525" s="133"/>
      <c r="FKG525" s="133"/>
      <c r="FKH525" s="133"/>
      <c r="FKI525" s="133"/>
      <c r="FKJ525" s="133"/>
      <c r="FKK525" s="133"/>
      <c r="FKL525" s="133"/>
      <c r="FKM525" s="133"/>
      <c r="FKN525" s="133"/>
      <c r="FKO525" s="133"/>
      <c r="FKP525" s="133"/>
      <c r="FKQ525" s="133"/>
      <c r="FKR525" s="133"/>
      <c r="FKS525" s="133"/>
      <c r="FKT525" s="133"/>
      <c r="FKU525" s="133"/>
      <c r="FKV525" s="133"/>
      <c r="FKW525" s="133"/>
      <c r="FKX525" s="133"/>
      <c r="FKY525" s="133"/>
      <c r="FKZ525" s="133"/>
      <c r="FLA525" s="133"/>
      <c r="FLB525" s="133"/>
      <c r="FLC525" s="133"/>
      <c r="FLD525" s="133"/>
      <c r="FLE525" s="133"/>
      <c r="FLF525" s="133"/>
      <c r="FLG525" s="133"/>
      <c r="FLH525" s="133"/>
      <c r="FLI525" s="133"/>
      <c r="FLJ525" s="133"/>
      <c r="FLK525" s="133"/>
      <c r="FLL525" s="133"/>
      <c r="FLM525" s="133"/>
      <c r="FLN525" s="133"/>
      <c r="FLO525" s="133"/>
      <c r="FLP525" s="133"/>
      <c r="FLQ525" s="133"/>
      <c r="FLR525" s="133"/>
      <c r="FLS525" s="133"/>
      <c r="FLT525" s="133"/>
      <c r="FLU525" s="133"/>
      <c r="FLV525" s="133"/>
      <c r="FLW525" s="133"/>
      <c r="FLX525" s="133"/>
      <c r="FLY525" s="133"/>
      <c r="FLZ525" s="133"/>
      <c r="FMA525" s="133"/>
      <c r="FMB525" s="133"/>
      <c r="FMC525" s="133"/>
      <c r="FMD525" s="133"/>
      <c r="FME525" s="133"/>
      <c r="FMF525" s="133"/>
      <c r="FMG525" s="133"/>
      <c r="FMH525" s="133"/>
      <c r="FMI525" s="133"/>
      <c r="FMJ525" s="133"/>
      <c r="FMK525" s="133"/>
      <c r="FML525" s="133"/>
      <c r="FMM525" s="133"/>
      <c r="FMN525" s="133"/>
      <c r="FMO525" s="133"/>
      <c r="FMP525" s="133"/>
      <c r="FMQ525" s="133"/>
      <c r="FMR525" s="133"/>
      <c r="FMS525" s="133"/>
      <c r="FMT525" s="133"/>
      <c r="FMU525" s="133"/>
      <c r="FMV525" s="133"/>
      <c r="FMW525" s="133"/>
      <c r="FMX525" s="133"/>
      <c r="FMY525" s="133"/>
      <c r="FMZ525" s="133"/>
      <c r="FNA525" s="133"/>
      <c r="FNB525" s="133"/>
      <c r="FNC525" s="133"/>
      <c r="FND525" s="133"/>
      <c r="FNE525" s="133"/>
      <c r="FNF525" s="133"/>
      <c r="FNG525" s="133"/>
      <c r="FNH525" s="133"/>
      <c r="FNI525" s="133"/>
      <c r="FNJ525" s="133"/>
      <c r="FNK525" s="133"/>
      <c r="FNL525" s="133"/>
      <c r="FNM525" s="133"/>
      <c r="FNN525" s="133"/>
      <c r="FNO525" s="133"/>
      <c r="FNP525" s="133"/>
      <c r="FNQ525" s="133"/>
      <c r="FNR525" s="133"/>
      <c r="FNS525" s="133"/>
      <c r="FNT525" s="133"/>
      <c r="FNU525" s="133"/>
      <c r="FNV525" s="133"/>
      <c r="FNW525" s="133"/>
      <c r="FNX525" s="133"/>
      <c r="FNY525" s="133"/>
      <c r="FNZ525" s="133"/>
      <c r="FOA525" s="133"/>
      <c r="FOB525" s="133"/>
      <c r="FOC525" s="133"/>
      <c r="FOD525" s="133"/>
      <c r="FOE525" s="133"/>
      <c r="FOF525" s="133"/>
      <c r="FOG525" s="133"/>
      <c r="FOH525" s="133"/>
      <c r="FOI525" s="133"/>
      <c r="FOJ525" s="133"/>
      <c r="FOK525" s="133"/>
      <c r="FOL525" s="133"/>
      <c r="FOM525" s="133"/>
      <c r="FON525" s="133"/>
      <c r="FOO525" s="133"/>
      <c r="FOP525" s="133"/>
      <c r="FOQ525" s="133"/>
      <c r="FOR525" s="133"/>
      <c r="FOS525" s="133"/>
      <c r="FOT525" s="133"/>
      <c r="FOU525" s="133"/>
      <c r="FOV525" s="133"/>
      <c r="FOW525" s="133"/>
      <c r="FOX525" s="133"/>
      <c r="FOY525" s="133"/>
      <c r="FOZ525" s="133"/>
      <c r="FPA525" s="133"/>
      <c r="FPB525" s="133"/>
      <c r="FPC525" s="133"/>
      <c r="FPD525" s="133"/>
      <c r="FPE525" s="133"/>
      <c r="FPF525" s="133"/>
      <c r="FPG525" s="133"/>
      <c r="FPH525" s="133"/>
      <c r="FPI525" s="133"/>
      <c r="FPJ525" s="133"/>
      <c r="FPK525" s="133"/>
      <c r="FPL525" s="133"/>
      <c r="FPM525" s="133"/>
      <c r="FPN525" s="133"/>
      <c r="FPO525" s="133"/>
      <c r="FPP525" s="133"/>
      <c r="FPQ525" s="133"/>
      <c r="FPR525" s="133"/>
      <c r="FPS525" s="133"/>
      <c r="FPT525" s="133"/>
      <c r="FPU525" s="133"/>
      <c r="FPV525" s="133"/>
      <c r="FPW525" s="133"/>
      <c r="FPX525" s="133"/>
      <c r="FPY525" s="133"/>
      <c r="FPZ525" s="133"/>
      <c r="FQA525" s="133"/>
      <c r="FQB525" s="133"/>
      <c r="FQC525" s="133"/>
      <c r="FQD525" s="133"/>
      <c r="FQE525" s="133"/>
      <c r="FQF525" s="133"/>
      <c r="FQG525" s="133"/>
      <c r="FQH525" s="133"/>
      <c r="FQI525" s="133"/>
      <c r="FQJ525" s="133"/>
      <c r="FQK525" s="133"/>
      <c r="FQL525" s="133"/>
      <c r="FQM525" s="133"/>
      <c r="FQN525" s="133"/>
      <c r="FQO525" s="133"/>
      <c r="FQP525" s="133"/>
      <c r="FQQ525" s="133"/>
      <c r="FQR525" s="133"/>
      <c r="FQS525" s="133"/>
      <c r="FQT525" s="133"/>
      <c r="FQU525" s="133"/>
      <c r="FQV525" s="133"/>
      <c r="FQW525" s="133"/>
      <c r="FQX525" s="133"/>
      <c r="FQY525" s="133"/>
      <c r="FQZ525" s="133"/>
      <c r="FRA525" s="133"/>
      <c r="FRB525" s="133"/>
      <c r="FRC525" s="133"/>
      <c r="FRD525" s="133"/>
      <c r="FRE525" s="133"/>
      <c r="FRF525" s="133"/>
      <c r="FRG525" s="133"/>
      <c r="FRH525" s="133"/>
      <c r="FRI525" s="133"/>
      <c r="FRJ525" s="133"/>
      <c r="FRK525" s="133"/>
      <c r="FRL525" s="133"/>
      <c r="FRM525" s="133"/>
      <c r="FRN525" s="133"/>
      <c r="FRO525" s="133"/>
      <c r="FRP525" s="133"/>
      <c r="FRQ525" s="133"/>
      <c r="FRR525" s="133"/>
      <c r="FRS525" s="133"/>
      <c r="FRT525" s="133"/>
      <c r="FRU525" s="133"/>
      <c r="FRV525" s="133"/>
      <c r="FRW525" s="133"/>
      <c r="FRX525" s="133"/>
      <c r="FRY525" s="133"/>
      <c r="FRZ525" s="133"/>
      <c r="FSA525" s="133"/>
      <c r="FSB525" s="133"/>
      <c r="FSC525" s="133"/>
      <c r="FSD525" s="133"/>
      <c r="FSE525" s="133"/>
      <c r="FSF525" s="133"/>
      <c r="FSG525" s="133"/>
      <c r="FSH525" s="133"/>
      <c r="FSI525" s="133"/>
      <c r="FSJ525" s="133"/>
      <c r="FSK525" s="133"/>
      <c r="FSL525" s="133"/>
      <c r="FSM525" s="133"/>
      <c r="FSN525" s="133"/>
      <c r="FSO525" s="133"/>
      <c r="FSP525" s="133"/>
      <c r="FSQ525" s="133"/>
      <c r="FSR525" s="133"/>
      <c r="FSS525" s="133"/>
      <c r="FST525" s="133"/>
      <c r="FSU525" s="133"/>
      <c r="FSV525" s="133"/>
      <c r="FSW525" s="133"/>
      <c r="FSX525" s="133"/>
      <c r="FSY525" s="133"/>
      <c r="FSZ525" s="133"/>
      <c r="FTA525" s="133"/>
      <c r="FTB525" s="133"/>
      <c r="FTC525" s="133"/>
      <c r="FTD525" s="133"/>
      <c r="FTE525" s="133"/>
      <c r="FTF525" s="133"/>
      <c r="FTG525" s="133"/>
      <c r="FTH525" s="133"/>
      <c r="FTI525" s="133"/>
      <c r="FTJ525" s="133"/>
      <c r="FTK525" s="133"/>
      <c r="FTL525" s="133"/>
      <c r="FTM525" s="133"/>
      <c r="FTN525" s="133"/>
      <c r="FTO525" s="133"/>
      <c r="FTP525" s="133"/>
      <c r="FTQ525" s="133"/>
      <c r="FTR525" s="133"/>
      <c r="FTS525" s="133"/>
      <c r="FTT525" s="133"/>
      <c r="FTU525" s="133"/>
      <c r="FTV525" s="133"/>
      <c r="FTW525" s="133"/>
      <c r="FTX525" s="133"/>
      <c r="FTY525" s="133"/>
      <c r="FTZ525" s="133"/>
      <c r="FUA525" s="133"/>
      <c r="FUB525" s="133"/>
      <c r="FUC525" s="133"/>
      <c r="FUD525" s="133"/>
      <c r="FUE525" s="133"/>
      <c r="FUF525" s="133"/>
      <c r="FUG525" s="133"/>
      <c r="FUH525" s="133"/>
      <c r="FUI525" s="133"/>
      <c r="FUJ525" s="133"/>
      <c r="FUK525" s="133"/>
      <c r="FUL525" s="133"/>
      <c r="FUM525" s="133"/>
      <c r="FUN525" s="133"/>
      <c r="FUO525" s="133"/>
      <c r="FUP525" s="133"/>
      <c r="FUQ525" s="133"/>
      <c r="FUR525" s="133"/>
      <c r="FUS525" s="133"/>
      <c r="FUT525" s="133"/>
      <c r="FUU525" s="133"/>
      <c r="FUV525" s="133"/>
      <c r="FUW525" s="133"/>
      <c r="FUX525" s="133"/>
      <c r="FUY525" s="133"/>
      <c r="FUZ525" s="133"/>
      <c r="FVA525" s="133"/>
      <c r="FVB525" s="133"/>
      <c r="FVC525" s="133"/>
      <c r="FVD525" s="133"/>
      <c r="FVE525" s="133"/>
      <c r="FVF525" s="133"/>
      <c r="FVG525" s="133"/>
      <c r="FVH525" s="133"/>
      <c r="FVI525" s="133"/>
      <c r="FVJ525" s="133"/>
      <c r="FVK525" s="133"/>
      <c r="FVL525" s="133"/>
      <c r="FVM525" s="133"/>
      <c r="FVN525" s="133"/>
      <c r="FVO525" s="133"/>
      <c r="FVP525" s="133"/>
      <c r="FVQ525" s="133"/>
      <c r="FVR525" s="133"/>
      <c r="FVS525" s="133"/>
      <c r="FVT525" s="133"/>
      <c r="FVU525" s="133"/>
      <c r="FVV525" s="133"/>
      <c r="FVW525" s="133"/>
      <c r="FVX525" s="133"/>
      <c r="FVY525" s="133"/>
      <c r="FVZ525" s="133"/>
      <c r="FWA525" s="133"/>
      <c r="FWB525" s="133"/>
      <c r="FWC525" s="133"/>
      <c r="FWD525" s="133"/>
      <c r="FWE525" s="133"/>
      <c r="FWF525" s="133"/>
      <c r="FWG525" s="133"/>
      <c r="FWH525" s="133"/>
      <c r="FWI525" s="133"/>
      <c r="FWJ525" s="133"/>
      <c r="FWK525" s="133"/>
      <c r="FWL525" s="133"/>
      <c r="FWM525" s="133"/>
      <c r="FWN525" s="133"/>
      <c r="FWO525" s="133"/>
      <c r="FWP525" s="133"/>
      <c r="FWQ525" s="133"/>
      <c r="FWR525" s="133"/>
      <c r="FWS525" s="133"/>
      <c r="FWT525" s="133"/>
      <c r="FWU525" s="133"/>
      <c r="FWV525" s="133"/>
      <c r="FWW525" s="133"/>
      <c r="FWX525" s="133"/>
      <c r="FWY525" s="133"/>
      <c r="FWZ525" s="133"/>
      <c r="FXA525" s="133"/>
      <c r="FXB525" s="133"/>
      <c r="FXC525" s="133"/>
      <c r="FXD525" s="133"/>
      <c r="FXE525" s="133"/>
      <c r="FXF525" s="133"/>
      <c r="FXG525" s="133"/>
      <c r="FXH525" s="133"/>
      <c r="FXI525" s="133"/>
      <c r="FXJ525" s="133"/>
      <c r="FXK525" s="133"/>
      <c r="FXL525" s="133"/>
      <c r="FXM525" s="133"/>
      <c r="FXN525" s="133"/>
      <c r="FXO525" s="133"/>
      <c r="FXP525" s="133"/>
      <c r="FXQ525" s="133"/>
      <c r="FXR525" s="133"/>
      <c r="FXS525" s="133"/>
      <c r="FXT525" s="133"/>
      <c r="FXU525" s="133"/>
      <c r="FXV525" s="133"/>
      <c r="FXW525" s="133"/>
      <c r="FXX525" s="133"/>
      <c r="FXY525" s="133"/>
      <c r="FXZ525" s="133"/>
      <c r="FYA525" s="133"/>
      <c r="FYB525" s="133"/>
      <c r="FYC525" s="133"/>
      <c r="FYD525" s="133"/>
      <c r="FYE525" s="133"/>
      <c r="FYF525" s="133"/>
      <c r="FYG525" s="133"/>
      <c r="FYH525" s="133"/>
      <c r="FYI525" s="133"/>
      <c r="FYJ525" s="133"/>
      <c r="FYK525" s="133"/>
      <c r="FYL525" s="133"/>
      <c r="FYM525" s="133"/>
      <c r="FYN525" s="133"/>
      <c r="FYO525" s="133"/>
      <c r="FYP525" s="133"/>
      <c r="FYQ525" s="133"/>
      <c r="FYR525" s="133"/>
      <c r="FYS525" s="133"/>
      <c r="FYT525" s="133"/>
      <c r="FYU525" s="133"/>
      <c r="FYV525" s="133"/>
      <c r="FYW525" s="133"/>
      <c r="FYX525" s="133"/>
      <c r="FYY525" s="133"/>
      <c r="FYZ525" s="133"/>
      <c r="FZA525" s="133"/>
      <c r="FZB525" s="133"/>
      <c r="FZC525" s="133"/>
      <c r="FZD525" s="133"/>
      <c r="FZE525" s="133"/>
      <c r="FZF525" s="133"/>
      <c r="FZG525" s="133"/>
      <c r="FZH525" s="133"/>
      <c r="FZI525" s="133"/>
      <c r="FZJ525" s="133"/>
      <c r="FZK525" s="133"/>
      <c r="FZL525" s="133"/>
      <c r="FZM525" s="133"/>
      <c r="FZN525" s="133"/>
      <c r="FZO525" s="133"/>
      <c r="FZP525" s="133"/>
      <c r="FZQ525" s="133"/>
      <c r="FZR525" s="133"/>
      <c r="FZS525" s="133"/>
      <c r="FZT525" s="133"/>
      <c r="FZU525" s="133"/>
      <c r="FZV525" s="133"/>
      <c r="FZW525" s="133"/>
      <c r="FZX525" s="133"/>
      <c r="FZY525" s="133"/>
      <c r="FZZ525" s="133"/>
      <c r="GAA525" s="133"/>
      <c r="GAB525" s="133"/>
      <c r="GAC525" s="133"/>
      <c r="GAD525" s="133"/>
      <c r="GAE525" s="133"/>
      <c r="GAF525" s="133"/>
      <c r="GAG525" s="133"/>
      <c r="GAH525" s="133"/>
      <c r="GAI525" s="133"/>
      <c r="GAJ525" s="133"/>
      <c r="GAK525" s="133"/>
      <c r="GAL525" s="133"/>
      <c r="GAM525" s="133"/>
      <c r="GAN525" s="133"/>
      <c r="GAO525" s="133"/>
      <c r="GAP525" s="133"/>
      <c r="GAQ525" s="133"/>
      <c r="GAR525" s="133"/>
      <c r="GAS525" s="133"/>
      <c r="GAT525" s="133"/>
      <c r="GAU525" s="133"/>
      <c r="GAV525" s="133"/>
      <c r="GAW525" s="133"/>
      <c r="GAX525" s="133"/>
      <c r="GAY525" s="133"/>
      <c r="GAZ525" s="133"/>
      <c r="GBA525" s="133"/>
      <c r="GBB525" s="133"/>
      <c r="GBC525" s="133"/>
      <c r="GBD525" s="133"/>
      <c r="GBE525" s="133"/>
      <c r="GBF525" s="133"/>
      <c r="GBG525" s="133"/>
      <c r="GBH525" s="133"/>
      <c r="GBI525" s="133"/>
      <c r="GBJ525" s="133"/>
      <c r="GBK525" s="133"/>
      <c r="GBL525" s="133"/>
      <c r="GBM525" s="133"/>
      <c r="GBN525" s="133"/>
      <c r="GBO525" s="133"/>
      <c r="GBP525" s="133"/>
      <c r="GBQ525" s="133"/>
      <c r="GBR525" s="133"/>
      <c r="GBS525" s="133"/>
      <c r="GBT525" s="133"/>
      <c r="GBU525" s="133"/>
      <c r="GBV525" s="133"/>
      <c r="GBW525" s="133"/>
      <c r="GBX525" s="133"/>
      <c r="GBY525" s="133"/>
      <c r="GBZ525" s="133"/>
      <c r="GCA525" s="133"/>
      <c r="GCB525" s="133"/>
      <c r="GCC525" s="133"/>
      <c r="GCD525" s="133"/>
      <c r="GCE525" s="133"/>
      <c r="GCF525" s="133"/>
      <c r="GCG525" s="133"/>
      <c r="GCH525" s="133"/>
      <c r="GCI525" s="133"/>
      <c r="GCJ525" s="133"/>
      <c r="GCK525" s="133"/>
      <c r="GCL525" s="133"/>
      <c r="GCM525" s="133"/>
      <c r="GCN525" s="133"/>
      <c r="GCO525" s="133"/>
      <c r="GCP525" s="133"/>
      <c r="GCQ525" s="133"/>
      <c r="GCR525" s="133"/>
      <c r="GCS525" s="133"/>
      <c r="GCT525" s="133"/>
      <c r="GCU525" s="133"/>
      <c r="GCV525" s="133"/>
      <c r="GCW525" s="133"/>
      <c r="GCX525" s="133"/>
      <c r="GCY525" s="133"/>
      <c r="GCZ525" s="133"/>
      <c r="GDA525" s="133"/>
      <c r="GDB525" s="133"/>
      <c r="GDC525" s="133"/>
      <c r="GDD525" s="133"/>
      <c r="GDE525" s="133"/>
      <c r="GDF525" s="133"/>
      <c r="GDG525" s="133"/>
      <c r="GDH525" s="133"/>
      <c r="GDI525" s="133"/>
      <c r="GDJ525" s="133"/>
      <c r="GDK525" s="133"/>
      <c r="GDL525" s="133"/>
      <c r="GDM525" s="133"/>
      <c r="GDN525" s="133"/>
      <c r="GDO525" s="133"/>
      <c r="GDP525" s="133"/>
      <c r="GDQ525" s="133"/>
      <c r="GDR525" s="133"/>
      <c r="GDS525" s="133"/>
      <c r="GDT525" s="133"/>
      <c r="GDU525" s="133"/>
      <c r="GDV525" s="133"/>
      <c r="GDW525" s="133"/>
      <c r="GDX525" s="133"/>
      <c r="GDY525" s="133"/>
      <c r="GDZ525" s="133"/>
      <c r="GEA525" s="133"/>
      <c r="GEB525" s="133"/>
      <c r="GEC525" s="133"/>
      <c r="GED525" s="133"/>
      <c r="GEE525" s="133"/>
      <c r="GEF525" s="133"/>
      <c r="GEG525" s="133"/>
      <c r="GEH525" s="133"/>
      <c r="GEI525" s="133"/>
      <c r="GEJ525" s="133"/>
      <c r="GEK525" s="133"/>
      <c r="GEL525" s="133"/>
      <c r="GEM525" s="133"/>
      <c r="GEN525" s="133"/>
      <c r="GEO525" s="133"/>
      <c r="GEP525" s="133"/>
      <c r="GEQ525" s="133"/>
      <c r="GER525" s="133"/>
      <c r="GES525" s="133"/>
      <c r="GET525" s="133"/>
      <c r="GEU525" s="133"/>
      <c r="GEV525" s="133"/>
      <c r="GEW525" s="133"/>
      <c r="GEX525" s="133"/>
      <c r="GEY525" s="133"/>
      <c r="GEZ525" s="133"/>
      <c r="GFA525" s="133"/>
      <c r="GFB525" s="133"/>
      <c r="GFC525" s="133"/>
      <c r="GFD525" s="133"/>
      <c r="GFE525" s="133"/>
      <c r="GFF525" s="133"/>
      <c r="GFG525" s="133"/>
      <c r="GFH525" s="133"/>
      <c r="GFI525" s="133"/>
      <c r="GFJ525" s="133"/>
      <c r="GFK525" s="133"/>
      <c r="GFL525" s="133"/>
      <c r="GFM525" s="133"/>
      <c r="GFN525" s="133"/>
      <c r="GFO525" s="133"/>
      <c r="GFP525" s="133"/>
      <c r="GFQ525" s="133"/>
      <c r="GFR525" s="133"/>
      <c r="GFS525" s="133"/>
      <c r="GFT525" s="133"/>
      <c r="GFU525" s="133"/>
      <c r="GFV525" s="133"/>
      <c r="GFW525" s="133"/>
      <c r="GFX525" s="133"/>
      <c r="GFY525" s="133"/>
      <c r="GFZ525" s="133"/>
      <c r="GGA525" s="133"/>
      <c r="GGB525" s="133"/>
      <c r="GGC525" s="133"/>
      <c r="GGD525" s="133"/>
      <c r="GGE525" s="133"/>
      <c r="GGF525" s="133"/>
      <c r="GGG525" s="133"/>
      <c r="GGH525" s="133"/>
      <c r="GGI525" s="133"/>
      <c r="GGJ525" s="133"/>
      <c r="GGK525" s="133"/>
      <c r="GGL525" s="133"/>
      <c r="GGM525" s="133"/>
      <c r="GGN525" s="133"/>
      <c r="GGO525" s="133"/>
      <c r="GGP525" s="133"/>
      <c r="GGQ525" s="133"/>
      <c r="GGR525" s="133"/>
      <c r="GGS525" s="133"/>
      <c r="GGT525" s="133"/>
      <c r="GGU525" s="133"/>
      <c r="GGV525" s="133"/>
      <c r="GGW525" s="133"/>
      <c r="GGX525" s="133"/>
      <c r="GGY525" s="133"/>
      <c r="GGZ525" s="133"/>
      <c r="GHA525" s="133"/>
      <c r="GHB525" s="133"/>
      <c r="GHC525" s="133"/>
      <c r="GHD525" s="133"/>
      <c r="GHE525" s="133"/>
      <c r="GHF525" s="133"/>
      <c r="GHG525" s="133"/>
      <c r="GHH525" s="133"/>
      <c r="GHI525" s="133"/>
      <c r="GHJ525" s="133"/>
      <c r="GHK525" s="133"/>
      <c r="GHL525" s="133"/>
      <c r="GHM525" s="133"/>
      <c r="GHN525" s="133"/>
      <c r="GHO525" s="133"/>
      <c r="GHP525" s="133"/>
      <c r="GHQ525" s="133"/>
      <c r="GHR525" s="133"/>
      <c r="GHS525" s="133"/>
      <c r="GHT525" s="133"/>
      <c r="GHU525" s="133"/>
      <c r="GHV525" s="133"/>
      <c r="GHW525" s="133"/>
      <c r="GHX525" s="133"/>
      <c r="GHY525" s="133"/>
      <c r="GHZ525" s="133"/>
      <c r="GIA525" s="133"/>
      <c r="GIB525" s="133"/>
      <c r="GIC525" s="133"/>
      <c r="GID525" s="133"/>
      <c r="GIE525" s="133"/>
      <c r="GIF525" s="133"/>
      <c r="GIG525" s="133"/>
      <c r="GIH525" s="133"/>
      <c r="GII525" s="133"/>
      <c r="GIJ525" s="133"/>
      <c r="GIK525" s="133"/>
      <c r="GIL525" s="133"/>
      <c r="GIM525" s="133"/>
      <c r="GIN525" s="133"/>
      <c r="GIO525" s="133"/>
      <c r="GIP525" s="133"/>
      <c r="GIQ525" s="133"/>
      <c r="GIR525" s="133"/>
      <c r="GIS525" s="133"/>
      <c r="GIT525" s="133"/>
      <c r="GIU525" s="133"/>
      <c r="GIV525" s="133"/>
      <c r="GIW525" s="133"/>
      <c r="GIX525" s="133"/>
      <c r="GIY525" s="133"/>
      <c r="GIZ525" s="133"/>
      <c r="GJA525" s="133"/>
      <c r="GJB525" s="133"/>
      <c r="GJC525" s="133"/>
      <c r="GJD525" s="133"/>
      <c r="GJE525" s="133"/>
      <c r="GJF525" s="133"/>
      <c r="GJG525" s="133"/>
      <c r="GJH525" s="133"/>
      <c r="GJI525" s="133"/>
      <c r="GJJ525" s="133"/>
      <c r="GJK525" s="133"/>
      <c r="GJL525" s="133"/>
      <c r="GJM525" s="133"/>
      <c r="GJN525" s="133"/>
      <c r="GJO525" s="133"/>
      <c r="GJP525" s="133"/>
      <c r="GJQ525" s="133"/>
      <c r="GJR525" s="133"/>
      <c r="GJS525" s="133"/>
      <c r="GJT525" s="133"/>
      <c r="GJU525" s="133"/>
      <c r="GJV525" s="133"/>
      <c r="GJW525" s="133"/>
      <c r="GJX525" s="133"/>
      <c r="GJY525" s="133"/>
      <c r="GJZ525" s="133"/>
      <c r="GKA525" s="133"/>
      <c r="GKB525" s="133"/>
      <c r="GKC525" s="133"/>
      <c r="GKD525" s="133"/>
      <c r="GKE525" s="133"/>
      <c r="GKF525" s="133"/>
      <c r="GKG525" s="133"/>
      <c r="GKH525" s="133"/>
      <c r="GKI525" s="133"/>
      <c r="GKJ525" s="133"/>
      <c r="GKK525" s="133"/>
      <c r="GKL525" s="133"/>
      <c r="GKM525" s="133"/>
      <c r="GKN525" s="133"/>
      <c r="GKO525" s="133"/>
      <c r="GKP525" s="133"/>
      <c r="GKQ525" s="133"/>
      <c r="GKR525" s="133"/>
      <c r="GKS525" s="133"/>
      <c r="GKT525" s="133"/>
      <c r="GKU525" s="133"/>
      <c r="GKV525" s="133"/>
      <c r="GKW525" s="133"/>
      <c r="GKX525" s="133"/>
      <c r="GKY525" s="133"/>
      <c r="GKZ525" s="133"/>
      <c r="GLA525" s="133"/>
      <c r="GLB525" s="133"/>
      <c r="GLC525" s="133"/>
      <c r="GLD525" s="133"/>
      <c r="GLE525" s="133"/>
      <c r="GLF525" s="133"/>
      <c r="GLG525" s="133"/>
      <c r="GLH525" s="133"/>
      <c r="GLI525" s="133"/>
      <c r="GLJ525" s="133"/>
      <c r="GLK525" s="133"/>
      <c r="GLL525" s="133"/>
      <c r="GLM525" s="133"/>
      <c r="GLN525" s="133"/>
      <c r="GLO525" s="133"/>
      <c r="GLP525" s="133"/>
      <c r="GLQ525" s="133"/>
      <c r="GLR525" s="133"/>
      <c r="GLS525" s="133"/>
      <c r="GLT525" s="133"/>
      <c r="GLU525" s="133"/>
      <c r="GLV525" s="133"/>
      <c r="GLW525" s="133"/>
      <c r="GLX525" s="133"/>
      <c r="GLY525" s="133"/>
      <c r="GLZ525" s="133"/>
      <c r="GMA525" s="133"/>
      <c r="GMB525" s="133"/>
      <c r="GMC525" s="133"/>
      <c r="GMD525" s="133"/>
      <c r="GME525" s="133"/>
      <c r="GMF525" s="133"/>
      <c r="GMG525" s="133"/>
      <c r="GMH525" s="133"/>
      <c r="GMI525" s="133"/>
      <c r="GMJ525" s="133"/>
      <c r="GMK525" s="133"/>
      <c r="GML525" s="133"/>
      <c r="GMM525" s="133"/>
      <c r="GMN525" s="133"/>
      <c r="GMO525" s="133"/>
      <c r="GMP525" s="133"/>
      <c r="GMQ525" s="133"/>
      <c r="GMR525" s="133"/>
      <c r="GMS525" s="133"/>
      <c r="GMT525" s="133"/>
      <c r="GMU525" s="133"/>
      <c r="GMV525" s="133"/>
      <c r="GMW525" s="133"/>
      <c r="GMX525" s="133"/>
      <c r="GMY525" s="133"/>
      <c r="GMZ525" s="133"/>
      <c r="GNA525" s="133"/>
      <c r="GNB525" s="133"/>
      <c r="GNC525" s="133"/>
      <c r="GND525" s="133"/>
      <c r="GNE525" s="133"/>
      <c r="GNF525" s="133"/>
      <c r="GNG525" s="133"/>
      <c r="GNH525" s="133"/>
      <c r="GNI525" s="133"/>
      <c r="GNJ525" s="133"/>
      <c r="GNK525" s="133"/>
      <c r="GNL525" s="133"/>
      <c r="GNM525" s="133"/>
      <c r="GNN525" s="133"/>
      <c r="GNO525" s="133"/>
      <c r="GNP525" s="133"/>
      <c r="GNQ525" s="133"/>
      <c r="GNR525" s="133"/>
      <c r="GNS525" s="133"/>
      <c r="GNT525" s="133"/>
      <c r="GNU525" s="133"/>
      <c r="GNV525" s="133"/>
      <c r="GNW525" s="133"/>
      <c r="GNX525" s="133"/>
      <c r="GNY525" s="133"/>
      <c r="GNZ525" s="133"/>
      <c r="GOA525" s="133"/>
      <c r="GOB525" s="133"/>
      <c r="GOC525" s="133"/>
      <c r="GOD525" s="133"/>
      <c r="GOE525" s="133"/>
      <c r="GOF525" s="133"/>
      <c r="GOG525" s="133"/>
      <c r="GOH525" s="133"/>
      <c r="GOI525" s="133"/>
      <c r="GOJ525" s="133"/>
      <c r="GOK525" s="133"/>
      <c r="GOL525" s="133"/>
      <c r="GOM525" s="133"/>
      <c r="GON525" s="133"/>
      <c r="GOO525" s="133"/>
      <c r="GOP525" s="133"/>
      <c r="GOQ525" s="133"/>
      <c r="GOR525" s="133"/>
      <c r="GOS525" s="133"/>
      <c r="GOT525" s="133"/>
      <c r="GOU525" s="133"/>
      <c r="GOV525" s="133"/>
      <c r="GOW525" s="133"/>
      <c r="GOX525" s="133"/>
      <c r="GOY525" s="133"/>
      <c r="GOZ525" s="133"/>
      <c r="GPA525" s="133"/>
      <c r="GPB525" s="133"/>
      <c r="GPC525" s="133"/>
      <c r="GPD525" s="133"/>
      <c r="GPE525" s="133"/>
      <c r="GPF525" s="133"/>
      <c r="GPG525" s="133"/>
      <c r="GPH525" s="133"/>
      <c r="GPI525" s="133"/>
      <c r="GPJ525" s="133"/>
      <c r="GPK525" s="133"/>
      <c r="GPL525" s="133"/>
      <c r="GPM525" s="133"/>
      <c r="GPN525" s="133"/>
      <c r="GPO525" s="133"/>
      <c r="GPP525" s="133"/>
      <c r="GPQ525" s="133"/>
      <c r="GPR525" s="133"/>
      <c r="GPS525" s="133"/>
      <c r="GPT525" s="133"/>
      <c r="GPU525" s="133"/>
      <c r="GPV525" s="133"/>
      <c r="GPW525" s="133"/>
      <c r="GPX525" s="133"/>
      <c r="GPY525" s="133"/>
      <c r="GPZ525" s="133"/>
      <c r="GQA525" s="133"/>
      <c r="GQB525" s="133"/>
      <c r="GQC525" s="133"/>
      <c r="GQD525" s="133"/>
      <c r="GQE525" s="133"/>
      <c r="GQF525" s="133"/>
      <c r="GQG525" s="133"/>
      <c r="GQH525" s="133"/>
      <c r="GQI525" s="133"/>
      <c r="GQJ525" s="133"/>
      <c r="GQK525" s="133"/>
      <c r="GQL525" s="133"/>
      <c r="GQM525" s="133"/>
      <c r="GQN525" s="133"/>
      <c r="GQO525" s="133"/>
      <c r="GQP525" s="133"/>
      <c r="GQQ525" s="133"/>
      <c r="GQR525" s="133"/>
      <c r="GQS525" s="133"/>
      <c r="GQT525" s="133"/>
      <c r="GQU525" s="133"/>
      <c r="GQV525" s="133"/>
      <c r="GQW525" s="133"/>
      <c r="GQX525" s="133"/>
      <c r="GQY525" s="133"/>
      <c r="GQZ525" s="133"/>
      <c r="GRA525" s="133"/>
      <c r="GRB525" s="133"/>
      <c r="GRC525" s="133"/>
      <c r="GRD525" s="133"/>
      <c r="GRE525" s="133"/>
      <c r="GRF525" s="133"/>
      <c r="GRG525" s="133"/>
      <c r="GRH525" s="133"/>
      <c r="GRI525" s="133"/>
      <c r="GRJ525" s="133"/>
      <c r="GRK525" s="133"/>
      <c r="GRL525" s="133"/>
      <c r="GRM525" s="133"/>
      <c r="GRN525" s="133"/>
      <c r="GRO525" s="133"/>
      <c r="GRP525" s="133"/>
      <c r="GRQ525" s="133"/>
      <c r="GRR525" s="133"/>
      <c r="GRS525" s="133"/>
      <c r="GRT525" s="133"/>
      <c r="GRU525" s="133"/>
      <c r="GRV525" s="133"/>
      <c r="GRW525" s="133"/>
      <c r="GRX525" s="133"/>
      <c r="GRY525" s="133"/>
      <c r="GRZ525" s="133"/>
      <c r="GSA525" s="133"/>
      <c r="GSB525" s="133"/>
      <c r="GSC525" s="133"/>
      <c r="GSD525" s="133"/>
      <c r="GSE525" s="133"/>
      <c r="GSF525" s="133"/>
      <c r="GSG525" s="133"/>
      <c r="GSH525" s="133"/>
      <c r="GSI525" s="133"/>
      <c r="GSJ525" s="133"/>
      <c r="GSK525" s="133"/>
      <c r="GSL525" s="133"/>
      <c r="GSM525" s="133"/>
      <c r="GSN525" s="133"/>
      <c r="GSO525" s="133"/>
      <c r="GSP525" s="133"/>
      <c r="GSQ525" s="133"/>
      <c r="GSR525" s="133"/>
      <c r="GSS525" s="133"/>
      <c r="GST525" s="133"/>
      <c r="GSU525" s="133"/>
      <c r="GSV525" s="133"/>
      <c r="GSW525" s="133"/>
      <c r="GSX525" s="133"/>
      <c r="GSY525" s="133"/>
      <c r="GSZ525" s="133"/>
      <c r="GTA525" s="133"/>
      <c r="GTB525" s="133"/>
      <c r="GTC525" s="133"/>
      <c r="GTD525" s="133"/>
      <c r="GTE525" s="133"/>
      <c r="GTF525" s="133"/>
      <c r="GTG525" s="133"/>
      <c r="GTH525" s="133"/>
      <c r="GTI525" s="133"/>
      <c r="GTJ525" s="133"/>
      <c r="GTK525" s="133"/>
      <c r="GTL525" s="133"/>
      <c r="GTM525" s="133"/>
      <c r="GTN525" s="133"/>
      <c r="GTO525" s="133"/>
      <c r="GTP525" s="133"/>
      <c r="GTQ525" s="133"/>
      <c r="GTR525" s="133"/>
      <c r="GTS525" s="133"/>
      <c r="GTT525" s="133"/>
      <c r="GTU525" s="133"/>
      <c r="GTV525" s="133"/>
      <c r="GTW525" s="133"/>
      <c r="GTX525" s="133"/>
      <c r="GTY525" s="133"/>
      <c r="GTZ525" s="133"/>
      <c r="GUA525" s="133"/>
      <c r="GUB525" s="133"/>
      <c r="GUC525" s="133"/>
      <c r="GUD525" s="133"/>
      <c r="GUE525" s="133"/>
      <c r="GUF525" s="133"/>
      <c r="GUG525" s="133"/>
      <c r="GUH525" s="133"/>
      <c r="GUI525" s="133"/>
      <c r="GUJ525" s="133"/>
      <c r="GUK525" s="133"/>
      <c r="GUL525" s="133"/>
      <c r="GUM525" s="133"/>
      <c r="GUN525" s="133"/>
      <c r="GUO525" s="133"/>
      <c r="GUP525" s="133"/>
      <c r="GUQ525" s="133"/>
      <c r="GUR525" s="133"/>
      <c r="GUS525" s="133"/>
      <c r="GUT525" s="133"/>
      <c r="GUU525" s="133"/>
      <c r="GUV525" s="133"/>
      <c r="GUW525" s="133"/>
      <c r="GUX525" s="133"/>
      <c r="GUY525" s="133"/>
      <c r="GUZ525" s="133"/>
      <c r="GVA525" s="133"/>
      <c r="GVB525" s="133"/>
      <c r="GVC525" s="133"/>
      <c r="GVD525" s="133"/>
      <c r="GVE525" s="133"/>
      <c r="GVF525" s="133"/>
      <c r="GVG525" s="133"/>
      <c r="GVH525" s="133"/>
      <c r="GVI525" s="133"/>
      <c r="GVJ525" s="133"/>
      <c r="GVK525" s="133"/>
      <c r="GVL525" s="133"/>
      <c r="GVM525" s="133"/>
      <c r="GVN525" s="133"/>
      <c r="GVO525" s="133"/>
      <c r="GVP525" s="133"/>
      <c r="GVQ525" s="133"/>
      <c r="GVR525" s="133"/>
      <c r="GVS525" s="133"/>
      <c r="GVT525" s="133"/>
      <c r="GVU525" s="133"/>
      <c r="GVV525" s="133"/>
      <c r="GVW525" s="133"/>
      <c r="GVX525" s="133"/>
      <c r="GVY525" s="133"/>
      <c r="GVZ525" s="133"/>
      <c r="GWA525" s="133"/>
      <c r="GWB525" s="133"/>
      <c r="GWC525" s="133"/>
      <c r="GWD525" s="133"/>
      <c r="GWE525" s="133"/>
      <c r="GWF525" s="133"/>
      <c r="GWG525" s="133"/>
      <c r="GWH525" s="133"/>
      <c r="GWI525" s="133"/>
      <c r="GWJ525" s="133"/>
      <c r="GWK525" s="133"/>
      <c r="GWL525" s="133"/>
      <c r="GWM525" s="133"/>
      <c r="GWN525" s="133"/>
      <c r="GWO525" s="133"/>
      <c r="GWP525" s="133"/>
      <c r="GWQ525" s="133"/>
      <c r="GWR525" s="133"/>
      <c r="GWS525" s="133"/>
      <c r="GWT525" s="133"/>
      <c r="GWU525" s="133"/>
      <c r="GWV525" s="133"/>
      <c r="GWW525" s="133"/>
      <c r="GWX525" s="133"/>
      <c r="GWY525" s="133"/>
      <c r="GWZ525" s="133"/>
      <c r="GXA525" s="133"/>
      <c r="GXB525" s="133"/>
      <c r="GXC525" s="133"/>
      <c r="GXD525" s="133"/>
      <c r="GXE525" s="133"/>
      <c r="GXF525" s="133"/>
      <c r="GXG525" s="133"/>
      <c r="GXH525" s="133"/>
      <c r="GXI525" s="133"/>
      <c r="GXJ525" s="133"/>
      <c r="GXK525" s="133"/>
      <c r="GXL525" s="133"/>
      <c r="GXM525" s="133"/>
      <c r="GXN525" s="133"/>
      <c r="GXO525" s="133"/>
      <c r="GXP525" s="133"/>
      <c r="GXQ525" s="133"/>
      <c r="GXR525" s="133"/>
      <c r="GXS525" s="133"/>
      <c r="GXT525" s="133"/>
      <c r="GXU525" s="133"/>
      <c r="GXV525" s="133"/>
      <c r="GXW525" s="133"/>
      <c r="GXX525" s="133"/>
      <c r="GXY525" s="133"/>
      <c r="GXZ525" s="133"/>
      <c r="GYA525" s="133"/>
      <c r="GYB525" s="133"/>
      <c r="GYC525" s="133"/>
      <c r="GYD525" s="133"/>
      <c r="GYE525" s="133"/>
      <c r="GYF525" s="133"/>
      <c r="GYG525" s="133"/>
      <c r="GYH525" s="133"/>
      <c r="GYI525" s="133"/>
      <c r="GYJ525" s="133"/>
      <c r="GYK525" s="133"/>
      <c r="GYL525" s="133"/>
      <c r="GYM525" s="133"/>
      <c r="GYN525" s="133"/>
      <c r="GYO525" s="133"/>
      <c r="GYP525" s="133"/>
      <c r="GYQ525" s="133"/>
      <c r="GYR525" s="133"/>
      <c r="GYS525" s="133"/>
      <c r="GYT525" s="133"/>
      <c r="GYU525" s="133"/>
      <c r="GYV525" s="133"/>
      <c r="GYW525" s="133"/>
      <c r="GYX525" s="133"/>
      <c r="GYY525" s="133"/>
      <c r="GYZ525" s="133"/>
      <c r="GZA525" s="133"/>
      <c r="GZB525" s="133"/>
      <c r="GZC525" s="133"/>
      <c r="GZD525" s="133"/>
      <c r="GZE525" s="133"/>
      <c r="GZF525" s="133"/>
      <c r="GZG525" s="133"/>
      <c r="GZH525" s="133"/>
      <c r="GZI525" s="133"/>
      <c r="GZJ525" s="133"/>
      <c r="GZK525" s="133"/>
      <c r="GZL525" s="133"/>
      <c r="GZM525" s="133"/>
      <c r="GZN525" s="133"/>
      <c r="GZO525" s="133"/>
      <c r="GZP525" s="133"/>
      <c r="GZQ525" s="133"/>
      <c r="GZR525" s="133"/>
      <c r="GZS525" s="133"/>
      <c r="GZT525" s="133"/>
      <c r="GZU525" s="133"/>
      <c r="GZV525" s="133"/>
      <c r="GZW525" s="133"/>
      <c r="GZX525" s="133"/>
      <c r="GZY525" s="133"/>
      <c r="GZZ525" s="133"/>
      <c r="HAA525" s="133"/>
      <c r="HAB525" s="133"/>
      <c r="HAC525" s="133"/>
      <c r="HAD525" s="133"/>
      <c r="HAE525" s="133"/>
      <c r="HAF525" s="133"/>
      <c r="HAG525" s="133"/>
      <c r="HAH525" s="133"/>
      <c r="HAI525" s="133"/>
      <c r="HAJ525" s="133"/>
      <c r="HAK525" s="133"/>
      <c r="HAL525" s="133"/>
      <c r="HAM525" s="133"/>
      <c r="HAN525" s="133"/>
      <c r="HAO525" s="133"/>
      <c r="HAP525" s="133"/>
      <c r="HAQ525" s="133"/>
      <c r="HAR525" s="133"/>
      <c r="HAS525" s="133"/>
      <c r="HAT525" s="133"/>
      <c r="HAU525" s="133"/>
      <c r="HAV525" s="133"/>
      <c r="HAW525" s="133"/>
      <c r="HAX525" s="133"/>
      <c r="HAY525" s="133"/>
      <c r="HAZ525" s="133"/>
      <c r="HBA525" s="133"/>
      <c r="HBB525" s="133"/>
      <c r="HBC525" s="133"/>
      <c r="HBD525" s="133"/>
      <c r="HBE525" s="133"/>
      <c r="HBF525" s="133"/>
      <c r="HBG525" s="133"/>
      <c r="HBH525" s="133"/>
      <c r="HBI525" s="133"/>
      <c r="HBJ525" s="133"/>
      <c r="HBK525" s="133"/>
      <c r="HBL525" s="133"/>
      <c r="HBM525" s="133"/>
      <c r="HBN525" s="133"/>
      <c r="HBO525" s="133"/>
      <c r="HBP525" s="133"/>
      <c r="HBQ525" s="133"/>
      <c r="HBR525" s="133"/>
      <c r="HBS525" s="133"/>
      <c r="HBT525" s="133"/>
      <c r="HBU525" s="133"/>
      <c r="HBV525" s="133"/>
      <c r="HBW525" s="133"/>
      <c r="HBX525" s="133"/>
      <c r="HBY525" s="133"/>
      <c r="HBZ525" s="133"/>
      <c r="HCA525" s="133"/>
      <c r="HCB525" s="133"/>
      <c r="HCC525" s="133"/>
      <c r="HCD525" s="133"/>
      <c r="HCE525" s="133"/>
      <c r="HCF525" s="133"/>
      <c r="HCG525" s="133"/>
      <c r="HCH525" s="133"/>
      <c r="HCI525" s="133"/>
      <c r="HCJ525" s="133"/>
      <c r="HCK525" s="133"/>
      <c r="HCL525" s="133"/>
      <c r="HCM525" s="133"/>
      <c r="HCN525" s="133"/>
      <c r="HCO525" s="133"/>
      <c r="HCP525" s="133"/>
      <c r="HCQ525" s="133"/>
      <c r="HCR525" s="133"/>
      <c r="HCS525" s="133"/>
      <c r="HCT525" s="133"/>
      <c r="HCU525" s="133"/>
      <c r="HCV525" s="133"/>
      <c r="HCW525" s="133"/>
      <c r="HCX525" s="133"/>
      <c r="HCY525" s="133"/>
      <c r="HCZ525" s="133"/>
      <c r="HDA525" s="133"/>
      <c r="HDB525" s="133"/>
      <c r="HDC525" s="133"/>
      <c r="HDD525" s="133"/>
      <c r="HDE525" s="133"/>
      <c r="HDF525" s="133"/>
      <c r="HDG525" s="133"/>
      <c r="HDH525" s="133"/>
      <c r="HDI525" s="133"/>
      <c r="HDJ525" s="133"/>
      <c r="HDK525" s="133"/>
      <c r="HDL525" s="133"/>
      <c r="HDM525" s="133"/>
      <c r="HDN525" s="133"/>
      <c r="HDO525" s="133"/>
      <c r="HDP525" s="133"/>
      <c r="HDQ525" s="133"/>
      <c r="HDR525" s="133"/>
      <c r="HDS525" s="133"/>
      <c r="HDT525" s="133"/>
      <c r="HDU525" s="133"/>
      <c r="HDV525" s="133"/>
      <c r="HDW525" s="133"/>
      <c r="HDX525" s="133"/>
      <c r="HDY525" s="133"/>
      <c r="HDZ525" s="133"/>
      <c r="HEA525" s="133"/>
      <c r="HEB525" s="133"/>
      <c r="HEC525" s="133"/>
      <c r="HED525" s="133"/>
      <c r="HEE525" s="133"/>
      <c r="HEF525" s="133"/>
      <c r="HEG525" s="133"/>
      <c r="HEH525" s="133"/>
      <c r="HEI525" s="133"/>
      <c r="HEJ525" s="133"/>
      <c r="HEK525" s="133"/>
      <c r="HEL525" s="133"/>
      <c r="HEM525" s="133"/>
      <c r="HEN525" s="133"/>
      <c r="HEO525" s="133"/>
      <c r="HEP525" s="133"/>
      <c r="HEQ525" s="133"/>
      <c r="HER525" s="133"/>
      <c r="HES525" s="133"/>
      <c r="HET525" s="133"/>
      <c r="HEU525" s="133"/>
      <c r="HEV525" s="133"/>
      <c r="HEW525" s="133"/>
      <c r="HEX525" s="133"/>
      <c r="HEY525" s="133"/>
      <c r="HEZ525" s="133"/>
      <c r="HFA525" s="133"/>
      <c r="HFB525" s="133"/>
      <c r="HFC525" s="133"/>
      <c r="HFD525" s="133"/>
      <c r="HFE525" s="133"/>
      <c r="HFF525" s="133"/>
      <c r="HFG525" s="133"/>
      <c r="HFH525" s="133"/>
      <c r="HFI525" s="133"/>
      <c r="HFJ525" s="133"/>
      <c r="HFK525" s="133"/>
      <c r="HFL525" s="133"/>
      <c r="HFM525" s="133"/>
      <c r="HFN525" s="133"/>
      <c r="HFO525" s="133"/>
      <c r="HFP525" s="133"/>
      <c r="HFQ525" s="133"/>
      <c r="HFR525" s="133"/>
      <c r="HFS525" s="133"/>
      <c r="HFT525" s="133"/>
      <c r="HFU525" s="133"/>
      <c r="HFV525" s="133"/>
      <c r="HFW525" s="133"/>
      <c r="HFX525" s="133"/>
      <c r="HFY525" s="133"/>
      <c r="HFZ525" s="133"/>
      <c r="HGA525" s="133"/>
      <c r="HGB525" s="133"/>
      <c r="HGC525" s="133"/>
      <c r="HGD525" s="133"/>
      <c r="HGE525" s="133"/>
      <c r="HGF525" s="133"/>
      <c r="HGG525" s="133"/>
      <c r="HGH525" s="133"/>
      <c r="HGI525" s="133"/>
      <c r="HGJ525" s="133"/>
      <c r="HGK525" s="133"/>
      <c r="HGL525" s="133"/>
      <c r="HGM525" s="133"/>
      <c r="HGN525" s="133"/>
      <c r="HGO525" s="133"/>
      <c r="HGP525" s="133"/>
      <c r="HGQ525" s="133"/>
      <c r="HGR525" s="133"/>
      <c r="HGS525" s="133"/>
      <c r="HGT525" s="133"/>
      <c r="HGU525" s="133"/>
      <c r="HGV525" s="133"/>
      <c r="HGW525" s="133"/>
      <c r="HGX525" s="133"/>
      <c r="HGY525" s="133"/>
      <c r="HGZ525" s="133"/>
      <c r="HHA525" s="133"/>
      <c r="HHB525" s="133"/>
      <c r="HHC525" s="133"/>
      <c r="HHD525" s="133"/>
      <c r="HHE525" s="133"/>
      <c r="HHF525" s="133"/>
      <c r="HHG525" s="133"/>
      <c r="HHH525" s="133"/>
      <c r="HHI525" s="133"/>
      <c r="HHJ525" s="133"/>
      <c r="HHK525" s="133"/>
      <c r="HHL525" s="133"/>
      <c r="HHM525" s="133"/>
      <c r="HHN525" s="133"/>
      <c r="HHO525" s="133"/>
      <c r="HHP525" s="133"/>
      <c r="HHQ525" s="133"/>
      <c r="HHR525" s="133"/>
      <c r="HHS525" s="133"/>
      <c r="HHT525" s="133"/>
      <c r="HHU525" s="133"/>
      <c r="HHV525" s="133"/>
      <c r="HHW525" s="133"/>
      <c r="HHX525" s="133"/>
      <c r="HHY525" s="133"/>
      <c r="HHZ525" s="133"/>
      <c r="HIA525" s="133"/>
      <c r="HIB525" s="133"/>
      <c r="HIC525" s="133"/>
      <c r="HID525" s="133"/>
      <c r="HIE525" s="133"/>
      <c r="HIF525" s="133"/>
      <c r="HIG525" s="133"/>
      <c r="HIH525" s="133"/>
      <c r="HII525" s="133"/>
      <c r="HIJ525" s="133"/>
      <c r="HIK525" s="133"/>
      <c r="HIL525" s="133"/>
      <c r="HIM525" s="133"/>
      <c r="HIN525" s="133"/>
      <c r="HIO525" s="133"/>
      <c r="HIP525" s="133"/>
      <c r="HIQ525" s="133"/>
      <c r="HIR525" s="133"/>
      <c r="HIS525" s="133"/>
      <c r="HIT525" s="133"/>
      <c r="HIU525" s="133"/>
      <c r="HIV525" s="133"/>
      <c r="HIW525" s="133"/>
      <c r="HIX525" s="133"/>
      <c r="HIY525" s="133"/>
      <c r="HIZ525" s="133"/>
      <c r="HJA525" s="133"/>
      <c r="HJB525" s="133"/>
      <c r="HJC525" s="133"/>
      <c r="HJD525" s="133"/>
      <c r="HJE525" s="133"/>
      <c r="HJF525" s="133"/>
      <c r="HJG525" s="133"/>
      <c r="HJH525" s="133"/>
      <c r="HJI525" s="133"/>
      <c r="HJJ525" s="133"/>
      <c r="HJK525" s="133"/>
      <c r="HJL525" s="133"/>
      <c r="HJM525" s="133"/>
      <c r="HJN525" s="133"/>
      <c r="HJO525" s="133"/>
      <c r="HJP525" s="133"/>
      <c r="HJQ525" s="133"/>
      <c r="HJR525" s="133"/>
      <c r="HJS525" s="133"/>
      <c r="HJT525" s="133"/>
      <c r="HJU525" s="133"/>
      <c r="HJV525" s="133"/>
      <c r="HJW525" s="133"/>
      <c r="HJX525" s="133"/>
      <c r="HJY525" s="133"/>
      <c r="HJZ525" s="133"/>
      <c r="HKA525" s="133"/>
      <c r="HKB525" s="133"/>
      <c r="HKC525" s="133"/>
      <c r="HKD525" s="133"/>
      <c r="HKE525" s="133"/>
      <c r="HKF525" s="133"/>
      <c r="HKG525" s="133"/>
      <c r="HKH525" s="133"/>
      <c r="HKI525" s="133"/>
      <c r="HKJ525" s="133"/>
      <c r="HKK525" s="133"/>
      <c r="HKL525" s="133"/>
      <c r="HKM525" s="133"/>
      <c r="HKN525" s="133"/>
      <c r="HKO525" s="133"/>
      <c r="HKP525" s="133"/>
      <c r="HKQ525" s="133"/>
      <c r="HKR525" s="133"/>
      <c r="HKS525" s="133"/>
      <c r="HKT525" s="133"/>
      <c r="HKU525" s="133"/>
      <c r="HKV525" s="133"/>
      <c r="HKW525" s="133"/>
      <c r="HKX525" s="133"/>
      <c r="HKY525" s="133"/>
      <c r="HKZ525" s="133"/>
      <c r="HLA525" s="133"/>
      <c r="HLB525" s="133"/>
      <c r="HLC525" s="133"/>
      <c r="HLD525" s="133"/>
      <c r="HLE525" s="133"/>
      <c r="HLF525" s="133"/>
      <c r="HLG525" s="133"/>
      <c r="HLH525" s="133"/>
      <c r="HLI525" s="133"/>
      <c r="HLJ525" s="133"/>
      <c r="HLK525" s="133"/>
      <c r="HLL525" s="133"/>
      <c r="HLM525" s="133"/>
      <c r="HLN525" s="133"/>
      <c r="HLO525" s="133"/>
      <c r="HLP525" s="133"/>
      <c r="HLQ525" s="133"/>
      <c r="HLR525" s="133"/>
      <c r="HLS525" s="133"/>
      <c r="HLT525" s="133"/>
      <c r="HLU525" s="133"/>
      <c r="HLV525" s="133"/>
      <c r="HLW525" s="133"/>
      <c r="HLX525" s="133"/>
      <c r="HLY525" s="133"/>
      <c r="HLZ525" s="133"/>
      <c r="HMA525" s="133"/>
      <c r="HMB525" s="133"/>
      <c r="HMC525" s="133"/>
      <c r="HMD525" s="133"/>
      <c r="HME525" s="133"/>
      <c r="HMF525" s="133"/>
      <c r="HMG525" s="133"/>
      <c r="HMH525" s="133"/>
      <c r="HMI525" s="133"/>
      <c r="HMJ525" s="133"/>
      <c r="HMK525" s="133"/>
      <c r="HML525" s="133"/>
      <c r="HMM525" s="133"/>
      <c r="HMN525" s="133"/>
      <c r="HMO525" s="133"/>
      <c r="HMP525" s="133"/>
      <c r="HMQ525" s="133"/>
      <c r="HMR525" s="133"/>
      <c r="HMS525" s="133"/>
      <c r="HMT525" s="133"/>
      <c r="HMU525" s="133"/>
      <c r="HMV525" s="133"/>
      <c r="HMW525" s="133"/>
      <c r="HMX525" s="133"/>
      <c r="HMY525" s="133"/>
      <c r="HMZ525" s="133"/>
      <c r="HNA525" s="133"/>
      <c r="HNB525" s="133"/>
      <c r="HNC525" s="133"/>
      <c r="HND525" s="133"/>
      <c r="HNE525" s="133"/>
      <c r="HNF525" s="133"/>
      <c r="HNG525" s="133"/>
      <c r="HNH525" s="133"/>
      <c r="HNI525" s="133"/>
      <c r="HNJ525" s="133"/>
      <c r="HNK525" s="133"/>
      <c r="HNL525" s="133"/>
      <c r="HNM525" s="133"/>
      <c r="HNN525" s="133"/>
      <c r="HNO525" s="133"/>
      <c r="HNP525" s="133"/>
      <c r="HNQ525" s="133"/>
      <c r="HNR525" s="133"/>
      <c r="HNS525" s="133"/>
      <c r="HNT525" s="133"/>
      <c r="HNU525" s="133"/>
      <c r="HNV525" s="133"/>
      <c r="HNW525" s="133"/>
      <c r="HNX525" s="133"/>
      <c r="HNY525" s="133"/>
      <c r="HNZ525" s="133"/>
      <c r="HOA525" s="133"/>
      <c r="HOB525" s="133"/>
      <c r="HOC525" s="133"/>
      <c r="HOD525" s="133"/>
      <c r="HOE525" s="133"/>
      <c r="HOF525" s="133"/>
      <c r="HOG525" s="133"/>
      <c r="HOH525" s="133"/>
      <c r="HOI525" s="133"/>
      <c r="HOJ525" s="133"/>
      <c r="HOK525" s="133"/>
      <c r="HOL525" s="133"/>
      <c r="HOM525" s="133"/>
      <c r="HON525" s="133"/>
      <c r="HOO525" s="133"/>
      <c r="HOP525" s="133"/>
      <c r="HOQ525" s="133"/>
      <c r="HOR525" s="133"/>
      <c r="HOS525" s="133"/>
      <c r="HOT525" s="133"/>
      <c r="HOU525" s="133"/>
      <c r="HOV525" s="133"/>
      <c r="HOW525" s="133"/>
      <c r="HOX525" s="133"/>
      <c r="HOY525" s="133"/>
      <c r="HOZ525" s="133"/>
      <c r="HPA525" s="133"/>
      <c r="HPB525" s="133"/>
      <c r="HPC525" s="133"/>
      <c r="HPD525" s="133"/>
      <c r="HPE525" s="133"/>
      <c r="HPF525" s="133"/>
      <c r="HPG525" s="133"/>
      <c r="HPH525" s="133"/>
      <c r="HPI525" s="133"/>
      <c r="HPJ525" s="133"/>
      <c r="HPK525" s="133"/>
      <c r="HPL525" s="133"/>
      <c r="HPM525" s="133"/>
      <c r="HPN525" s="133"/>
      <c r="HPO525" s="133"/>
      <c r="HPP525" s="133"/>
      <c r="HPQ525" s="133"/>
      <c r="HPR525" s="133"/>
      <c r="HPS525" s="133"/>
      <c r="HPT525" s="133"/>
      <c r="HPU525" s="133"/>
      <c r="HPV525" s="133"/>
      <c r="HPW525" s="133"/>
      <c r="HPX525" s="133"/>
      <c r="HPY525" s="133"/>
      <c r="HPZ525" s="133"/>
      <c r="HQA525" s="133"/>
      <c r="HQB525" s="133"/>
      <c r="HQC525" s="133"/>
      <c r="HQD525" s="133"/>
      <c r="HQE525" s="133"/>
      <c r="HQF525" s="133"/>
      <c r="HQG525" s="133"/>
      <c r="HQH525" s="133"/>
      <c r="HQI525" s="133"/>
      <c r="HQJ525" s="133"/>
      <c r="HQK525" s="133"/>
      <c r="HQL525" s="133"/>
      <c r="HQM525" s="133"/>
      <c r="HQN525" s="133"/>
      <c r="HQO525" s="133"/>
      <c r="HQP525" s="133"/>
      <c r="HQQ525" s="133"/>
      <c r="HQR525" s="133"/>
      <c r="HQS525" s="133"/>
      <c r="HQT525" s="133"/>
      <c r="HQU525" s="133"/>
      <c r="HQV525" s="133"/>
      <c r="HQW525" s="133"/>
      <c r="HQX525" s="133"/>
      <c r="HQY525" s="133"/>
      <c r="HQZ525" s="133"/>
      <c r="HRA525" s="133"/>
      <c r="HRB525" s="133"/>
      <c r="HRC525" s="133"/>
      <c r="HRD525" s="133"/>
      <c r="HRE525" s="133"/>
      <c r="HRF525" s="133"/>
      <c r="HRG525" s="133"/>
      <c r="HRH525" s="133"/>
      <c r="HRI525" s="133"/>
      <c r="HRJ525" s="133"/>
      <c r="HRK525" s="133"/>
      <c r="HRL525" s="133"/>
      <c r="HRM525" s="133"/>
      <c r="HRN525" s="133"/>
      <c r="HRO525" s="133"/>
      <c r="HRP525" s="133"/>
      <c r="HRQ525" s="133"/>
      <c r="HRR525" s="133"/>
      <c r="HRS525" s="133"/>
      <c r="HRT525" s="133"/>
      <c r="HRU525" s="133"/>
      <c r="HRV525" s="133"/>
      <c r="HRW525" s="133"/>
      <c r="HRX525" s="133"/>
      <c r="HRY525" s="133"/>
      <c r="HRZ525" s="133"/>
      <c r="HSA525" s="133"/>
      <c r="HSB525" s="133"/>
      <c r="HSC525" s="133"/>
      <c r="HSD525" s="133"/>
      <c r="HSE525" s="133"/>
      <c r="HSF525" s="133"/>
      <c r="HSG525" s="133"/>
      <c r="HSH525" s="133"/>
      <c r="HSI525" s="133"/>
      <c r="HSJ525" s="133"/>
      <c r="HSK525" s="133"/>
      <c r="HSL525" s="133"/>
      <c r="HSM525" s="133"/>
      <c r="HSN525" s="133"/>
      <c r="HSO525" s="133"/>
      <c r="HSP525" s="133"/>
      <c r="HSQ525" s="133"/>
      <c r="HSR525" s="133"/>
      <c r="HSS525" s="133"/>
      <c r="HST525" s="133"/>
      <c r="HSU525" s="133"/>
      <c r="HSV525" s="133"/>
      <c r="HSW525" s="133"/>
      <c r="HSX525" s="133"/>
      <c r="HSY525" s="133"/>
      <c r="HSZ525" s="133"/>
      <c r="HTA525" s="133"/>
      <c r="HTB525" s="133"/>
      <c r="HTC525" s="133"/>
      <c r="HTD525" s="133"/>
      <c r="HTE525" s="133"/>
      <c r="HTF525" s="133"/>
      <c r="HTG525" s="133"/>
      <c r="HTH525" s="133"/>
      <c r="HTI525" s="133"/>
      <c r="HTJ525" s="133"/>
      <c r="HTK525" s="133"/>
      <c r="HTL525" s="133"/>
      <c r="HTM525" s="133"/>
      <c r="HTN525" s="133"/>
      <c r="HTO525" s="133"/>
      <c r="HTP525" s="133"/>
      <c r="HTQ525" s="133"/>
      <c r="HTR525" s="133"/>
      <c r="HTS525" s="133"/>
      <c r="HTT525" s="133"/>
      <c r="HTU525" s="133"/>
      <c r="HTV525" s="133"/>
      <c r="HTW525" s="133"/>
      <c r="HTX525" s="133"/>
      <c r="HTY525" s="133"/>
      <c r="HTZ525" s="133"/>
      <c r="HUA525" s="133"/>
      <c r="HUB525" s="133"/>
      <c r="HUC525" s="133"/>
      <c r="HUD525" s="133"/>
      <c r="HUE525" s="133"/>
      <c r="HUF525" s="133"/>
      <c r="HUG525" s="133"/>
      <c r="HUH525" s="133"/>
      <c r="HUI525" s="133"/>
      <c r="HUJ525" s="133"/>
      <c r="HUK525" s="133"/>
      <c r="HUL525" s="133"/>
      <c r="HUM525" s="133"/>
      <c r="HUN525" s="133"/>
      <c r="HUO525" s="133"/>
      <c r="HUP525" s="133"/>
      <c r="HUQ525" s="133"/>
      <c r="HUR525" s="133"/>
      <c r="HUS525" s="133"/>
      <c r="HUT525" s="133"/>
      <c r="HUU525" s="133"/>
      <c r="HUV525" s="133"/>
      <c r="HUW525" s="133"/>
      <c r="HUX525" s="133"/>
      <c r="HUY525" s="133"/>
      <c r="HUZ525" s="133"/>
      <c r="HVA525" s="133"/>
      <c r="HVB525" s="133"/>
      <c r="HVC525" s="133"/>
      <c r="HVD525" s="133"/>
      <c r="HVE525" s="133"/>
      <c r="HVF525" s="133"/>
      <c r="HVG525" s="133"/>
      <c r="HVH525" s="133"/>
      <c r="HVI525" s="133"/>
      <c r="HVJ525" s="133"/>
      <c r="HVK525" s="133"/>
      <c r="HVL525" s="133"/>
      <c r="HVM525" s="133"/>
      <c r="HVN525" s="133"/>
      <c r="HVO525" s="133"/>
      <c r="HVP525" s="133"/>
      <c r="HVQ525" s="133"/>
      <c r="HVR525" s="133"/>
      <c r="HVS525" s="133"/>
      <c r="HVT525" s="133"/>
      <c r="HVU525" s="133"/>
      <c r="HVV525" s="133"/>
      <c r="HVW525" s="133"/>
      <c r="HVX525" s="133"/>
      <c r="HVY525" s="133"/>
      <c r="HVZ525" s="133"/>
      <c r="HWA525" s="133"/>
      <c r="HWB525" s="133"/>
      <c r="HWC525" s="133"/>
      <c r="HWD525" s="133"/>
      <c r="HWE525" s="133"/>
      <c r="HWF525" s="133"/>
      <c r="HWG525" s="133"/>
      <c r="HWH525" s="133"/>
      <c r="HWI525" s="133"/>
      <c r="HWJ525" s="133"/>
      <c r="HWK525" s="133"/>
      <c r="HWL525" s="133"/>
      <c r="HWM525" s="133"/>
      <c r="HWN525" s="133"/>
      <c r="HWO525" s="133"/>
      <c r="HWP525" s="133"/>
      <c r="HWQ525" s="133"/>
      <c r="HWR525" s="133"/>
      <c r="HWS525" s="133"/>
      <c r="HWT525" s="133"/>
      <c r="HWU525" s="133"/>
      <c r="HWV525" s="133"/>
      <c r="HWW525" s="133"/>
      <c r="HWX525" s="133"/>
      <c r="HWY525" s="133"/>
      <c r="HWZ525" s="133"/>
      <c r="HXA525" s="133"/>
      <c r="HXB525" s="133"/>
      <c r="HXC525" s="133"/>
      <c r="HXD525" s="133"/>
      <c r="HXE525" s="133"/>
      <c r="HXF525" s="133"/>
      <c r="HXG525" s="133"/>
      <c r="HXH525" s="133"/>
      <c r="HXI525" s="133"/>
      <c r="HXJ525" s="133"/>
      <c r="HXK525" s="133"/>
      <c r="HXL525" s="133"/>
      <c r="HXM525" s="133"/>
      <c r="HXN525" s="133"/>
      <c r="HXO525" s="133"/>
      <c r="HXP525" s="133"/>
      <c r="HXQ525" s="133"/>
      <c r="HXR525" s="133"/>
      <c r="HXS525" s="133"/>
      <c r="HXT525" s="133"/>
      <c r="HXU525" s="133"/>
      <c r="HXV525" s="133"/>
      <c r="HXW525" s="133"/>
      <c r="HXX525" s="133"/>
      <c r="HXY525" s="133"/>
      <c r="HXZ525" s="133"/>
      <c r="HYA525" s="133"/>
      <c r="HYB525" s="133"/>
      <c r="HYC525" s="133"/>
      <c r="HYD525" s="133"/>
      <c r="HYE525" s="133"/>
      <c r="HYF525" s="133"/>
      <c r="HYG525" s="133"/>
      <c r="HYH525" s="133"/>
      <c r="HYI525" s="133"/>
      <c r="HYJ525" s="133"/>
      <c r="HYK525" s="133"/>
      <c r="HYL525" s="133"/>
      <c r="HYM525" s="133"/>
      <c r="HYN525" s="133"/>
      <c r="HYO525" s="133"/>
      <c r="HYP525" s="133"/>
      <c r="HYQ525" s="133"/>
      <c r="HYR525" s="133"/>
      <c r="HYS525" s="133"/>
      <c r="HYT525" s="133"/>
      <c r="HYU525" s="133"/>
      <c r="HYV525" s="133"/>
      <c r="HYW525" s="133"/>
      <c r="HYX525" s="133"/>
      <c r="HYY525" s="133"/>
      <c r="HYZ525" s="133"/>
      <c r="HZA525" s="133"/>
      <c r="HZB525" s="133"/>
      <c r="HZC525" s="133"/>
      <c r="HZD525" s="133"/>
      <c r="HZE525" s="133"/>
      <c r="HZF525" s="133"/>
      <c r="HZG525" s="133"/>
      <c r="HZH525" s="133"/>
      <c r="HZI525" s="133"/>
      <c r="HZJ525" s="133"/>
      <c r="HZK525" s="133"/>
      <c r="HZL525" s="133"/>
      <c r="HZM525" s="133"/>
      <c r="HZN525" s="133"/>
      <c r="HZO525" s="133"/>
      <c r="HZP525" s="133"/>
      <c r="HZQ525" s="133"/>
      <c r="HZR525" s="133"/>
      <c r="HZS525" s="133"/>
      <c r="HZT525" s="133"/>
      <c r="HZU525" s="133"/>
      <c r="HZV525" s="133"/>
      <c r="HZW525" s="133"/>
      <c r="HZX525" s="133"/>
      <c r="HZY525" s="133"/>
      <c r="HZZ525" s="133"/>
      <c r="IAA525" s="133"/>
      <c r="IAB525" s="133"/>
      <c r="IAC525" s="133"/>
      <c r="IAD525" s="133"/>
      <c r="IAE525" s="133"/>
      <c r="IAF525" s="133"/>
      <c r="IAG525" s="133"/>
      <c r="IAH525" s="133"/>
      <c r="IAI525" s="133"/>
      <c r="IAJ525" s="133"/>
      <c r="IAK525" s="133"/>
      <c r="IAL525" s="133"/>
      <c r="IAM525" s="133"/>
      <c r="IAN525" s="133"/>
      <c r="IAO525" s="133"/>
      <c r="IAP525" s="133"/>
      <c r="IAQ525" s="133"/>
      <c r="IAR525" s="133"/>
      <c r="IAS525" s="133"/>
      <c r="IAT525" s="133"/>
      <c r="IAU525" s="133"/>
      <c r="IAV525" s="133"/>
      <c r="IAW525" s="133"/>
      <c r="IAX525" s="133"/>
      <c r="IAY525" s="133"/>
      <c r="IAZ525" s="133"/>
      <c r="IBA525" s="133"/>
      <c r="IBB525" s="133"/>
      <c r="IBC525" s="133"/>
      <c r="IBD525" s="133"/>
      <c r="IBE525" s="133"/>
      <c r="IBF525" s="133"/>
      <c r="IBG525" s="133"/>
      <c r="IBH525" s="133"/>
      <c r="IBI525" s="133"/>
      <c r="IBJ525" s="133"/>
      <c r="IBK525" s="133"/>
      <c r="IBL525" s="133"/>
      <c r="IBM525" s="133"/>
      <c r="IBN525" s="133"/>
      <c r="IBO525" s="133"/>
      <c r="IBP525" s="133"/>
      <c r="IBQ525" s="133"/>
      <c r="IBR525" s="133"/>
      <c r="IBS525" s="133"/>
      <c r="IBT525" s="133"/>
      <c r="IBU525" s="133"/>
      <c r="IBV525" s="133"/>
      <c r="IBW525" s="133"/>
      <c r="IBX525" s="133"/>
      <c r="IBY525" s="133"/>
      <c r="IBZ525" s="133"/>
      <c r="ICA525" s="133"/>
      <c r="ICB525" s="133"/>
      <c r="ICC525" s="133"/>
      <c r="ICD525" s="133"/>
      <c r="ICE525" s="133"/>
      <c r="ICF525" s="133"/>
      <c r="ICG525" s="133"/>
      <c r="ICH525" s="133"/>
      <c r="ICI525" s="133"/>
      <c r="ICJ525" s="133"/>
      <c r="ICK525" s="133"/>
      <c r="ICL525" s="133"/>
      <c r="ICM525" s="133"/>
      <c r="ICN525" s="133"/>
      <c r="ICO525" s="133"/>
      <c r="ICP525" s="133"/>
      <c r="ICQ525" s="133"/>
      <c r="ICR525" s="133"/>
      <c r="ICS525" s="133"/>
      <c r="ICT525" s="133"/>
      <c r="ICU525" s="133"/>
      <c r="ICV525" s="133"/>
      <c r="ICW525" s="133"/>
      <c r="ICX525" s="133"/>
      <c r="ICY525" s="133"/>
      <c r="ICZ525" s="133"/>
      <c r="IDA525" s="133"/>
      <c r="IDB525" s="133"/>
      <c r="IDC525" s="133"/>
      <c r="IDD525" s="133"/>
      <c r="IDE525" s="133"/>
      <c r="IDF525" s="133"/>
      <c r="IDG525" s="133"/>
      <c r="IDH525" s="133"/>
      <c r="IDI525" s="133"/>
      <c r="IDJ525" s="133"/>
      <c r="IDK525" s="133"/>
      <c r="IDL525" s="133"/>
      <c r="IDM525" s="133"/>
      <c r="IDN525" s="133"/>
      <c r="IDO525" s="133"/>
      <c r="IDP525" s="133"/>
      <c r="IDQ525" s="133"/>
      <c r="IDR525" s="133"/>
      <c r="IDS525" s="133"/>
      <c r="IDT525" s="133"/>
      <c r="IDU525" s="133"/>
      <c r="IDV525" s="133"/>
      <c r="IDW525" s="133"/>
      <c r="IDX525" s="133"/>
      <c r="IDY525" s="133"/>
      <c r="IDZ525" s="133"/>
      <c r="IEA525" s="133"/>
      <c r="IEB525" s="133"/>
      <c r="IEC525" s="133"/>
      <c r="IED525" s="133"/>
      <c r="IEE525" s="133"/>
      <c r="IEF525" s="133"/>
      <c r="IEG525" s="133"/>
      <c r="IEH525" s="133"/>
      <c r="IEI525" s="133"/>
      <c r="IEJ525" s="133"/>
      <c r="IEK525" s="133"/>
      <c r="IEL525" s="133"/>
      <c r="IEM525" s="133"/>
      <c r="IEN525" s="133"/>
      <c r="IEO525" s="133"/>
      <c r="IEP525" s="133"/>
      <c r="IEQ525" s="133"/>
      <c r="IER525" s="133"/>
      <c r="IES525" s="133"/>
      <c r="IET525" s="133"/>
      <c r="IEU525" s="133"/>
      <c r="IEV525" s="133"/>
      <c r="IEW525" s="133"/>
      <c r="IEX525" s="133"/>
      <c r="IEY525" s="133"/>
      <c r="IEZ525" s="133"/>
      <c r="IFA525" s="133"/>
      <c r="IFB525" s="133"/>
      <c r="IFC525" s="133"/>
      <c r="IFD525" s="133"/>
      <c r="IFE525" s="133"/>
      <c r="IFF525" s="133"/>
      <c r="IFG525" s="133"/>
      <c r="IFH525" s="133"/>
      <c r="IFI525" s="133"/>
      <c r="IFJ525" s="133"/>
      <c r="IFK525" s="133"/>
      <c r="IFL525" s="133"/>
      <c r="IFM525" s="133"/>
      <c r="IFN525" s="133"/>
      <c r="IFO525" s="133"/>
      <c r="IFP525" s="133"/>
      <c r="IFQ525" s="133"/>
      <c r="IFR525" s="133"/>
      <c r="IFS525" s="133"/>
      <c r="IFT525" s="133"/>
      <c r="IFU525" s="133"/>
      <c r="IFV525" s="133"/>
      <c r="IFW525" s="133"/>
      <c r="IFX525" s="133"/>
      <c r="IFY525" s="133"/>
      <c r="IFZ525" s="133"/>
      <c r="IGA525" s="133"/>
      <c r="IGB525" s="133"/>
      <c r="IGC525" s="133"/>
      <c r="IGD525" s="133"/>
      <c r="IGE525" s="133"/>
      <c r="IGF525" s="133"/>
      <c r="IGG525" s="133"/>
      <c r="IGH525" s="133"/>
      <c r="IGI525" s="133"/>
      <c r="IGJ525" s="133"/>
      <c r="IGK525" s="133"/>
      <c r="IGL525" s="133"/>
      <c r="IGM525" s="133"/>
      <c r="IGN525" s="133"/>
      <c r="IGO525" s="133"/>
      <c r="IGP525" s="133"/>
      <c r="IGQ525" s="133"/>
      <c r="IGR525" s="133"/>
      <c r="IGS525" s="133"/>
      <c r="IGT525" s="133"/>
      <c r="IGU525" s="133"/>
      <c r="IGV525" s="133"/>
      <c r="IGW525" s="133"/>
      <c r="IGX525" s="133"/>
      <c r="IGY525" s="133"/>
      <c r="IGZ525" s="133"/>
      <c r="IHA525" s="133"/>
      <c r="IHB525" s="133"/>
      <c r="IHC525" s="133"/>
      <c r="IHD525" s="133"/>
      <c r="IHE525" s="133"/>
      <c r="IHF525" s="133"/>
      <c r="IHG525" s="133"/>
      <c r="IHH525" s="133"/>
      <c r="IHI525" s="133"/>
      <c r="IHJ525" s="133"/>
      <c r="IHK525" s="133"/>
      <c r="IHL525" s="133"/>
      <c r="IHM525" s="133"/>
      <c r="IHN525" s="133"/>
      <c r="IHO525" s="133"/>
      <c r="IHP525" s="133"/>
      <c r="IHQ525" s="133"/>
      <c r="IHR525" s="133"/>
      <c r="IHS525" s="133"/>
      <c r="IHT525" s="133"/>
      <c r="IHU525" s="133"/>
      <c r="IHV525" s="133"/>
      <c r="IHW525" s="133"/>
      <c r="IHX525" s="133"/>
      <c r="IHY525" s="133"/>
      <c r="IHZ525" s="133"/>
      <c r="IIA525" s="133"/>
      <c r="IIB525" s="133"/>
      <c r="IIC525" s="133"/>
      <c r="IID525" s="133"/>
      <c r="IIE525" s="133"/>
      <c r="IIF525" s="133"/>
      <c r="IIG525" s="133"/>
      <c r="IIH525" s="133"/>
      <c r="III525" s="133"/>
      <c r="IIJ525" s="133"/>
      <c r="IIK525" s="133"/>
      <c r="IIL525" s="133"/>
      <c r="IIM525" s="133"/>
      <c r="IIN525" s="133"/>
      <c r="IIO525" s="133"/>
      <c r="IIP525" s="133"/>
      <c r="IIQ525" s="133"/>
      <c r="IIR525" s="133"/>
      <c r="IIS525" s="133"/>
      <c r="IIT525" s="133"/>
      <c r="IIU525" s="133"/>
      <c r="IIV525" s="133"/>
      <c r="IIW525" s="133"/>
      <c r="IIX525" s="133"/>
      <c r="IIY525" s="133"/>
      <c r="IIZ525" s="133"/>
      <c r="IJA525" s="133"/>
      <c r="IJB525" s="133"/>
      <c r="IJC525" s="133"/>
      <c r="IJD525" s="133"/>
      <c r="IJE525" s="133"/>
      <c r="IJF525" s="133"/>
      <c r="IJG525" s="133"/>
      <c r="IJH525" s="133"/>
      <c r="IJI525" s="133"/>
      <c r="IJJ525" s="133"/>
      <c r="IJK525" s="133"/>
      <c r="IJL525" s="133"/>
      <c r="IJM525" s="133"/>
      <c r="IJN525" s="133"/>
      <c r="IJO525" s="133"/>
      <c r="IJP525" s="133"/>
      <c r="IJQ525" s="133"/>
      <c r="IJR525" s="133"/>
      <c r="IJS525" s="133"/>
      <c r="IJT525" s="133"/>
      <c r="IJU525" s="133"/>
      <c r="IJV525" s="133"/>
      <c r="IJW525" s="133"/>
      <c r="IJX525" s="133"/>
      <c r="IJY525" s="133"/>
      <c r="IJZ525" s="133"/>
      <c r="IKA525" s="133"/>
      <c r="IKB525" s="133"/>
      <c r="IKC525" s="133"/>
      <c r="IKD525" s="133"/>
      <c r="IKE525" s="133"/>
      <c r="IKF525" s="133"/>
      <c r="IKG525" s="133"/>
      <c r="IKH525" s="133"/>
      <c r="IKI525" s="133"/>
      <c r="IKJ525" s="133"/>
      <c r="IKK525" s="133"/>
      <c r="IKL525" s="133"/>
      <c r="IKM525" s="133"/>
      <c r="IKN525" s="133"/>
      <c r="IKO525" s="133"/>
      <c r="IKP525" s="133"/>
      <c r="IKQ525" s="133"/>
      <c r="IKR525" s="133"/>
      <c r="IKS525" s="133"/>
      <c r="IKT525" s="133"/>
      <c r="IKU525" s="133"/>
      <c r="IKV525" s="133"/>
      <c r="IKW525" s="133"/>
      <c r="IKX525" s="133"/>
      <c r="IKY525" s="133"/>
      <c r="IKZ525" s="133"/>
      <c r="ILA525" s="133"/>
      <c r="ILB525" s="133"/>
      <c r="ILC525" s="133"/>
      <c r="ILD525" s="133"/>
      <c r="ILE525" s="133"/>
      <c r="ILF525" s="133"/>
      <c r="ILG525" s="133"/>
      <c r="ILH525" s="133"/>
      <c r="ILI525" s="133"/>
      <c r="ILJ525" s="133"/>
      <c r="ILK525" s="133"/>
      <c r="ILL525" s="133"/>
      <c r="ILM525" s="133"/>
      <c r="ILN525" s="133"/>
      <c r="ILO525" s="133"/>
      <c r="ILP525" s="133"/>
      <c r="ILQ525" s="133"/>
      <c r="ILR525" s="133"/>
      <c r="ILS525" s="133"/>
      <c r="ILT525" s="133"/>
      <c r="ILU525" s="133"/>
      <c r="ILV525" s="133"/>
      <c r="ILW525" s="133"/>
      <c r="ILX525" s="133"/>
      <c r="ILY525" s="133"/>
      <c r="ILZ525" s="133"/>
      <c r="IMA525" s="133"/>
      <c r="IMB525" s="133"/>
      <c r="IMC525" s="133"/>
      <c r="IMD525" s="133"/>
      <c r="IME525" s="133"/>
      <c r="IMF525" s="133"/>
      <c r="IMG525" s="133"/>
      <c r="IMH525" s="133"/>
      <c r="IMI525" s="133"/>
      <c r="IMJ525" s="133"/>
      <c r="IMK525" s="133"/>
      <c r="IML525" s="133"/>
      <c r="IMM525" s="133"/>
      <c r="IMN525" s="133"/>
      <c r="IMO525" s="133"/>
      <c r="IMP525" s="133"/>
      <c r="IMQ525" s="133"/>
      <c r="IMR525" s="133"/>
      <c r="IMS525" s="133"/>
      <c r="IMT525" s="133"/>
      <c r="IMU525" s="133"/>
      <c r="IMV525" s="133"/>
      <c r="IMW525" s="133"/>
      <c r="IMX525" s="133"/>
      <c r="IMY525" s="133"/>
      <c r="IMZ525" s="133"/>
      <c r="INA525" s="133"/>
      <c r="INB525" s="133"/>
      <c r="INC525" s="133"/>
      <c r="IND525" s="133"/>
      <c r="INE525" s="133"/>
      <c r="INF525" s="133"/>
      <c r="ING525" s="133"/>
      <c r="INH525" s="133"/>
      <c r="INI525" s="133"/>
      <c r="INJ525" s="133"/>
      <c r="INK525" s="133"/>
      <c r="INL525" s="133"/>
      <c r="INM525" s="133"/>
      <c r="INN525" s="133"/>
      <c r="INO525" s="133"/>
      <c r="INP525" s="133"/>
      <c r="INQ525" s="133"/>
      <c r="INR525" s="133"/>
      <c r="INS525" s="133"/>
      <c r="INT525" s="133"/>
      <c r="INU525" s="133"/>
      <c r="INV525" s="133"/>
      <c r="INW525" s="133"/>
      <c r="INX525" s="133"/>
      <c r="INY525" s="133"/>
      <c r="INZ525" s="133"/>
      <c r="IOA525" s="133"/>
      <c r="IOB525" s="133"/>
      <c r="IOC525" s="133"/>
      <c r="IOD525" s="133"/>
      <c r="IOE525" s="133"/>
      <c r="IOF525" s="133"/>
      <c r="IOG525" s="133"/>
      <c r="IOH525" s="133"/>
      <c r="IOI525" s="133"/>
      <c r="IOJ525" s="133"/>
      <c r="IOK525" s="133"/>
      <c r="IOL525" s="133"/>
      <c r="IOM525" s="133"/>
      <c r="ION525" s="133"/>
      <c r="IOO525" s="133"/>
      <c r="IOP525" s="133"/>
      <c r="IOQ525" s="133"/>
      <c r="IOR525" s="133"/>
      <c r="IOS525" s="133"/>
      <c r="IOT525" s="133"/>
      <c r="IOU525" s="133"/>
      <c r="IOV525" s="133"/>
      <c r="IOW525" s="133"/>
      <c r="IOX525" s="133"/>
      <c r="IOY525" s="133"/>
      <c r="IOZ525" s="133"/>
      <c r="IPA525" s="133"/>
      <c r="IPB525" s="133"/>
      <c r="IPC525" s="133"/>
      <c r="IPD525" s="133"/>
      <c r="IPE525" s="133"/>
      <c r="IPF525" s="133"/>
      <c r="IPG525" s="133"/>
      <c r="IPH525" s="133"/>
      <c r="IPI525" s="133"/>
      <c r="IPJ525" s="133"/>
      <c r="IPK525" s="133"/>
      <c r="IPL525" s="133"/>
      <c r="IPM525" s="133"/>
      <c r="IPN525" s="133"/>
      <c r="IPO525" s="133"/>
      <c r="IPP525" s="133"/>
      <c r="IPQ525" s="133"/>
      <c r="IPR525" s="133"/>
      <c r="IPS525" s="133"/>
      <c r="IPT525" s="133"/>
      <c r="IPU525" s="133"/>
      <c r="IPV525" s="133"/>
      <c r="IPW525" s="133"/>
      <c r="IPX525" s="133"/>
      <c r="IPY525" s="133"/>
      <c r="IPZ525" s="133"/>
      <c r="IQA525" s="133"/>
      <c r="IQB525" s="133"/>
      <c r="IQC525" s="133"/>
      <c r="IQD525" s="133"/>
      <c r="IQE525" s="133"/>
      <c r="IQF525" s="133"/>
      <c r="IQG525" s="133"/>
      <c r="IQH525" s="133"/>
      <c r="IQI525" s="133"/>
      <c r="IQJ525" s="133"/>
      <c r="IQK525" s="133"/>
      <c r="IQL525" s="133"/>
      <c r="IQM525" s="133"/>
      <c r="IQN525" s="133"/>
      <c r="IQO525" s="133"/>
      <c r="IQP525" s="133"/>
      <c r="IQQ525" s="133"/>
      <c r="IQR525" s="133"/>
      <c r="IQS525" s="133"/>
      <c r="IQT525" s="133"/>
      <c r="IQU525" s="133"/>
      <c r="IQV525" s="133"/>
      <c r="IQW525" s="133"/>
      <c r="IQX525" s="133"/>
      <c r="IQY525" s="133"/>
      <c r="IQZ525" s="133"/>
      <c r="IRA525" s="133"/>
      <c r="IRB525" s="133"/>
      <c r="IRC525" s="133"/>
      <c r="IRD525" s="133"/>
      <c r="IRE525" s="133"/>
      <c r="IRF525" s="133"/>
      <c r="IRG525" s="133"/>
      <c r="IRH525" s="133"/>
      <c r="IRI525" s="133"/>
      <c r="IRJ525" s="133"/>
      <c r="IRK525" s="133"/>
      <c r="IRL525" s="133"/>
      <c r="IRM525" s="133"/>
      <c r="IRN525" s="133"/>
      <c r="IRO525" s="133"/>
      <c r="IRP525" s="133"/>
      <c r="IRQ525" s="133"/>
      <c r="IRR525" s="133"/>
      <c r="IRS525" s="133"/>
      <c r="IRT525" s="133"/>
      <c r="IRU525" s="133"/>
      <c r="IRV525" s="133"/>
      <c r="IRW525" s="133"/>
      <c r="IRX525" s="133"/>
      <c r="IRY525" s="133"/>
      <c r="IRZ525" s="133"/>
      <c r="ISA525" s="133"/>
      <c r="ISB525" s="133"/>
      <c r="ISC525" s="133"/>
      <c r="ISD525" s="133"/>
      <c r="ISE525" s="133"/>
      <c r="ISF525" s="133"/>
      <c r="ISG525" s="133"/>
      <c r="ISH525" s="133"/>
      <c r="ISI525" s="133"/>
      <c r="ISJ525" s="133"/>
      <c r="ISK525" s="133"/>
      <c r="ISL525" s="133"/>
      <c r="ISM525" s="133"/>
      <c r="ISN525" s="133"/>
      <c r="ISO525" s="133"/>
      <c r="ISP525" s="133"/>
      <c r="ISQ525" s="133"/>
      <c r="ISR525" s="133"/>
      <c r="ISS525" s="133"/>
      <c r="IST525" s="133"/>
      <c r="ISU525" s="133"/>
      <c r="ISV525" s="133"/>
      <c r="ISW525" s="133"/>
      <c r="ISX525" s="133"/>
      <c r="ISY525" s="133"/>
      <c r="ISZ525" s="133"/>
      <c r="ITA525" s="133"/>
      <c r="ITB525" s="133"/>
      <c r="ITC525" s="133"/>
      <c r="ITD525" s="133"/>
      <c r="ITE525" s="133"/>
      <c r="ITF525" s="133"/>
      <c r="ITG525" s="133"/>
      <c r="ITH525" s="133"/>
      <c r="ITI525" s="133"/>
      <c r="ITJ525" s="133"/>
      <c r="ITK525" s="133"/>
      <c r="ITL525" s="133"/>
      <c r="ITM525" s="133"/>
      <c r="ITN525" s="133"/>
      <c r="ITO525" s="133"/>
      <c r="ITP525" s="133"/>
      <c r="ITQ525" s="133"/>
      <c r="ITR525" s="133"/>
      <c r="ITS525" s="133"/>
      <c r="ITT525" s="133"/>
      <c r="ITU525" s="133"/>
      <c r="ITV525" s="133"/>
      <c r="ITW525" s="133"/>
      <c r="ITX525" s="133"/>
      <c r="ITY525" s="133"/>
      <c r="ITZ525" s="133"/>
      <c r="IUA525" s="133"/>
      <c r="IUB525" s="133"/>
      <c r="IUC525" s="133"/>
      <c r="IUD525" s="133"/>
      <c r="IUE525" s="133"/>
      <c r="IUF525" s="133"/>
      <c r="IUG525" s="133"/>
      <c r="IUH525" s="133"/>
      <c r="IUI525" s="133"/>
      <c r="IUJ525" s="133"/>
      <c r="IUK525" s="133"/>
      <c r="IUL525" s="133"/>
      <c r="IUM525" s="133"/>
      <c r="IUN525" s="133"/>
      <c r="IUO525" s="133"/>
      <c r="IUP525" s="133"/>
      <c r="IUQ525" s="133"/>
      <c r="IUR525" s="133"/>
      <c r="IUS525" s="133"/>
      <c r="IUT525" s="133"/>
      <c r="IUU525" s="133"/>
      <c r="IUV525" s="133"/>
      <c r="IUW525" s="133"/>
      <c r="IUX525" s="133"/>
      <c r="IUY525" s="133"/>
      <c r="IUZ525" s="133"/>
      <c r="IVA525" s="133"/>
      <c r="IVB525" s="133"/>
      <c r="IVC525" s="133"/>
      <c r="IVD525" s="133"/>
      <c r="IVE525" s="133"/>
      <c r="IVF525" s="133"/>
      <c r="IVG525" s="133"/>
      <c r="IVH525" s="133"/>
      <c r="IVI525" s="133"/>
      <c r="IVJ525" s="133"/>
      <c r="IVK525" s="133"/>
      <c r="IVL525" s="133"/>
      <c r="IVM525" s="133"/>
      <c r="IVN525" s="133"/>
      <c r="IVO525" s="133"/>
      <c r="IVP525" s="133"/>
      <c r="IVQ525" s="133"/>
      <c r="IVR525" s="133"/>
      <c r="IVS525" s="133"/>
      <c r="IVT525" s="133"/>
      <c r="IVU525" s="133"/>
      <c r="IVV525" s="133"/>
      <c r="IVW525" s="133"/>
      <c r="IVX525" s="133"/>
      <c r="IVY525" s="133"/>
      <c r="IVZ525" s="133"/>
      <c r="IWA525" s="133"/>
      <c r="IWB525" s="133"/>
      <c r="IWC525" s="133"/>
      <c r="IWD525" s="133"/>
      <c r="IWE525" s="133"/>
      <c r="IWF525" s="133"/>
      <c r="IWG525" s="133"/>
      <c r="IWH525" s="133"/>
      <c r="IWI525" s="133"/>
      <c r="IWJ525" s="133"/>
      <c r="IWK525" s="133"/>
      <c r="IWL525" s="133"/>
      <c r="IWM525" s="133"/>
      <c r="IWN525" s="133"/>
      <c r="IWO525" s="133"/>
      <c r="IWP525" s="133"/>
      <c r="IWQ525" s="133"/>
      <c r="IWR525" s="133"/>
      <c r="IWS525" s="133"/>
      <c r="IWT525" s="133"/>
      <c r="IWU525" s="133"/>
      <c r="IWV525" s="133"/>
      <c r="IWW525" s="133"/>
      <c r="IWX525" s="133"/>
      <c r="IWY525" s="133"/>
      <c r="IWZ525" s="133"/>
      <c r="IXA525" s="133"/>
      <c r="IXB525" s="133"/>
      <c r="IXC525" s="133"/>
      <c r="IXD525" s="133"/>
      <c r="IXE525" s="133"/>
      <c r="IXF525" s="133"/>
      <c r="IXG525" s="133"/>
      <c r="IXH525" s="133"/>
      <c r="IXI525" s="133"/>
      <c r="IXJ525" s="133"/>
      <c r="IXK525" s="133"/>
      <c r="IXL525" s="133"/>
      <c r="IXM525" s="133"/>
      <c r="IXN525" s="133"/>
      <c r="IXO525" s="133"/>
      <c r="IXP525" s="133"/>
      <c r="IXQ525" s="133"/>
      <c r="IXR525" s="133"/>
      <c r="IXS525" s="133"/>
      <c r="IXT525" s="133"/>
      <c r="IXU525" s="133"/>
      <c r="IXV525" s="133"/>
      <c r="IXW525" s="133"/>
      <c r="IXX525" s="133"/>
      <c r="IXY525" s="133"/>
      <c r="IXZ525" s="133"/>
      <c r="IYA525" s="133"/>
      <c r="IYB525" s="133"/>
      <c r="IYC525" s="133"/>
      <c r="IYD525" s="133"/>
      <c r="IYE525" s="133"/>
      <c r="IYF525" s="133"/>
      <c r="IYG525" s="133"/>
      <c r="IYH525" s="133"/>
      <c r="IYI525" s="133"/>
      <c r="IYJ525" s="133"/>
      <c r="IYK525" s="133"/>
      <c r="IYL525" s="133"/>
      <c r="IYM525" s="133"/>
      <c r="IYN525" s="133"/>
      <c r="IYO525" s="133"/>
      <c r="IYP525" s="133"/>
      <c r="IYQ525" s="133"/>
      <c r="IYR525" s="133"/>
      <c r="IYS525" s="133"/>
      <c r="IYT525" s="133"/>
      <c r="IYU525" s="133"/>
      <c r="IYV525" s="133"/>
      <c r="IYW525" s="133"/>
      <c r="IYX525" s="133"/>
      <c r="IYY525" s="133"/>
      <c r="IYZ525" s="133"/>
      <c r="IZA525" s="133"/>
      <c r="IZB525" s="133"/>
      <c r="IZC525" s="133"/>
      <c r="IZD525" s="133"/>
      <c r="IZE525" s="133"/>
      <c r="IZF525" s="133"/>
      <c r="IZG525" s="133"/>
      <c r="IZH525" s="133"/>
      <c r="IZI525" s="133"/>
      <c r="IZJ525" s="133"/>
      <c r="IZK525" s="133"/>
      <c r="IZL525" s="133"/>
      <c r="IZM525" s="133"/>
      <c r="IZN525" s="133"/>
      <c r="IZO525" s="133"/>
      <c r="IZP525" s="133"/>
      <c r="IZQ525" s="133"/>
      <c r="IZR525" s="133"/>
      <c r="IZS525" s="133"/>
      <c r="IZT525" s="133"/>
      <c r="IZU525" s="133"/>
      <c r="IZV525" s="133"/>
      <c r="IZW525" s="133"/>
      <c r="IZX525" s="133"/>
      <c r="IZY525" s="133"/>
      <c r="IZZ525" s="133"/>
      <c r="JAA525" s="133"/>
      <c r="JAB525" s="133"/>
      <c r="JAC525" s="133"/>
      <c r="JAD525" s="133"/>
      <c r="JAE525" s="133"/>
      <c r="JAF525" s="133"/>
      <c r="JAG525" s="133"/>
      <c r="JAH525" s="133"/>
      <c r="JAI525" s="133"/>
      <c r="JAJ525" s="133"/>
      <c r="JAK525" s="133"/>
      <c r="JAL525" s="133"/>
      <c r="JAM525" s="133"/>
      <c r="JAN525" s="133"/>
      <c r="JAO525" s="133"/>
      <c r="JAP525" s="133"/>
      <c r="JAQ525" s="133"/>
      <c r="JAR525" s="133"/>
      <c r="JAS525" s="133"/>
      <c r="JAT525" s="133"/>
      <c r="JAU525" s="133"/>
      <c r="JAV525" s="133"/>
      <c r="JAW525" s="133"/>
      <c r="JAX525" s="133"/>
      <c r="JAY525" s="133"/>
      <c r="JAZ525" s="133"/>
      <c r="JBA525" s="133"/>
      <c r="JBB525" s="133"/>
      <c r="JBC525" s="133"/>
      <c r="JBD525" s="133"/>
      <c r="JBE525" s="133"/>
      <c r="JBF525" s="133"/>
      <c r="JBG525" s="133"/>
      <c r="JBH525" s="133"/>
      <c r="JBI525" s="133"/>
      <c r="JBJ525" s="133"/>
      <c r="JBK525" s="133"/>
      <c r="JBL525" s="133"/>
      <c r="JBM525" s="133"/>
      <c r="JBN525" s="133"/>
      <c r="JBO525" s="133"/>
      <c r="JBP525" s="133"/>
      <c r="JBQ525" s="133"/>
      <c r="JBR525" s="133"/>
      <c r="JBS525" s="133"/>
      <c r="JBT525" s="133"/>
      <c r="JBU525" s="133"/>
      <c r="JBV525" s="133"/>
      <c r="JBW525" s="133"/>
      <c r="JBX525" s="133"/>
      <c r="JBY525" s="133"/>
      <c r="JBZ525" s="133"/>
      <c r="JCA525" s="133"/>
      <c r="JCB525" s="133"/>
      <c r="JCC525" s="133"/>
      <c r="JCD525" s="133"/>
      <c r="JCE525" s="133"/>
      <c r="JCF525" s="133"/>
      <c r="JCG525" s="133"/>
      <c r="JCH525" s="133"/>
      <c r="JCI525" s="133"/>
      <c r="JCJ525" s="133"/>
      <c r="JCK525" s="133"/>
      <c r="JCL525" s="133"/>
      <c r="JCM525" s="133"/>
      <c r="JCN525" s="133"/>
      <c r="JCO525" s="133"/>
      <c r="JCP525" s="133"/>
      <c r="JCQ525" s="133"/>
      <c r="JCR525" s="133"/>
      <c r="JCS525" s="133"/>
      <c r="JCT525" s="133"/>
      <c r="JCU525" s="133"/>
      <c r="JCV525" s="133"/>
      <c r="JCW525" s="133"/>
      <c r="JCX525" s="133"/>
      <c r="JCY525" s="133"/>
      <c r="JCZ525" s="133"/>
      <c r="JDA525" s="133"/>
      <c r="JDB525" s="133"/>
      <c r="JDC525" s="133"/>
      <c r="JDD525" s="133"/>
      <c r="JDE525" s="133"/>
      <c r="JDF525" s="133"/>
      <c r="JDG525" s="133"/>
      <c r="JDH525" s="133"/>
      <c r="JDI525" s="133"/>
      <c r="JDJ525" s="133"/>
      <c r="JDK525" s="133"/>
      <c r="JDL525" s="133"/>
      <c r="JDM525" s="133"/>
      <c r="JDN525" s="133"/>
      <c r="JDO525" s="133"/>
      <c r="JDP525" s="133"/>
      <c r="JDQ525" s="133"/>
      <c r="JDR525" s="133"/>
      <c r="JDS525" s="133"/>
      <c r="JDT525" s="133"/>
      <c r="JDU525" s="133"/>
      <c r="JDV525" s="133"/>
      <c r="JDW525" s="133"/>
      <c r="JDX525" s="133"/>
      <c r="JDY525" s="133"/>
      <c r="JDZ525" s="133"/>
      <c r="JEA525" s="133"/>
      <c r="JEB525" s="133"/>
      <c r="JEC525" s="133"/>
      <c r="JED525" s="133"/>
      <c r="JEE525" s="133"/>
      <c r="JEF525" s="133"/>
      <c r="JEG525" s="133"/>
      <c r="JEH525" s="133"/>
      <c r="JEI525" s="133"/>
      <c r="JEJ525" s="133"/>
      <c r="JEK525" s="133"/>
      <c r="JEL525" s="133"/>
      <c r="JEM525" s="133"/>
      <c r="JEN525" s="133"/>
      <c r="JEO525" s="133"/>
      <c r="JEP525" s="133"/>
      <c r="JEQ525" s="133"/>
      <c r="JER525" s="133"/>
      <c r="JES525" s="133"/>
      <c r="JET525" s="133"/>
      <c r="JEU525" s="133"/>
      <c r="JEV525" s="133"/>
      <c r="JEW525" s="133"/>
      <c r="JEX525" s="133"/>
      <c r="JEY525" s="133"/>
      <c r="JEZ525" s="133"/>
      <c r="JFA525" s="133"/>
      <c r="JFB525" s="133"/>
      <c r="JFC525" s="133"/>
      <c r="JFD525" s="133"/>
      <c r="JFE525" s="133"/>
      <c r="JFF525" s="133"/>
      <c r="JFG525" s="133"/>
      <c r="JFH525" s="133"/>
      <c r="JFI525" s="133"/>
      <c r="JFJ525" s="133"/>
      <c r="JFK525" s="133"/>
      <c r="JFL525" s="133"/>
      <c r="JFM525" s="133"/>
      <c r="JFN525" s="133"/>
      <c r="JFO525" s="133"/>
      <c r="JFP525" s="133"/>
      <c r="JFQ525" s="133"/>
      <c r="JFR525" s="133"/>
      <c r="JFS525" s="133"/>
      <c r="JFT525" s="133"/>
      <c r="JFU525" s="133"/>
      <c r="JFV525" s="133"/>
      <c r="JFW525" s="133"/>
      <c r="JFX525" s="133"/>
      <c r="JFY525" s="133"/>
      <c r="JFZ525" s="133"/>
      <c r="JGA525" s="133"/>
      <c r="JGB525" s="133"/>
      <c r="JGC525" s="133"/>
      <c r="JGD525" s="133"/>
      <c r="JGE525" s="133"/>
      <c r="JGF525" s="133"/>
      <c r="JGG525" s="133"/>
      <c r="JGH525" s="133"/>
      <c r="JGI525" s="133"/>
      <c r="JGJ525" s="133"/>
      <c r="JGK525" s="133"/>
      <c r="JGL525" s="133"/>
      <c r="JGM525" s="133"/>
      <c r="JGN525" s="133"/>
      <c r="JGO525" s="133"/>
      <c r="JGP525" s="133"/>
      <c r="JGQ525" s="133"/>
      <c r="JGR525" s="133"/>
      <c r="JGS525" s="133"/>
      <c r="JGT525" s="133"/>
      <c r="JGU525" s="133"/>
      <c r="JGV525" s="133"/>
      <c r="JGW525" s="133"/>
      <c r="JGX525" s="133"/>
      <c r="JGY525" s="133"/>
      <c r="JGZ525" s="133"/>
      <c r="JHA525" s="133"/>
      <c r="JHB525" s="133"/>
      <c r="JHC525" s="133"/>
      <c r="JHD525" s="133"/>
      <c r="JHE525" s="133"/>
      <c r="JHF525" s="133"/>
      <c r="JHG525" s="133"/>
      <c r="JHH525" s="133"/>
      <c r="JHI525" s="133"/>
      <c r="JHJ525" s="133"/>
      <c r="JHK525" s="133"/>
      <c r="JHL525" s="133"/>
      <c r="JHM525" s="133"/>
      <c r="JHN525" s="133"/>
      <c r="JHO525" s="133"/>
      <c r="JHP525" s="133"/>
      <c r="JHQ525" s="133"/>
      <c r="JHR525" s="133"/>
      <c r="JHS525" s="133"/>
      <c r="JHT525" s="133"/>
      <c r="JHU525" s="133"/>
      <c r="JHV525" s="133"/>
      <c r="JHW525" s="133"/>
      <c r="JHX525" s="133"/>
      <c r="JHY525" s="133"/>
      <c r="JHZ525" s="133"/>
      <c r="JIA525" s="133"/>
      <c r="JIB525" s="133"/>
      <c r="JIC525" s="133"/>
      <c r="JID525" s="133"/>
      <c r="JIE525" s="133"/>
      <c r="JIF525" s="133"/>
      <c r="JIG525" s="133"/>
      <c r="JIH525" s="133"/>
      <c r="JII525" s="133"/>
      <c r="JIJ525" s="133"/>
      <c r="JIK525" s="133"/>
      <c r="JIL525" s="133"/>
      <c r="JIM525" s="133"/>
      <c r="JIN525" s="133"/>
      <c r="JIO525" s="133"/>
      <c r="JIP525" s="133"/>
      <c r="JIQ525" s="133"/>
      <c r="JIR525" s="133"/>
      <c r="JIS525" s="133"/>
      <c r="JIT525" s="133"/>
      <c r="JIU525" s="133"/>
      <c r="JIV525" s="133"/>
      <c r="JIW525" s="133"/>
      <c r="JIX525" s="133"/>
      <c r="JIY525" s="133"/>
      <c r="JIZ525" s="133"/>
      <c r="JJA525" s="133"/>
      <c r="JJB525" s="133"/>
      <c r="JJC525" s="133"/>
      <c r="JJD525" s="133"/>
      <c r="JJE525" s="133"/>
      <c r="JJF525" s="133"/>
      <c r="JJG525" s="133"/>
      <c r="JJH525" s="133"/>
      <c r="JJI525" s="133"/>
      <c r="JJJ525" s="133"/>
      <c r="JJK525" s="133"/>
      <c r="JJL525" s="133"/>
      <c r="JJM525" s="133"/>
      <c r="JJN525" s="133"/>
      <c r="JJO525" s="133"/>
      <c r="JJP525" s="133"/>
      <c r="JJQ525" s="133"/>
      <c r="JJR525" s="133"/>
      <c r="JJS525" s="133"/>
      <c r="JJT525" s="133"/>
      <c r="JJU525" s="133"/>
      <c r="JJV525" s="133"/>
      <c r="JJW525" s="133"/>
      <c r="JJX525" s="133"/>
      <c r="JJY525" s="133"/>
      <c r="JJZ525" s="133"/>
      <c r="JKA525" s="133"/>
      <c r="JKB525" s="133"/>
      <c r="JKC525" s="133"/>
      <c r="JKD525" s="133"/>
      <c r="JKE525" s="133"/>
      <c r="JKF525" s="133"/>
      <c r="JKG525" s="133"/>
      <c r="JKH525" s="133"/>
      <c r="JKI525" s="133"/>
      <c r="JKJ525" s="133"/>
      <c r="JKK525" s="133"/>
      <c r="JKL525" s="133"/>
      <c r="JKM525" s="133"/>
      <c r="JKN525" s="133"/>
      <c r="JKO525" s="133"/>
      <c r="JKP525" s="133"/>
      <c r="JKQ525" s="133"/>
      <c r="JKR525" s="133"/>
      <c r="JKS525" s="133"/>
      <c r="JKT525" s="133"/>
      <c r="JKU525" s="133"/>
      <c r="JKV525" s="133"/>
      <c r="JKW525" s="133"/>
      <c r="JKX525" s="133"/>
      <c r="JKY525" s="133"/>
      <c r="JKZ525" s="133"/>
      <c r="JLA525" s="133"/>
      <c r="JLB525" s="133"/>
      <c r="JLC525" s="133"/>
      <c r="JLD525" s="133"/>
      <c r="JLE525" s="133"/>
      <c r="JLF525" s="133"/>
      <c r="JLG525" s="133"/>
      <c r="JLH525" s="133"/>
      <c r="JLI525" s="133"/>
      <c r="JLJ525" s="133"/>
      <c r="JLK525" s="133"/>
      <c r="JLL525" s="133"/>
      <c r="JLM525" s="133"/>
      <c r="JLN525" s="133"/>
      <c r="JLO525" s="133"/>
      <c r="JLP525" s="133"/>
      <c r="JLQ525" s="133"/>
      <c r="JLR525" s="133"/>
      <c r="JLS525" s="133"/>
      <c r="JLT525" s="133"/>
      <c r="JLU525" s="133"/>
      <c r="JLV525" s="133"/>
      <c r="JLW525" s="133"/>
      <c r="JLX525" s="133"/>
      <c r="JLY525" s="133"/>
      <c r="JLZ525" s="133"/>
      <c r="JMA525" s="133"/>
      <c r="JMB525" s="133"/>
      <c r="JMC525" s="133"/>
      <c r="JMD525" s="133"/>
      <c r="JME525" s="133"/>
      <c r="JMF525" s="133"/>
      <c r="JMG525" s="133"/>
      <c r="JMH525" s="133"/>
      <c r="JMI525" s="133"/>
      <c r="JMJ525" s="133"/>
      <c r="JMK525" s="133"/>
      <c r="JML525" s="133"/>
      <c r="JMM525" s="133"/>
      <c r="JMN525" s="133"/>
      <c r="JMO525" s="133"/>
      <c r="JMP525" s="133"/>
      <c r="JMQ525" s="133"/>
      <c r="JMR525" s="133"/>
      <c r="JMS525" s="133"/>
      <c r="JMT525" s="133"/>
      <c r="JMU525" s="133"/>
      <c r="JMV525" s="133"/>
      <c r="JMW525" s="133"/>
      <c r="JMX525" s="133"/>
      <c r="JMY525" s="133"/>
      <c r="JMZ525" s="133"/>
      <c r="JNA525" s="133"/>
      <c r="JNB525" s="133"/>
      <c r="JNC525" s="133"/>
      <c r="JND525" s="133"/>
      <c r="JNE525" s="133"/>
      <c r="JNF525" s="133"/>
      <c r="JNG525" s="133"/>
      <c r="JNH525" s="133"/>
      <c r="JNI525" s="133"/>
      <c r="JNJ525" s="133"/>
      <c r="JNK525" s="133"/>
      <c r="JNL525" s="133"/>
      <c r="JNM525" s="133"/>
      <c r="JNN525" s="133"/>
      <c r="JNO525" s="133"/>
      <c r="JNP525" s="133"/>
      <c r="JNQ525" s="133"/>
      <c r="JNR525" s="133"/>
      <c r="JNS525" s="133"/>
      <c r="JNT525" s="133"/>
      <c r="JNU525" s="133"/>
      <c r="JNV525" s="133"/>
      <c r="JNW525" s="133"/>
      <c r="JNX525" s="133"/>
      <c r="JNY525" s="133"/>
      <c r="JNZ525" s="133"/>
      <c r="JOA525" s="133"/>
      <c r="JOB525" s="133"/>
      <c r="JOC525" s="133"/>
      <c r="JOD525" s="133"/>
      <c r="JOE525" s="133"/>
      <c r="JOF525" s="133"/>
      <c r="JOG525" s="133"/>
      <c r="JOH525" s="133"/>
      <c r="JOI525" s="133"/>
      <c r="JOJ525" s="133"/>
      <c r="JOK525" s="133"/>
      <c r="JOL525" s="133"/>
      <c r="JOM525" s="133"/>
      <c r="JON525" s="133"/>
      <c r="JOO525" s="133"/>
      <c r="JOP525" s="133"/>
      <c r="JOQ525" s="133"/>
      <c r="JOR525" s="133"/>
      <c r="JOS525" s="133"/>
      <c r="JOT525" s="133"/>
      <c r="JOU525" s="133"/>
      <c r="JOV525" s="133"/>
      <c r="JOW525" s="133"/>
      <c r="JOX525" s="133"/>
      <c r="JOY525" s="133"/>
      <c r="JOZ525" s="133"/>
      <c r="JPA525" s="133"/>
      <c r="JPB525" s="133"/>
      <c r="JPC525" s="133"/>
      <c r="JPD525" s="133"/>
      <c r="JPE525" s="133"/>
      <c r="JPF525" s="133"/>
      <c r="JPG525" s="133"/>
      <c r="JPH525" s="133"/>
      <c r="JPI525" s="133"/>
      <c r="JPJ525" s="133"/>
      <c r="JPK525" s="133"/>
      <c r="JPL525" s="133"/>
      <c r="JPM525" s="133"/>
      <c r="JPN525" s="133"/>
      <c r="JPO525" s="133"/>
      <c r="JPP525" s="133"/>
      <c r="JPQ525" s="133"/>
      <c r="JPR525" s="133"/>
      <c r="JPS525" s="133"/>
      <c r="JPT525" s="133"/>
      <c r="JPU525" s="133"/>
      <c r="JPV525" s="133"/>
      <c r="JPW525" s="133"/>
      <c r="JPX525" s="133"/>
      <c r="JPY525" s="133"/>
      <c r="JPZ525" s="133"/>
      <c r="JQA525" s="133"/>
      <c r="JQB525" s="133"/>
      <c r="JQC525" s="133"/>
      <c r="JQD525" s="133"/>
      <c r="JQE525" s="133"/>
      <c r="JQF525" s="133"/>
      <c r="JQG525" s="133"/>
      <c r="JQH525" s="133"/>
      <c r="JQI525" s="133"/>
      <c r="JQJ525" s="133"/>
      <c r="JQK525" s="133"/>
      <c r="JQL525" s="133"/>
      <c r="JQM525" s="133"/>
      <c r="JQN525" s="133"/>
      <c r="JQO525" s="133"/>
      <c r="JQP525" s="133"/>
      <c r="JQQ525" s="133"/>
      <c r="JQR525" s="133"/>
      <c r="JQS525" s="133"/>
      <c r="JQT525" s="133"/>
      <c r="JQU525" s="133"/>
      <c r="JQV525" s="133"/>
      <c r="JQW525" s="133"/>
      <c r="JQX525" s="133"/>
      <c r="JQY525" s="133"/>
      <c r="JQZ525" s="133"/>
      <c r="JRA525" s="133"/>
      <c r="JRB525" s="133"/>
      <c r="JRC525" s="133"/>
      <c r="JRD525" s="133"/>
      <c r="JRE525" s="133"/>
      <c r="JRF525" s="133"/>
      <c r="JRG525" s="133"/>
      <c r="JRH525" s="133"/>
      <c r="JRI525" s="133"/>
      <c r="JRJ525" s="133"/>
      <c r="JRK525" s="133"/>
      <c r="JRL525" s="133"/>
      <c r="JRM525" s="133"/>
      <c r="JRN525" s="133"/>
      <c r="JRO525" s="133"/>
      <c r="JRP525" s="133"/>
      <c r="JRQ525" s="133"/>
      <c r="JRR525" s="133"/>
      <c r="JRS525" s="133"/>
      <c r="JRT525" s="133"/>
      <c r="JRU525" s="133"/>
      <c r="JRV525" s="133"/>
      <c r="JRW525" s="133"/>
      <c r="JRX525" s="133"/>
      <c r="JRY525" s="133"/>
      <c r="JRZ525" s="133"/>
      <c r="JSA525" s="133"/>
      <c r="JSB525" s="133"/>
      <c r="JSC525" s="133"/>
      <c r="JSD525" s="133"/>
      <c r="JSE525" s="133"/>
      <c r="JSF525" s="133"/>
      <c r="JSG525" s="133"/>
      <c r="JSH525" s="133"/>
      <c r="JSI525" s="133"/>
      <c r="JSJ525" s="133"/>
      <c r="JSK525" s="133"/>
      <c r="JSL525" s="133"/>
      <c r="JSM525" s="133"/>
      <c r="JSN525" s="133"/>
      <c r="JSO525" s="133"/>
      <c r="JSP525" s="133"/>
      <c r="JSQ525" s="133"/>
      <c r="JSR525" s="133"/>
      <c r="JSS525" s="133"/>
      <c r="JST525" s="133"/>
      <c r="JSU525" s="133"/>
      <c r="JSV525" s="133"/>
      <c r="JSW525" s="133"/>
      <c r="JSX525" s="133"/>
      <c r="JSY525" s="133"/>
      <c r="JSZ525" s="133"/>
      <c r="JTA525" s="133"/>
      <c r="JTB525" s="133"/>
      <c r="JTC525" s="133"/>
      <c r="JTD525" s="133"/>
      <c r="JTE525" s="133"/>
      <c r="JTF525" s="133"/>
      <c r="JTG525" s="133"/>
      <c r="JTH525" s="133"/>
      <c r="JTI525" s="133"/>
      <c r="JTJ525" s="133"/>
      <c r="JTK525" s="133"/>
      <c r="JTL525" s="133"/>
      <c r="JTM525" s="133"/>
      <c r="JTN525" s="133"/>
      <c r="JTO525" s="133"/>
      <c r="JTP525" s="133"/>
      <c r="JTQ525" s="133"/>
      <c r="JTR525" s="133"/>
      <c r="JTS525" s="133"/>
      <c r="JTT525" s="133"/>
      <c r="JTU525" s="133"/>
      <c r="JTV525" s="133"/>
      <c r="JTW525" s="133"/>
      <c r="JTX525" s="133"/>
      <c r="JTY525" s="133"/>
      <c r="JTZ525" s="133"/>
      <c r="JUA525" s="133"/>
      <c r="JUB525" s="133"/>
      <c r="JUC525" s="133"/>
      <c r="JUD525" s="133"/>
      <c r="JUE525" s="133"/>
      <c r="JUF525" s="133"/>
      <c r="JUG525" s="133"/>
      <c r="JUH525" s="133"/>
      <c r="JUI525" s="133"/>
      <c r="JUJ525" s="133"/>
      <c r="JUK525" s="133"/>
      <c r="JUL525" s="133"/>
      <c r="JUM525" s="133"/>
      <c r="JUN525" s="133"/>
      <c r="JUO525" s="133"/>
      <c r="JUP525" s="133"/>
      <c r="JUQ525" s="133"/>
      <c r="JUR525" s="133"/>
      <c r="JUS525" s="133"/>
      <c r="JUT525" s="133"/>
      <c r="JUU525" s="133"/>
      <c r="JUV525" s="133"/>
      <c r="JUW525" s="133"/>
      <c r="JUX525" s="133"/>
      <c r="JUY525" s="133"/>
      <c r="JUZ525" s="133"/>
      <c r="JVA525" s="133"/>
      <c r="JVB525" s="133"/>
      <c r="JVC525" s="133"/>
      <c r="JVD525" s="133"/>
      <c r="JVE525" s="133"/>
      <c r="JVF525" s="133"/>
      <c r="JVG525" s="133"/>
      <c r="JVH525" s="133"/>
      <c r="JVI525" s="133"/>
      <c r="JVJ525" s="133"/>
      <c r="JVK525" s="133"/>
      <c r="JVL525" s="133"/>
      <c r="JVM525" s="133"/>
      <c r="JVN525" s="133"/>
      <c r="JVO525" s="133"/>
      <c r="JVP525" s="133"/>
      <c r="JVQ525" s="133"/>
      <c r="JVR525" s="133"/>
      <c r="JVS525" s="133"/>
      <c r="JVT525" s="133"/>
      <c r="JVU525" s="133"/>
      <c r="JVV525" s="133"/>
      <c r="JVW525" s="133"/>
      <c r="JVX525" s="133"/>
      <c r="JVY525" s="133"/>
      <c r="JVZ525" s="133"/>
      <c r="JWA525" s="133"/>
      <c r="JWB525" s="133"/>
      <c r="JWC525" s="133"/>
      <c r="JWD525" s="133"/>
      <c r="JWE525" s="133"/>
      <c r="JWF525" s="133"/>
      <c r="JWG525" s="133"/>
      <c r="JWH525" s="133"/>
      <c r="JWI525" s="133"/>
      <c r="JWJ525" s="133"/>
      <c r="JWK525" s="133"/>
      <c r="JWL525" s="133"/>
      <c r="JWM525" s="133"/>
      <c r="JWN525" s="133"/>
      <c r="JWO525" s="133"/>
      <c r="JWP525" s="133"/>
      <c r="JWQ525" s="133"/>
      <c r="JWR525" s="133"/>
      <c r="JWS525" s="133"/>
      <c r="JWT525" s="133"/>
      <c r="JWU525" s="133"/>
      <c r="JWV525" s="133"/>
      <c r="JWW525" s="133"/>
      <c r="JWX525" s="133"/>
      <c r="JWY525" s="133"/>
      <c r="JWZ525" s="133"/>
      <c r="JXA525" s="133"/>
      <c r="JXB525" s="133"/>
      <c r="JXC525" s="133"/>
      <c r="JXD525" s="133"/>
      <c r="JXE525" s="133"/>
      <c r="JXF525" s="133"/>
      <c r="JXG525" s="133"/>
      <c r="JXH525" s="133"/>
      <c r="JXI525" s="133"/>
      <c r="JXJ525" s="133"/>
      <c r="JXK525" s="133"/>
      <c r="JXL525" s="133"/>
      <c r="JXM525" s="133"/>
      <c r="JXN525" s="133"/>
      <c r="JXO525" s="133"/>
      <c r="JXP525" s="133"/>
      <c r="JXQ525" s="133"/>
      <c r="JXR525" s="133"/>
      <c r="JXS525" s="133"/>
      <c r="JXT525" s="133"/>
      <c r="JXU525" s="133"/>
      <c r="JXV525" s="133"/>
      <c r="JXW525" s="133"/>
      <c r="JXX525" s="133"/>
      <c r="JXY525" s="133"/>
      <c r="JXZ525" s="133"/>
      <c r="JYA525" s="133"/>
      <c r="JYB525" s="133"/>
      <c r="JYC525" s="133"/>
      <c r="JYD525" s="133"/>
      <c r="JYE525" s="133"/>
      <c r="JYF525" s="133"/>
      <c r="JYG525" s="133"/>
      <c r="JYH525" s="133"/>
      <c r="JYI525" s="133"/>
      <c r="JYJ525" s="133"/>
      <c r="JYK525" s="133"/>
      <c r="JYL525" s="133"/>
      <c r="JYM525" s="133"/>
      <c r="JYN525" s="133"/>
      <c r="JYO525" s="133"/>
      <c r="JYP525" s="133"/>
      <c r="JYQ525" s="133"/>
      <c r="JYR525" s="133"/>
      <c r="JYS525" s="133"/>
      <c r="JYT525" s="133"/>
      <c r="JYU525" s="133"/>
      <c r="JYV525" s="133"/>
      <c r="JYW525" s="133"/>
      <c r="JYX525" s="133"/>
      <c r="JYY525" s="133"/>
      <c r="JYZ525" s="133"/>
      <c r="JZA525" s="133"/>
      <c r="JZB525" s="133"/>
      <c r="JZC525" s="133"/>
      <c r="JZD525" s="133"/>
      <c r="JZE525" s="133"/>
      <c r="JZF525" s="133"/>
      <c r="JZG525" s="133"/>
      <c r="JZH525" s="133"/>
      <c r="JZI525" s="133"/>
      <c r="JZJ525" s="133"/>
      <c r="JZK525" s="133"/>
      <c r="JZL525" s="133"/>
      <c r="JZM525" s="133"/>
      <c r="JZN525" s="133"/>
      <c r="JZO525" s="133"/>
      <c r="JZP525" s="133"/>
      <c r="JZQ525" s="133"/>
      <c r="JZR525" s="133"/>
      <c r="JZS525" s="133"/>
      <c r="JZT525" s="133"/>
      <c r="JZU525" s="133"/>
      <c r="JZV525" s="133"/>
      <c r="JZW525" s="133"/>
      <c r="JZX525" s="133"/>
      <c r="JZY525" s="133"/>
      <c r="JZZ525" s="133"/>
      <c r="KAA525" s="133"/>
      <c r="KAB525" s="133"/>
      <c r="KAC525" s="133"/>
      <c r="KAD525" s="133"/>
      <c r="KAE525" s="133"/>
      <c r="KAF525" s="133"/>
      <c r="KAG525" s="133"/>
      <c r="KAH525" s="133"/>
      <c r="KAI525" s="133"/>
      <c r="KAJ525" s="133"/>
      <c r="KAK525" s="133"/>
      <c r="KAL525" s="133"/>
      <c r="KAM525" s="133"/>
      <c r="KAN525" s="133"/>
      <c r="KAO525" s="133"/>
      <c r="KAP525" s="133"/>
      <c r="KAQ525" s="133"/>
      <c r="KAR525" s="133"/>
      <c r="KAS525" s="133"/>
      <c r="KAT525" s="133"/>
      <c r="KAU525" s="133"/>
      <c r="KAV525" s="133"/>
      <c r="KAW525" s="133"/>
      <c r="KAX525" s="133"/>
      <c r="KAY525" s="133"/>
      <c r="KAZ525" s="133"/>
      <c r="KBA525" s="133"/>
      <c r="KBB525" s="133"/>
      <c r="KBC525" s="133"/>
      <c r="KBD525" s="133"/>
      <c r="KBE525" s="133"/>
      <c r="KBF525" s="133"/>
      <c r="KBG525" s="133"/>
      <c r="KBH525" s="133"/>
      <c r="KBI525" s="133"/>
      <c r="KBJ525" s="133"/>
      <c r="KBK525" s="133"/>
      <c r="KBL525" s="133"/>
      <c r="KBM525" s="133"/>
      <c r="KBN525" s="133"/>
      <c r="KBO525" s="133"/>
      <c r="KBP525" s="133"/>
      <c r="KBQ525" s="133"/>
      <c r="KBR525" s="133"/>
      <c r="KBS525" s="133"/>
      <c r="KBT525" s="133"/>
      <c r="KBU525" s="133"/>
      <c r="KBV525" s="133"/>
      <c r="KBW525" s="133"/>
      <c r="KBX525" s="133"/>
      <c r="KBY525" s="133"/>
      <c r="KBZ525" s="133"/>
      <c r="KCA525" s="133"/>
      <c r="KCB525" s="133"/>
      <c r="KCC525" s="133"/>
      <c r="KCD525" s="133"/>
      <c r="KCE525" s="133"/>
      <c r="KCF525" s="133"/>
      <c r="KCG525" s="133"/>
      <c r="KCH525" s="133"/>
      <c r="KCI525" s="133"/>
      <c r="KCJ525" s="133"/>
      <c r="KCK525" s="133"/>
      <c r="KCL525" s="133"/>
      <c r="KCM525" s="133"/>
      <c r="KCN525" s="133"/>
      <c r="KCO525" s="133"/>
      <c r="KCP525" s="133"/>
      <c r="KCQ525" s="133"/>
      <c r="KCR525" s="133"/>
      <c r="KCS525" s="133"/>
      <c r="KCT525" s="133"/>
      <c r="KCU525" s="133"/>
      <c r="KCV525" s="133"/>
      <c r="KCW525" s="133"/>
      <c r="KCX525" s="133"/>
      <c r="KCY525" s="133"/>
      <c r="KCZ525" s="133"/>
      <c r="KDA525" s="133"/>
      <c r="KDB525" s="133"/>
      <c r="KDC525" s="133"/>
      <c r="KDD525" s="133"/>
      <c r="KDE525" s="133"/>
      <c r="KDF525" s="133"/>
      <c r="KDG525" s="133"/>
      <c r="KDH525" s="133"/>
      <c r="KDI525" s="133"/>
      <c r="KDJ525" s="133"/>
      <c r="KDK525" s="133"/>
      <c r="KDL525" s="133"/>
      <c r="KDM525" s="133"/>
      <c r="KDN525" s="133"/>
      <c r="KDO525" s="133"/>
      <c r="KDP525" s="133"/>
      <c r="KDQ525" s="133"/>
      <c r="KDR525" s="133"/>
      <c r="KDS525" s="133"/>
      <c r="KDT525" s="133"/>
      <c r="KDU525" s="133"/>
      <c r="KDV525" s="133"/>
      <c r="KDW525" s="133"/>
      <c r="KDX525" s="133"/>
      <c r="KDY525" s="133"/>
      <c r="KDZ525" s="133"/>
      <c r="KEA525" s="133"/>
      <c r="KEB525" s="133"/>
      <c r="KEC525" s="133"/>
      <c r="KED525" s="133"/>
      <c r="KEE525" s="133"/>
      <c r="KEF525" s="133"/>
      <c r="KEG525" s="133"/>
      <c r="KEH525" s="133"/>
      <c r="KEI525" s="133"/>
      <c r="KEJ525" s="133"/>
      <c r="KEK525" s="133"/>
      <c r="KEL525" s="133"/>
      <c r="KEM525" s="133"/>
      <c r="KEN525" s="133"/>
      <c r="KEO525" s="133"/>
      <c r="KEP525" s="133"/>
      <c r="KEQ525" s="133"/>
      <c r="KER525" s="133"/>
      <c r="KES525" s="133"/>
      <c r="KET525" s="133"/>
      <c r="KEU525" s="133"/>
      <c r="KEV525" s="133"/>
      <c r="KEW525" s="133"/>
      <c r="KEX525" s="133"/>
      <c r="KEY525" s="133"/>
      <c r="KEZ525" s="133"/>
      <c r="KFA525" s="133"/>
      <c r="KFB525" s="133"/>
      <c r="KFC525" s="133"/>
      <c r="KFD525" s="133"/>
      <c r="KFE525" s="133"/>
      <c r="KFF525" s="133"/>
      <c r="KFG525" s="133"/>
      <c r="KFH525" s="133"/>
      <c r="KFI525" s="133"/>
      <c r="KFJ525" s="133"/>
      <c r="KFK525" s="133"/>
      <c r="KFL525" s="133"/>
      <c r="KFM525" s="133"/>
      <c r="KFN525" s="133"/>
      <c r="KFO525" s="133"/>
      <c r="KFP525" s="133"/>
      <c r="KFQ525" s="133"/>
      <c r="KFR525" s="133"/>
      <c r="KFS525" s="133"/>
      <c r="KFT525" s="133"/>
      <c r="KFU525" s="133"/>
      <c r="KFV525" s="133"/>
      <c r="KFW525" s="133"/>
      <c r="KFX525" s="133"/>
      <c r="KFY525" s="133"/>
      <c r="KFZ525" s="133"/>
      <c r="KGA525" s="133"/>
      <c r="KGB525" s="133"/>
      <c r="KGC525" s="133"/>
      <c r="KGD525" s="133"/>
      <c r="KGE525" s="133"/>
      <c r="KGF525" s="133"/>
      <c r="KGG525" s="133"/>
      <c r="KGH525" s="133"/>
      <c r="KGI525" s="133"/>
      <c r="KGJ525" s="133"/>
      <c r="KGK525" s="133"/>
      <c r="KGL525" s="133"/>
      <c r="KGM525" s="133"/>
      <c r="KGN525" s="133"/>
      <c r="KGO525" s="133"/>
      <c r="KGP525" s="133"/>
      <c r="KGQ525" s="133"/>
      <c r="KGR525" s="133"/>
      <c r="KGS525" s="133"/>
      <c r="KGT525" s="133"/>
      <c r="KGU525" s="133"/>
      <c r="KGV525" s="133"/>
      <c r="KGW525" s="133"/>
      <c r="KGX525" s="133"/>
      <c r="KGY525" s="133"/>
      <c r="KGZ525" s="133"/>
      <c r="KHA525" s="133"/>
      <c r="KHB525" s="133"/>
      <c r="KHC525" s="133"/>
      <c r="KHD525" s="133"/>
      <c r="KHE525" s="133"/>
      <c r="KHF525" s="133"/>
      <c r="KHG525" s="133"/>
      <c r="KHH525" s="133"/>
      <c r="KHI525" s="133"/>
      <c r="KHJ525" s="133"/>
      <c r="KHK525" s="133"/>
      <c r="KHL525" s="133"/>
      <c r="KHM525" s="133"/>
      <c r="KHN525" s="133"/>
      <c r="KHO525" s="133"/>
      <c r="KHP525" s="133"/>
      <c r="KHQ525" s="133"/>
      <c r="KHR525" s="133"/>
      <c r="KHS525" s="133"/>
      <c r="KHT525" s="133"/>
      <c r="KHU525" s="133"/>
      <c r="KHV525" s="133"/>
      <c r="KHW525" s="133"/>
      <c r="KHX525" s="133"/>
      <c r="KHY525" s="133"/>
      <c r="KHZ525" s="133"/>
      <c r="KIA525" s="133"/>
      <c r="KIB525" s="133"/>
      <c r="KIC525" s="133"/>
      <c r="KID525" s="133"/>
      <c r="KIE525" s="133"/>
      <c r="KIF525" s="133"/>
      <c r="KIG525" s="133"/>
      <c r="KIH525" s="133"/>
      <c r="KII525" s="133"/>
      <c r="KIJ525" s="133"/>
      <c r="KIK525" s="133"/>
      <c r="KIL525" s="133"/>
      <c r="KIM525" s="133"/>
      <c r="KIN525" s="133"/>
      <c r="KIO525" s="133"/>
      <c r="KIP525" s="133"/>
      <c r="KIQ525" s="133"/>
      <c r="KIR525" s="133"/>
      <c r="KIS525" s="133"/>
      <c r="KIT525" s="133"/>
      <c r="KIU525" s="133"/>
      <c r="KIV525" s="133"/>
      <c r="KIW525" s="133"/>
      <c r="KIX525" s="133"/>
      <c r="KIY525" s="133"/>
      <c r="KIZ525" s="133"/>
      <c r="KJA525" s="133"/>
      <c r="KJB525" s="133"/>
      <c r="KJC525" s="133"/>
      <c r="KJD525" s="133"/>
      <c r="KJE525" s="133"/>
      <c r="KJF525" s="133"/>
      <c r="KJG525" s="133"/>
      <c r="KJH525" s="133"/>
      <c r="KJI525" s="133"/>
      <c r="KJJ525" s="133"/>
      <c r="KJK525" s="133"/>
      <c r="KJL525" s="133"/>
      <c r="KJM525" s="133"/>
      <c r="KJN525" s="133"/>
      <c r="KJO525" s="133"/>
      <c r="KJP525" s="133"/>
      <c r="KJQ525" s="133"/>
      <c r="KJR525" s="133"/>
      <c r="KJS525" s="133"/>
      <c r="KJT525" s="133"/>
      <c r="KJU525" s="133"/>
      <c r="KJV525" s="133"/>
      <c r="KJW525" s="133"/>
      <c r="KJX525" s="133"/>
      <c r="KJY525" s="133"/>
      <c r="KJZ525" s="133"/>
      <c r="KKA525" s="133"/>
      <c r="KKB525" s="133"/>
      <c r="KKC525" s="133"/>
      <c r="KKD525" s="133"/>
      <c r="KKE525" s="133"/>
      <c r="KKF525" s="133"/>
      <c r="KKG525" s="133"/>
      <c r="KKH525" s="133"/>
      <c r="KKI525" s="133"/>
      <c r="KKJ525" s="133"/>
      <c r="KKK525" s="133"/>
      <c r="KKL525" s="133"/>
      <c r="KKM525" s="133"/>
      <c r="KKN525" s="133"/>
      <c r="KKO525" s="133"/>
      <c r="KKP525" s="133"/>
      <c r="KKQ525" s="133"/>
      <c r="KKR525" s="133"/>
      <c r="KKS525" s="133"/>
      <c r="KKT525" s="133"/>
      <c r="KKU525" s="133"/>
      <c r="KKV525" s="133"/>
      <c r="KKW525" s="133"/>
      <c r="KKX525" s="133"/>
      <c r="KKY525" s="133"/>
      <c r="KKZ525" s="133"/>
      <c r="KLA525" s="133"/>
      <c r="KLB525" s="133"/>
      <c r="KLC525" s="133"/>
      <c r="KLD525" s="133"/>
      <c r="KLE525" s="133"/>
      <c r="KLF525" s="133"/>
      <c r="KLG525" s="133"/>
      <c r="KLH525" s="133"/>
      <c r="KLI525" s="133"/>
      <c r="KLJ525" s="133"/>
      <c r="KLK525" s="133"/>
      <c r="KLL525" s="133"/>
      <c r="KLM525" s="133"/>
      <c r="KLN525" s="133"/>
      <c r="KLO525" s="133"/>
      <c r="KLP525" s="133"/>
      <c r="KLQ525" s="133"/>
      <c r="KLR525" s="133"/>
      <c r="KLS525" s="133"/>
      <c r="KLT525" s="133"/>
      <c r="KLU525" s="133"/>
      <c r="KLV525" s="133"/>
      <c r="KLW525" s="133"/>
      <c r="KLX525" s="133"/>
      <c r="KLY525" s="133"/>
      <c r="KLZ525" s="133"/>
      <c r="KMA525" s="133"/>
      <c r="KMB525" s="133"/>
      <c r="KMC525" s="133"/>
      <c r="KMD525" s="133"/>
      <c r="KME525" s="133"/>
      <c r="KMF525" s="133"/>
      <c r="KMG525" s="133"/>
      <c r="KMH525" s="133"/>
      <c r="KMI525" s="133"/>
      <c r="KMJ525" s="133"/>
      <c r="KMK525" s="133"/>
      <c r="KML525" s="133"/>
      <c r="KMM525" s="133"/>
      <c r="KMN525" s="133"/>
      <c r="KMO525" s="133"/>
      <c r="KMP525" s="133"/>
      <c r="KMQ525" s="133"/>
      <c r="KMR525" s="133"/>
      <c r="KMS525" s="133"/>
      <c r="KMT525" s="133"/>
      <c r="KMU525" s="133"/>
      <c r="KMV525" s="133"/>
      <c r="KMW525" s="133"/>
      <c r="KMX525" s="133"/>
      <c r="KMY525" s="133"/>
      <c r="KMZ525" s="133"/>
      <c r="KNA525" s="133"/>
      <c r="KNB525" s="133"/>
      <c r="KNC525" s="133"/>
      <c r="KND525" s="133"/>
      <c r="KNE525" s="133"/>
      <c r="KNF525" s="133"/>
      <c r="KNG525" s="133"/>
      <c r="KNH525" s="133"/>
      <c r="KNI525" s="133"/>
      <c r="KNJ525" s="133"/>
      <c r="KNK525" s="133"/>
      <c r="KNL525" s="133"/>
      <c r="KNM525" s="133"/>
      <c r="KNN525" s="133"/>
      <c r="KNO525" s="133"/>
      <c r="KNP525" s="133"/>
      <c r="KNQ525" s="133"/>
      <c r="KNR525" s="133"/>
      <c r="KNS525" s="133"/>
      <c r="KNT525" s="133"/>
      <c r="KNU525" s="133"/>
      <c r="KNV525" s="133"/>
      <c r="KNW525" s="133"/>
      <c r="KNX525" s="133"/>
      <c r="KNY525" s="133"/>
      <c r="KNZ525" s="133"/>
      <c r="KOA525" s="133"/>
      <c r="KOB525" s="133"/>
      <c r="KOC525" s="133"/>
      <c r="KOD525" s="133"/>
      <c r="KOE525" s="133"/>
      <c r="KOF525" s="133"/>
      <c r="KOG525" s="133"/>
      <c r="KOH525" s="133"/>
      <c r="KOI525" s="133"/>
      <c r="KOJ525" s="133"/>
      <c r="KOK525" s="133"/>
      <c r="KOL525" s="133"/>
      <c r="KOM525" s="133"/>
      <c r="KON525" s="133"/>
      <c r="KOO525" s="133"/>
      <c r="KOP525" s="133"/>
      <c r="KOQ525" s="133"/>
      <c r="KOR525" s="133"/>
      <c r="KOS525" s="133"/>
      <c r="KOT525" s="133"/>
      <c r="KOU525" s="133"/>
      <c r="KOV525" s="133"/>
      <c r="KOW525" s="133"/>
      <c r="KOX525" s="133"/>
      <c r="KOY525" s="133"/>
      <c r="KOZ525" s="133"/>
      <c r="KPA525" s="133"/>
      <c r="KPB525" s="133"/>
      <c r="KPC525" s="133"/>
      <c r="KPD525" s="133"/>
      <c r="KPE525" s="133"/>
      <c r="KPF525" s="133"/>
      <c r="KPG525" s="133"/>
      <c r="KPH525" s="133"/>
      <c r="KPI525" s="133"/>
      <c r="KPJ525" s="133"/>
      <c r="KPK525" s="133"/>
      <c r="KPL525" s="133"/>
      <c r="KPM525" s="133"/>
      <c r="KPN525" s="133"/>
      <c r="KPO525" s="133"/>
      <c r="KPP525" s="133"/>
      <c r="KPQ525" s="133"/>
      <c r="KPR525" s="133"/>
      <c r="KPS525" s="133"/>
      <c r="KPT525" s="133"/>
      <c r="KPU525" s="133"/>
      <c r="KPV525" s="133"/>
      <c r="KPW525" s="133"/>
      <c r="KPX525" s="133"/>
      <c r="KPY525" s="133"/>
      <c r="KPZ525" s="133"/>
      <c r="KQA525" s="133"/>
      <c r="KQB525" s="133"/>
      <c r="KQC525" s="133"/>
      <c r="KQD525" s="133"/>
      <c r="KQE525" s="133"/>
      <c r="KQF525" s="133"/>
      <c r="KQG525" s="133"/>
      <c r="KQH525" s="133"/>
      <c r="KQI525" s="133"/>
      <c r="KQJ525" s="133"/>
      <c r="KQK525" s="133"/>
      <c r="KQL525" s="133"/>
      <c r="KQM525" s="133"/>
      <c r="KQN525" s="133"/>
      <c r="KQO525" s="133"/>
      <c r="KQP525" s="133"/>
      <c r="KQQ525" s="133"/>
      <c r="KQR525" s="133"/>
      <c r="KQS525" s="133"/>
      <c r="KQT525" s="133"/>
      <c r="KQU525" s="133"/>
      <c r="KQV525" s="133"/>
      <c r="KQW525" s="133"/>
      <c r="KQX525" s="133"/>
      <c r="KQY525" s="133"/>
      <c r="KQZ525" s="133"/>
      <c r="KRA525" s="133"/>
      <c r="KRB525" s="133"/>
      <c r="KRC525" s="133"/>
      <c r="KRD525" s="133"/>
      <c r="KRE525" s="133"/>
      <c r="KRF525" s="133"/>
      <c r="KRG525" s="133"/>
      <c r="KRH525" s="133"/>
      <c r="KRI525" s="133"/>
      <c r="KRJ525" s="133"/>
      <c r="KRK525" s="133"/>
      <c r="KRL525" s="133"/>
      <c r="KRM525" s="133"/>
      <c r="KRN525" s="133"/>
      <c r="KRO525" s="133"/>
      <c r="KRP525" s="133"/>
      <c r="KRQ525" s="133"/>
      <c r="KRR525" s="133"/>
      <c r="KRS525" s="133"/>
      <c r="KRT525" s="133"/>
      <c r="KRU525" s="133"/>
      <c r="KRV525" s="133"/>
      <c r="KRW525" s="133"/>
      <c r="KRX525" s="133"/>
      <c r="KRY525" s="133"/>
      <c r="KRZ525" s="133"/>
      <c r="KSA525" s="133"/>
      <c r="KSB525" s="133"/>
      <c r="KSC525" s="133"/>
      <c r="KSD525" s="133"/>
      <c r="KSE525" s="133"/>
      <c r="KSF525" s="133"/>
      <c r="KSG525" s="133"/>
      <c r="KSH525" s="133"/>
      <c r="KSI525" s="133"/>
      <c r="KSJ525" s="133"/>
      <c r="KSK525" s="133"/>
      <c r="KSL525" s="133"/>
      <c r="KSM525" s="133"/>
      <c r="KSN525" s="133"/>
      <c r="KSO525" s="133"/>
      <c r="KSP525" s="133"/>
      <c r="KSQ525" s="133"/>
      <c r="KSR525" s="133"/>
      <c r="KSS525" s="133"/>
      <c r="KST525" s="133"/>
      <c r="KSU525" s="133"/>
      <c r="KSV525" s="133"/>
      <c r="KSW525" s="133"/>
      <c r="KSX525" s="133"/>
      <c r="KSY525" s="133"/>
      <c r="KSZ525" s="133"/>
      <c r="KTA525" s="133"/>
      <c r="KTB525" s="133"/>
      <c r="KTC525" s="133"/>
      <c r="KTD525" s="133"/>
      <c r="KTE525" s="133"/>
      <c r="KTF525" s="133"/>
      <c r="KTG525" s="133"/>
      <c r="KTH525" s="133"/>
      <c r="KTI525" s="133"/>
      <c r="KTJ525" s="133"/>
      <c r="KTK525" s="133"/>
      <c r="KTL525" s="133"/>
      <c r="KTM525" s="133"/>
      <c r="KTN525" s="133"/>
      <c r="KTO525" s="133"/>
      <c r="KTP525" s="133"/>
      <c r="KTQ525" s="133"/>
      <c r="KTR525" s="133"/>
      <c r="KTS525" s="133"/>
      <c r="KTT525" s="133"/>
      <c r="KTU525" s="133"/>
      <c r="KTV525" s="133"/>
      <c r="KTW525" s="133"/>
      <c r="KTX525" s="133"/>
      <c r="KTY525" s="133"/>
      <c r="KTZ525" s="133"/>
      <c r="KUA525" s="133"/>
      <c r="KUB525" s="133"/>
      <c r="KUC525" s="133"/>
      <c r="KUD525" s="133"/>
      <c r="KUE525" s="133"/>
      <c r="KUF525" s="133"/>
      <c r="KUG525" s="133"/>
      <c r="KUH525" s="133"/>
      <c r="KUI525" s="133"/>
      <c r="KUJ525" s="133"/>
      <c r="KUK525" s="133"/>
      <c r="KUL525" s="133"/>
      <c r="KUM525" s="133"/>
      <c r="KUN525" s="133"/>
      <c r="KUO525" s="133"/>
      <c r="KUP525" s="133"/>
      <c r="KUQ525" s="133"/>
      <c r="KUR525" s="133"/>
      <c r="KUS525" s="133"/>
      <c r="KUT525" s="133"/>
      <c r="KUU525" s="133"/>
      <c r="KUV525" s="133"/>
      <c r="KUW525" s="133"/>
      <c r="KUX525" s="133"/>
      <c r="KUY525" s="133"/>
      <c r="KUZ525" s="133"/>
      <c r="KVA525" s="133"/>
      <c r="KVB525" s="133"/>
      <c r="KVC525" s="133"/>
      <c r="KVD525" s="133"/>
      <c r="KVE525" s="133"/>
      <c r="KVF525" s="133"/>
      <c r="KVG525" s="133"/>
      <c r="KVH525" s="133"/>
      <c r="KVI525" s="133"/>
      <c r="KVJ525" s="133"/>
      <c r="KVK525" s="133"/>
      <c r="KVL525" s="133"/>
      <c r="KVM525" s="133"/>
      <c r="KVN525" s="133"/>
      <c r="KVO525" s="133"/>
      <c r="KVP525" s="133"/>
      <c r="KVQ525" s="133"/>
      <c r="KVR525" s="133"/>
      <c r="KVS525" s="133"/>
      <c r="KVT525" s="133"/>
      <c r="KVU525" s="133"/>
      <c r="KVV525" s="133"/>
      <c r="KVW525" s="133"/>
      <c r="KVX525" s="133"/>
      <c r="KVY525" s="133"/>
      <c r="KVZ525" s="133"/>
      <c r="KWA525" s="133"/>
      <c r="KWB525" s="133"/>
      <c r="KWC525" s="133"/>
      <c r="KWD525" s="133"/>
      <c r="KWE525" s="133"/>
      <c r="KWF525" s="133"/>
      <c r="KWG525" s="133"/>
      <c r="KWH525" s="133"/>
      <c r="KWI525" s="133"/>
      <c r="KWJ525" s="133"/>
      <c r="KWK525" s="133"/>
      <c r="KWL525" s="133"/>
      <c r="KWM525" s="133"/>
      <c r="KWN525" s="133"/>
      <c r="KWO525" s="133"/>
      <c r="KWP525" s="133"/>
      <c r="KWQ525" s="133"/>
      <c r="KWR525" s="133"/>
      <c r="KWS525" s="133"/>
      <c r="KWT525" s="133"/>
      <c r="KWU525" s="133"/>
      <c r="KWV525" s="133"/>
      <c r="KWW525" s="133"/>
      <c r="KWX525" s="133"/>
      <c r="KWY525" s="133"/>
      <c r="KWZ525" s="133"/>
      <c r="KXA525" s="133"/>
      <c r="KXB525" s="133"/>
      <c r="KXC525" s="133"/>
      <c r="KXD525" s="133"/>
      <c r="KXE525" s="133"/>
      <c r="KXF525" s="133"/>
      <c r="KXG525" s="133"/>
      <c r="KXH525" s="133"/>
      <c r="KXI525" s="133"/>
      <c r="KXJ525" s="133"/>
      <c r="KXK525" s="133"/>
      <c r="KXL525" s="133"/>
      <c r="KXM525" s="133"/>
      <c r="KXN525" s="133"/>
      <c r="KXO525" s="133"/>
      <c r="KXP525" s="133"/>
      <c r="KXQ525" s="133"/>
      <c r="KXR525" s="133"/>
      <c r="KXS525" s="133"/>
      <c r="KXT525" s="133"/>
      <c r="KXU525" s="133"/>
      <c r="KXV525" s="133"/>
      <c r="KXW525" s="133"/>
      <c r="KXX525" s="133"/>
      <c r="KXY525" s="133"/>
      <c r="KXZ525" s="133"/>
      <c r="KYA525" s="133"/>
      <c r="KYB525" s="133"/>
      <c r="KYC525" s="133"/>
      <c r="KYD525" s="133"/>
      <c r="KYE525" s="133"/>
      <c r="KYF525" s="133"/>
      <c r="KYG525" s="133"/>
      <c r="KYH525" s="133"/>
      <c r="KYI525" s="133"/>
      <c r="KYJ525" s="133"/>
      <c r="KYK525" s="133"/>
      <c r="KYL525" s="133"/>
      <c r="KYM525" s="133"/>
      <c r="KYN525" s="133"/>
      <c r="KYO525" s="133"/>
      <c r="KYP525" s="133"/>
      <c r="KYQ525" s="133"/>
      <c r="KYR525" s="133"/>
      <c r="KYS525" s="133"/>
      <c r="KYT525" s="133"/>
      <c r="KYU525" s="133"/>
      <c r="KYV525" s="133"/>
      <c r="KYW525" s="133"/>
      <c r="KYX525" s="133"/>
      <c r="KYY525" s="133"/>
      <c r="KYZ525" s="133"/>
      <c r="KZA525" s="133"/>
      <c r="KZB525" s="133"/>
      <c r="KZC525" s="133"/>
      <c r="KZD525" s="133"/>
      <c r="KZE525" s="133"/>
      <c r="KZF525" s="133"/>
      <c r="KZG525" s="133"/>
      <c r="KZH525" s="133"/>
      <c r="KZI525" s="133"/>
      <c r="KZJ525" s="133"/>
      <c r="KZK525" s="133"/>
      <c r="KZL525" s="133"/>
      <c r="KZM525" s="133"/>
      <c r="KZN525" s="133"/>
      <c r="KZO525" s="133"/>
      <c r="KZP525" s="133"/>
      <c r="KZQ525" s="133"/>
      <c r="KZR525" s="133"/>
      <c r="KZS525" s="133"/>
      <c r="KZT525" s="133"/>
      <c r="KZU525" s="133"/>
      <c r="KZV525" s="133"/>
      <c r="KZW525" s="133"/>
      <c r="KZX525" s="133"/>
      <c r="KZY525" s="133"/>
      <c r="KZZ525" s="133"/>
      <c r="LAA525" s="133"/>
      <c r="LAB525" s="133"/>
      <c r="LAC525" s="133"/>
      <c r="LAD525" s="133"/>
      <c r="LAE525" s="133"/>
      <c r="LAF525" s="133"/>
      <c r="LAG525" s="133"/>
      <c r="LAH525" s="133"/>
      <c r="LAI525" s="133"/>
      <c r="LAJ525" s="133"/>
      <c r="LAK525" s="133"/>
      <c r="LAL525" s="133"/>
      <c r="LAM525" s="133"/>
      <c r="LAN525" s="133"/>
      <c r="LAO525" s="133"/>
      <c r="LAP525" s="133"/>
      <c r="LAQ525" s="133"/>
      <c r="LAR525" s="133"/>
      <c r="LAS525" s="133"/>
      <c r="LAT525" s="133"/>
      <c r="LAU525" s="133"/>
      <c r="LAV525" s="133"/>
      <c r="LAW525" s="133"/>
      <c r="LAX525" s="133"/>
      <c r="LAY525" s="133"/>
      <c r="LAZ525" s="133"/>
      <c r="LBA525" s="133"/>
      <c r="LBB525" s="133"/>
      <c r="LBC525" s="133"/>
      <c r="LBD525" s="133"/>
      <c r="LBE525" s="133"/>
      <c r="LBF525" s="133"/>
      <c r="LBG525" s="133"/>
      <c r="LBH525" s="133"/>
      <c r="LBI525" s="133"/>
      <c r="LBJ525" s="133"/>
      <c r="LBK525" s="133"/>
      <c r="LBL525" s="133"/>
      <c r="LBM525" s="133"/>
      <c r="LBN525" s="133"/>
      <c r="LBO525" s="133"/>
      <c r="LBP525" s="133"/>
      <c r="LBQ525" s="133"/>
      <c r="LBR525" s="133"/>
      <c r="LBS525" s="133"/>
      <c r="LBT525" s="133"/>
      <c r="LBU525" s="133"/>
      <c r="LBV525" s="133"/>
      <c r="LBW525" s="133"/>
      <c r="LBX525" s="133"/>
      <c r="LBY525" s="133"/>
      <c r="LBZ525" s="133"/>
      <c r="LCA525" s="133"/>
      <c r="LCB525" s="133"/>
      <c r="LCC525" s="133"/>
      <c r="LCD525" s="133"/>
      <c r="LCE525" s="133"/>
      <c r="LCF525" s="133"/>
      <c r="LCG525" s="133"/>
      <c r="LCH525" s="133"/>
      <c r="LCI525" s="133"/>
      <c r="LCJ525" s="133"/>
      <c r="LCK525" s="133"/>
      <c r="LCL525" s="133"/>
      <c r="LCM525" s="133"/>
      <c r="LCN525" s="133"/>
      <c r="LCO525" s="133"/>
      <c r="LCP525" s="133"/>
      <c r="LCQ525" s="133"/>
      <c r="LCR525" s="133"/>
      <c r="LCS525" s="133"/>
      <c r="LCT525" s="133"/>
      <c r="LCU525" s="133"/>
      <c r="LCV525" s="133"/>
      <c r="LCW525" s="133"/>
      <c r="LCX525" s="133"/>
      <c r="LCY525" s="133"/>
      <c r="LCZ525" s="133"/>
      <c r="LDA525" s="133"/>
      <c r="LDB525" s="133"/>
      <c r="LDC525" s="133"/>
      <c r="LDD525" s="133"/>
      <c r="LDE525" s="133"/>
      <c r="LDF525" s="133"/>
      <c r="LDG525" s="133"/>
      <c r="LDH525" s="133"/>
      <c r="LDI525" s="133"/>
      <c r="LDJ525" s="133"/>
      <c r="LDK525" s="133"/>
      <c r="LDL525" s="133"/>
      <c r="LDM525" s="133"/>
      <c r="LDN525" s="133"/>
      <c r="LDO525" s="133"/>
      <c r="LDP525" s="133"/>
      <c r="LDQ525" s="133"/>
      <c r="LDR525" s="133"/>
      <c r="LDS525" s="133"/>
      <c r="LDT525" s="133"/>
      <c r="LDU525" s="133"/>
      <c r="LDV525" s="133"/>
      <c r="LDW525" s="133"/>
      <c r="LDX525" s="133"/>
      <c r="LDY525" s="133"/>
      <c r="LDZ525" s="133"/>
      <c r="LEA525" s="133"/>
      <c r="LEB525" s="133"/>
      <c r="LEC525" s="133"/>
      <c r="LED525" s="133"/>
      <c r="LEE525" s="133"/>
      <c r="LEF525" s="133"/>
      <c r="LEG525" s="133"/>
      <c r="LEH525" s="133"/>
      <c r="LEI525" s="133"/>
      <c r="LEJ525" s="133"/>
      <c r="LEK525" s="133"/>
      <c r="LEL525" s="133"/>
      <c r="LEM525" s="133"/>
      <c r="LEN525" s="133"/>
      <c r="LEO525" s="133"/>
      <c r="LEP525" s="133"/>
      <c r="LEQ525" s="133"/>
      <c r="LER525" s="133"/>
      <c r="LES525" s="133"/>
      <c r="LET525" s="133"/>
      <c r="LEU525" s="133"/>
      <c r="LEV525" s="133"/>
      <c r="LEW525" s="133"/>
      <c r="LEX525" s="133"/>
      <c r="LEY525" s="133"/>
      <c r="LEZ525" s="133"/>
      <c r="LFA525" s="133"/>
      <c r="LFB525" s="133"/>
      <c r="LFC525" s="133"/>
      <c r="LFD525" s="133"/>
      <c r="LFE525" s="133"/>
      <c r="LFF525" s="133"/>
      <c r="LFG525" s="133"/>
      <c r="LFH525" s="133"/>
      <c r="LFI525" s="133"/>
      <c r="LFJ525" s="133"/>
      <c r="LFK525" s="133"/>
      <c r="LFL525" s="133"/>
      <c r="LFM525" s="133"/>
      <c r="LFN525" s="133"/>
      <c r="LFO525" s="133"/>
      <c r="LFP525" s="133"/>
      <c r="LFQ525" s="133"/>
      <c r="LFR525" s="133"/>
      <c r="LFS525" s="133"/>
      <c r="LFT525" s="133"/>
      <c r="LFU525" s="133"/>
      <c r="LFV525" s="133"/>
      <c r="LFW525" s="133"/>
      <c r="LFX525" s="133"/>
      <c r="LFY525" s="133"/>
      <c r="LFZ525" s="133"/>
      <c r="LGA525" s="133"/>
      <c r="LGB525" s="133"/>
      <c r="LGC525" s="133"/>
      <c r="LGD525" s="133"/>
      <c r="LGE525" s="133"/>
      <c r="LGF525" s="133"/>
      <c r="LGG525" s="133"/>
      <c r="LGH525" s="133"/>
      <c r="LGI525" s="133"/>
      <c r="LGJ525" s="133"/>
      <c r="LGK525" s="133"/>
      <c r="LGL525" s="133"/>
      <c r="LGM525" s="133"/>
      <c r="LGN525" s="133"/>
      <c r="LGO525" s="133"/>
      <c r="LGP525" s="133"/>
      <c r="LGQ525" s="133"/>
      <c r="LGR525" s="133"/>
      <c r="LGS525" s="133"/>
      <c r="LGT525" s="133"/>
      <c r="LGU525" s="133"/>
      <c r="LGV525" s="133"/>
      <c r="LGW525" s="133"/>
      <c r="LGX525" s="133"/>
      <c r="LGY525" s="133"/>
      <c r="LGZ525" s="133"/>
      <c r="LHA525" s="133"/>
      <c r="LHB525" s="133"/>
      <c r="LHC525" s="133"/>
      <c r="LHD525" s="133"/>
      <c r="LHE525" s="133"/>
      <c r="LHF525" s="133"/>
      <c r="LHG525" s="133"/>
      <c r="LHH525" s="133"/>
      <c r="LHI525" s="133"/>
      <c r="LHJ525" s="133"/>
      <c r="LHK525" s="133"/>
      <c r="LHL525" s="133"/>
      <c r="LHM525" s="133"/>
      <c r="LHN525" s="133"/>
      <c r="LHO525" s="133"/>
      <c r="LHP525" s="133"/>
      <c r="LHQ525" s="133"/>
      <c r="LHR525" s="133"/>
      <c r="LHS525" s="133"/>
      <c r="LHT525" s="133"/>
      <c r="LHU525" s="133"/>
      <c r="LHV525" s="133"/>
      <c r="LHW525" s="133"/>
      <c r="LHX525" s="133"/>
      <c r="LHY525" s="133"/>
      <c r="LHZ525" s="133"/>
      <c r="LIA525" s="133"/>
      <c r="LIB525" s="133"/>
      <c r="LIC525" s="133"/>
      <c r="LID525" s="133"/>
      <c r="LIE525" s="133"/>
      <c r="LIF525" s="133"/>
      <c r="LIG525" s="133"/>
      <c r="LIH525" s="133"/>
      <c r="LII525" s="133"/>
      <c r="LIJ525" s="133"/>
      <c r="LIK525" s="133"/>
      <c r="LIL525" s="133"/>
      <c r="LIM525" s="133"/>
      <c r="LIN525" s="133"/>
      <c r="LIO525" s="133"/>
      <c r="LIP525" s="133"/>
      <c r="LIQ525" s="133"/>
      <c r="LIR525" s="133"/>
      <c r="LIS525" s="133"/>
      <c r="LIT525" s="133"/>
      <c r="LIU525" s="133"/>
      <c r="LIV525" s="133"/>
      <c r="LIW525" s="133"/>
      <c r="LIX525" s="133"/>
      <c r="LIY525" s="133"/>
      <c r="LIZ525" s="133"/>
      <c r="LJA525" s="133"/>
      <c r="LJB525" s="133"/>
      <c r="LJC525" s="133"/>
      <c r="LJD525" s="133"/>
      <c r="LJE525" s="133"/>
      <c r="LJF525" s="133"/>
      <c r="LJG525" s="133"/>
      <c r="LJH525" s="133"/>
      <c r="LJI525" s="133"/>
      <c r="LJJ525" s="133"/>
      <c r="LJK525" s="133"/>
      <c r="LJL525" s="133"/>
      <c r="LJM525" s="133"/>
      <c r="LJN525" s="133"/>
      <c r="LJO525" s="133"/>
      <c r="LJP525" s="133"/>
      <c r="LJQ525" s="133"/>
      <c r="LJR525" s="133"/>
      <c r="LJS525" s="133"/>
      <c r="LJT525" s="133"/>
      <c r="LJU525" s="133"/>
      <c r="LJV525" s="133"/>
      <c r="LJW525" s="133"/>
      <c r="LJX525" s="133"/>
      <c r="LJY525" s="133"/>
      <c r="LJZ525" s="133"/>
      <c r="LKA525" s="133"/>
      <c r="LKB525" s="133"/>
      <c r="LKC525" s="133"/>
      <c r="LKD525" s="133"/>
      <c r="LKE525" s="133"/>
      <c r="LKF525" s="133"/>
      <c r="LKG525" s="133"/>
      <c r="LKH525" s="133"/>
      <c r="LKI525" s="133"/>
      <c r="LKJ525" s="133"/>
      <c r="LKK525" s="133"/>
      <c r="LKL525" s="133"/>
      <c r="LKM525" s="133"/>
      <c r="LKN525" s="133"/>
      <c r="LKO525" s="133"/>
      <c r="LKP525" s="133"/>
      <c r="LKQ525" s="133"/>
      <c r="LKR525" s="133"/>
      <c r="LKS525" s="133"/>
      <c r="LKT525" s="133"/>
      <c r="LKU525" s="133"/>
      <c r="LKV525" s="133"/>
      <c r="LKW525" s="133"/>
      <c r="LKX525" s="133"/>
      <c r="LKY525" s="133"/>
      <c r="LKZ525" s="133"/>
      <c r="LLA525" s="133"/>
      <c r="LLB525" s="133"/>
      <c r="LLC525" s="133"/>
      <c r="LLD525" s="133"/>
      <c r="LLE525" s="133"/>
      <c r="LLF525" s="133"/>
      <c r="LLG525" s="133"/>
      <c r="LLH525" s="133"/>
      <c r="LLI525" s="133"/>
      <c r="LLJ525" s="133"/>
      <c r="LLK525" s="133"/>
      <c r="LLL525" s="133"/>
      <c r="LLM525" s="133"/>
      <c r="LLN525" s="133"/>
      <c r="LLO525" s="133"/>
      <c r="LLP525" s="133"/>
      <c r="LLQ525" s="133"/>
      <c r="LLR525" s="133"/>
      <c r="LLS525" s="133"/>
      <c r="LLT525" s="133"/>
      <c r="LLU525" s="133"/>
      <c r="LLV525" s="133"/>
      <c r="LLW525" s="133"/>
      <c r="LLX525" s="133"/>
      <c r="LLY525" s="133"/>
      <c r="LLZ525" s="133"/>
      <c r="LMA525" s="133"/>
      <c r="LMB525" s="133"/>
      <c r="LMC525" s="133"/>
      <c r="LMD525" s="133"/>
      <c r="LME525" s="133"/>
      <c r="LMF525" s="133"/>
      <c r="LMG525" s="133"/>
      <c r="LMH525" s="133"/>
      <c r="LMI525" s="133"/>
      <c r="LMJ525" s="133"/>
      <c r="LMK525" s="133"/>
      <c r="LML525" s="133"/>
      <c r="LMM525" s="133"/>
      <c r="LMN525" s="133"/>
      <c r="LMO525" s="133"/>
      <c r="LMP525" s="133"/>
      <c r="LMQ525" s="133"/>
      <c r="LMR525" s="133"/>
      <c r="LMS525" s="133"/>
      <c r="LMT525" s="133"/>
      <c r="LMU525" s="133"/>
      <c r="LMV525" s="133"/>
      <c r="LMW525" s="133"/>
      <c r="LMX525" s="133"/>
      <c r="LMY525" s="133"/>
      <c r="LMZ525" s="133"/>
      <c r="LNA525" s="133"/>
      <c r="LNB525" s="133"/>
      <c r="LNC525" s="133"/>
      <c r="LND525" s="133"/>
      <c r="LNE525" s="133"/>
      <c r="LNF525" s="133"/>
      <c r="LNG525" s="133"/>
      <c r="LNH525" s="133"/>
      <c r="LNI525" s="133"/>
      <c r="LNJ525" s="133"/>
      <c r="LNK525" s="133"/>
      <c r="LNL525" s="133"/>
      <c r="LNM525" s="133"/>
      <c r="LNN525" s="133"/>
      <c r="LNO525" s="133"/>
      <c r="LNP525" s="133"/>
      <c r="LNQ525" s="133"/>
      <c r="LNR525" s="133"/>
      <c r="LNS525" s="133"/>
      <c r="LNT525" s="133"/>
      <c r="LNU525" s="133"/>
      <c r="LNV525" s="133"/>
      <c r="LNW525" s="133"/>
      <c r="LNX525" s="133"/>
      <c r="LNY525" s="133"/>
      <c r="LNZ525" s="133"/>
      <c r="LOA525" s="133"/>
      <c r="LOB525" s="133"/>
      <c r="LOC525" s="133"/>
      <c r="LOD525" s="133"/>
      <c r="LOE525" s="133"/>
      <c r="LOF525" s="133"/>
      <c r="LOG525" s="133"/>
      <c r="LOH525" s="133"/>
      <c r="LOI525" s="133"/>
      <c r="LOJ525" s="133"/>
      <c r="LOK525" s="133"/>
      <c r="LOL525" s="133"/>
      <c r="LOM525" s="133"/>
      <c r="LON525" s="133"/>
      <c r="LOO525" s="133"/>
      <c r="LOP525" s="133"/>
      <c r="LOQ525" s="133"/>
      <c r="LOR525" s="133"/>
      <c r="LOS525" s="133"/>
      <c r="LOT525" s="133"/>
      <c r="LOU525" s="133"/>
      <c r="LOV525" s="133"/>
      <c r="LOW525" s="133"/>
      <c r="LOX525" s="133"/>
      <c r="LOY525" s="133"/>
      <c r="LOZ525" s="133"/>
      <c r="LPA525" s="133"/>
      <c r="LPB525" s="133"/>
      <c r="LPC525" s="133"/>
      <c r="LPD525" s="133"/>
      <c r="LPE525" s="133"/>
      <c r="LPF525" s="133"/>
      <c r="LPG525" s="133"/>
      <c r="LPH525" s="133"/>
      <c r="LPI525" s="133"/>
      <c r="LPJ525" s="133"/>
      <c r="LPK525" s="133"/>
      <c r="LPL525" s="133"/>
      <c r="LPM525" s="133"/>
      <c r="LPN525" s="133"/>
      <c r="LPO525" s="133"/>
      <c r="LPP525" s="133"/>
      <c r="LPQ525" s="133"/>
      <c r="LPR525" s="133"/>
      <c r="LPS525" s="133"/>
      <c r="LPT525" s="133"/>
      <c r="LPU525" s="133"/>
      <c r="LPV525" s="133"/>
      <c r="LPW525" s="133"/>
      <c r="LPX525" s="133"/>
      <c r="LPY525" s="133"/>
      <c r="LPZ525" s="133"/>
      <c r="LQA525" s="133"/>
      <c r="LQB525" s="133"/>
      <c r="LQC525" s="133"/>
      <c r="LQD525" s="133"/>
      <c r="LQE525" s="133"/>
      <c r="LQF525" s="133"/>
      <c r="LQG525" s="133"/>
      <c r="LQH525" s="133"/>
      <c r="LQI525" s="133"/>
      <c r="LQJ525" s="133"/>
      <c r="LQK525" s="133"/>
      <c r="LQL525" s="133"/>
      <c r="LQM525" s="133"/>
      <c r="LQN525" s="133"/>
      <c r="LQO525" s="133"/>
      <c r="LQP525" s="133"/>
      <c r="LQQ525" s="133"/>
      <c r="LQR525" s="133"/>
      <c r="LQS525" s="133"/>
      <c r="LQT525" s="133"/>
      <c r="LQU525" s="133"/>
      <c r="LQV525" s="133"/>
      <c r="LQW525" s="133"/>
      <c r="LQX525" s="133"/>
      <c r="LQY525" s="133"/>
      <c r="LQZ525" s="133"/>
      <c r="LRA525" s="133"/>
      <c r="LRB525" s="133"/>
      <c r="LRC525" s="133"/>
      <c r="LRD525" s="133"/>
      <c r="LRE525" s="133"/>
      <c r="LRF525" s="133"/>
      <c r="LRG525" s="133"/>
      <c r="LRH525" s="133"/>
      <c r="LRI525" s="133"/>
      <c r="LRJ525" s="133"/>
      <c r="LRK525" s="133"/>
      <c r="LRL525" s="133"/>
      <c r="LRM525" s="133"/>
      <c r="LRN525" s="133"/>
      <c r="LRO525" s="133"/>
      <c r="LRP525" s="133"/>
      <c r="LRQ525" s="133"/>
      <c r="LRR525" s="133"/>
      <c r="LRS525" s="133"/>
      <c r="LRT525" s="133"/>
      <c r="LRU525" s="133"/>
      <c r="LRV525" s="133"/>
      <c r="LRW525" s="133"/>
      <c r="LRX525" s="133"/>
      <c r="LRY525" s="133"/>
      <c r="LRZ525" s="133"/>
      <c r="LSA525" s="133"/>
      <c r="LSB525" s="133"/>
      <c r="LSC525" s="133"/>
      <c r="LSD525" s="133"/>
      <c r="LSE525" s="133"/>
      <c r="LSF525" s="133"/>
      <c r="LSG525" s="133"/>
      <c r="LSH525" s="133"/>
      <c r="LSI525" s="133"/>
      <c r="LSJ525" s="133"/>
      <c r="LSK525" s="133"/>
      <c r="LSL525" s="133"/>
      <c r="LSM525" s="133"/>
      <c r="LSN525" s="133"/>
      <c r="LSO525" s="133"/>
      <c r="LSP525" s="133"/>
      <c r="LSQ525" s="133"/>
      <c r="LSR525" s="133"/>
      <c r="LSS525" s="133"/>
      <c r="LST525" s="133"/>
      <c r="LSU525" s="133"/>
      <c r="LSV525" s="133"/>
      <c r="LSW525" s="133"/>
      <c r="LSX525" s="133"/>
      <c r="LSY525" s="133"/>
      <c r="LSZ525" s="133"/>
      <c r="LTA525" s="133"/>
      <c r="LTB525" s="133"/>
      <c r="LTC525" s="133"/>
      <c r="LTD525" s="133"/>
      <c r="LTE525" s="133"/>
      <c r="LTF525" s="133"/>
      <c r="LTG525" s="133"/>
      <c r="LTH525" s="133"/>
      <c r="LTI525" s="133"/>
      <c r="LTJ525" s="133"/>
      <c r="LTK525" s="133"/>
      <c r="LTL525" s="133"/>
      <c r="LTM525" s="133"/>
      <c r="LTN525" s="133"/>
      <c r="LTO525" s="133"/>
      <c r="LTP525" s="133"/>
      <c r="LTQ525" s="133"/>
      <c r="LTR525" s="133"/>
      <c r="LTS525" s="133"/>
      <c r="LTT525" s="133"/>
      <c r="LTU525" s="133"/>
      <c r="LTV525" s="133"/>
      <c r="LTW525" s="133"/>
      <c r="LTX525" s="133"/>
      <c r="LTY525" s="133"/>
      <c r="LTZ525" s="133"/>
      <c r="LUA525" s="133"/>
      <c r="LUB525" s="133"/>
      <c r="LUC525" s="133"/>
      <c r="LUD525" s="133"/>
      <c r="LUE525" s="133"/>
      <c r="LUF525" s="133"/>
      <c r="LUG525" s="133"/>
      <c r="LUH525" s="133"/>
      <c r="LUI525" s="133"/>
      <c r="LUJ525" s="133"/>
      <c r="LUK525" s="133"/>
      <c r="LUL525" s="133"/>
      <c r="LUM525" s="133"/>
      <c r="LUN525" s="133"/>
      <c r="LUO525" s="133"/>
      <c r="LUP525" s="133"/>
      <c r="LUQ525" s="133"/>
      <c r="LUR525" s="133"/>
      <c r="LUS525" s="133"/>
      <c r="LUT525" s="133"/>
      <c r="LUU525" s="133"/>
      <c r="LUV525" s="133"/>
      <c r="LUW525" s="133"/>
      <c r="LUX525" s="133"/>
      <c r="LUY525" s="133"/>
      <c r="LUZ525" s="133"/>
      <c r="LVA525" s="133"/>
      <c r="LVB525" s="133"/>
      <c r="LVC525" s="133"/>
      <c r="LVD525" s="133"/>
      <c r="LVE525" s="133"/>
      <c r="LVF525" s="133"/>
      <c r="LVG525" s="133"/>
      <c r="LVH525" s="133"/>
      <c r="LVI525" s="133"/>
      <c r="LVJ525" s="133"/>
      <c r="LVK525" s="133"/>
      <c r="LVL525" s="133"/>
      <c r="LVM525" s="133"/>
      <c r="LVN525" s="133"/>
      <c r="LVO525" s="133"/>
      <c r="LVP525" s="133"/>
      <c r="LVQ525" s="133"/>
      <c r="LVR525" s="133"/>
      <c r="LVS525" s="133"/>
      <c r="LVT525" s="133"/>
      <c r="LVU525" s="133"/>
      <c r="LVV525" s="133"/>
      <c r="LVW525" s="133"/>
      <c r="LVX525" s="133"/>
      <c r="LVY525" s="133"/>
      <c r="LVZ525" s="133"/>
      <c r="LWA525" s="133"/>
      <c r="LWB525" s="133"/>
      <c r="LWC525" s="133"/>
      <c r="LWD525" s="133"/>
      <c r="LWE525" s="133"/>
      <c r="LWF525" s="133"/>
      <c r="LWG525" s="133"/>
      <c r="LWH525" s="133"/>
      <c r="LWI525" s="133"/>
      <c r="LWJ525" s="133"/>
      <c r="LWK525" s="133"/>
      <c r="LWL525" s="133"/>
      <c r="LWM525" s="133"/>
      <c r="LWN525" s="133"/>
      <c r="LWO525" s="133"/>
      <c r="LWP525" s="133"/>
      <c r="LWQ525" s="133"/>
      <c r="LWR525" s="133"/>
      <c r="LWS525" s="133"/>
      <c r="LWT525" s="133"/>
      <c r="LWU525" s="133"/>
      <c r="LWV525" s="133"/>
      <c r="LWW525" s="133"/>
      <c r="LWX525" s="133"/>
      <c r="LWY525" s="133"/>
      <c r="LWZ525" s="133"/>
      <c r="LXA525" s="133"/>
      <c r="LXB525" s="133"/>
      <c r="LXC525" s="133"/>
      <c r="LXD525" s="133"/>
      <c r="LXE525" s="133"/>
      <c r="LXF525" s="133"/>
      <c r="LXG525" s="133"/>
      <c r="LXH525" s="133"/>
      <c r="LXI525" s="133"/>
      <c r="LXJ525" s="133"/>
      <c r="LXK525" s="133"/>
      <c r="LXL525" s="133"/>
      <c r="LXM525" s="133"/>
      <c r="LXN525" s="133"/>
      <c r="LXO525" s="133"/>
      <c r="LXP525" s="133"/>
      <c r="LXQ525" s="133"/>
      <c r="LXR525" s="133"/>
      <c r="LXS525" s="133"/>
      <c r="LXT525" s="133"/>
      <c r="LXU525" s="133"/>
      <c r="LXV525" s="133"/>
      <c r="LXW525" s="133"/>
      <c r="LXX525" s="133"/>
      <c r="LXY525" s="133"/>
      <c r="LXZ525" s="133"/>
      <c r="LYA525" s="133"/>
      <c r="LYB525" s="133"/>
      <c r="LYC525" s="133"/>
      <c r="LYD525" s="133"/>
      <c r="LYE525" s="133"/>
      <c r="LYF525" s="133"/>
      <c r="LYG525" s="133"/>
      <c r="LYH525" s="133"/>
      <c r="LYI525" s="133"/>
      <c r="LYJ525" s="133"/>
      <c r="LYK525" s="133"/>
      <c r="LYL525" s="133"/>
      <c r="LYM525" s="133"/>
      <c r="LYN525" s="133"/>
      <c r="LYO525" s="133"/>
      <c r="LYP525" s="133"/>
      <c r="LYQ525" s="133"/>
      <c r="LYR525" s="133"/>
      <c r="LYS525" s="133"/>
      <c r="LYT525" s="133"/>
      <c r="LYU525" s="133"/>
      <c r="LYV525" s="133"/>
      <c r="LYW525" s="133"/>
      <c r="LYX525" s="133"/>
      <c r="LYY525" s="133"/>
      <c r="LYZ525" s="133"/>
      <c r="LZA525" s="133"/>
      <c r="LZB525" s="133"/>
      <c r="LZC525" s="133"/>
      <c r="LZD525" s="133"/>
      <c r="LZE525" s="133"/>
      <c r="LZF525" s="133"/>
      <c r="LZG525" s="133"/>
      <c r="LZH525" s="133"/>
      <c r="LZI525" s="133"/>
      <c r="LZJ525" s="133"/>
      <c r="LZK525" s="133"/>
      <c r="LZL525" s="133"/>
      <c r="LZM525" s="133"/>
      <c r="LZN525" s="133"/>
      <c r="LZO525" s="133"/>
      <c r="LZP525" s="133"/>
      <c r="LZQ525" s="133"/>
      <c r="LZR525" s="133"/>
      <c r="LZS525" s="133"/>
      <c r="LZT525" s="133"/>
      <c r="LZU525" s="133"/>
      <c r="LZV525" s="133"/>
      <c r="LZW525" s="133"/>
      <c r="LZX525" s="133"/>
      <c r="LZY525" s="133"/>
      <c r="LZZ525" s="133"/>
      <c r="MAA525" s="133"/>
      <c r="MAB525" s="133"/>
      <c r="MAC525" s="133"/>
      <c r="MAD525" s="133"/>
      <c r="MAE525" s="133"/>
      <c r="MAF525" s="133"/>
      <c r="MAG525" s="133"/>
      <c r="MAH525" s="133"/>
      <c r="MAI525" s="133"/>
      <c r="MAJ525" s="133"/>
      <c r="MAK525" s="133"/>
      <c r="MAL525" s="133"/>
      <c r="MAM525" s="133"/>
      <c r="MAN525" s="133"/>
      <c r="MAO525" s="133"/>
      <c r="MAP525" s="133"/>
      <c r="MAQ525" s="133"/>
      <c r="MAR525" s="133"/>
      <c r="MAS525" s="133"/>
      <c r="MAT525" s="133"/>
      <c r="MAU525" s="133"/>
      <c r="MAV525" s="133"/>
      <c r="MAW525" s="133"/>
      <c r="MAX525" s="133"/>
      <c r="MAY525" s="133"/>
      <c r="MAZ525" s="133"/>
      <c r="MBA525" s="133"/>
      <c r="MBB525" s="133"/>
      <c r="MBC525" s="133"/>
      <c r="MBD525" s="133"/>
      <c r="MBE525" s="133"/>
      <c r="MBF525" s="133"/>
      <c r="MBG525" s="133"/>
      <c r="MBH525" s="133"/>
      <c r="MBI525" s="133"/>
      <c r="MBJ525" s="133"/>
      <c r="MBK525" s="133"/>
      <c r="MBL525" s="133"/>
      <c r="MBM525" s="133"/>
      <c r="MBN525" s="133"/>
      <c r="MBO525" s="133"/>
      <c r="MBP525" s="133"/>
      <c r="MBQ525" s="133"/>
      <c r="MBR525" s="133"/>
      <c r="MBS525" s="133"/>
      <c r="MBT525" s="133"/>
      <c r="MBU525" s="133"/>
      <c r="MBV525" s="133"/>
      <c r="MBW525" s="133"/>
      <c r="MBX525" s="133"/>
      <c r="MBY525" s="133"/>
      <c r="MBZ525" s="133"/>
      <c r="MCA525" s="133"/>
      <c r="MCB525" s="133"/>
      <c r="MCC525" s="133"/>
      <c r="MCD525" s="133"/>
      <c r="MCE525" s="133"/>
      <c r="MCF525" s="133"/>
      <c r="MCG525" s="133"/>
      <c r="MCH525" s="133"/>
      <c r="MCI525" s="133"/>
      <c r="MCJ525" s="133"/>
      <c r="MCK525" s="133"/>
      <c r="MCL525" s="133"/>
      <c r="MCM525" s="133"/>
      <c r="MCN525" s="133"/>
      <c r="MCO525" s="133"/>
      <c r="MCP525" s="133"/>
      <c r="MCQ525" s="133"/>
      <c r="MCR525" s="133"/>
      <c r="MCS525" s="133"/>
      <c r="MCT525" s="133"/>
      <c r="MCU525" s="133"/>
      <c r="MCV525" s="133"/>
      <c r="MCW525" s="133"/>
      <c r="MCX525" s="133"/>
      <c r="MCY525" s="133"/>
      <c r="MCZ525" s="133"/>
      <c r="MDA525" s="133"/>
      <c r="MDB525" s="133"/>
      <c r="MDC525" s="133"/>
      <c r="MDD525" s="133"/>
      <c r="MDE525" s="133"/>
      <c r="MDF525" s="133"/>
      <c r="MDG525" s="133"/>
      <c r="MDH525" s="133"/>
      <c r="MDI525" s="133"/>
      <c r="MDJ525" s="133"/>
      <c r="MDK525" s="133"/>
      <c r="MDL525" s="133"/>
      <c r="MDM525" s="133"/>
      <c r="MDN525" s="133"/>
      <c r="MDO525" s="133"/>
      <c r="MDP525" s="133"/>
      <c r="MDQ525" s="133"/>
      <c r="MDR525" s="133"/>
      <c r="MDS525" s="133"/>
      <c r="MDT525" s="133"/>
      <c r="MDU525" s="133"/>
      <c r="MDV525" s="133"/>
      <c r="MDW525" s="133"/>
      <c r="MDX525" s="133"/>
      <c r="MDY525" s="133"/>
      <c r="MDZ525" s="133"/>
      <c r="MEA525" s="133"/>
      <c r="MEB525" s="133"/>
      <c r="MEC525" s="133"/>
      <c r="MED525" s="133"/>
      <c r="MEE525" s="133"/>
      <c r="MEF525" s="133"/>
      <c r="MEG525" s="133"/>
      <c r="MEH525" s="133"/>
      <c r="MEI525" s="133"/>
      <c r="MEJ525" s="133"/>
      <c r="MEK525" s="133"/>
      <c r="MEL525" s="133"/>
      <c r="MEM525" s="133"/>
      <c r="MEN525" s="133"/>
      <c r="MEO525" s="133"/>
      <c r="MEP525" s="133"/>
      <c r="MEQ525" s="133"/>
      <c r="MER525" s="133"/>
      <c r="MES525" s="133"/>
      <c r="MET525" s="133"/>
      <c r="MEU525" s="133"/>
      <c r="MEV525" s="133"/>
      <c r="MEW525" s="133"/>
      <c r="MEX525" s="133"/>
      <c r="MEY525" s="133"/>
      <c r="MEZ525" s="133"/>
      <c r="MFA525" s="133"/>
      <c r="MFB525" s="133"/>
      <c r="MFC525" s="133"/>
      <c r="MFD525" s="133"/>
      <c r="MFE525" s="133"/>
      <c r="MFF525" s="133"/>
      <c r="MFG525" s="133"/>
      <c r="MFH525" s="133"/>
      <c r="MFI525" s="133"/>
      <c r="MFJ525" s="133"/>
      <c r="MFK525" s="133"/>
      <c r="MFL525" s="133"/>
      <c r="MFM525" s="133"/>
      <c r="MFN525" s="133"/>
      <c r="MFO525" s="133"/>
      <c r="MFP525" s="133"/>
      <c r="MFQ525" s="133"/>
      <c r="MFR525" s="133"/>
      <c r="MFS525" s="133"/>
      <c r="MFT525" s="133"/>
      <c r="MFU525" s="133"/>
      <c r="MFV525" s="133"/>
      <c r="MFW525" s="133"/>
      <c r="MFX525" s="133"/>
      <c r="MFY525" s="133"/>
      <c r="MFZ525" s="133"/>
      <c r="MGA525" s="133"/>
      <c r="MGB525" s="133"/>
      <c r="MGC525" s="133"/>
      <c r="MGD525" s="133"/>
      <c r="MGE525" s="133"/>
      <c r="MGF525" s="133"/>
      <c r="MGG525" s="133"/>
      <c r="MGH525" s="133"/>
      <c r="MGI525" s="133"/>
      <c r="MGJ525" s="133"/>
      <c r="MGK525" s="133"/>
      <c r="MGL525" s="133"/>
      <c r="MGM525" s="133"/>
      <c r="MGN525" s="133"/>
      <c r="MGO525" s="133"/>
      <c r="MGP525" s="133"/>
      <c r="MGQ525" s="133"/>
      <c r="MGR525" s="133"/>
      <c r="MGS525" s="133"/>
      <c r="MGT525" s="133"/>
      <c r="MGU525" s="133"/>
      <c r="MGV525" s="133"/>
      <c r="MGW525" s="133"/>
      <c r="MGX525" s="133"/>
      <c r="MGY525" s="133"/>
      <c r="MGZ525" s="133"/>
      <c r="MHA525" s="133"/>
      <c r="MHB525" s="133"/>
      <c r="MHC525" s="133"/>
      <c r="MHD525" s="133"/>
      <c r="MHE525" s="133"/>
      <c r="MHF525" s="133"/>
      <c r="MHG525" s="133"/>
      <c r="MHH525" s="133"/>
      <c r="MHI525" s="133"/>
      <c r="MHJ525" s="133"/>
      <c r="MHK525" s="133"/>
      <c r="MHL525" s="133"/>
      <c r="MHM525" s="133"/>
      <c r="MHN525" s="133"/>
      <c r="MHO525" s="133"/>
      <c r="MHP525" s="133"/>
      <c r="MHQ525" s="133"/>
      <c r="MHR525" s="133"/>
      <c r="MHS525" s="133"/>
      <c r="MHT525" s="133"/>
      <c r="MHU525" s="133"/>
      <c r="MHV525" s="133"/>
      <c r="MHW525" s="133"/>
      <c r="MHX525" s="133"/>
      <c r="MHY525" s="133"/>
      <c r="MHZ525" s="133"/>
      <c r="MIA525" s="133"/>
      <c r="MIB525" s="133"/>
      <c r="MIC525" s="133"/>
      <c r="MID525" s="133"/>
      <c r="MIE525" s="133"/>
      <c r="MIF525" s="133"/>
      <c r="MIG525" s="133"/>
      <c r="MIH525" s="133"/>
      <c r="MII525" s="133"/>
      <c r="MIJ525" s="133"/>
      <c r="MIK525" s="133"/>
      <c r="MIL525" s="133"/>
      <c r="MIM525" s="133"/>
      <c r="MIN525" s="133"/>
      <c r="MIO525" s="133"/>
      <c r="MIP525" s="133"/>
      <c r="MIQ525" s="133"/>
      <c r="MIR525" s="133"/>
      <c r="MIS525" s="133"/>
      <c r="MIT525" s="133"/>
      <c r="MIU525" s="133"/>
      <c r="MIV525" s="133"/>
      <c r="MIW525" s="133"/>
      <c r="MIX525" s="133"/>
      <c r="MIY525" s="133"/>
      <c r="MIZ525" s="133"/>
      <c r="MJA525" s="133"/>
      <c r="MJB525" s="133"/>
      <c r="MJC525" s="133"/>
      <c r="MJD525" s="133"/>
      <c r="MJE525" s="133"/>
      <c r="MJF525" s="133"/>
      <c r="MJG525" s="133"/>
      <c r="MJH525" s="133"/>
      <c r="MJI525" s="133"/>
      <c r="MJJ525" s="133"/>
      <c r="MJK525" s="133"/>
      <c r="MJL525" s="133"/>
      <c r="MJM525" s="133"/>
      <c r="MJN525" s="133"/>
      <c r="MJO525" s="133"/>
      <c r="MJP525" s="133"/>
      <c r="MJQ525" s="133"/>
      <c r="MJR525" s="133"/>
      <c r="MJS525" s="133"/>
      <c r="MJT525" s="133"/>
      <c r="MJU525" s="133"/>
      <c r="MJV525" s="133"/>
      <c r="MJW525" s="133"/>
      <c r="MJX525" s="133"/>
      <c r="MJY525" s="133"/>
      <c r="MJZ525" s="133"/>
      <c r="MKA525" s="133"/>
      <c r="MKB525" s="133"/>
      <c r="MKC525" s="133"/>
      <c r="MKD525" s="133"/>
      <c r="MKE525" s="133"/>
      <c r="MKF525" s="133"/>
      <c r="MKG525" s="133"/>
      <c r="MKH525" s="133"/>
      <c r="MKI525" s="133"/>
      <c r="MKJ525" s="133"/>
      <c r="MKK525" s="133"/>
      <c r="MKL525" s="133"/>
      <c r="MKM525" s="133"/>
      <c r="MKN525" s="133"/>
      <c r="MKO525" s="133"/>
      <c r="MKP525" s="133"/>
      <c r="MKQ525" s="133"/>
      <c r="MKR525" s="133"/>
      <c r="MKS525" s="133"/>
      <c r="MKT525" s="133"/>
      <c r="MKU525" s="133"/>
      <c r="MKV525" s="133"/>
      <c r="MKW525" s="133"/>
      <c r="MKX525" s="133"/>
      <c r="MKY525" s="133"/>
      <c r="MKZ525" s="133"/>
      <c r="MLA525" s="133"/>
      <c r="MLB525" s="133"/>
      <c r="MLC525" s="133"/>
      <c r="MLD525" s="133"/>
      <c r="MLE525" s="133"/>
      <c r="MLF525" s="133"/>
      <c r="MLG525" s="133"/>
      <c r="MLH525" s="133"/>
      <c r="MLI525" s="133"/>
      <c r="MLJ525" s="133"/>
      <c r="MLK525" s="133"/>
      <c r="MLL525" s="133"/>
      <c r="MLM525" s="133"/>
      <c r="MLN525" s="133"/>
      <c r="MLO525" s="133"/>
      <c r="MLP525" s="133"/>
      <c r="MLQ525" s="133"/>
      <c r="MLR525" s="133"/>
      <c r="MLS525" s="133"/>
      <c r="MLT525" s="133"/>
      <c r="MLU525" s="133"/>
      <c r="MLV525" s="133"/>
      <c r="MLW525" s="133"/>
      <c r="MLX525" s="133"/>
      <c r="MLY525" s="133"/>
      <c r="MLZ525" s="133"/>
      <c r="MMA525" s="133"/>
      <c r="MMB525" s="133"/>
      <c r="MMC525" s="133"/>
      <c r="MMD525" s="133"/>
      <c r="MME525" s="133"/>
      <c r="MMF525" s="133"/>
      <c r="MMG525" s="133"/>
      <c r="MMH525" s="133"/>
      <c r="MMI525" s="133"/>
      <c r="MMJ525" s="133"/>
      <c r="MMK525" s="133"/>
      <c r="MML525" s="133"/>
      <c r="MMM525" s="133"/>
      <c r="MMN525" s="133"/>
      <c r="MMO525" s="133"/>
      <c r="MMP525" s="133"/>
      <c r="MMQ525" s="133"/>
      <c r="MMR525" s="133"/>
      <c r="MMS525" s="133"/>
      <c r="MMT525" s="133"/>
      <c r="MMU525" s="133"/>
      <c r="MMV525" s="133"/>
      <c r="MMW525" s="133"/>
      <c r="MMX525" s="133"/>
      <c r="MMY525" s="133"/>
      <c r="MMZ525" s="133"/>
      <c r="MNA525" s="133"/>
      <c r="MNB525" s="133"/>
      <c r="MNC525" s="133"/>
      <c r="MND525" s="133"/>
      <c r="MNE525" s="133"/>
      <c r="MNF525" s="133"/>
      <c r="MNG525" s="133"/>
      <c r="MNH525" s="133"/>
      <c r="MNI525" s="133"/>
      <c r="MNJ525" s="133"/>
      <c r="MNK525" s="133"/>
      <c r="MNL525" s="133"/>
      <c r="MNM525" s="133"/>
      <c r="MNN525" s="133"/>
      <c r="MNO525" s="133"/>
      <c r="MNP525" s="133"/>
      <c r="MNQ525" s="133"/>
      <c r="MNR525" s="133"/>
      <c r="MNS525" s="133"/>
      <c r="MNT525" s="133"/>
      <c r="MNU525" s="133"/>
      <c r="MNV525" s="133"/>
      <c r="MNW525" s="133"/>
      <c r="MNX525" s="133"/>
      <c r="MNY525" s="133"/>
      <c r="MNZ525" s="133"/>
      <c r="MOA525" s="133"/>
      <c r="MOB525" s="133"/>
      <c r="MOC525" s="133"/>
      <c r="MOD525" s="133"/>
      <c r="MOE525" s="133"/>
      <c r="MOF525" s="133"/>
      <c r="MOG525" s="133"/>
      <c r="MOH525" s="133"/>
      <c r="MOI525" s="133"/>
      <c r="MOJ525" s="133"/>
      <c r="MOK525" s="133"/>
      <c r="MOL525" s="133"/>
      <c r="MOM525" s="133"/>
      <c r="MON525" s="133"/>
      <c r="MOO525" s="133"/>
      <c r="MOP525" s="133"/>
      <c r="MOQ525" s="133"/>
      <c r="MOR525" s="133"/>
      <c r="MOS525" s="133"/>
      <c r="MOT525" s="133"/>
      <c r="MOU525" s="133"/>
      <c r="MOV525" s="133"/>
      <c r="MOW525" s="133"/>
      <c r="MOX525" s="133"/>
      <c r="MOY525" s="133"/>
      <c r="MOZ525" s="133"/>
      <c r="MPA525" s="133"/>
      <c r="MPB525" s="133"/>
      <c r="MPC525" s="133"/>
      <c r="MPD525" s="133"/>
      <c r="MPE525" s="133"/>
      <c r="MPF525" s="133"/>
      <c r="MPG525" s="133"/>
      <c r="MPH525" s="133"/>
      <c r="MPI525" s="133"/>
      <c r="MPJ525" s="133"/>
      <c r="MPK525" s="133"/>
      <c r="MPL525" s="133"/>
      <c r="MPM525" s="133"/>
      <c r="MPN525" s="133"/>
      <c r="MPO525" s="133"/>
      <c r="MPP525" s="133"/>
      <c r="MPQ525" s="133"/>
      <c r="MPR525" s="133"/>
      <c r="MPS525" s="133"/>
      <c r="MPT525" s="133"/>
      <c r="MPU525" s="133"/>
      <c r="MPV525" s="133"/>
      <c r="MPW525" s="133"/>
      <c r="MPX525" s="133"/>
      <c r="MPY525" s="133"/>
      <c r="MPZ525" s="133"/>
      <c r="MQA525" s="133"/>
      <c r="MQB525" s="133"/>
      <c r="MQC525" s="133"/>
      <c r="MQD525" s="133"/>
      <c r="MQE525" s="133"/>
      <c r="MQF525" s="133"/>
      <c r="MQG525" s="133"/>
      <c r="MQH525" s="133"/>
      <c r="MQI525" s="133"/>
      <c r="MQJ525" s="133"/>
      <c r="MQK525" s="133"/>
      <c r="MQL525" s="133"/>
      <c r="MQM525" s="133"/>
      <c r="MQN525" s="133"/>
      <c r="MQO525" s="133"/>
      <c r="MQP525" s="133"/>
      <c r="MQQ525" s="133"/>
      <c r="MQR525" s="133"/>
      <c r="MQS525" s="133"/>
      <c r="MQT525" s="133"/>
      <c r="MQU525" s="133"/>
      <c r="MQV525" s="133"/>
      <c r="MQW525" s="133"/>
      <c r="MQX525" s="133"/>
      <c r="MQY525" s="133"/>
      <c r="MQZ525" s="133"/>
      <c r="MRA525" s="133"/>
      <c r="MRB525" s="133"/>
      <c r="MRC525" s="133"/>
      <c r="MRD525" s="133"/>
      <c r="MRE525" s="133"/>
      <c r="MRF525" s="133"/>
      <c r="MRG525" s="133"/>
      <c r="MRH525" s="133"/>
      <c r="MRI525" s="133"/>
      <c r="MRJ525" s="133"/>
      <c r="MRK525" s="133"/>
      <c r="MRL525" s="133"/>
      <c r="MRM525" s="133"/>
      <c r="MRN525" s="133"/>
      <c r="MRO525" s="133"/>
      <c r="MRP525" s="133"/>
      <c r="MRQ525" s="133"/>
      <c r="MRR525" s="133"/>
      <c r="MRS525" s="133"/>
      <c r="MRT525" s="133"/>
      <c r="MRU525" s="133"/>
      <c r="MRV525" s="133"/>
      <c r="MRW525" s="133"/>
      <c r="MRX525" s="133"/>
      <c r="MRY525" s="133"/>
      <c r="MRZ525" s="133"/>
      <c r="MSA525" s="133"/>
      <c r="MSB525" s="133"/>
      <c r="MSC525" s="133"/>
      <c r="MSD525" s="133"/>
      <c r="MSE525" s="133"/>
      <c r="MSF525" s="133"/>
      <c r="MSG525" s="133"/>
      <c r="MSH525" s="133"/>
      <c r="MSI525" s="133"/>
      <c r="MSJ525" s="133"/>
      <c r="MSK525" s="133"/>
      <c r="MSL525" s="133"/>
      <c r="MSM525" s="133"/>
      <c r="MSN525" s="133"/>
      <c r="MSO525" s="133"/>
      <c r="MSP525" s="133"/>
      <c r="MSQ525" s="133"/>
      <c r="MSR525" s="133"/>
      <c r="MSS525" s="133"/>
      <c r="MST525" s="133"/>
      <c r="MSU525" s="133"/>
      <c r="MSV525" s="133"/>
      <c r="MSW525" s="133"/>
      <c r="MSX525" s="133"/>
      <c r="MSY525" s="133"/>
      <c r="MSZ525" s="133"/>
      <c r="MTA525" s="133"/>
      <c r="MTB525" s="133"/>
      <c r="MTC525" s="133"/>
      <c r="MTD525" s="133"/>
      <c r="MTE525" s="133"/>
      <c r="MTF525" s="133"/>
      <c r="MTG525" s="133"/>
      <c r="MTH525" s="133"/>
      <c r="MTI525" s="133"/>
      <c r="MTJ525" s="133"/>
      <c r="MTK525" s="133"/>
      <c r="MTL525" s="133"/>
      <c r="MTM525" s="133"/>
      <c r="MTN525" s="133"/>
      <c r="MTO525" s="133"/>
      <c r="MTP525" s="133"/>
      <c r="MTQ525" s="133"/>
      <c r="MTR525" s="133"/>
      <c r="MTS525" s="133"/>
      <c r="MTT525" s="133"/>
      <c r="MTU525" s="133"/>
      <c r="MTV525" s="133"/>
      <c r="MTW525" s="133"/>
      <c r="MTX525" s="133"/>
      <c r="MTY525" s="133"/>
      <c r="MTZ525" s="133"/>
      <c r="MUA525" s="133"/>
      <c r="MUB525" s="133"/>
      <c r="MUC525" s="133"/>
      <c r="MUD525" s="133"/>
      <c r="MUE525" s="133"/>
      <c r="MUF525" s="133"/>
      <c r="MUG525" s="133"/>
      <c r="MUH525" s="133"/>
      <c r="MUI525" s="133"/>
      <c r="MUJ525" s="133"/>
      <c r="MUK525" s="133"/>
      <c r="MUL525" s="133"/>
      <c r="MUM525" s="133"/>
      <c r="MUN525" s="133"/>
      <c r="MUO525" s="133"/>
      <c r="MUP525" s="133"/>
      <c r="MUQ525" s="133"/>
      <c r="MUR525" s="133"/>
      <c r="MUS525" s="133"/>
      <c r="MUT525" s="133"/>
      <c r="MUU525" s="133"/>
      <c r="MUV525" s="133"/>
      <c r="MUW525" s="133"/>
      <c r="MUX525" s="133"/>
      <c r="MUY525" s="133"/>
      <c r="MUZ525" s="133"/>
      <c r="MVA525" s="133"/>
      <c r="MVB525" s="133"/>
      <c r="MVC525" s="133"/>
      <c r="MVD525" s="133"/>
      <c r="MVE525" s="133"/>
      <c r="MVF525" s="133"/>
      <c r="MVG525" s="133"/>
      <c r="MVH525" s="133"/>
      <c r="MVI525" s="133"/>
      <c r="MVJ525" s="133"/>
      <c r="MVK525" s="133"/>
      <c r="MVL525" s="133"/>
      <c r="MVM525" s="133"/>
      <c r="MVN525" s="133"/>
      <c r="MVO525" s="133"/>
      <c r="MVP525" s="133"/>
      <c r="MVQ525" s="133"/>
      <c r="MVR525" s="133"/>
      <c r="MVS525" s="133"/>
      <c r="MVT525" s="133"/>
      <c r="MVU525" s="133"/>
      <c r="MVV525" s="133"/>
      <c r="MVW525" s="133"/>
      <c r="MVX525" s="133"/>
      <c r="MVY525" s="133"/>
      <c r="MVZ525" s="133"/>
      <c r="MWA525" s="133"/>
      <c r="MWB525" s="133"/>
      <c r="MWC525" s="133"/>
      <c r="MWD525" s="133"/>
      <c r="MWE525" s="133"/>
      <c r="MWF525" s="133"/>
      <c r="MWG525" s="133"/>
      <c r="MWH525" s="133"/>
      <c r="MWI525" s="133"/>
      <c r="MWJ525" s="133"/>
      <c r="MWK525" s="133"/>
      <c r="MWL525" s="133"/>
      <c r="MWM525" s="133"/>
      <c r="MWN525" s="133"/>
      <c r="MWO525" s="133"/>
      <c r="MWP525" s="133"/>
      <c r="MWQ525" s="133"/>
      <c r="MWR525" s="133"/>
      <c r="MWS525" s="133"/>
      <c r="MWT525" s="133"/>
      <c r="MWU525" s="133"/>
      <c r="MWV525" s="133"/>
      <c r="MWW525" s="133"/>
      <c r="MWX525" s="133"/>
      <c r="MWY525" s="133"/>
      <c r="MWZ525" s="133"/>
      <c r="MXA525" s="133"/>
      <c r="MXB525" s="133"/>
      <c r="MXC525" s="133"/>
      <c r="MXD525" s="133"/>
      <c r="MXE525" s="133"/>
      <c r="MXF525" s="133"/>
      <c r="MXG525" s="133"/>
      <c r="MXH525" s="133"/>
      <c r="MXI525" s="133"/>
      <c r="MXJ525" s="133"/>
      <c r="MXK525" s="133"/>
      <c r="MXL525" s="133"/>
      <c r="MXM525" s="133"/>
      <c r="MXN525" s="133"/>
      <c r="MXO525" s="133"/>
      <c r="MXP525" s="133"/>
      <c r="MXQ525" s="133"/>
      <c r="MXR525" s="133"/>
      <c r="MXS525" s="133"/>
      <c r="MXT525" s="133"/>
      <c r="MXU525" s="133"/>
      <c r="MXV525" s="133"/>
      <c r="MXW525" s="133"/>
      <c r="MXX525" s="133"/>
      <c r="MXY525" s="133"/>
      <c r="MXZ525" s="133"/>
      <c r="MYA525" s="133"/>
      <c r="MYB525" s="133"/>
      <c r="MYC525" s="133"/>
      <c r="MYD525" s="133"/>
      <c r="MYE525" s="133"/>
      <c r="MYF525" s="133"/>
      <c r="MYG525" s="133"/>
      <c r="MYH525" s="133"/>
      <c r="MYI525" s="133"/>
      <c r="MYJ525" s="133"/>
      <c r="MYK525" s="133"/>
      <c r="MYL525" s="133"/>
      <c r="MYM525" s="133"/>
      <c r="MYN525" s="133"/>
      <c r="MYO525" s="133"/>
      <c r="MYP525" s="133"/>
      <c r="MYQ525" s="133"/>
      <c r="MYR525" s="133"/>
      <c r="MYS525" s="133"/>
      <c r="MYT525" s="133"/>
      <c r="MYU525" s="133"/>
      <c r="MYV525" s="133"/>
      <c r="MYW525" s="133"/>
      <c r="MYX525" s="133"/>
      <c r="MYY525" s="133"/>
      <c r="MYZ525" s="133"/>
      <c r="MZA525" s="133"/>
      <c r="MZB525" s="133"/>
      <c r="MZC525" s="133"/>
      <c r="MZD525" s="133"/>
      <c r="MZE525" s="133"/>
      <c r="MZF525" s="133"/>
      <c r="MZG525" s="133"/>
      <c r="MZH525" s="133"/>
      <c r="MZI525" s="133"/>
      <c r="MZJ525" s="133"/>
      <c r="MZK525" s="133"/>
      <c r="MZL525" s="133"/>
      <c r="MZM525" s="133"/>
      <c r="MZN525" s="133"/>
      <c r="MZO525" s="133"/>
      <c r="MZP525" s="133"/>
      <c r="MZQ525" s="133"/>
      <c r="MZR525" s="133"/>
      <c r="MZS525" s="133"/>
      <c r="MZT525" s="133"/>
      <c r="MZU525" s="133"/>
      <c r="MZV525" s="133"/>
      <c r="MZW525" s="133"/>
      <c r="MZX525" s="133"/>
      <c r="MZY525" s="133"/>
      <c r="MZZ525" s="133"/>
      <c r="NAA525" s="133"/>
      <c r="NAB525" s="133"/>
      <c r="NAC525" s="133"/>
      <c r="NAD525" s="133"/>
      <c r="NAE525" s="133"/>
      <c r="NAF525" s="133"/>
      <c r="NAG525" s="133"/>
      <c r="NAH525" s="133"/>
      <c r="NAI525" s="133"/>
      <c r="NAJ525" s="133"/>
      <c r="NAK525" s="133"/>
      <c r="NAL525" s="133"/>
      <c r="NAM525" s="133"/>
      <c r="NAN525" s="133"/>
      <c r="NAO525" s="133"/>
      <c r="NAP525" s="133"/>
      <c r="NAQ525" s="133"/>
      <c r="NAR525" s="133"/>
      <c r="NAS525" s="133"/>
      <c r="NAT525" s="133"/>
      <c r="NAU525" s="133"/>
      <c r="NAV525" s="133"/>
      <c r="NAW525" s="133"/>
      <c r="NAX525" s="133"/>
      <c r="NAY525" s="133"/>
      <c r="NAZ525" s="133"/>
      <c r="NBA525" s="133"/>
      <c r="NBB525" s="133"/>
      <c r="NBC525" s="133"/>
      <c r="NBD525" s="133"/>
      <c r="NBE525" s="133"/>
      <c r="NBF525" s="133"/>
      <c r="NBG525" s="133"/>
      <c r="NBH525" s="133"/>
      <c r="NBI525" s="133"/>
      <c r="NBJ525" s="133"/>
      <c r="NBK525" s="133"/>
      <c r="NBL525" s="133"/>
      <c r="NBM525" s="133"/>
      <c r="NBN525" s="133"/>
      <c r="NBO525" s="133"/>
      <c r="NBP525" s="133"/>
      <c r="NBQ525" s="133"/>
      <c r="NBR525" s="133"/>
      <c r="NBS525" s="133"/>
      <c r="NBT525" s="133"/>
      <c r="NBU525" s="133"/>
      <c r="NBV525" s="133"/>
      <c r="NBW525" s="133"/>
      <c r="NBX525" s="133"/>
      <c r="NBY525" s="133"/>
      <c r="NBZ525" s="133"/>
      <c r="NCA525" s="133"/>
      <c r="NCB525" s="133"/>
      <c r="NCC525" s="133"/>
      <c r="NCD525" s="133"/>
      <c r="NCE525" s="133"/>
      <c r="NCF525" s="133"/>
      <c r="NCG525" s="133"/>
      <c r="NCH525" s="133"/>
      <c r="NCI525" s="133"/>
      <c r="NCJ525" s="133"/>
      <c r="NCK525" s="133"/>
      <c r="NCL525" s="133"/>
      <c r="NCM525" s="133"/>
      <c r="NCN525" s="133"/>
      <c r="NCO525" s="133"/>
      <c r="NCP525" s="133"/>
      <c r="NCQ525" s="133"/>
      <c r="NCR525" s="133"/>
      <c r="NCS525" s="133"/>
      <c r="NCT525" s="133"/>
      <c r="NCU525" s="133"/>
      <c r="NCV525" s="133"/>
      <c r="NCW525" s="133"/>
      <c r="NCX525" s="133"/>
      <c r="NCY525" s="133"/>
      <c r="NCZ525" s="133"/>
      <c r="NDA525" s="133"/>
      <c r="NDB525" s="133"/>
      <c r="NDC525" s="133"/>
      <c r="NDD525" s="133"/>
      <c r="NDE525" s="133"/>
      <c r="NDF525" s="133"/>
      <c r="NDG525" s="133"/>
      <c r="NDH525" s="133"/>
      <c r="NDI525" s="133"/>
      <c r="NDJ525" s="133"/>
      <c r="NDK525" s="133"/>
      <c r="NDL525" s="133"/>
      <c r="NDM525" s="133"/>
      <c r="NDN525" s="133"/>
      <c r="NDO525" s="133"/>
      <c r="NDP525" s="133"/>
      <c r="NDQ525" s="133"/>
      <c r="NDR525" s="133"/>
      <c r="NDS525" s="133"/>
      <c r="NDT525" s="133"/>
      <c r="NDU525" s="133"/>
      <c r="NDV525" s="133"/>
      <c r="NDW525" s="133"/>
      <c r="NDX525" s="133"/>
      <c r="NDY525" s="133"/>
      <c r="NDZ525" s="133"/>
      <c r="NEA525" s="133"/>
      <c r="NEB525" s="133"/>
      <c r="NEC525" s="133"/>
      <c r="NED525" s="133"/>
      <c r="NEE525" s="133"/>
      <c r="NEF525" s="133"/>
      <c r="NEG525" s="133"/>
      <c r="NEH525" s="133"/>
      <c r="NEI525" s="133"/>
      <c r="NEJ525" s="133"/>
      <c r="NEK525" s="133"/>
      <c r="NEL525" s="133"/>
      <c r="NEM525" s="133"/>
      <c r="NEN525" s="133"/>
      <c r="NEO525" s="133"/>
      <c r="NEP525" s="133"/>
      <c r="NEQ525" s="133"/>
      <c r="NER525" s="133"/>
      <c r="NES525" s="133"/>
      <c r="NET525" s="133"/>
      <c r="NEU525" s="133"/>
      <c r="NEV525" s="133"/>
      <c r="NEW525" s="133"/>
      <c r="NEX525" s="133"/>
      <c r="NEY525" s="133"/>
      <c r="NEZ525" s="133"/>
      <c r="NFA525" s="133"/>
      <c r="NFB525" s="133"/>
      <c r="NFC525" s="133"/>
      <c r="NFD525" s="133"/>
      <c r="NFE525" s="133"/>
      <c r="NFF525" s="133"/>
      <c r="NFG525" s="133"/>
      <c r="NFH525" s="133"/>
      <c r="NFI525" s="133"/>
      <c r="NFJ525" s="133"/>
      <c r="NFK525" s="133"/>
      <c r="NFL525" s="133"/>
      <c r="NFM525" s="133"/>
      <c r="NFN525" s="133"/>
      <c r="NFO525" s="133"/>
      <c r="NFP525" s="133"/>
      <c r="NFQ525" s="133"/>
      <c r="NFR525" s="133"/>
      <c r="NFS525" s="133"/>
      <c r="NFT525" s="133"/>
      <c r="NFU525" s="133"/>
      <c r="NFV525" s="133"/>
      <c r="NFW525" s="133"/>
      <c r="NFX525" s="133"/>
      <c r="NFY525" s="133"/>
      <c r="NFZ525" s="133"/>
      <c r="NGA525" s="133"/>
      <c r="NGB525" s="133"/>
      <c r="NGC525" s="133"/>
      <c r="NGD525" s="133"/>
      <c r="NGE525" s="133"/>
      <c r="NGF525" s="133"/>
      <c r="NGG525" s="133"/>
      <c r="NGH525" s="133"/>
      <c r="NGI525" s="133"/>
      <c r="NGJ525" s="133"/>
      <c r="NGK525" s="133"/>
      <c r="NGL525" s="133"/>
      <c r="NGM525" s="133"/>
      <c r="NGN525" s="133"/>
      <c r="NGO525" s="133"/>
      <c r="NGP525" s="133"/>
      <c r="NGQ525" s="133"/>
      <c r="NGR525" s="133"/>
      <c r="NGS525" s="133"/>
      <c r="NGT525" s="133"/>
      <c r="NGU525" s="133"/>
      <c r="NGV525" s="133"/>
      <c r="NGW525" s="133"/>
      <c r="NGX525" s="133"/>
      <c r="NGY525" s="133"/>
      <c r="NGZ525" s="133"/>
      <c r="NHA525" s="133"/>
      <c r="NHB525" s="133"/>
      <c r="NHC525" s="133"/>
      <c r="NHD525" s="133"/>
      <c r="NHE525" s="133"/>
      <c r="NHF525" s="133"/>
      <c r="NHG525" s="133"/>
      <c r="NHH525" s="133"/>
      <c r="NHI525" s="133"/>
      <c r="NHJ525" s="133"/>
      <c r="NHK525" s="133"/>
      <c r="NHL525" s="133"/>
      <c r="NHM525" s="133"/>
      <c r="NHN525" s="133"/>
      <c r="NHO525" s="133"/>
      <c r="NHP525" s="133"/>
      <c r="NHQ525" s="133"/>
      <c r="NHR525" s="133"/>
      <c r="NHS525" s="133"/>
      <c r="NHT525" s="133"/>
      <c r="NHU525" s="133"/>
      <c r="NHV525" s="133"/>
      <c r="NHW525" s="133"/>
      <c r="NHX525" s="133"/>
      <c r="NHY525" s="133"/>
      <c r="NHZ525" s="133"/>
      <c r="NIA525" s="133"/>
      <c r="NIB525" s="133"/>
      <c r="NIC525" s="133"/>
      <c r="NID525" s="133"/>
      <c r="NIE525" s="133"/>
      <c r="NIF525" s="133"/>
      <c r="NIG525" s="133"/>
      <c r="NIH525" s="133"/>
      <c r="NII525" s="133"/>
      <c r="NIJ525" s="133"/>
      <c r="NIK525" s="133"/>
      <c r="NIL525" s="133"/>
      <c r="NIM525" s="133"/>
      <c r="NIN525" s="133"/>
      <c r="NIO525" s="133"/>
      <c r="NIP525" s="133"/>
      <c r="NIQ525" s="133"/>
      <c r="NIR525" s="133"/>
      <c r="NIS525" s="133"/>
      <c r="NIT525" s="133"/>
      <c r="NIU525" s="133"/>
      <c r="NIV525" s="133"/>
      <c r="NIW525" s="133"/>
      <c r="NIX525" s="133"/>
      <c r="NIY525" s="133"/>
      <c r="NIZ525" s="133"/>
      <c r="NJA525" s="133"/>
      <c r="NJB525" s="133"/>
      <c r="NJC525" s="133"/>
      <c r="NJD525" s="133"/>
      <c r="NJE525" s="133"/>
      <c r="NJF525" s="133"/>
      <c r="NJG525" s="133"/>
      <c r="NJH525" s="133"/>
      <c r="NJI525" s="133"/>
      <c r="NJJ525" s="133"/>
      <c r="NJK525" s="133"/>
      <c r="NJL525" s="133"/>
      <c r="NJM525" s="133"/>
      <c r="NJN525" s="133"/>
      <c r="NJO525" s="133"/>
      <c r="NJP525" s="133"/>
      <c r="NJQ525" s="133"/>
      <c r="NJR525" s="133"/>
      <c r="NJS525" s="133"/>
      <c r="NJT525" s="133"/>
      <c r="NJU525" s="133"/>
      <c r="NJV525" s="133"/>
      <c r="NJW525" s="133"/>
      <c r="NJX525" s="133"/>
      <c r="NJY525" s="133"/>
      <c r="NJZ525" s="133"/>
      <c r="NKA525" s="133"/>
      <c r="NKB525" s="133"/>
      <c r="NKC525" s="133"/>
      <c r="NKD525" s="133"/>
      <c r="NKE525" s="133"/>
      <c r="NKF525" s="133"/>
      <c r="NKG525" s="133"/>
      <c r="NKH525" s="133"/>
      <c r="NKI525" s="133"/>
      <c r="NKJ525" s="133"/>
      <c r="NKK525" s="133"/>
      <c r="NKL525" s="133"/>
      <c r="NKM525" s="133"/>
      <c r="NKN525" s="133"/>
      <c r="NKO525" s="133"/>
      <c r="NKP525" s="133"/>
      <c r="NKQ525" s="133"/>
      <c r="NKR525" s="133"/>
      <c r="NKS525" s="133"/>
      <c r="NKT525" s="133"/>
      <c r="NKU525" s="133"/>
      <c r="NKV525" s="133"/>
      <c r="NKW525" s="133"/>
      <c r="NKX525" s="133"/>
      <c r="NKY525" s="133"/>
      <c r="NKZ525" s="133"/>
      <c r="NLA525" s="133"/>
      <c r="NLB525" s="133"/>
      <c r="NLC525" s="133"/>
      <c r="NLD525" s="133"/>
      <c r="NLE525" s="133"/>
      <c r="NLF525" s="133"/>
      <c r="NLG525" s="133"/>
      <c r="NLH525" s="133"/>
      <c r="NLI525" s="133"/>
      <c r="NLJ525" s="133"/>
      <c r="NLK525" s="133"/>
      <c r="NLL525" s="133"/>
      <c r="NLM525" s="133"/>
      <c r="NLN525" s="133"/>
      <c r="NLO525" s="133"/>
      <c r="NLP525" s="133"/>
      <c r="NLQ525" s="133"/>
      <c r="NLR525" s="133"/>
      <c r="NLS525" s="133"/>
      <c r="NLT525" s="133"/>
      <c r="NLU525" s="133"/>
      <c r="NLV525" s="133"/>
      <c r="NLW525" s="133"/>
      <c r="NLX525" s="133"/>
      <c r="NLY525" s="133"/>
      <c r="NLZ525" s="133"/>
      <c r="NMA525" s="133"/>
      <c r="NMB525" s="133"/>
      <c r="NMC525" s="133"/>
      <c r="NMD525" s="133"/>
      <c r="NME525" s="133"/>
      <c r="NMF525" s="133"/>
      <c r="NMG525" s="133"/>
      <c r="NMH525" s="133"/>
      <c r="NMI525" s="133"/>
      <c r="NMJ525" s="133"/>
      <c r="NMK525" s="133"/>
      <c r="NML525" s="133"/>
      <c r="NMM525" s="133"/>
      <c r="NMN525" s="133"/>
      <c r="NMO525" s="133"/>
      <c r="NMP525" s="133"/>
      <c r="NMQ525" s="133"/>
      <c r="NMR525" s="133"/>
      <c r="NMS525" s="133"/>
      <c r="NMT525" s="133"/>
      <c r="NMU525" s="133"/>
      <c r="NMV525" s="133"/>
      <c r="NMW525" s="133"/>
      <c r="NMX525" s="133"/>
      <c r="NMY525" s="133"/>
      <c r="NMZ525" s="133"/>
      <c r="NNA525" s="133"/>
      <c r="NNB525" s="133"/>
      <c r="NNC525" s="133"/>
      <c r="NND525" s="133"/>
      <c r="NNE525" s="133"/>
      <c r="NNF525" s="133"/>
      <c r="NNG525" s="133"/>
      <c r="NNH525" s="133"/>
      <c r="NNI525" s="133"/>
      <c r="NNJ525" s="133"/>
      <c r="NNK525" s="133"/>
      <c r="NNL525" s="133"/>
      <c r="NNM525" s="133"/>
      <c r="NNN525" s="133"/>
      <c r="NNO525" s="133"/>
      <c r="NNP525" s="133"/>
      <c r="NNQ525" s="133"/>
      <c r="NNR525" s="133"/>
      <c r="NNS525" s="133"/>
      <c r="NNT525" s="133"/>
      <c r="NNU525" s="133"/>
      <c r="NNV525" s="133"/>
      <c r="NNW525" s="133"/>
      <c r="NNX525" s="133"/>
      <c r="NNY525" s="133"/>
      <c r="NNZ525" s="133"/>
      <c r="NOA525" s="133"/>
      <c r="NOB525" s="133"/>
      <c r="NOC525" s="133"/>
      <c r="NOD525" s="133"/>
      <c r="NOE525" s="133"/>
      <c r="NOF525" s="133"/>
      <c r="NOG525" s="133"/>
      <c r="NOH525" s="133"/>
      <c r="NOI525" s="133"/>
      <c r="NOJ525" s="133"/>
      <c r="NOK525" s="133"/>
      <c r="NOL525" s="133"/>
      <c r="NOM525" s="133"/>
      <c r="NON525" s="133"/>
      <c r="NOO525" s="133"/>
      <c r="NOP525" s="133"/>
      <c r="NOQ525" s="133"/>
      <c r="NOR525" s="133"/>
      <c r="NOS525" s="133"/>
      <c r="NOT525" s="133"/>
      <c r="NOU525" s="133"/>
      <c r="NOV525" s="133"/>
      <c r="NOW525" s="133"/>
      <c r="NOX525" s="133"/>
      <c r="NOY525" s="133"/>
      <c r="NOZ525" s="133"/>
      <c r="NPA525" s="133"/>
      <c r="NPB525" s="133"/>
      <c r="NPC525" s="133"/>
      <c r="NPD525" s="133"/>
      <c r="NPE525" s="133"/>
      <c r="NPF525" s="133"/>
      <c r="NPG525" s="133"/>
      <c r="NPH525" s="133"/>
      <c r="NPI525" s="133"/>
      <c r="NPJ525" s="133"/>
      <c r="NPK525" s="133"/>
      <c r="NPL525" s="133"/>
      <c r="NPM525" s="133"/>
      <c r="NPN525" s="133"/>
      <c r="NPO525" s="133"/>
      <c r="NPP525" s="133"/>
      <c r="NPQ525" s="133"/>
      <c r="NPR525" s="133"/>
      <c r="NPS525" s="133"/>
      <c r="NPT525" s="133"/>
      <c r="NPU525" s="133"/>
      <c r="NPV525" s="133"/>
      <c r="NPW525" s="133"/>
      <c r="NPX525" s="133"/>
      <c r="NPY525" s="133"/>
      <c r="NPZ525" s="133"/>
      <c r="NQA525" s="133"/>
      <c r="NQB525" s="133"/>
      <c r="NQC525" s="133"/>
      <c r="NQD525" s="133"/>
      <c r="NQE525" s="133"/>
      <c r="NQF525" s="133"/>
      <c r="NQG525" s="133"/>
      <c r="NQH525" s="133"/>
      <c r="NQI525" s="133"/>
      <c r="NQJ525" s="133"/>
      <c r="NQK525" s="133"/>
      <c r="NQL525" s="133"/>
      <c r="NQM525" s="133"/>
      <c r="NQN525" s="133"/>
      <c r="NQO525" s="133"/>
      <c r="NQP525" s="133"/>
      <c r="NQQ525" s="133"/>
      <c r="NQR525" s="133"/>
      <c r="NQS525" s="133"/>
      <c r="NQT525" s="133"/>
      <c r="NQU525" s="133"/>
      <c r="NQV525" s="133"/>
      <c r="NQW525" s="133"/>
      <c r="NQX525" s="133"/>
      <c r="NQY525" s="133"/>
      <c r="NQZ525" s="133"/>
      <c r="NRA525" s="133"/>
      <c r="NRB525" s="133"/>
      <c r="NRC525" s="133"/>
      <c r="NRD525" s="133"/>
      <c r="NRE525" s="133"/>
      <c r="NRF525" s="133"/>
      <c r="NRG525" s="133"/>
      <c r="NRH525" s="133"/>
      <c r="NRI525" s="133"/>
      <c r="NRJ525" s="133"/>
      <c r="NRK525" s="133"/>
      <c r="NRL525" s="133"/>
      <c r="NRM525" s="133"/>
      <c r="NRN525" s="133"/>
      <c r="NRO525" s="133"/>
      <c r="NRP525" s="133"/>
      <c r="NRQ525" s="133"/>
      <c r="NRR525" s="133"/>
      <c r="NRS525" s="133"/>
      <c r="NRT525" s="133"/>
      <c r="NRU525" s="133"/>
      <c r="NRV525" s="133"/>
      <c r="NRW525" s="133"/>
      <c r="NRX525" s="133"/>
      <c r="NRY525" s="133"/>
      <c r="NRZ525" s="133"/>
      <c r="NSA525" s="133"/>
      <c r="NSB525" s="133"/>
      <c r="NSC525" s="133"/>
      <c r="NSD525" s="133"/>
      <c r="NSE525" s="133"/>
      <c r="NSF525" s="133"/>
      <c r="NSG525" s="133"/>
      <c r="NSH525" s="133"/>
      <c r="NSI525" s="133"/>
      <c r="NSJ525" s="133"/>
      <c r="NSK525" s="133"/>
      <c r="NSL525" s="133"/>
      <c r="NSM525" s="133"/>
      <c r="NSN525" s="133"/>
      <c r="NSO525" s="133"/>
      <c r="NSP525" s="133"/>
      <c r="NSQ525" s="133"/>
      <c r="NSR525" s="133"/>
      <c r="NSS525" s="133"/>
      <c r="NST525" s="133"/>
      <c r="NSU525" s="133"/>
      <c r="NSV525" s="133"/>
      <c r="NSW525" s="133"/>
      <c r="NSX525" s="133"/>
      <c r="NSY525" s="133"/>
      <c r="NSZ525" s="133"/>
      <c r="NTA525" s="133"/>
      <c r="NTB525" s="133"/>
      <c r="NTC525" s="133"/>
      <c r="NTD525" s="133"/>
      <c r="NTE525" s="133"/>
      <c r="NTF525" s="133"/>
      <c r="NTG525" s="133"/>
      <c r="NTH525" s="133"/>
      <c r="NTI525" s="133"/>
      <c r="NTJ525" s="133"/>
      <c r="NTK525" s="133"/>
      <c r="NTL525" s="133"/>
      <c r="NTM525" s="133"/>
      <c r="NTN525" s="133"/>
      <c r="NTO525" s="133"/>
      <c r="NTP525" s="133"/>
      <c r="NTQ525" s="133"/>
      <c r="NTR525" s="133"/>
      <c r="NTS525" s="133"/>
      <c r="NTT525" s="133"/>
      <c r="NTU525" s="133"/>
      <c r="NTV525" s="133"/>
      <c r="NTW525" s="133"/>
      <c r="NTX525" s="133"/>
      <c r="NTY525" s="133"/>
      <c r="NTZ525" s="133"/>
      <c r="NUA525" s="133"/>
      <c r="NUB525" s="133"/>
      <c r="NUC525" s="133"/>
      <c r="NUD525" s="133"/>
      <c r="NUE525" s="133"/>
      <c r="NUF525" s="133"/>
      <c r="NUG525" s="133"/>
      <c r="NUH525" s="133"/>
      <c r="NUI525" s="133"/>
      <c r="NUJ525" s="133"/>
      <c r="NUK525" s="133"/>
      <c r="NUL525" s="133"/>
      <c r="NUM525" s="133"/>
      <c r="NUN525" s="133"/>
      <c r="NUO525" s="133"/>
      <c r="NUP525" s="133"/>
      <c r="NUQ525" s="133"/>
      <c r="NUR525" s="133"/>
      <c r="NUS525" s="133"/>
      <c r="NUT525" s="133"/>
      <c r="NUU525" s="133"/>
      <c r="NUV525" s="133"/>
      <c r="NUW525" s="133"/>
      <c r="NUX525" s="133"/>
      <c r="NUY525" s="133"/>
      <c r="NUZ525" s="133"/>
      <c r="NVA525" s="133"/>
      <c r="NVB525" s="133"/>
      <c r="NVC525" s="133"/>
      <c r="NVD525" s="133"/>
      <c r="NVE525" s="133"/>
      <c r="NVF525" s="133"/>
      <c r="NVG525" s="133"/>
      <c r="NVH525" s="133"/>
      <c r="NVI525" s="133"/>
      <c r="NVJ525" s="133"/>
      <c r="NVK525" s="133"/>
      <c r="NVL525" s="133"/>
      <c r="NVM525" s="133"/>
      <c r="NVN525" s="133"/>
      <c r="NVO525" s="133"/>
      <c r="NVP525" s="133"/>
      <c r="NVQ525" s="133"/>
      <c r="NVR525" s="133"/>
      <c r="NVS525" s="133"/>
      <c r="NVT525" s="133"/>
      <c r="NVU525" s="133"/>
      <c r="NVV525" s="133"/>
      <c r="NVW525" s="133"/>
      <c r="NVX525" s="133"/>
      <c r="NVY525" s="133"/>
      <c r="NVZ525" s="133"/>
      <c r="NWA525" s="133"/>
      <c r="NWB525" s="133"/>
      <c r="NWC525" s="133"/>
      <c r="NWD525" s="133"/>
      <c r="NWE525" s="133"/>
      <c r="NWF525" s="133"/>
      <c r="NWG525" s="133"/>
      <c r="NWH525" s="133"/>
      <c r="NWI525" s="133"/>
      <c r="NWJ525" s="133"/>
      <c r="NWK525" s="133"/>
      <c r="NWL525" s="133"/>
      <c r="NWM525" s="133"/>
      <c r="NWN525" s="133"/>
      <c r="NWO525" s="133"/>
      <c r="NWP525" s="133"/>
      <c r="NWQ525" s="133"/>
      <c r="NWR525" s="133"/>
      <c r="NWS525" s="133"/>
      <c r="NWT525" s="133"/>
      <c r="NWU525" s="133"/>
      <c r="NWV525" s="133"/>
      <c r="NWW525" s="133"/>
      <c r="NWX525" s="133"/>
      <c r="NWY525" s="133"/>
      <c r="NWZ525" s="133"/>
      <c r="NXA525" s="133"/>
      <c r="NXB525" s="133"/>
      <c r="NXC525" s="133"/>
      <c r="NXD525" s="133"/>
      <c r="NXE525" s="133"/>
      <c r="NXF525" s="133"/>
      <c r="NXG525" s="133"/>
      <c r="NXH525" s="133"/>
      <c r="NXI525" s="133"/>
      <c r="NXJ525" s="133"/>
      <c r="NXK525" s="133"/>
      <c r="NXL525" s="133"/>
      <c r="NXM525" s="133"/>
      <c r="NXN525" s="133"/>
      <c r="NXO525" s="133"/>
      <c r="NXP525" s="133"/>
      <c r="NXQ525" s="133"/>
      <c r="NXR525" s="133"/>
      <c r="NXS525" s="133"/>
      <c r="NXT525" s="133"/>
      <c r="NXU525" s="133"/>
      <c r="NXV525" s="133"/>
      <c r="NXW525" s="133"/>
      <c r="NXX525" s="133"/>
      <c r="NXY525" s="133"/>
      <c r="NXZ525" s="133"/>
      <c r="NYA525" s="133"/>
      <c r="NYB525" s="133"/>
      <c r="NYC525" s="133"/>
      <c r="NYD525" s="133"/>
      <c r="NYE525" s="133"/>
      <c r="NYF525" s="133"/>
      <c r="NYG525" s="133"/>
      <c r="NYH525" s="133"/>
      <c r="NYI525" s="133"/>
      <c r="NYJ525" s="133"/>
      <c r="NYK525" s="133"/>
      <c r="NYL525" s="133"/>
      <c r="NYM525" s="133"/>
      <c r="NYN525" s="133"/>
      <c r="NYO525" s="133"/>
      <c r="NYP525" s="133"/>
      <c r="NYQ525" s="133"/>
      <c r="NYR525" s="133"/>
      <c r="NYS525" s="133"/>
      <c r="NYT525" s="133"/>
      <c r="NYU525" s="133"/>
      <c r="NYV525" s="133"/>
      <c r="NYW525" s="133"/>
      <c r="NYX525" s="133"/>
      <c r="NYY525" s="133"/>
      <c r="NYZ525" s="133"/>
      <c r="NZA525" s="133"/>
      <c r="NZB525" s="133"/>
      <c r="NZC525" s="133"/>
      <c r="NZD525" s="133"/>
      <c r="NZE525" s="133"/>
      <c r="NZF525" s="133"/>
      <c r="NZG525" s="133"/>
      <c r="NZH525" s="133"/>
      <c r="NZI525" s="133"/>
      <c r="NZJ525" s="133"/>
      <c r="NZK525" s="133"/>
      <c r="NZL525" s="133"/>
      <c r="NZM525" s="133"/>
      <c r="NZN525" s="133"/>
      <c r="NZO525" s="133"/>
      <c r="NZP525" s="133"/>
      <c r="NZQ525" s="133"/>
      <c r="NZR525" s="133"/>
      <c r="NZS525" s="133"/>
      <c r="NZT525" s="133"/>
      <c r="NZU525" s="133"/>
      <c r="NZV525" s="133"/>
      <c r="NZW525" s="133"/>
      <c r="NZX525" s="133"/>
      <c r="NZY525" s="133"/>
      <c r="NZZ525" s="133"/>
      <c r="OAA525" s="133"/>
      <c r="OAB525" s="133"/>
      <c r="OAC525" s="133"/>
      <c r="OAD525" s="133"/>
      <c r="OAE525" s="133"/>
      <c r="OAF525" s="133"/>
      <c r="OAG525" s="133"/>
      <c r="OAH525" s="133"/>
      <c r="OAI525" s="133"/>
      <c r="OAJ525" s="133"/>
      <c r="OAK525" s="133"/>
      <c r="OAL525" s="133"/>
      <c r="OAM525" s="133"/>
      <c r="OAN525" s="133"/>
      <c r="OAO525" s="133"/>
      <c r="OAP525" s="133"/>
      <c r="OAQ525" s="133"/>
      <c r="OAR525" s="133"/>
      <c r="OAS525" s="133"/>
      <c r="OAT525" s="133"/>
      <c r="OAU525" s="133"/>
      <c r="OAV525" s="133"/>
      <c r="OAW525" s="133"/>
      <c r="OAX525" s="133"/>
      <c r="OAY525" s="133"/>
      <c r="OAZ525" s="133"/>
      <c r="OBA525" s="133"/>
      <c r="OBB525" s="133"/>
      <c r="OBC525" s="133"/>
      <c r="OBD525" s="133"/>
      <c r="OBE525" s="133"/>
      <c r="OBF525" s="133"/>
      <c r="OBG525" s="133"/>
      <c r="OBH525" s="133"/>
      <c r="OBI525" s="133"/>
      <c r="OBJ525" s="133"/>
      <c r="OBK525" s="133"/>
      <c r="OBL525" s="133"/>
      <c r="OBM525" s="133"/>
      <c r="OBN525" s="133"/>
      <c r="OBO525" s="133"/>
      <c r="OBP525" s="133"/>
      <c r="OBQ525" s="133"/>
      <c r="OBR525" s="133"/>
      <c r="OBS525" s="133"/>
      <c r="OBT525" s="133"/>
      <c r="OBU525" s="133"/>
      <c r="OBV525" s="133"/>
      <c r="OBW525" s="133"/>
      <c r="OBX525" s="133"/>
      <c r="OBY525" s="133"/>
      <c r="OBZ525" s="133"/>
      <c r="OCA525" s="133"/>
      <c r="OCB525" s="133"/>
      <c r="OCC525" s="133"/>
      <c r="OCD525" s="133"/>
      <c r="OCE525" s="133"/>
      <c r="OCF525" s="133"/>
      <c r="OCG525" s="133"/>
      <c r="OCH525" s="133"/>
      <c r="OCI525" s="133"/>
      <c r="OCJ525" s="133"/>
      <c r="OCK525" s="133"/>
      <c r="OCL525" s="133"/>
      <c r="OCM525" s="133"/>
      <c r="OCN525" s="133"/>
      <c r="OCO525" s="133"/>
      <c r="OCP525" s="133"/>
      <c r="OCQ525" s="133"/>
      <c r="OCR525" s="133"/>
      <c r="OCS525" s="133"/>
      <c r="OCT525" s="133"/>
      <c r="OCU525" s="133"/>
      <c r="OCV525" s="133"/>
      <c r="OCW525" s="133"/>
      <c r="OCX525" s="133"/>
      <c r="OCY525" s="133"/>
      <c r="OCZ525" s="133"/>
      <c r="ODA525" s="133"/>
      <c r="ODB525" s="133"/>
      <c r="ODC525" s="133"/>
      <c r="ODD525" s="133"/>
      <c r="ODE525" s="133"/>
      <c r="ODF525" s="133"/>
      <c r="ODG525" s="133"/>
      <c r="ODH525" s="133"/>
      <c r="ODI525" s="133"/>
      <c r="ODJ525" s="133"/>
      <c r="ODK525" s="133"/>
      <c r="ODL525" s="133"/>
      <c r="ODM525" s="133"/>
      <c r="ODN525" s="133"/>
      <c r="ODO525" s="133"/>
      <c r="ODP525" s="133"/>
      <c r="ODQ525" s="133"/>
      <c r="ODR525" s="133"/>
      <c r="ODS525" s="133"/>
      <c r="ODT525" s="133"/>
      <c r="ODU525" s="133"/>
      <c r="ODV525" s="133"/>
      <c r="ODW525" s="133"/>
      <c r="ODX525" s="133"/>
      <c r="ODY525" s="133"/>
      <c r="ODZ525" s="133"/>
      <c r="OEA525" s="133"/>
      <c r="OEB525" s="133"/>
      <c r="OEC525" s="133"/>
      <c r="OED525" s="133"/>
      <c r="OEE525" s="133"/>
      <c r="OEF525" s="133"/>
      <c r="OEG525" s="133"/>
      <c r="OEH525" s="133"/>
      <c r="OEI525" s="133"/>
      <c r="OEJ525" s="133"/>
      <c r="OEK525" s="133"/>
      <c r="OEL525" s="133"/>
      <c r="OEM525" s="133"/>
      <c r="OEN525" s="133"/>
      <c r="OEO525" s="133"/>
      <c r="OEP525" s="133"/>
      <c r="OEQ525" s="133"/>
      <c r="OER525" s="133"/>
      <c r="OES525" s="133"/>
      <c r="OET525" s="133"/>
      <c r="OEU525" s="133"/>
      <c r="OEV525" s="133"/>
      <c r="OEW525" s="133"/>
      <c r="OEX525" s="133"/>
      <c r="OEY525" s="133"/>
      <c r="OEZ525" s="133"/>
      <c r="OFA525" s="133"/>
      <c r="OFB525" s="133"/>
      <c r="OFC525" s="133"/>
      <c r="OFD525" s="133"/>
      <c r="OFE525" s="133"/>
      <c r="OFF525" s="133"/>
      <c r="OFG525" s="133"/>
      <c r="OFH525" s="133"/>
      <c r="OFI525" s="133"/>
      <c r="OFJ525" s="133"/>
      <c r="OFK525" s="133"/>
      <c r="OFL525" s="133"/>
      <c r="OFM525" s="133"/>
      <c r="OFN525" s="133"/>
      <c r="OFO525" s="133"/>
      <c r="OFP525" s="133"/>
      <c r="OFQ525" s="133"/>
      <c r="OFR525" s="133"/>
      <c r="OFS525" s="133"/>
      <c r="OFT525" s="133"/>
      <c r="OFU525" s="133"/>
      <c r="OFV525" s="133"/>
      <c r="OFW525" s="133"/>
      <c r="OFX525" s="133"/>
      <c r="OFY525" s="133"/>
      <c r="OFZ525" s="133"/>
      <c r="OGA525" s="133"/>
      <c r="OGB525" s="133"/>
      <c r="OGC525" s="133"/>
      <c r="OGD525" s="133"/>
      <c r="OGE525" s="133"/>
      <c r="OGF525" s="133"/>
      <c r="OGG525" s="133"/>
      <c r="OGH525" s="133"/>
      <c r="OGI525" s="133"/>
      <c r="OGJ525" s="133"/>
      <c r="OGK525" s="133"/>
      <c r="OGL525" s="133"/>
      <c r="OGM525" s="133"/>
      <c r="OGN525" s="133"/>
      <c r="OGO525" s="133"/>
      <c r="OGP525" s="133"/>
      <c r="OGQ525" s="133"/>
      <c r="OGR525" s="133"/>
      <c r="OGS525" s="133"/>
      <c r="OGT525" s="133"/>
      <c r="OGU525" s="133"/>
      <c r="OGV525" s="133"/>
      <c r="OGW525" s="133"/>
      <c r="OGX525" s="133"/>
      <c r="OGY525" s="133"/>
      <c r="OGZ525" s="133"/>
      <c r="OHA525" s="133"/>
      <c r="OHB525" s="133"/>
      <c r="OHC525" s="133"/>
      <c r="OHD525" s="133"/>
      <c r="OHE525" s="133"/>
      <c r="OHF525" s="133"/>
      <c r="OHG525" s="133"/>
      <c r="OHH525" s="133"/>
      <c r="OHI525" s="133"/>
      <c r="OHJ525" s="133"/>
      <c r="OHK525" s="133"/>
      <c r="OHL525" s="133"/>
      <c r="OHM525" s="133"/>
      <c r="OHN525" s="133"/>
      <c r="OHO525" s="133"/>
      <c r="OHP525" s="133"/>
      <c r="OHQ525" s="133"/>
      <c r="OHR525" s="133"/>
      <c r="OHS525" s="133"/>
      <c r="OHT525" s="133"/>
      <c r="OHU525" s="133"/>
      <c r="OHV525" s="133"/>
      <c r="OHW525" s="133"/>
      <c r="OHX525" s="133"/>
      <c r="OHY525" s="133"/>
      <c r="OHZ525" s="133"/>
      <c r="OIA525" s="133"/>
      <c r="OIB525" s="133"/>
      <c r="OIC525" s="133"/>
      <c r="OID525" s="133"/>
      <c r="OIE525" s="133"/>
      <c r="OIF525" s="133"/>
      <c r="OIG525" s="133"/>
      <c r="OIH525" s="133"/>
      <c r="OII525" s="133"/>
      <c r="OIJ525" s="133"/>
      <c r="OIK525" s="133"/>
      <c r="OIL525" s="133"/>
      <c r="OIM525" s="133"/>
      <c r="OIN525" s="133"/>
      <c r="OIO525" s="133"/>
      <c r="OIP525" s="133"/>
      <c r="OIQ525" s="133"/>
      <c r="OIR525" s="133"/>
      <c r="OIS525" s="133"/>
      <c r="OIT525" s="133"/>
      <c r="OIU525" s="133"/>
      <c r="OIV525" s="133"/>
      <c r="OIW525" s="133"/>
      <c r="OIX525" s="133"/>
      <c r="OIY525" s="133"/>
      <c r="OIZ525" s="133"/>
      <c r="OJA525" s="133"/>
      <c r="OJB525" s="133"/>
      <c r="OJC525" s="133"/>
      <c r="OJD525" s="133"/>
      <c r="OJE525" s="133"/>
      <c r="OJF525" s="133"/>
      <c r="OJG525" s="133"/>
      <c r="OJH525" s="133"/>
      <c r="OJI525" s="133"/>
      <c r="OJJ525" s="133"/>
      <c r="OJK525" s="133"/>
      <c r="OJL525" s="133"/>
      <c r="OJM525" s="133"/>
      <c r="OJN525" s="133"/>
      <c r="OJO525" s="133"/>
      <c r="OJP525" s="133"/>
      <c r="OJQ525" s="133"/>
      <c r="OJR525" s="133"/>
      <c r="OJS525" s="133"/>
      <c r="OJT525" s="133"/>
      <c r="OJU525" s="133"/>
      <c r="OJV525" s="133"/>
      <c r="OJW525" s="133"/>
      <c r="OJX525" s="133"/>
      <c r="OJY525" s="133"/>
      <c r="OJZ525" s="133"/>
      <c r="OKA525" s="133"/>
      <c r="OKB525" s="133"/>
      <c r="OKC525" s="133"/>
      <c r="OKD525" s="133"/>
      <c r="OKE525" s="133"/>
      <c r="OKF525" s="133"/>
      <c r="OKG525" s="133"/>
      <c r="OKH525" s="133"/>
      <c r="OKI525" s="133"/>
      <c r="OKJ525" s="133"/>
      <c r="OKK525" s="133"/>
      <c r="OKL525" s="133"/>
      <c r="OKM525" s="133"/>
      <c r="OKN525" s="133"/>
      <c r="OKO525" s="133"/>
      <c r="OKP525" s="133"/>
      <c r="OKQ525" s="133"/>
      <c r="OKR525" s="133"/>
      <c r="OKS525" s="133"/>
      <c r="OKT525" s="133"/>
      <c r="OKU525" s="133"/>
      <c r="OKV525" s="133"/>
      <c r="OKW525" s="133"/>
      <c r="OKX525" s="133"/>
      <c r="OKY525" s="133"/>
      <c r="OKZ525" s="133"/>
      <c r="OLA525" s="133"/>
      <c r="OLB525" s="133"/>
      <c r="OLC525" s="133"/>
      <c r="OLD525" s="133"/>
      <c r="OLE525" s="133"/>
      <c r="OLF525" s="133"/>
      <c r="OLG525" s="133"/>
      <c r="OLH525" s="133"/>
      <c r="OLI525" s="133"/>
      <c r="OLJ525" s="133"/>
      <c r="OLK525" s="133"/>
      <c r="OLL525" s="133"/>
      <c r="OLM525" s="133"/>
      <c r="OLN525" s="133"/>
      <c r="OLO525" s="133"/>
      <c r="OLP525" s="133"/>
      <c r="OLQ525" s="133"/>
      <c r="OLR525" s="133"/>
      <c r="OLS525" s="133"/>
      <c r="OLT525" s="133"/>
      <c r="OLU525" s="133"/>
      <c r="OLV525" s="133"/>
      <c r="OLW525" s="133"/>
      <c r="OLX525" s="133"/>
      <c r="OLY525" s="133"/>
      <c r="OLZ525" s="133"/>
      <c r="OMA525" s="133"/>
      <c r="OMB525" s="133"/>
      <c r="OMC525" s="133"/>
      <c r="OMD525" s="133"/>
      <c r="OME525" s="133"/>
      <c r="OMF525" s="133"/>
      <c r="OMG525" s="133"/>
      <c r="OMH525" s="133"/>
      <c r="OMI525" s="133"/>
      <c r="OMJ525" s="133"/>
      <c r="OMK525" s="133"/>
      <c r="OML525" s="133"/>
      <c r="OMM525" s="133"/>
      <c r="OMN525" s="133"/>
      <c r="OMO525" s="133"/>
      <c r="OMP525" s="133"/>
      <c r="OMQ525" s="133"/>
      <c r="OMR525" s="133"/>
      <c r="OMS525" s="133"/>
      <c r="OMT525" s="133"/>
      <c r="OMU525" s="133"/>
      <c r="OMV525" s="133"/>
      <c r="OMW525" s="133"/>
      <c r="OMX525" s="133"/>
      <c r="OMY525" s="133"/>
      <c r="OMZ525" s="133"/>
      <c r="ONA525" s="133"/>
      <c r="ONB525" s="133"/>
      <c r="ONC525" s="133"/>
      <c r="OND525" s="133"/>
      <c r="ONE525" s="133"/>
      <c r="ONF525" s="133"/>
      <c r="ONG525" s="133"/>
      <c r="ONH525" s="133"/>
      <c r="ONI525" s="133"/>
      <c r="ONJ525" s="133"/>
      <c r="ONK525" s="133"/>
      <c r="ONL525" s="133"/>
      <c r="ONM525" s="133"/>
      <c r="ONN525" s="133"/>
      <c r="ONO525" s="133"/>
      <c r="ONP525" s="133"/>
      <c r="ONQ525" s="133"/>
      <c r="ONR525" s="133"/>
      <c r="ONS525" s="133"/>
      <c r="ONT525" s="133"/>
      <c r="ONU525" s="133"/>
      <c r="ONV525" s="133"/>
      <c r="ONW525" s="133"/>
      <c r="ONX525" s="133"/>
      <c r="ONY525" s="133"/>
      <c r="ONZ525" s="133"/>
      <c r="OOA525" s="133"/>
      <c r="OOB525" s="133"/>
      <c r="OOC525" s="133"/>
      <c r="OOD525" s="133"/>
      <c r="OOE525" s="133"/>
      <c r="OOF525" s="133"/>
      <c r="OOG525" s="133"/>
      <c r="OOH525" s="133"/>
      <c r="OOI525" s="133"/>
      <c r="OOJ525" s="133"/>
      <c r="OOK525" s="133"/>
      <c r="OOL525" s="133"/>
      <c r="OOM525" s="133"/>
      <c r="OON525" s="133"/>
      <c r="OOO525" s="133"/>
      <c r="OOP525" s="133"/>
      <c r="OOQ525" s="133"/>
      <c r="OOR525" s="133"/>
      <c r="OOS525" s="133"/>
      <c r="OOT525" s="133"/>
      <c r="OOU525" s="133"/>
      <c r="OOV525" s="133"/>
      <c r="OOW525" s="133"/>
      <c r="OOX525" s="133"/>
      <c r="OOY525" s="133"/>
      <c r="OOZ525" s="133"/>
      <c r="OPA525" s="133"/>
      <c r="OPB525" s="133"/>
      <c r="OPC525" s="133"/>
      <c r="OPD525" s="133"/>
      <c r="OPE525" s="133"/>
      <c r="OPF525" s="133"/>
      <c r="OPG525" s="133"/>
      <c r="OPH525" s="133"/>
      <c r="OPI525" s="133"/>
      <c r="OPJ525" s="133"/>
      <c r="OPK525" s="133"/>
      <c r="OPL525" s="133"/>
      <c r="OPM525" s="133"/>
      <c r="OPN525" s="133"/>
      <c r="OPO525" s="133"/>
      <c r="OPP525" s="133"/>
      <c r="OPQ525" s="133"/>
      <c r="OPR525" s="133"/>
      <c r="OPS525" s="133"/>
      <c r="OPT525" s="133"/>
      <c r="OPU525" s="133"/>
      <c r="OPV525" s="133"/>
      <c r="OPW525" s="133"/>
      <c r="OPX525" s="133"/>
      <c r="OPY525" s="133"/>
      <c r="OPZ525" s="133"/>
      <c r="OQA525" s="133"/>
      <c r="OQB525" s="133"/>
      <c r="OQC525" s="133"/>
      <c r="OQD525" s="133"/>
      <c r="OQE525" s="133"/>
      <c r="OQF525" s="133"/>
      <c r="OQG525" s="133"/>
      <c r="OQH525" s="133"/>
      <c r="OQI525" s="133"/>
      <c r="OQJ525" s="133"/>
      <c r="OQK525" s="133"/>
      <c r="OQL525" s="133"/>
      <c r="OQM525" s="133"/>
      <c r="OQN525" s="133"/>
      <c r="OQO525" s="133"/>
      <c r="OQP525" s="133"/>
      <c r="OQQ525" s="133"/>
      <c r="OQR525" s="133"/>
      <c r="OQS525" s="133"/>
      <c r="OQT525" s="133"/>
      <c r="OQU525" s="133"/>
      <c r="OQV525" s="133"/>
      <c r="OQW525" s="133"/>
      <c r="OQX525" s="133"/>
      <c r="OQY525" s="133"/>
      <c r="OQZ525" s="133"/>
      <c r="ORA525" s="133"/>
      <c r="ORB525" s="133"/>
      <c r="ORC525" s="133"/>
      <c r="ORD525" s="133"/>
      <c r="ORE525" s="133"/>
      <c r="ORF525" s="133"/>
      <c r="ORG525" s="133"/>
      <c r="ORH525" s="133"/>
      <c r="ORI525" s="133"/>
      <c r="ORJ525" s="133"/>
      <c r="ORK525" s="133"/>
      <c r="ORL525" s="133"/>
      <c r="ORM525" s="133"/>
      <c r="ORN525" s="133"/>
      <c r="ORO525" s="133"/>
      <c r="ORP525" s="133"/>
      <c r="ORQ525" s="133"/>
      <c r="ORR525" s="133"/>
      <c r="ORS525" s="133"/>
      <c r="ORT525" s="133"/>
      <c r="ORU525" s="133"/>
      <c r="ORV525" s="133"/>
      <c r="ORW525" s="133"/>
      <c r="ORX525" s="133"/>
      <c r="ORY525" s="133"/>
      <c r="ORZ525" s="133"/>
      <c r="OSA525" s="133"/>
      <c r="OSB525" s="133"/>
      <c r="OSC525" s="133"/>
      <c r="OSD525" s="133"/>
      <c r="OSE525" s="133"/>
      <c r="OSF525" s="133"/>
      <c r="OSG525" s="133"/>
      <c r="OSH525" s="133"/>
      <c r="OSI525" s="133"/>
      <c r="OSJ525" s="133"/>
      <c r="OSK525" s="133"/>
      <c r="OSL525" s="133"/>
      <c r="OSM525" s="133"/>
      <c r="OSN525" s="133"/>
      <c r="OSO525" s="133"/>
      <c r="OSP525" s="133"/>
      <c r="OSQ525" s="133"/>
      <c r="OSR525" s="133"/>
      <c r="OSS525" s="133"/>
      <c r="OST525" s="133"/>
      <c r="OSU525" s="133"/>
      <c r="OSV525" s="133"/>
      <c r="OSW525" s="133"/>
      <c r="OSX525" s="133"/>
      <c r="OSY525" s="133"/>
      <c r="OSZ525" s="133"/>
      <c r="OTA525" s="133"/>
      <c r="OTB525" s="133"/>
      <c r="OTC525" s="133"/>
      <c r="OTD525" s="133"/>
      <c r="OTE525" s="133"/>
      <c r="OTF525" s="133"/>
      <c r="OTG525" s="133"/>
      <c r="OTH525" s="133"/>
      <c r="OTI525" s="133"/>
      <c r="OTJ525" s="133"/>
      <c r="OTK525" s="133"/>
      <c r="OTL525" s="133"/>
      <c r="OTM525" s="133"/>
      <c r="OTN525" s="133"/>
      <c r="OTO525" s="133"/>
      <c r="OTP525" s="133"/>
      <c r="OTQ525" s="133"/>
      <c r="OTR525" s="133"/>
      <c r="OTS525" s="133"/>
      <c r="OTT525" s="133"/>
      <c r="OTU525" s="133"/>
      <c r="OTV525" s="133"/>
      <c r="OTW525" s="133"/>
      <c r="OTX525" s="133"/>
      <c r="OTY525" s="133"/>
      <c r="OTZ525" s="133"/>
      <c r="OUA525" s="133"/>
      <c r="OUB525" s="133"/>
      <c r="OUC525" s="133"/>
      <c r="OUD525" s="133"/>
      <c r="OUE525" s="133"/>
      <c r="OUF525" s="133"/>
      <c r="OUG525" s="133"/>
      <c r="OUH525" s="133"/>
      <c r="OUI525" s="133"/>
      <c r="OUJ525" s="133"/>
      <c r="OUK525" s="133"/>
      <c r="OUL525" s="133"/>
      <c r="OUM525" s="133"/>
      <c r="OUN525" s="133"/>
      <c r="OUO525" s="133"/>
      <c r="OUP525" s="133"/>
      <c r="OUQ525" s="133"/>
      <c r="OUR525" s="133"/>
      <c r="OUS525" s="133"/>
      <c r="OUT525" s="133"/>
      <c r="OUU525" s="133"/>
      <c r="OUV525" s="133"/>
      <c r="OUW525" s="133"/>
      <c r="OUX525" s="133"/>
      <c r="OUY525" s="133"/>
      <c r="OUZ525" s="133"/>
      <c r="OVA525" s="133"/>
      <c r="OVB525" s="133"/>
      <c r="OVC525" s="133"/>
      <c r="OVD525" s="133"/>
      <c r="OVE525" s="133"/>
      <c r="OVF525" s="133"/>
      <c r="OVG525" s="133"/>
      <c r="OVH525" s="133"/>
      <c r="OVI525" s="133"/>
      <c r="OVJ525" s="133"/>
      <c r="OVK525" s="133"/>
      <c r="OVL525" s="133"/>
      <c r="OVM525" s="133"/>
      <c r="OVN525" s="133"/>
      <c r="OVO525" s="133"/>
      <c r="OVP525" s="133"/>
      <c r="OVQ525" s="133"/>
      <c r="OVR525" s="133"/>
      <c r="OVS525" s="133"/>
      <c r="OVT525" s="133"/>
      <c r="OVU525" s="133"/>
      <c r="OVV525" s="133"/>
      <c r="OVW525" s="133"/>
      <c r="OVX525" s="133"/>
      <c r="OVY525" s="133"/>
      <c r="OVZ525" s="133"/>
      <c r="OWA525" s="133"/>
      <c r="OWB525" s="133"/>
      <c r="OWC525" s="133"/>
      <c r="OWD525" s="133"/>
      <c r="OWE525" s="133"/>
      <c r="OWF525" s="133"/>
      <c r="OWG525" s="133"/>
      <c r="OWH525" s="133"/>
      <c r="OWI525" s="133"/>
      <c r="OWJ525" s="133"/>
      <c r="OWK525" s="133"/>
      <c r="OWL525" s="133"/>
      <c r="OWM525" s="133"/>
      <c r="OWN525" s="133"/>
      <c r="OWO525" s="133"/>
      <c r="OWP525" s="133"/>
      <c r="OWQ525" s="133"/>
      <c r="OWR525" s="133"/>
      <c r="OWS525" s="133"/>
      <c r="OWT525" s="133"/>
      <c r="OWU525" s="133"/>
      <c r="OWV525" s="133"/>
      <c r="OWW525" s="133"/>
      <c r="OWX525" s="133"/>
      <c r="OWY525" s="133"/>
      <c r="OWZ525" s="133"/>
      <c r="OXA525" s="133"/>
      <c r="OXB525" s="133"/>
      <c r="OXC525" s="133"/>
      <c r="OXD525" s="133"/>
      <c r="OXE525" s="133"/>
      <c r="OXF525" s="133"/>
      <c r="OXG525" s="133"/>
      <c r="OXH525" s="133"/>
      <c r="OXI525" s="133"/>
      <c r="OXJ525" s="133"/>
      <c r="OXK525" s="133"/>
      <c r="OXL525" s="133"/>
      <c r="OXM525" s="133"/>
      <c r="OXN525" s="133"/>
      <c r="OXO525" s="133"/>
      <c r="OXP525" s="133"/>
      <c r="OXQ525" s="133"/>
      <c r="OXR525" s="133"/>
      <c r="OXS525" s="133"/>
      <c r="OXT525" s="133"/>
      <c r="OXU525" s="133"/>
      <c r="OXV525" s="133"/>
      <c r="OXW525" s="133"/>
      <c r="OXX525" s="133"/>
      <c r="OXY525" s="133"/>
      <c r="OXZ525" s="133"/>
      <c r="OYA525" s="133"/>
      <c r="OYB525" s="133"/>
      <c r="OYC525" s="133"/>
      <c r="OYD525" s="133"/>
      <c r="OYE525" s="133"/>
      <c r="OYF525" s="133"/>
      <c r="OYG525" s="133"/>
      <c r="OYH525" s="133"/>
      <c r="OYI525" s="133"/>
      <c r="OYJ525" s="133"/>
      <c r="OYK525" s="133"/>
      <c r="OYL525" s="133"/>
      <c r="OYM525" s="133"/>
      <c r="OYN525" s="133"/>
      <c r="OYO525" s="133"/>
      <c r="OYP525" s="133"/>
      <c r="OYQ525" s="133"/>
      <c r="OYR525" s="133"/>
      <c r="OYS525" s="133"/>
      <c r="OYT525" s="133"/>
      <c r="OYU525" s="133"/>
      <c r="OYV525" s="133"/>
      <c r="OYW525" s="133"/>
      <c r="OYX525" s="133"/>
      <c r="OYY525" s="133"/>
      <c r="OYZ525" s="133"/>
      <c r="OZA525" s="133"/>
      <c r="OZB525" s="133"/>
      <c r="OZC525" s="133"/>
      <c r="OZD525" s="133"/>
      <c r="OZE525" s="133"/>
      <c r="OZF525" s="133"/>
      <c r="OZG525" s="133"/>
      <c r="OZH525" s="133"/>
      <c r="OZI525" s="133"/>
      <c r="OZJ525" s="133"/>
      <c r="OZK525" s="133"/>
      <c r="OZL525" s="133"/>
      <c r="OZM525" s="133"/>
      <c r="OZN525" s="133"/>
      <c r="OZO525" s="133"/>
      <c r="OZP525" s="133"/>
      <c r="OZQ525" s="133"/>
      <c r="OZR525" s="133"/>
      <c r="OZS525" s="133"/>
      <c r="OZT525" s="133"/>
      <c r="OZU525" s="133"/>
      <c r="OZV525" s="133"/>
      <c r="OZW525" s="133"/>
      <c r="OZX525" s="133"/>
      <c r="OZY525" s="133"/>
      <c r="OZZ525" s="133"/>
      <c r="PAA525" s="133"/>
      <c r="PAB525" s="133"/>
      <c r="PAC525" s="133"/>
      <c r="PAD525" s="133"/>
      <c r="PAE525" s="133"/>
      <c r="PAF525" s="133"/>
      <c r="PAG525" s="133"/>
      <c r="PAH525" s="133"/>
      <c r="PAI525" s="133"/>
      <c r="PAJ525" s="133"/>
      <c r="PAK525" s="133"/>
      <c r="PAL525" s="133"/>
      <c r="PAM525" s="133"/>
      <c r="PAN525" s="133"/>
      <c r="PAO525" s="133"/>
      <c r="PAP525" s="133"/>
      <c r="PAQ525" s="133"/>
      <c r="PAR525" s="133"/>
      <c r="PAS525" s="133"/>
      <c r="PAT525" s="133"/>
      <c r="PAU525" s="133"/>
      <c r="PAV525" s="133"/>
      <c r="PAW525" s="133"/>
      <c r="PAX525" s="133"/>
      <c r="PAY525" s="133"/>
      <c r="PAZ525" s="133"/>
      <c r="PBA525" s="133"/>
      <c r="PBB525" s="133"/>
      <c r="PBC525" s="133"/>
      <c r="PBD525" s="133"/>
      <c r="PBE525" s="133"/>
      <c r="PBF525" s="133"/>
      <c r="PBG525" s="133"/>
      <c r="PBH525" s="133"/>
      <c r="PBI525" s="133"/>
      <c r="PBJ525" s="133"/>
      <c r="PBK525" s="133"/>
      <c r="PBL525" s="133"/>
      <c r="PBM525" s="133"/>
      <c r="PBN525" s="133"/>
      <c r="PBO525" s="133"/>
      <c r="PBP525" s="133"/>
      <c r="PBQ525" s="133"/>
      <c r="PBR525" s="133"/>
      <c r="PBS525" s="133"/>
      <c r="PBT525" s="133"/>
      <c r="PBU525" s="133"/>
      <c r="PBV525" s="133"/>
      <c r="PBW525" s="133"/>
      <c r="PBX525" s="133"/>
      <c r="PBY525" s="133"/>
      <c r="PBZ525" s="133"/>
      <c r="PCA525" s="133"/>
      <c r="PCB525" s="133"/>
      <c r="PCC525" s="133"/>
      <c r="PCD525" s="133"/>
      <c r="PCE525" s="133"/>
      <c r="PCF525" s="133"/>
      <c r="PCG525" s="133"/>
      <c r="PCH525" s="133"/>
      <c r="PCI525" s="133"/>
      <c r="PCJ525" s="133"/>
      <c r="PCK525" s="133"/>
      <c r="PCL525" s="133"/>
      <c r="PCM525" s="133"/>
      <c r="PCN525" s="133"/>
      <c r="PCO525" s="133"/>
      <c r="PCP525" s="133"/>
      <c r="PCQ525" s="133"/>
      <c r="PCR525" s="133"/>
      <c r="PCS525" s="133"/>
      <c r="PCT525" s="133"/>
      <c r="PCU525" s="133"/>
      <c r="PCV525" s="133"/>
      <c r="PCW525" s="133"/>
      <c r="PCX525" s="133"/>
      <c r="PCY525" s="133"/>
      <c r="PCZ525" s="133"/>
      <c r="PDA525" s="133"/>
      <c r="PDB525" s="133"/>
      <c r="PDC525" s="133"/>
      <c r="PDD525" s="133"/>
      <c r="PDE525" s="133"/>
      <c r="PDF525" s="133"/>
      <c r="PDG525" s="133"/>
      <c r="PDH525" s="133"/>
      <c r="PDI525" s="133"/>
      <c r="PDJ525" s="133"/>
      <c r="PDK525" s="133"/>
      <c r="PDL525" s="133"/>
      <c r="PDM525" s="133"/>
      <c r="PDN525" s="133"/>
      <c r="PDO525" s="133"/>
      <c r="PDP525" s="133"/>
      <c r="PDQ525" s="133"/>
      <c r="PDR525" s="133"/>
      <c r="PDS525" s="133"/>
      <c r="PDT525" s="133"/>
      <c r="PDU525" s="133"/>
      <c r="PDV525" s="133"/>
      <c r="PDW525" s="133"/>
      <c r="PDX525" s="133"/>
      <c r="PDY525" s="133"/>
      <c r="PDZ525" s="133"/>
      <c r="PEA525" s="133"/>
      <c r="PEB525" s="133"/>
      <c r="PEC525" s="133"/>
      <c r="PED525" s="133"/>
      <c r="PEE525" s="133"/>
      <c r="PEF525" s="133"/>
      <c r="PEG525" s="133"/>
      <c r="PEH525" s="133"/>
      <c r="PEI525" s="133"/>
      <c r="PEJ525" s="133"/>
      <c r="PEK525" s="133"/>
      <c r="PEL525" s="133"/>
      <c r="PEM525" s="133"/>
      <c r="PEN525" s="133"/>
      <c r="PEO525" s="133"/>
      <c r="PEP525" s="133"/>
      <c r="PEQ525" s="133"/>
      <c r="PER525" s="133"/>
      <c r="PES525" s="133"/>
      <c r="PET525" s="133"/>
      <c r="PEU525" s="133"/>
      <c r="PEV525" s="133"/>
      <c r="PEW525" s="133"/>
      <c r="PEX525" s="133"/>
      <c r="PEY525" s="133"/>
      <c r="PEZ525" s="133"/>
      <c r="PFA525" s="133"/>
      <c r="PFB525" s="133"/>
      <c r="PFC525" s="133"/>
      <c r="PFD525" s="133"/>
      <c r="PFE525" s="133"/>
      <c r="PFF525" s="133"/>
      <c r="PFG525" s="133"/>
      <c r="PFH525" s="133"/>
      <c r="PFI525" s="133"/>
      <c r="PFJ525" s="133"/>
      <c r="PFK525" s="133"/>
      <c r="PFL525" s="133"/>
      <c r="PFM525" s="133"/>
      <c r="PFN525" s="133"/>
      <c r="PFO525" s="133"/>
      <c r="PFP525" s="133"/>
      <c r="PFQ525" s="133"/>
      <c r="PFR525" s="133"/>
      <c r="PFS525" s="133"/>
      <c r="PFT525" s="133"/>
      <c r="PFU525" s="133"/>
      <c r="PFV525" s="133"/>
      <c r="PFW525" s="133"/>
      <c r="PFX525" s="133"/>
      <c r="PFY525" s="133"/>
      <c r="PFZ525" s="133"/>
      <c r="PGA525" s="133"/>
      <c r="PGB525" s="133"/>
      <c r="PGC525" s="133"/>
      <c r="PGD525" s="133"/>
      <c r="PGE525" s="133"/>
      <c r="PGF525" s="133"/>
      <c r="PGG525" s="133"/>
      <c r="PGH525" s="133"/>
      <c r="PGI525" s="133"/>
      <c r="PGJ525" s="133"/>
      <c r="PGK525" s="133"/>
      <c r="PGL525" s="133"/>
      <c r="PGM525" s="133"/>
      <c r="PGN525" s="133"/>
      <c r="PGO525" s="133"/>
      <c r="PGP525" s="133"/>
      <c r="PGQ525" s="133"/>
      <c r="PGR525" s="133"/>
      <c r="PGS525" s="133"/>
      <c r="PGT525" s="133"/>
      <c r="PGU525" s="133"/>
      <c r="PGV525" s="133"/>
      <c r="PGW525" s="133"/>
      <c r="PGX525" s="133"/>
      <c r="PGY525" s="133"/>
      <c r="PGZ525" s="133"/>
      <c r="PHA525" s="133"/>
      <c r="PHB525" s="133"/>
      <c r="PHC525" s="133"/>
      <c r="PHD525" s="133"/>
      <c r="PHE525" s="133"/>
      <c r="PHF525" s="133"/>
      <c r="PHG525" s="133"/>
      <c r="PHH525" s="133"/>
      <c r="PHI525" s="133"/>
      <c r="PHJ525" s="133"/>
      <c r="PHK525" s="133"/>
      <c r="PHL525" s="133"/>
      <c r="PHM525" s="133"/>
      <c r="PHN525" s="133"/>
      <c r="PHO525" s="133"/>
      <c r="PHP525" s="133"/>
      <c r="PHQ525" s="133"/>
      <c r="PHR525" s="133"/>
      <c r="PHS525" s="133"/>
      <c r="PHT525" s="133"/>
      <c r="PHU525" s="133"/>
      <c r="PHV525" s="133"/>
      <c r="PHW525" s="133"/>
      <c r="PHX525" s="133"/>
      <c r="PHY525" s="133"/>
      <c r="PHZ525" s="133"/>
      <c r="PIA525" s="133"/>
      <c r="PIB525" s="133"/>
      <c r="PIC525" s="133"/>
      <c r="PID525" s="133"/>
      <c r="PIE525" s="133"/>
      <c r="PIF525" s="133"/>
      <c r="PIG525" s="133"/>
      <c r="PIH525" s="133"/>
      <c r="PII525" s="133"/>
      <c r="PIJ525" s="133"/>
      <c r="PIK525" s="133"/>
      <c r="PIL525" s="133"/>
      <c r="PIM525" s="133"/>
      <c r="PIN525" s="133"/>
      <c r="PIO525" s="133"/>
      <c r="PIP525" s="133"/>
      <c r="PIQ525" s="133"/>
      <c r="PIR525" s="133"/>
      <c r="PIS525" s="133"/>
      <c r="PIT525" s="133"/>
      <c r="PIU525" s="133"/>
      <c r="PIV525" s="133"/>
      <c r="PIW525" s="133"/>
      <c r="PIX525" s="133"/>
      <c r="PIY525" s="133"/>
      <c r="PIZ525" s="133"/>
      <c r="PJA525" s="133"/>
      <c r="PJB525" s="133"/>
      <c r="PJC525" s="133"/>
      <c r="PJD525" s="133"/>
      <c r="PJE525" s="133"/>
      <c r="PJF525" s="133"/>
      <c r="PJG525" s="133"/>
      <c r="PJH525" s="133"/>
      <c r="PJI525" s="133"/>
      <c r="PJJ525" s="133"/>
      <c r="PJK525" s="133"/>
      <c r="PJL525" s="133"/>
      <c r="PJM525" s="133"/>
      <c r="PJN525" s="133"/>
      <c r="PJO525" s="133"/>
      <c r="PJP525" s="133"/>
      <c r="PJQ525" s="133"/>
      <c r="PJR525" s="133"/>
      <c r="PJS525" s="133"/>
      <c r="PJT525" s="133"/>
      <c r="PJU525" s="133"/>
      <c r="PJV525" s="133"/>
      <c r="PJW525" s="133"/>
      <c r="PJX525" s="133"/>
      <c r="PJY525" s="133"/>
      <c r="PJZ525" s="133"/>
      <c r="PKA525" s="133"/>
      <c r="PKB525" s="133"/>
      <c r="PKC525" s="133"/>
      <c r="PKD525" s="133"/>
      <c r="PKE525" s="133"/>
      <c r="PKF525" s="133"/>
      <c r="PKG525" s="133"/>
      <c r="PKH525" s="133"/>
      <c r="PKI525" s="133"/>
      <c r="PKJ525" s="133"/>
      <c r="PKK525" s="133"/>
      <c r="PKL525" s="133"/>
      <c r="PKM525" s="133"/>
      <c r="PKN525" s="133"/>
      <c r="PKO525" s="133"/>
      <c r="PKP525" s="133"/>
      <c r="PKQ525" s="133"/>
      <c r="PKR525" s="133"/>
      <c r="PKS525" s="133"/>
      <c r="PKT525" s="133"/>
      <c r="PKU525" s="133"/>
      <c r="PKV525" s="133"/>
      <c r="PKW525" s="133"/>
      <c r="PKX525" s="133"/>
      <c r="PKY525" s="133"/>
      <c r="PKZ525" s="133"/>
      <c r="PLA525" s="133"/>
      <c r="PLB525" s="133"/>
      <c r="PLC525" s="133"/>
      <c r="PLD525" s="133"/>
      <c r="PLE525" s="133"/>
      <c r="PLF525" s="133"/>
      <c r="PLG525" s="133"/>
      <c r="PLH525" s="133"/>
      <c r="PLI525" s="133"/>
      <c r="PLJ525" s="133"/>
      <c r="PLK525" s="133"/>
      <c r="PLL525" s="133"/>
      <c r="PLM525" s="133"/>
      <c r="PLN525" s="133"/>
      <c r="PLO525" s="133"/>
      <c r="PLP525" s="133"/>
      <c r="PLQ525" s="133"/>
      <c r="PLR525" s="133"/>
      <c r="PLS525" s="133"/>
      <c r="PLT525" s="133"/>
      <c r="PLU525" s="133"/>
      <c r="PLV525" s="133"/>
      <c r="PLW525" s="133"/>
      <c r="PLX525" s="133"/>
      <c r="PLY525" s="133"/>
      <c r="PLZ525" s="133"/>
      <c r="PMA525" s="133"/>
      <c r="PMB525" s="133"/>
      <c r="PMC525" s="133"/>
      <c r="PMD525" s="133"/>
      <c r="PME525" s="133"/>
      <c r="PMF525" s="133"/>
      <c r="PMG525" s="133"/>
      <c r="PMH525" s="133"/>
      <c r="PMI525" s="133"/>
      <c r="PMJ525" s="133"/>
      <c r="PMK525" s="133"/>
      <c r="PML525" s="133"/>
      <c r="PMM525" s="133"/>
      <c r="PMN525" s="133"/>
      <c r="PMO525" s="133"/>
      <c r="PMP525" s="133"/>
      <c r="PMQ525" s="133"/>
      <c r="PMR525" s="133"/>
      <c r="PMS525" s="133"/>
      <c r="PMT525" s="133"/>
      <c r="PMU525" s="133"/>
      <c r="PMV525" s="133"/>
      <c r="PMW525" s="133"/>
      <c r="PMX525" s="133"/>
      <c r="PMY525" s="133"/>
      <c r="PMZ525" s="133"/>
      <c r="PNA525" s="133"/>
      <c r="PNB525" s="133"/>
      <c r="PNC525" s="133"/>
      <c r="PND525" s="133"/>
      <c r="PNE525" s="133"/>
      <c r="PNF525" s="133"/>
      <c r="PNG525" s="133"/>
      <c r="PNH525" s="133"/>
      <c r="PNI525" s="133"/>
      <c r="PNJ525" s="133"/>
      <c r="PNK525" s="133"/>
      <c r="PNL525" s="133"/>
      <c r="PNM525" s="133"/>
      <c r="PNN525" s="133"/>
      <c r="PNO525" s="133"/>
      <c r="PNP525" s="133"/>
      <c r="PNQ525" s="133"/>
      <c r="PNR525" s="133"/>
      <c r="PNS525" s="133"/>
      <c r="PNT525" s="133"/>
      <c r="PNU525" s="133"/>
      <c r="PNV525" s="133"/>
      <c r="PNW525" s="133"/>
      <c r="PNX525" s="133"/>
      <c r="PNY525" s="133"/>
      <c r="PNZ525" s="133"/>
      <c r="POA525" s="133"/>
      <c r="POB525" s="133"/>
      <c r="POC525" s="133"/>
      <c r="POD525" s="133"/>
      <c r="POE525" s="133"/>
      <c r="POF525" s="133"/>
      <c r="POG525" s="133"/>
      <c r="POH525" s="133"/>
      <c r="POI525" s="133"/>
      <c r="POJ525" s="133"/>
      <c r="POK525" s="133"/>
      <c r="POL525" s="133"/>
      <c r="POM525" s="133"/>
      <c r="PON525" s="133"/>
      <c r="POO525" s="133"/>
      <c r="POP525" s="133"/>
      <c r="POQ525" s="133"/>
      <c r="POR525" s="133"/>
      <c r="POS525" s="133"/>
      <c r="POT525" s="133"/>
      <c r="POU525" s="133"/>
      <c r="POV525" s="133"/>
      <c r="POW525" s="133"/>
      <c r="POX525" s="133"/>
      <c r="POY525" s="133"/>
      <c r="POZ525" s="133"/>
      <c r="PPA525" s="133"/>
      <c r="PPB525" s="133"/>
      <c r="PPC525" s="133"/>
      <c r="PPD525" s="133"/>
      <c r="PPE525" s="133"/>
      <c r="PPF525" s="133"/>
      <c r="PPG525" s="133"/>
      <c r="PPH525" s="133"/>
      <c r="PPI525" s="133"/>
      <c r="PPJ525" s="133"/>
      <c r="PPK525" s="133"/>
      <c r="PPL525" s="133"/>
      <c r="PPM525" s="133"/>
      <c r="PPN525" s="133"/>
      <c r="PPO525" s="133"/>
      <c r="PPP525" s="133"/>
      <c r="PPQ525" s="133"/>
      <c r="PPR525" s="133"/>
      <c r="PPS525" s="133"/>
      <c r="PPT525" s="133"/>
      <c r="PPU525" s="133"/>
      <c r="PPV525" s="133"/>
      <c r="PPW525" s="133"/>
      <c r="PPX525" s="133"/>
      <c r="PPY525" s="133"/>
      <c r="PPZ525" s="133"/>
      <c r="PQA525" s="133"/>
      <c r="PQB525" s="133"/>
      <c r="PQC525" s="133"/>
      <c r="PQD525" s="133"/>
      <c r="PQE525" s="133"/>
      <c r="PQF525" s="133"/>
      <c r="PQG525" s="133"/>
      <c r="PQH525" s="133"/>
      <c r="PQI525" s="133"/>
      <c r="PQJ525" s="133"/>
      <c r="PQK525" s="133"/>
      <c r="PQL525" s="133"/>
      <c r="PQM525" s="133"/>
      <c r="PQN525" s="133"/>
      <c r="PQO525" s="133"/>
      <c r="PQP525" s="133"/>
      <c r="PQQ525" s="133"/>
      <c r="PQR525" s="133"/>
      <c r="PQS525" s="133"/>
      <c r="PQT525" s="133"/>
      <c r="PQU525" s="133"/>
      <c r="PQV525" s="133"/>
      <c r="PQW525" s="133"/>
      <c r="PQX525" s="133"/>
      <c r="PQY525" s="133"/>
      <c r="PQZ525" s="133"/>
      <c r="PRA525" s="133"/>
      <c r="PRB525" s="133"/>
      <c r="PRC525" s="133"/>
      <c r="PRD525" s="133"/>
      <c r="PRE525" s="133"/>
      <c r="PRF525" s="133"/>
      <c r="PRG525" s="133"/>
      <c r="PRH525" s="133"/>
      <c r="PRI525" s="133"/>
      <c r="PRJ525" s="133"/>
      <c r="PRK525" s="133"/>
      <c r="PRL525" s="133"/>
      <c r="PRM525" s="133"/>
      <c r="PRN525" s="133"/>
      <c r="PRO525" s="133"/>
      <c r="PRP525" s="133"/>
      <c r="PRQ525" s="133"/>
      <c r="PRR525" s="133"/>
      <c r="PRS525" s="133"/>
      <c r="PRT525" s="133"/>
      <c r="PRU525" s="133"/>
      <c r="PRV525" s="133"/>
      <c r="PRW525" s="133"/>
      <c r="PRX525" s="133"/>
      <c r="PRY525" s="133"/>
      <c r="PRZ525" s="133"/>
      <c r="PSA525" s="133"/>
      <c r="PSB525" s="133"/>
      <c r="PSC525" s="133"/>
      <c r="PSD525" s="133"/>
      <c r="PSE525" s="133"/>
      <c r="PSF525" s="133"/>
      <c r="PSG525" s="133"/>
      <c r="PSH525" s="133"/>
      <c r="PSI525" s="133"/>
      <c r="PSJ525" s="133"/>
      <c r="PSK525" s="133"/>
      <c r="PSL525" s="133"/>
      <c r="PSM525" s="133"/>
      <c r="PSN525" s="133"/>
      <c r="PSO525" s="133"/>
      <c r="PSP525" s="133"/>
      <c r="PSQ525" s="133"/>
      <c r="PSR525" s="133"/>
      <c r="PSS525" s="133"/>
      <c r="PST525" s="133"/>
      <c r="PSU525" s="133"/>
      <c r="PSV525" s="133"/>
      <c r="PSW525" s="133"/>
      <c r="PSX525" s="133"/>
      <c r="PSY525" s="133"/>
      <c r="PSZ525" s="133"/>
      <c r="PTA525" s="133"/>
      <c r="PTB525" s="133"/>
      <c r="PTC525" s="133"/>
      <c r="PTD525" s="133"/>
      <c r="PTE525" s="133"/>
      <c r="PTF525" s="133"/>
      <c r="PTG525" s="133"/>
      <c r="PTH525" s="133"/>
      <c r="PTI525" s="133"/>
      <c r="PTJ525" s="133"/>
      <c r="PTK525" s="133"/>
      <c r="PTL525" s="133"/>
      <c r="PTM525" s="133"/>
      <c r="PTN525" s="133"/>
      <c r="PTO525" s="133"/>
      <c r="PTP525" s="133"/>
      <c r="PTQ525" s="133"/>
      <c r="PTR525" s="133"/>
      <c r="PTS525" s="133"/>
      <c r="PTT525" s="133"/>
      <c r="PTU525" s="133"/>
      <c r="PTV525" s="133"/>
      <c r="PTW525" s="133"/>
      <c r="PTX525" s="133"/>
      <c r="PTY525" s="133"/>
      <c r="PTZ525" s="133"/>
      <c r="PUA525" s="133"/>
      <c r="PUB525" s="133"/>
      <c r="PUC525" s="133"/>
      <c r="PUD525" s="133"/>
      <c r="PUE525" s="133"/>
      <c r="PUF525" s="133"/>
      <c r="PUG525" s="133"/>
      <c r="PUH525" s="133"/>
      <c r="PUI525" s="133"/>
      <c r="PUJ525" s="133"/>
      <c r="PUK525" s="133"/>
      <c r="PUL525" s="133"/>
      <c r="PUM525" s="133"/>
      <c r="PUN525" s="133"/>
      <c r="PUO525" s="133"/>
      <c r="PUP525" s="133"/>
      <c r="PUQ525" s="133"/>
      <c r="PUR525" s="133"/>
      <c r="PUS525" s="133"/>
      <c r="PUT525" s="133"/>
      <c r="PUU525" s="133"/>
      <c r="PUV525" s="133"/>
      <c r="PUW525" s="133"/>
      <c r="PUX525" s="133"/>
      <c r="PUY525" s="133"/>
      <c r="PUZ525" s="133"/>
      <c r="PVA525" s="133"/>
      <c r="PVB525" s="133"/>
      <c r="PVC525" s="133"/>
      <c r="PVD525" s="133"/>
      <c r="PVE525" s="133"/>
      <c r="PVF525" s="133"/>
      <c r="PVG525" s="133"/>
      <c r="PVH525" s="133"/>
      <c r="PVI525" s="133"/>
      <c r="PVJ525" s="133"/>
      <c r="PVK525" s="133"/>
      <c r="PVL525" s="133"/>
      <c r="PVM525" s="133"/>
      <c r="PVN525" s="133"/>
      <c r="PVO525" s="133"/>
      <c r="PVP525" s="133"/>
      <c r="PVQ525" s="133"/>
      <c r="PVR525" s="133"/>
      <c r="PVS525" s="133"/>
      <c r="PVT525" s="133"/>
      <c r="PVU525" s="133"/>
      <c r="PVV525" s="133"/>
      <c r="PVW525" s="133"/>
      <c r="PVX525" s="133"/>
      <c r="PVY525" s="133"/>
      <c r="PVZ525" s="133"/>
      <c r="PWA525" s="133"/>
      <c r="PWB525" s="133"/>
      <c r="PWC525" s="133"/>
      <c r="PWD525" s="133"/>
      <c r="PWE525" s="133"/>
      <c r="PWF525" s="133"/>
      <c r="PWG525" s="133"/>
      <c r="PWH525" s="133"/>
      <c r="PWI525" s="133"/>
      <c r="PWJ525" s="133"/>
      <c r="PWK525" s="133"/>
      <c r="PWL525" s="133"/>
      <c r="PWM525" s="133"/>
      <c r="PWN525" s="133"/>
      <c r="PWO525" s="133"/>
      <c r="PWP525" s="133"/>
      <c r="PWQ525" s="133"/>
      <c r="PWR525" s="133"/>
      <c r="PWS525" s="133"/>
      <c r="PWT525" s="133"/>
      <c r="PWU525" s="133"/>
      <c r="PWV525" s="133"/>
      <c r="PWW525" s="133"/>
      <c r="PWX525" s="133"/>
      <c r="PWY525" s="133"/>
      <c r="PWZ525" s="133"/>
      <c r="PXA525" s="133"/>
      <c r="PXB525" s="133"/>
      <c r="PXC525" s="133"/>
      <c r="PXD525" s="133"/>
      <c r="PXE525" s="133"/>
      <c r="PXF525" s="133"/>
      <c r="PXG525" s="133"/>
      <c r="PXH525" s="133"/>
      <c r="PXI525" s="133"/>
      <c r="PXJ525" s="133"/>
      <c r="PXK525" s="133"/>
      <c r="PXL525" s="133"/>
      <c r="PXM525" s="133"/>
      <c r="PXN525" s="133"/>
      <c r="PXO525" s="133"/>
      <c r="PXP525" s="133"/>
      <c r="PXQ525" s="133"/>
      <c r="PXR525" s="133"/>
      <c r="PXS525" s="133"/>
      <c r="PXT525" s="133"/>
      <c r="PXU525" s="133"/>
      <c r="PXV525" s="133"/>
      <c r="PXW525" s="133"/>
      <c r="PXX525" s="133"/>
      <c r="PXY525" s="133"/>
      <c r="PXZ525" s="133"/>
      <c r="PYA525" s="133"/>
      <c r="PYB525" s="133"/>
      <c r="PYC525" s="133"/>
      <c r="PYD525" s="133"/>
      <c r="PYE525" s="133"/>
      <c r="PYF525" s="133"/>
      <c r="PYG525" s="133"/>
      <c r="PYH525" s="133"/>
      <c r="PYI525" s="133"/>
      <c r="PYJ525" s="133"/>
      <c r="PYK525" s="133"/>
      <c r="PYL525" s="133"/>
      <c r="PYM525" s="133"/>
      <c r="PYN525" s="133"/>
      <c r="PYO525" s="133"/>
      <c r="PYP525" s="133"/>
      <c r="PYQ525" s="133"/>
      <c r="PYR525" s="133"/>
      <c r="PYS525" s="133"/>
      <c r="PYT525" s="133"/>
      <c r="PYU525" s="133"/>
      <c r="PYV525" s="133"/>
      <c r="PYW525" s="133"/>
      <c r="PYX525" s="133"/>
      <c r="PYY525" s="133"/>
      <c r="PYZ525" s="133"/>
      <c r="PZA525" s="133"/>
      <c r="PZB525" s="133"/>
      <c r="PZC525" s="133"/>
      <c r="PZD525" s="133"/>
      <c r="PZE525" s="133"/>
      <c r="PZF525" s="133"/>
      <c r="PZG525" s="133"/>
      <c r="PZH525" s="133"/>
      <c r="PZI525" s="133"/>
      <c r="PZJ525" s="133"/>
      <c r="PZK525" s="133"/>
      <c r="PZL525" s="133"/>
      <c r="PZM525" s="133"/>
      <c r="PZN525" s="133"/>
      <c r="PZO525" s="133"/>
      <c r="PZP525" s="133"/>
      <c r="PZQ525" s="133"/>
      <c r="PZR525" s="133"/>
      <c r="PZS525" s="133"/>
      <c r="PZT525" s="133"/>
      <c r="PZU525" s="133"/>
      <c r="PZV525" s="133"/>
      <c r="PZW525" s="133"/>
      <c r="PZX525" s="133"/>
      <c r="PZY525" s="133"/>
      <c r="PZZ525" s="133"/>
      <c r="QAA525" s="133"/>
      <c r="QAB525" s="133"/>
      <c r="QAC525" s="133"/>
      <c r="QAD525" s="133"/>
      <c r="QAE525" s="133"/>
      <c r="QAF525" s="133"/>
      <c r="QAG525" s="133"/>
      <c r="QAH525" s="133"/>
      <c r="QAI525" s="133"/>
      <c r="QAJ525" s="133"/>
      <c r="QAK525" s="133"/>
      <c r="QAL525" s="133"/>
      <c r="QAM525" s="133"/>
      <c r="QAN525" s="133"/>
      <c r="QAO525" s="133"/>
      <c r="QAP525" s="133"/>
      <c r="QAQ525" s="133"/>
      <c r="QAR525" s="133"/>
      <c r="QAS525" s="133"/>
      <c r="QAT525" s="133"/>
      <c r="QAU525" s="133"/>
      <c r="QAV525" s="133"/>
      <c r="QAW525" s="133"/>
      <c r="QAX525" s="133"/>
      <c r="QAY525" s="133"/>
      <c r="QAZ525" s="133"/>
      <c r="QBA525" s="133"/>
      <c r="QBB525" s="133"/>
      <c r="QBC525" s="133"/>
      <c r="QBD525" s="133"/>
      <c r="QBE525" s="133"/>
      <c r="QBF525" s="133"/>
      <c r="QBG525" s="133"/>
      <c r="QBH525" s="133"/>
      <c r="QBI525" s="133"/>
      <c r="QBJ525" s="133"/>
      <c r="QBK525" s="133"/>
      <c r="QBL525" s="133"/>
      <c r="QBM525" s="133"/>
      <c r="QBN525" s="133"/>
      <c r="QBO525" s="133"/>
      <c r="QBP525" s="133"/>
      <c r="QBQ525" s="133"/>
      <c r="QBR525" s="133"/>
      <c r="QBS525" s="133"/>
      <c r="QBT525" s="133"/>
      <c r="QBU525" s="133"/>
      <c r="QBV525" s="133"/>
      <c r="QBW525" s="133"/>
      <c r="QBX525" s="133"/>
      <c r="QBY525" s="133"/>
      <c r="QBZ525" s="133"/>
      <c r="QCA525" s="133"/>
      <c r="QCB525" s="133"/>
      <c r="QCC525" s="133"/>
      <c r="QCD525" s="133"/>
      <c r="QCE525" s="133"/>
      <c r="QCF525" s="133"/>
      <c r="QCG525" s="133"/>
      <c r="QCH525" s="133"/>
      <c r="QCI525" s="133"/>
      <c r="QCJ525" s="133"/>
      <c r="QCK525" s="133"/>
      <c r="QCL525" s="133"/>
      <c r="QCM525" s="133"/>
      <c r="QCN525" s="133"/>
      <c r="QCO525" s="133"/>
      <c r="QCP525" s="133"/>
      <c r="QCQ525" s="133"/>
      <c r="QCR525" s="133"/>
      <c r="QCS525" s="133"/>
      <c r="QCT525" s="133"/>
      <c r="QCU525" s="133"/>
      <c r="QCV525" s="133"/>
      <c r="QCW525" s="133"/>
      <c r="QCX525" s="133"/>
      <c r="QCY525" s="133"/>
      <c r="QCZ525" s="133"/>
      <c r="QDA525" s="133"/>
      <c r="QDB525" s="133"/>
      <c r="QDC525" s="133"/>
      <c r="QDD525" s="133"/>
      <c r="QDE525" s="133"/>
      <c r="QDF525" s="133"/>
      <c r="QDG525" s="133"/>
      <c r="QDH525" s="133"/>
      <c r="QDI525" s="133"/>
      <c r="QDJ525" s="133"/>
      <c r="QDK525" s="133"/>
      <c r="QDL525" s="133"/>
      <c r="QDM525" s="133"/>
      <c r="QDN525" s="133"/>
      <c r="QDO525" s="133"/>
      <c r="QDP525" s="133"/>
      <c r="QDQ525" s="133"/>
      <c r="QDR525" s="133"/>
      <c r="QDS525" s="133"/>
      <c r="QDT525" s="133"/>
      <c r="QDU525" s="133"/>
      <c r="QDV525" s="133"/>
      <c r="QDW525" s="133"/>
      <c r="QDX525" s="133"/>
      <c r="QDY525" s="133"/>
      <c r="QDZ525" s="133"/>
      <c r="QEA525" s="133"/>
      <c r="QEB525" s="133"/>
      <c r="QEC525" s="133"/>
      <c r="QED525" s="133"/>
      <c r="QEE525" s="133"/>
      <c r="QEF525" s="133"/>
      <c r="QEG525" s="133"/>
      <c r="QEH525" s="133"/>
      <c r="QEI525" s="133"/>
      <c r="QEJ525" s="133"/>
      <c r="QEK525" s="133"/>
      <c r="QEL525" s="133"/>
      <c r="QEM525" s="133"/>
      <c r="QEN525" s="133"/>
      <c r="QEO525" s="133"/>
      <c r="QEP525" s="133"/>
      <c r="QEQ525" s="133"/>
      <c r="QER525" s="133"/>
      <c r="QES525" s="133"/>
      <c r="QET525" s="133"/>
      <c r="QEU525" s="133"/>
      <c r="QEV525" s="133"/>
      <c r="QEW525" s="133"/>
      <c r="QEX525" s="133"/>
      <c r="QEY525" s="133"/>
      <c r="QEZ525" s="133"/>
      <c r="QFA525" s="133"/>
      <c r="QFB525" s="133"/>
      <c r="QFC525" s="133"/>
      <c r="QFD525" s="133"/>
      <c r="QFE525" s="133"/>
      <c r="QFF525" s="133"/>
      <c r="QFG525" s="133"/>
      <c r="QFH525" s="133"/>
      <c r="QFI525" s="133"/>
      <c r="QFJ525" s="133"/>
      <c r="QFK525" s="133"/>
      <c r="QFL525" s="133"/>
      <c r="QFM525" s="133"/>
      <c r="QFN525" s="133"/>
      <c r="QFO525" s="133"/>
      <c r="QFP525" s="133"/>
      <c r="QFQ525" s="133"/>
      <c r="QFR525" s="133"/>
      <c r="QFS525" s="133"/>
      <c r="QFT525" s="133"/>
      <c r="QFU525" s="133"/>
      <c r="QFV525" s="133"/>
      <c r="QFW525" s="133"/>
      <c r="QFX525" s="133"/>
      <c r="QFY525" s="133"/>
      <c r="QFZ525" s="133"/>
      <c r="QGA525" s="133"/>
      <c r="QGB525" s="133"/>
      <c r="QGC525" s="133"/>
      <c r="QGD525" s="133"/>
      <c r="QGE525" s="133"/>
      <c r="QGF525" s="133"/>
      <c r="QGG525" s="133"/>
      <c r="QGH525" s="133"/>
      <c r="QGI525" s="133"/>
      <c r="QGJ525" s="133"/>
      <c r="QGK525" s="133"/>
      <c r="QGL525" s="133"/>
      <c r="QGM525" s="133"/>
      <c r="QGN525" s="133"/>
      <c r="QGO525" s="133"/>
      <c r="QGP525" s="133"/>
      <c r="QGQ525" s="133"/>
      <c r="QGR525" s="133"/>
      <c r="QGS525" s="133"/>
      <c r="QGT525" s="133"/>
      <c r="QGU525" s="133"/>
      <c r="QGV525" s="133"/>
      <c r="QGW525" s="133"/>
      <c r="QGX525" s="133"/>
      <c r="QGY525" s="133"/>
      <c r="QGZ525" s="133"/>
      <c r="QHA525" s="133"/>
      <c r="QHB525" s="133"/>
      <c r="QHC525" s="133"/>
      <c r="QHD525" s="133"/>
      <c r="QHE525" s="133"/>
      <c r="QHF525" s="133"/>
      <c r="QHG525" s="133"/>
      <c r="QHH525" s="133"/>
      <c r="QHI525" s="133"/>
      <c r="QHJ525" s="133"/>
      <c r="QHK525" s="133"/>
      <c r="QHL525" s="133"/>
      <c r="QHM525" s="133"/>
      <c r="QHN525" s="133"/>
      <c r="QHO525" s="133"/>
      <c r="QHP525" s="133"/>
      <c r="QHQ525" s="133"/>
      <c r="QHR525" s="133"/>
      <c r="QHS525" s="133"/>
      <c r="QHT525" s="133"/>
      <c r="QHU525" s="133"/>
      <c r="QHV525" s="133"/>
      <c r="QHW525" s="133"/>
      <c r="QHX525" s="133"/>
      <c r="QHY525" s="133"/>
      <c r="QHZ525" s="133"/>
      <c r="QIA525" s="133"/>
      <c r="QIB525" s="133"/>
      <c r="QIC525" s="133"/>
      <c r="QID525" s="133"/>
      <c r="QIE525" s="133"/>
      <c r="QIF525" s="133"/>
      <c r="QIG525" s="133"/>
      <c r="QIH525" s="133"/>
      <c r="QII525" s="133"/>
      <c r="QIJ525" s="133"/>
      <c r="QIK525" s="133"/>
      <c r="QIL525" s="133"/>
      <c r="QIM525" s="133"/>
      <c r="QIN525" s="133"/>
      <c r="QIO525" s="133"/>
      <c r="QIP525" s="133"/>
      <c r="QIQ525" s="133"/>
      <c r="QIR525" s="133"/>
      <c r="QIS525" s="133"/>
      <c r="QIT525" s="133"/>
      <c r="QIU525" s="133"/>
      <c r="QIV525" s="133"/>
      <c r="QIW525" s="133"/>
      <c r="QIX525" s="133"/>
      <c r="QIY525" s="133"/>
      <c r="QIZ525" s="133"/>
      <c r="QJA525" s="133"/>
      <c r="QJB525" s="133"/>
      <c r="QJC525" s="133"/>
      <c r="QJD525" s="133"/>
      <c r="QJE525" s="133"/>
      <c r="QJF525" s="133"/>
      <c r="QJG525" s="133"/>
      <c r="QJH525" s="133"/>
      <c r="QJI525" s="133"/>
      <c r="QJJ525" s="133"/>
      <c r="QJK525" s="133"/>
      <c r="QJL525" s="133"/>
      <c r="QJM525" s="133"/>
      <c r="QJN525" s="133"/>
      <c r="QJO525" s="133"/>
      <c r="QJP525" s="133"/>
      <c r="QJQ525" s="133"/>
      <c r="QJR525" s="133"/>
      <c r="QJS525" s="133"/>
      <c r="QJT525" s="133"/>
      <c r="QJU525" s="133"/>
      <c r="QJV525" s="133"/>
      <c r="QJW525" s="133"/>
      <c r="QJX525" s="133"/>
      <c r="QJY525" s="133"/>
      <c r="QJZ525" s="133"/>
      <c r="QKA525" s="133"/>
      <c r="QKB525" s="133"/>
      <c r="QKC525" s="133"/>
      <c r="QKD525" s="133"/>
      <c r="QKE525" s="133"/>
      <c r="QKF525" s="133"/>
      <c r="QKG525" s="133"/>
      <c r="QKH525" s="133"/>
      <c r="QKI525" s="133"/>
      <c r="QKJ525" s="133"/>
      <c r="QKK525" s="133"/>
      <c r="QKL525" s="133"/>
      <c r="QKM525" s="133"/>
      <c r="QKN525" s="133"/>
      <c r="QKO525" s="133"/>
      <c r="QKP525" s="133"/>
      <c r="QKQ525" s="133"/>
      <c r="QKR525" s="133"/>
      <c r="QKS525" s="133"/>
      <c r="QKT525" s="133"/>
      <c r="QKU525" s="133"/>
      <c r="QKV525" s="133"/>
      <c r="QKW525" s="133"/>
      <c r="QKX525" s="133"/>
      <c r="QKY525" s="133"/>
      <c r="QKZ525" s="133"/>
      <c r="QLA525" s="133"/>
      <c r="QLB525" s="133"/>
      <c r="QLC525" s="133"/>
      <c r="QLD525" s="133"/>
      <c r="QLE525" s="133"/>
      <c r="QLF525" s="133"/>
      <c r="QLG525" s="133"/>
      <c r="QLH525" s="133"/>
      <c r="QLI525" s="133"/>
      <c r="QLJ525" s="133"/>
      <c r="QLK525" s="133"/>
      <c r="QLL525" s="133"/>
      <c r="QLM525" s="133"/>
      <c r="QLN525" s="133"/>
      <c r="QLO525" s="133"/>
      <c r="QLP525" s="133"/>
      <c r="QLQ525" s="133"/>
      <c r="QLR525" s="133"/>
      <c r="QLS525" s="133"/>
      <c r="QLT525" s="133"/>
      <c r="QLU525" s="133"/>
      <c r="QLV525" s="133"/>
      <c r="QLW525" s="133"/>
      <c r="QLX525" s="133"/>
      <c r="QLY525" s="133"/>
      <c r="QLZ525" s="133"/>
      <c r="QMA525" s="133"/>
      <c r="QMB525" s="133"/>
      <c r="QMC525" s="133"/>
      <c r="QMD525" s="133"/>
      <c r="QME525" s="133"/>
      <c r="QMF525" s="133"/>
      <c r="QMG525" s="133"/>
      <c r="QMH525" s="133"/>
      <c r="QMI525" s="133"/>
      <c r="QMJ525" s="133"/>
      <c r="QMK525" s="133"/>
      <c r="QML525" s="133"/>
      <c r="QMM525" s="133"/>
      <c r="QMN525" s="133"/>
      <c r="QMO525" s="133"/>
      <c r="QMP525" s="133"/>
      <c r="QMQ525" s="133"/>
      <c r="QMR525" s="133"/>
      <c r="QMS525" s="133"/>
      <c r="QMT525" s="133"/>
      <c r="QMU525" s="133"/>
      <c r="QMV525" s="133"/>
      <c r="QMW525" s="133"/>
      <c r="QMX525" s="133"/>
      <c r="QMY525" s="133"/>
      <c r="QMZ525" s="133"/>
      <c r="QNA525" s="133"/>
      <c r="QNB525" s="133"/>
      <c r="QNC525" s="133"/>
      <c r="QND525" s="133"/>
      <c r="QNE525" s="133"/>
      <c r="QNF525" s="133"/>
      <c r="QNG525" s="133"/>
      <c r="QNH525" s="133"/>
      <c r="QNI525" s="133"/>
      <c r="QNJ525" s="133"/>
      <c r="QNK525" s="133"/>
      <c r="QNL525" s="133"/>
      <c r="QNM525" s="133"/>
      <c r="QNN525" s="133"/>
      <c r="QNO525" s="133"/>
      <c r="QNP525" s="133"/>
      <c r="QNQ525" s="133"/>
      <c r="QNR525" s="133"/>
      <c r="QNS525" s="133"/>
      <c r="QNT525" s="133"/>
      <c r="QNU525" s="133"/>
      <c r="QNV525" s="133"/>
      <c r="QNW525" s="133"/>
      <c r="QNX525" s="133"/>
      <c r="QNY525" s="133"/>
      <c r="QNZ525" s="133"/>
      <c r="QOA525" s="133"/>
      <c r="QOB525" s="133"/>
      <c r="QOC525" s="133"/>
      <c r="QOD525" s="133"/>
      <c r="QOE525" s="133"/>
      <c r="QOF525" s="133"/>
      <c r="QOG525" s="133"/>
      <c r="QOH525" s="133"/>
      <c r="QOI525" s="133"/>
      <c r="QOJ525" s="133"/>
      <c r="QOK525" s="133"/>
      <c r="QOL525" s="133"/>
      <c r="QOM525" s="133"/>
      <c r="QON525" s="133"/>
      <c r="QOO525" s="133"/>
      <c r="QOP525" s="133"/>
      <c r="QOQ525" s="133"/>
      <c r="QOR525" s="133"/>
      <c r="QOS525" s="133"/>
      <c r="QOT525" s="133"/>
      <c r="QOU525" s="133"/>
      <c r="QOV525" s="133"/>
      <c r="QOW525" s="133"/>
      <c r="QOX525" s="133"/>
      <c r="QOY525" s="133"/>
      <c r="QOZ525" s="133"/>
      <c r="QPA525" s="133"/>
      <c r="QPB525" s="133"/>
      <c r="QPC525" s="133"/>
      <c r="QPD525" s="133"/>
      <c r="QPE525" s="133"/>
      <c r="QPF525" s="133"/>
      <c r="QPG525" s="133"/>
      <c r="QPH525" s="133"/>
      <c r="QPI525" s="133"/>
      <c r="QPJ525" s="133"/>
      <c r="QPK525" s="133"/>
      <c r="QPL525" s="133"/>
      <c r="QPM525" s="133"/>
      <c r="QPN525" s="133"/>
      <c r="QPO525" s="133"/>
      <c r="QPP525" s="133"/>
      <c r="QPQ525" s="133"/>
      <c r="QPR525" s="133"/>
      <c r="QPS525" s="133"/>
      <c r="QPT525" s="133"/>
      <c r="QPU525" s="133"/>
      <c r="QPV525" s="133"/>
      <c r="QPW525" s="133"/>
      <c r="QPX525" s="133"/>
      <c r="QPY525" s="133"/>
      <c r="QPZ525" s="133"/>
      <c r="QQA525" s="133"/>
      <c r="QQB525" s="133"/>
      <c r="QQC525" s="133"/>
      <c r="QQD525" s="133"/>
      <c r="QQE525" s="133"/>
      <c r="QQF525" s="133"/>
      <c r="QQG525" s="133"/>
      <c r="QQH525" s="133"/>
      <c r="QQI525" s="133"/>
      <c r="QQJ525" s="133"/>
      <c r="QQK525" s="133"/>
      <c r="QQL525" s="133"/>
      <c r="QQM525" s="133"/>
      <c r="QQN525" s="133"/>
      <c r="QQO525" s="133"/>
      <c r="QQP525" s="133"/>
      <c r="QQQ525" s="133"/>
      <c r="QQR525" s="133"/>
      <c r="QQS525" s="133"/>
      <c r="QQT525" s="133"/>
      <c r="QQU525" s="133"/>
      <c r="QQV525" s="133"/>
      <c r="QQW525" s="133"/>
      <c r="QQX525" s="133"/>
      <c r="QQY525" s="133"/>
      <c r="QQZ525" s="133"/>
      <c r="QRA525" s="133"/>
      <c r="QRB525" s="133"/>
      <c r="QRC525" s="133"/>
      <c r="QRD525" s="133"/>
      <c r="QRE525" s="133"/>
      <c r="QRF525" s="133"/>
      <c r="QRG525" s="133"/>
      <c r="QRH525" s="133"/>
      <c r="QRI525" s="133"/>
      <c r="QRJ525" s="133"/>
      <c r="QRK525" s="133"/>
      <c r="QRL525" s="133"/>
      <c r="QRM525" s="133"/>
      <c r="QRN525" s="133"/>
      <c r="QRO525" s="133"/>
      <c r="QRP525" s="133"/>
      <c r="QRQ525" s="133"/>
      <c r="QRR525" s="133"/>
      <c r="QRS525" s="133"/>
      <c r="QRT525" s="133"/>
      <c r="QRU525" s="133"/>
      <c r="QRV525" s="133"/>
      <c r="QRW525" s="133"/>
      <c r="QRX525" s="133"/>
      <c r="QRY525" s="133"/>
      <c r="QRZ525" s="133"/>
      <c r="QSA525" s="133"/>
      <c r="QSB525" s="133"/>
      <c r="QSC525" s="133"/>
      <c r="QSD525" s="133"/>
      <c r="QSE525" s="133"/>
      <c r="QSF525" s="133"/>
      <c r="QSG525" s="133"/>
      <c r="QSH525" s="133"/>
      <c r="QSI525" s="133"/>
      <c r="QSJ525" s="133"/>
      <c r="QSK525" s="133"/>
      <c r="QSL525" s="133"/>
      <c r="QSM525" s="133"/>
      <c r="QSN525" s="133"/>
      <c r="QSO525" s="133"/>
      <c r="QSP525" s="133"/>
      <c r="QSQ525" s="133"/>
      <c r="QSR525" s="133"/>
      <c r="QSS525" s="133"/>
      <c r="QST525" s="133"/>
      <c r="QSU525" s="133"/>
      <c r="QSV525" s="133"/>
      <c r="QSW525" s="133"/>
      <c r="QSX525" s="133"/>
      <c r="QSY525" s="133"/>
      <c r="QSZ525" s="133"/>
      <c r="QTA525" s="133"/>
      <c r="QTB525" s="133"/>
      <c r="QTC525" s="133"/>
      <c r="QTD525" s="133"/>
      <c r="QTE525" s="133"/>
      <c r="QTF525" s="133"/>
      <c r="QTG525" s="133"/>
      <c r="QTH525" s="133"/>
      <c r="QTI525" s="133"/>
      <c r="QTJ525" s="133"/>
      <c r="QTK525" s="133"/>
      <c r="QTL525" s="133"/>
      <c r="QTM525" s="133"/>
      <c r="QTN525" s="133"/>
      <c r="QTO525" s="133"/>
      <c r="QTP525" s="133"/>
      <c r="QTQ525" s="133"/>
      <c r="QTR525" s="133"/>
      <c r="QTS525" s="133"/>
      <c r="QTT525" s="133"/>
      <c r="QTU525" s="133"/>
      <c r="QTV525" s="133"/>
      <c r="QTW525" s="133"/>
      <c r="QTX525" s="133"/>
      <c r="QTY525" s="133"/>
      <c r="QTZ525" s="133"/>
      <c r="QUA525" s="133"/>
      <c r="QUB525" s="133"/>
      <c r="QUC525" s="133"/>
      <c r="QUD525" s="133"/>
      <c r="QUE525" s="133"/>
      <c r="QUF525" s="133"/>
      <c r="QUG525" s="133"/>
      <c r="QUH525" s="133"/>
      <c r="QUI525" s="133"/>
      <c r="QUJ525" s="133"/>
      <c r="QUK525" s="133"/>
      <c r="QUL525" s="133"/>
      <c r="QUM525" s="133"/>
      <c r="QUN525" s="133"/>
      <c r="QUO525" s="133"/>
      <c r="QUP525" s="133"/>
      <c r="QUQ525" s="133"/>
      <c r="QUR525" s="133"/>
      <c r="QUS525" s="133"/>
      <c r="QUT525" s="133"/>
      <c r="QUU525" s="133"/>
      <c r="QUV525" s="133"/>
      <c r="QUW525" s="133"/>
      <c r="QUX525" s="133"/>
      <c r="QUY525" s="133"/>
      <c r="QUZ525" s="133"/>
      <c r="QVA525" s="133"/>
      <c r="QVB525" s="133"/>
      <c r="QVC525" s="133"/>
      <c r="QVD525" s="133"/>
      <c r="QVE525" s="133"/>
      <c r="QVF525" s="133"/>
      <c r="QVG525" s="133"/>
      <c r="QVH525" s="133"/>
      <c r="QVI525" s="133"/>
      <c r="QVJ525" s="133"/>
      <c r="QVK525" s="133"/>
      <c r="QVL525" s="133"/>
      <c r="QVM525" s="133"/>
      <c r="QVN525" s="133"/>
      <c r="QVO525" s="133"/>
      <c r="QVP525" s="133"/>
      <c r="QVQ525" s="133"/>
      <c r="QVR525" s="133"/>
      <c r="QVS525" s="133"/>
      <c r="QVT525" s="133"/>
      <c r="QVU525" s="133"/>
      <c r="QVV525" s="133"/>
      <c r="QVW525" s="133"/>
      <c r="QVX525" s="133"/>
      <c r="QVY525" s="133"/>
      <c r="QVZ525" s="133"/>
      <c r="QWA525" s="133"/>
      <c r="QWB525" s="133"/>
      <c r="QWC525" s="133"/>
      <c r="QWD525" s="133"/>
      <c r="QWE525" s="133"/>
      <c r="QWF525" s="133"/>
      <c r="QWG525" s="133"/>
      <c r="QWH525" s="133"/>
      <c r="QWI525" s="133"/>
      <c r="QWJ525" s="133"/>
      <c r="QWK525" s="133"/>
      <c r="QWL525" s="133"/>
      <c r="QWM525" s="133"/>
      <c r="QWN525" s="133"/>
      <c r="QWO525" s="133"/>
      <c r="QWP525" s="133"/>
      <c r="QWQ525" s="133"/>
      <c r="QWR525" s="133"/>
      <c r="QWS525" s="133"/>
      <c r="QWT525" s="133"/>
      <c r="QWU525" s="133"/>
      <c r="QWV525" s="133"/>
      <c r="QWW525" s="133"/>
      <c r="QWX525" s="133"/>
      <c r="QWY525" s="133"/>
      <c r="QWZ525" s="133"/>
      <c r="QXA525" s="133"/>
      <c r="QXB525" s="133"/>
      <c r="QXC525" s="133"/>
      <c r="QXD525" s="133"/>
      <c r="QXE525" s="133"/>
      <c r="QXF525" s="133"/>
      <c r="QXG525" s="133"/>
      <c r="QXH525" s="133"/>
      <c r="QXI525" s="133"/>
      <c r="QXJ525" s="133"/>
      <c r="QXK525" s="133"/>
      <c r="QXL525" s="133"/>
      <c r="QXM525" s="133"/>
      <c r="QXN525" s="133"/>
      <c r="QXO525" s="133"/>
      <c r="QXP525" s="133"/>
      <c r="QXQ525" s="133"/>
      <c r="QXR525" s="133"/>
      <c r="QXS525" s="133"/>
      <c r="QXT525" s="133"/>
      <c r="QXU525" s="133"/>
      <c r="QXV525" s="133"/>
      <c r="QXW525" s="133"/>
      <c r="QXX525" s="133"/>
      <c r="QXY525" s="133"/>
      <c r="QXZ525" s="133"/>
      <c r="QYA525" s="133"/>
      <c r="QYB525" s="133"/>
      <c r="QYC525" s="133"/>
      <c r="QYD525" s="133"/>
      <c r="QYE525" s="133"/>
      <c r="QYF525" s="133"/>
      <c r="QYG525" s="133"/>
      <c r="QYH525" s="133"/>
      <c r="QYI525" s="133"/>
      <c r="QYJ525" s="133"/>
      <c r="QYK525" s="133"/>
      <c r="QYL525" s="133"/>
      <c r="QYM525" s="133"/>
      <c r="QYN525" s="133"/>
      <c r="QYO525" s="133"/>
      <c r="QYP525" s="133"/>
      <c r="QYQ525" s="133"/>
      <c r="QYR525" s="133"/>
      <c r="QYS525" s="133"/>
      <c r="QYT525" s="133"/>
      <c r="QYU525" s="133"/>
      <c r="QYV525" s="133"/>
      <c r="QYW525" s="133"/>
      <c r="QYX525" s="133"/>
      <c r="QYY525" s="133"/>
      <c r="QYZ525" s="133"/>
      <c r="QZA525" s="133"/>
      <c r="QZB525" s="133"/>
      <c r="QZC525" s="133"/>
      <c r="QZD525" s="133"/>
      <c r="QZE525" s="133"/>
      <c r="QZF525" s="133"/>
      <c r="QZG525" s="133"/>
      <c r="QZH525" s="133"/>
      <c r="QZI525" s="133"/>
      <c r="QZJ525" s="133"/>
      <c r="QZK525" s="133"/>
      <c r="QZL525" s="133"/>
      <c r="QZM525" s="133"/>
      <c r="QZN525" s="133"/>
      <c r="QZO525" s="133"/>
      <c r="QZP525" s="133"/>
      <c r="QZQ525" s="133"/>
      <c r="QZR525" s="133"/>
      <c r="QZS525" s="133"/>
      <c r="QZT525" s="133"/>
      <c r="QZU525" s="133"/>
      <c r="QZV525" s="133"/>
      <c r="QZW525" s="133"/>
      <c r="QZX525" s="133"/>
      <c r="QZY525" s="133"/>
      <c r="QZZ525" s="133"/>
      <c r="RAA525" s="133"/>
      <c r="RAB525" s="133"/>
      <c r="RAC525" s="133"/>
      <c r="RAD525" s="133"/>
      <c r="RAE525" s="133"/>
      <c r="RAF525" s="133"/>
      <c r="RAG525" s="133"/>
      <c r="RAH525" s="133"/>
      <c r="RAI525" s="133"/>
      <c r="RAJ525" s="133"/>
      <c r="RAK525" s="133"/>
      <c r="RAL525" s="133"/>
      <c r="RAM525" s="133"/>
      <c r="RAN525" s="133"/>
      <c r="RAO525" s="133"/>
      <c r="RAP525" s="133"/>
      <c r="RAQ525" s="133"/>
      <c r="RAR525" s="133"/>
      <c r="RAS525" s="133"/>
      <c r="RAT525" s="133"/>
      <c r="RAU525" s="133"/>
      <c r="RAV525" s="133"/>
      <c r="RAW525" s="133"/>
      <c r="RAX525" s="133"/>
      <c r="RAY525" s="133"/>
      <c r="RAZ525" s="133"/>
      <c r="RBA525" s="133"/>
      <c r="RBB525" s="133"/>
      <c r="RBC525" s="133"/>
      <c r="RBD525" s="133"/>
      <c r="RBE525" s="133"/>
      <c r="RBF525" s="133"/>
      <c r="RBG525" s="133"/>
      <c r="RBH525" s="133"/>
      <c r="RBI525" s="133"/>
      <c r="RBJ525" s="133"/>
      <c r="RBK525" s="133"/>
      <c r="RBL525" s="133"/>
      <c r="RBM525" s="133"/>
      <c r="RBN525" s="133"/>
      <c r="RBO525" s="133"/>
      <c r="RBP525" s="133"/>
      <c r="RBQ525" s="133"/>
      <c r="RBR525" s="133"/>
      <c r="RBS525" s="133"/>
      <c r="RBT525" s="133"/>
      <c r="RBU525" s="133"/>
      <c r="RBV525" s="133"/>
      <c r="RBW525" s="133"/>
      <c r="RBX525" s="133"/>
      <c r="RBY525" s="133"/>
      <c r="RBZ525" s="133"/>
      <c r="RCA525" s="133"/>
      <c r="RCB525" s="133"/>
      <c r="RCC525" s="133"/>
      <c r="RCD525" s="133"/>
      <c r="RCE525" s="133"/>
      <c r="RCF525" s="133"/>
      <c r="RCG525" s="133"/>
      <c r="RCH525" s="133"/>
      <c r="RCI525" s="133"/>
      <c r="RCJ525" s="133"/>
      <c r="RCK525" s="133"/>
      <c r="RCL525" s="133"/>
      <c r="RCM525" s="133"/>
      <c r="RCN525" s="133"/>
      <c r="RCO525" s="133"/>
      <c r="RCP525" s="133"/>
      <c r="RCQ525" s="133"/>
      <c r="RCR525" s="133"/>
      <c r="RCS525" s="133"/>
      <c r="RCT525" s="133"/>
      <c r="RCU525" s="133"/>
      <c r="RCV525" s="133"/>
      <c r="RCW525" s="133"/>
      <c r="RCX525" s="133"/>
      <c r="RCY525" s="133"/>
      <c r="RCZ525" s="133"/>
      <c r="RDA525" s="133"/>
      <c r="RDB525" s="133"/>
      <c r="RDC525" s="133"/>
      <c r="RDD525" s="133"/>
      <c r="RDE525" s="133"/>
      <c r="RDF525" s="133"/>
      <c r="RDG525" s="133"/>
      <c r="RDH525" s="133"/>
      <c r="RDI525" s="133"/>
      <c r="RDJ525" s="133"/>
      <c r="RDK525" s="133"/>
      <c r="RDL525" s="133"/>
      <c r="RDM525" s="133"/>
      <c r="RDN525" s="133"/>
      <c r="RDO525" s="133"/>
      <c r="RDP525" s="133"/>
      <c r="RDQ525" s="133"/>
      <c r="RDR525" s="133"/>
      <c r="RDS525" s="133"/>
      <c r="RDT525" s="133"/>
      <c r="RDU525" s="133"/>
      <c r="RDV525" s="133"/>
      <c r="RDW525" s="133"/>
      <c r="RDX525" s="133"/>
      <c r="RDY525" s="133"/>
      <c r="RDZ525" s="133"/>
      <c r="REA525" s="133"/>
      <c r="REB525" s="133"/>
      <c r="REC525" s="133"/>
      <c r="RED525" s="133"/>
      <c r="REE525" s="133"/>
      <c r="REF525" s="133"/>
      <c r="REG525" s="133"/>
      <c r="REH525" s="133"/>
      <c r="REI525" s="133"/>
      <c r="REJ525" s="133"/>
      <c r="REK525" s="133"/>
      <c r="REL525" s="133"/>
      <c r="REM525" s="133"/>
      <c r="REN525" s="133"/>
      <c r="REO525" s="133"/>
      <c r="REP525" s="133"/>
      <c r="REQ525" s="133"/>
      <c r="RER525" s="133"/>
      <c r="RES525" s="133"/>
      <c r="RET525" s="133"/>
      <c r="REU525" s="133"/>
      <c r="REV525" s="133"/>
      <c r="REW525" s="133"/>
      <c r="REX525" s="133"/>
      <c r="REY525" s="133"/>
      <c r="REZ525" s="133"/>
      <c r="RFA525" s="133"/>
      <c r="RFB525" s="133"/>
      <c r="RFC525" s="133"/>
      <c r="RFD525" s="133"/>
      <c r="RFE525" s="133"/>
      <c r="RFF525" s="133"/>
      <c r="RFG525" s="133"/>
      <c r="RFH525" s="133"/>
      <c r="RFI525" s="133"/>
      <c r="RFJ525" s="133"/>
      <c r="RFK525" s="133"/>
      <c r="RFL525" s="133"/>
      <c r="RFM525" s="133"/>
      <c r="RFN525" s="133"/>
      <c r="RFO525" s="133"/>
      <c r="RFP525" s="133"/>
      <c r="RFQ525" s="133"/>
      <c r="RFR525" s="133"/>
      <c r="RFS525" s="133"/>
      <c r="RFT525" s="133"/>
      <c r="RFU525" s="133"/>
      <c r="RFV525" s="133"/>
      <c r="RFW525" s="133"/>
      <c r="RFX525" s="133"/>
      <c r="RFY525" s="133"/>
      <c r="RFZ525" s="133"/>
      <c r="RGA525" s="133"/>
      <c r="RGB525" s="133"/>
      <c r="RGC525" s="133"/>
      <c r="RGD525" s="133"/>
      <c r="RGE525" s="133"/>
      <c r="RGF525" s="133"/>
      <c r="RGG525" s="133"/>
      <c r="RGH525" s="133"/>
      <c r="RGI525" s="133"/>
      <c r="RGJ525" s="133"/>
      <c r="RGK525" s="133"/>
      <c r="RGL525" s="133"/>
      <c r="RGM525" s="133"/>
      <c r="RGN525" s="133"/>
      <c r="RGO525" s="133"/>
      <c r="RGP525" s="133"/>
      <c r="RGQ525" s="133"/>
      <c r="RGR525" s="133"/>
      <c r="RGS525" s="133"/>
      <c r="RGT525" s="133"/>
      <c r="RGU525" s="133"/>
      <c r="RGV525" s="133"/>
      <c r="RGW525" s="133"/>
      <c r="RGX525" s="133"/>
      <c r="RGY525" s="133"/>
      <c r="RGZ525" s="133"/>
      <c r="RHA525" s="133"/>
      <c r="RHB525" s="133"/>
      <c r="RHC525" s="133"/>
      <c r="RHD525" s="133"/>
      <c r="RHE525" s="133"/>
      <c r="RHF525" s="133"/>
      <c r="RHG525" s="133"/>
      <c r="RHH525" s="133"/>
      <c r="RHI525" s="133"/>
      <c r="RHJ525" s="133"/>
      <c r="RHK525" s="133"/>
      <c r="RHL525" s="133"/>
      <c r="RHM525" s="133"/>
      <c r="RHN525" s="133"/>
      <c r="RHO525" s="133"/>
      <c r="RHP525" s="133"/>
      <c r="RHQ525" s="133"/>
      <c r="RHR525" s="133"/>
      <c r="RHS525" s="133"/>
      <c r="RHT525" s="133"/>
      <c r="RHU525" s="133"/>
      <c r="RHV525" s="133"/>
      <c r="RHW525" s="133"/>
      <c r="RHX525" s="133"/>
      <c r="RHY525" s="133"/>
      <c r="RHZ525" s="133"/>
      <c r="RIA525" s="133"/>
      <c r="RIB525" s="133"/>
      <c r="RIC525" s="133"/>
      <c r="RID525" s="133"/>
      <c r="RIE525" s="133"/>
      <c r="RIF525" s="133"/>
      <c r="RIG525" s="133"/>
      <c r="RIH525" s="133"/>
      <c r="RII525" s="133"/>
      <c r="RIJ525" s="133"/>
      <c r="RIK525" s="133"/>
      <c r="RIL525" s="133"/>
      <c r="RIM525" s="133"/>
      <c r="RIN525" s="133"/>
      <c r="RIO525" s="133"/>
      <c r="RIP525" s="133"/>
      <c r="RIQ525" s="133"/>
      <c r="RIR525" s="133"/>
      <c r="RIS525" s="133"/>
      <c r="RIT525" s="133"/>
      <c r="RIU525" s="133"/>
      <c r="RIV525" s="133"/>
      <c r="RIW525" s="133"/>
      <c r="RIX525" s="133"/>
      <c r="RIY525" s="133"/>
      <c r="RIZ525" s="133"/>
      <c r="RJA525" s="133"/>
      <c r="RJB525" s="133"/>
      <c r="RJC525" s="133"/>
      <c r="RJD525" s="133"/>
      <c r="RJE525" s="133"/>
      <c r="RJF525" s="133"/>
      <c r="RJG525" s="133"/>
      <c r="RJH525" s="133"/>
      <c r="RJI525" s="133"/>
      <c r="RJJ525" s="133"/>
      <c r="RJK525" s="133"/>
      <c r="RJL525" s="133"/>
      <c r="RJM525" s="133"/>
      <c r="RJN525" s="133"/>
      <c r="RJO525" s="133"/>
      <c r="RJP525" s="133"/>
      <c r="RJQ525" s="133"/>
      <c r="RJR525" s="133"/>
      <c r="RJS525" s="133"/>
      <c r="RJT525" s="133"/>
      <c r="RJU525" s="133"/>
      <c r="RJV525" s="133"/>
      <c r="RJW525" s="133"/>
      <c r="RJX525" s="133"/>
      <c r="RJY525" s="133"/>
      <c r="RJZ525" s="133"/>
      <c r="RKA525" s="133"/>
      <c r="RKB525" s="133"/>
      <c r="RKC525" s="133"/>
      <c r="RKD525" s="133"/>
      <c r="RKE525" s="133"/>
      <c r="RKF525" s="133"/>
      <c r="RKG525" s="133"/>
      <c r="RKH525" s="133"/>
      <c r="RKI525" s="133"/>
      <c r="RKJ525" s="133"/>
      <c r="RKK525" s="133"/>
      <c r="RKL525" s="133"/>
      <c r="RKM525" s="133"/>
      <c r="RKN525" s="133"/>
      <c r="RKO525" s="133"/>
      <c r="RKP525" s="133"/>
      <c r="RKQ525" s="133"/>
      <c r="RKR525" s="133"/>
      <c r="RKS525" s="133"/>
      <c r="RKT525" s="133"/>
      <c r="RKU525" s="133"/>
      <c r="RKV525" s="133"/>
      <c r="RKW525" s="133"/>
      <c r="RKX525" s="133"/>
      <c r="RKY525" s="133"/>
      <c r="RKZ525" s="133"/>
      <c r="RLA525" s="133"/>
      <c r="RLB525" s="133"/>
      <c r="RLC525" s="133"/>
      <c r="RLD525" s="133"/>
      <c r="RLE525" s="133"/>
      <c r="RLF525" s="133"/>
      <c r="RLG525" s="133"/>
      <c r="RLH525" s="133"/>
      <c r="RLI525" s="133"/>
      <c r="RLJ525" s="133"/>
      <c r="RLK525" s="133"/>
      <c r="RLL525" s="133"/>
      <c r="RLM525" s="133"/>
      <c r="RLN525" s="133"/>
      <c r="RLO525" s="133"/>
      <c r="RLP525" s="133"/>
      <c r="RLQ525" s="133"/>
      <c r="RLR525" s="133"/>
      <c r="RLS525" s="133"/>
      <c r="RLT525" s="133"/>
      <c r="RLU525" s="133"/>
      <c r="RLV525" s="133"/>
      <c r="RLW525" s="133"/>
      <c r="RLX525" s="133"/>
      <c r="RLY525" s="133"/>
      <c r="RLZ525" s="133"/>
      <c r="RMA525" s="133"/>
      <c r="RMB525" s="133"/>
      <c r="RMC525" s="133"/>
      <c r="RMD525" s="133"/>
      <c r="RME525" s="133"/>
      <c r="RMF525" s="133"/>
      <c r="RMG525" s="133"/>
      <c r="RMH525" s="133"/>
      <c r="RMI525" s="133"/>
      <c r="RMJ525" s="133"/>
      <c r="RMK525" s="133"/>
      <c r="RML525" s="133"/>
      <c r="RMM525" s="133"/>
      <c r="RMN525" s="133"/>
      <c r="RMO525" s="133"/>
      <c r="RMP525" s="133"/>
      <c r="RMQ525" s="133"/>
      <c r="RMR525" s="133"/>
      <c r="RMS525" s="133"/>
      <c r="RMT525" s="133"/>
      <c r="RMU525" s="133"/>
      <c r="RMV525" s="133"/>
      <c r="RMW525" s="133"/>
      <c r="RMX525" s="133"/>
      <c r="RMY525" s="133"/>
      <c r="RMZ525" s="133"/>
      <c r="RNA525" s="133"/>
      <c r="RNB525" s="133"/>
      <c r="RNC525" s="133"/>
      <c r="RND525" s="133"/>
      <c r="RNE525" s="133"/>
      <c r="RNF525" s="133"/>
      <c r="RNG525" s="133"/>
      <c r="RNH525" s="133"/>
      <c r="RNI525" s="133"/>
      <c r="RNJ525" s="133"/>
      <c r="RNK525" s="133"/>
      <c r="RNL525" s="133"/>
      <c r="RNM525" s="133"/>
      <c r="RNN525" s="133"/>
      <c r="RNO525" s="133"/>
      <c r="RNP525" s="133"/>
      <c r="RNQ525" s="133"/>
      <c r="RNR525" s="133"/>
      <c r="RNS525" s="133"/>
      <c r="RNT525" s="133"/>
      <c r="RNU525" s="133"/>
      <c r="RNV525" s="133"/>
      <c r="RNW525" s="133"/>
      <c r="RNX525" s="133"/>
      <c r="RNY525" s="133"/>
      <c r="RNZ525" s="133"/>
      <c r="ROA525" s="133"/>
      <c r="ROB525" s="133"/>
      <c r="ROC525" s="133"/>
      <c r="ROD525" s="133"/>
      <c r="ROE525" s="133"/>
      <c r="ROF525" s="133"/>
      <c r="ROG525" s="133"/>
      <c r="ROH525" s="133"/>
      <c r="ROI525" s="133"/>
      <c r="ROJ525" s="133"/>
      <c r="ROK525" s="133"/>
      <c r="ROL525" s="133"/>
      <c r="ROM525" s="133"/>
      <c r="RON525" s="133"/>
      <c r="ROO525" s="133"/>
      <c r="ROP525" s="133"/>
      <c r="ROQ525" s="133"/>
      <c r="ROR525" s="133"/>
      <c r="ROS525" s="133"/>
      <c r="ROT525" s="133"/>
      <c r="ROU525" s="133"/>
      <c r="ROV525" s="133"/>
      <c r="ROW525" s="133"/>
      <c r="ROX525" s="133"/>
      <c r="ROY525" s="133"/>
      <c r="ROZ525" s="133"/>
      <c r="RPA525" s="133"/>
      <c r="RPB525" s="133"/>
      <c r="RPC525" s="133"/>
      <c r="RPD525" s="133"/>
      <c r="RPE525" s="133"/>
      <c r="RPF525" s="133"/>
      <c r="RPG525" s="133"/>
      <c r="RPH525" s="133"/>
      <c r="RPI525" s="133"/>
      <c r="RPJ525" s="133"/>
      <c r="RPK525" s="133"/>
      <c r="RPL525" s="133"/>
      <c r="RPM525" s="133"/>
      <c r="RPN525" s="133"/>
      <c r="RPO525" s="133"/>
      <c r="RPP525" s="133"/>
      <c r="RPQ525" s="133"/>
      <c r="RPR525" s="133"/>
      <c r="RPS525" s="133"/>
      <c r="RPT525" s="133"/>
      <c r="RPU525" s="133"/>
      <c r="RPV525" s="133"/>
      <c r="RPW525" s="133"/>
      <c r="RPX525" s="133"/>
      <c r="RPY525" s="133"/>
      <c r="RPZ525" s="133"/>
      <c r="RQA525" s="133"/>
      <c r="RQB525" s="133"/>
      <c r="RQC525" s="133"/>
      <c r="RQD525" s="133"/>
      <c r="RQE525" s="133"/>
      <c r="RQF525" s="133"/>
      <c r="RQG525" s="133"/>
      <c r="RQH525" s="133"/>
      <c r="RQI525" s="133"/>
      <c r="RQJ525" s="133"/>
      <c r="RQK525" s="133"/>
      <c r="RQL525" s="133"/>
      <c r="RQM525" s="133"/>
      <c r="RQN525" s="133"/>
      <c r="RQO525" s="133"/>
      <c r="RQP525" s="133"/>
      <c r="RQQ525" s="133"/>
      <c r="RQR525" s="133"/>
      <c r="RQS525" s="133"/>
      <c r="RQT525" s="133"/>
      <c r="RQU525" s="133"/>
      <c r="RQV525" s="133"/>
      <c r="RQW525" s="133"/>
      <c r="RQX525" s="133"/>
      <c r="RQY525" s="133"/>
      <c r="RQZ525" s="133"/>
      <c r="RRA525" s="133"/>
      <c r="RRB525" s="133"/>
      <c r="RRC525" s="133"/>
      <c r="RRD525" s="133"/>
      <c r="RRE525" s="133"/>
      <c r="RRF525" s="133"/>
      <c r="RRG525" s="133"/>
      <c r="RRH525" s="133"/>
      <c r="RRI525" s="133"/>
      <c r="RRJ525" s="133"/>
      <c r="RRK525" s="133"/>
      <c r="RRL525" s="133"/>
      <c r="RRM525" s="133"/>
      <c r="RRN525" s="133"/>
      <c r="RRO525" s="133"/>
      <c r="RRP525" s="133"/>
      <c r="RRQ525" s="133"/>
      <c r="RRR525" s="133"/>
      <c r="RRS525" s="133"/>
      <c r="RRT525" s="133"/>
      <c r="RRU525" s="133"/>
      <c r="RRV525" s="133"/>
      <c r="RRW525" s="133"/>
      <c r="RRX525" s="133"/>
      <c r="RRY525" s="133"/>
      <c r="RRZ525" s="133"/>
      <c r="RSA525" s="133"/>
      <c r="RSB525" s="133"/>
      <c r="RSC525" s="133"/>
      <c r="RSD525" s="133"/>
      <c r="RSE525" s="133"/>
      <c r="RSF525" s="133"/>
      <c r="RSG525" s="133"/>
      <c r="RSH525" s="133"/>
      <c r="RSI525" s="133"/>
      <c r="RSJ525" s="133"/>
      <c r="RSK525" s="133"/>
      <c r="RSL525" s="133"/>
      <c r="RSM525" s="133"/>
      <c r="RSN525" s="133"/>
      <c r="RSO525" s="133"/>
      <c r="RSP525" s="133"/>
      <c r="RSQ525" s="133"/>
      <c r="RSR525" s="133"/>
      <c r="RSS525" s="133"/>
      <c r="RST525" s="133"/>
      <c r="RSU525" s="133"/>
      <c r="RSV525" s="133"/>
      <c r="RSW525" s="133"/>
      <c r="RSX525" s="133"/>
      <c r="RSY525" s="133"/>
      <c r="RSZ525" s="133"/>
      <c r="RTA525" s="133"/>
      <c r="RTB525" s="133"/>
      <c r="RTC525" s="133"/>
      <c r="RTD525" s="133"/>
      <c r="RTE525" s="133"/>
      <c r="RTF525" s="133"/>
      <c r="RTG525" s="133"/>
      <c r="RTH525" s="133"/>
      <c r="RTI525" s="133"/>
      <c r="RTJ525" s="133"/>
      <c r="RTK525" s="133"/>
      <c r="RTL525" s="133"/>
      <c r="RTM525" s="133"/>
      <c r="RTN525" s="133"/>
      <c r="RTO525" s="133"/>
      <c r="RTP525" s="133"/>
      <c r="RTQ525" s="133"/>
      <c r="RTR525" s="133"/>
      <c r="RTS525" s="133"/>
      <c r="RTT525" s="133"/>
      <c r="RTU525" s="133"/>
      <c r="RTV525" s="133"/>
      <c r="RTW525" s="133"/>
      <c r="RTX525" s="133"/>
      <c r="RTY525" s="133"/>
      <c r="RTZ525" s="133"/>
      <c r="RUA525" s="133"/>
      <c r="RUB525" s="133"/>
      <c r="RUC525" s="133"/>
      <c r="RUD525" s="133"/>
      <c r="RUE525" s="133"/>
      <c r="RUF525" s="133"/>
      <c r="RUG525" s="133"/>
      <c r="RUH525" s="133"/>
      <c r="RUI525" s="133"/>
      <c r="RUJ525" s="133"/>
      <c r="RUK525" s="133"/>
      <c r="RUL525" s="133"/>
      <c r="RUM525" s="133"/>
      <c r="RUN525" s="133"/>
      <c r="RUO525" s="133"/>
      <c r="RUP525" s="133"/>
      <c r="RUQ525" s="133"/>
      <c r="RUR525" s="133"/>
      <c r="RUS525" s="133"/>
      <c r="RUT525" s="133"/>
      <c r="RUU525" s="133"/>
      <c r="RUV525" s="133"/>
      <c r="RUW525" s="133"/>
      <c r="RUX525" s="133"/>
      <c r="RUY525" s="133"/>
      <c r="RUZ525" s="133"/>
      <c r="RVA525" s="133"/>
      <c r="RVB525" s="133"/>
      <c r="RVC525" s="133"/>
      <c r="RVD525" s="133"/>
      <c r="RVE525" s="133"/>
      <c r="RVF525" s="133"/>
      <c r="RVG525" s="133"/>
      <c r="RVH525" s="133"/>
      <c r="RVI525" s="133"/>
      <c r="RVJ525" s="133"/>
      <c r="RVK525" s="133"/>
      <c r="RVL525" s="133"/>
      <c r="RVM525" s="133"/>
      <c r="RVN525" s="133"/>
      <c r="RVO525" s="133"/>
      <c r="RVP525" s="133"/>
      <c r="RVQ525" s="133"/>
      <c r="RVR525" s="133"/>
      <c r="RVS525" s="133"/>
      <c r="RVT525" s="133"/>
      <c r="RVU525" s="133"/>
      <c r="RVV525" s="133"/>
      <c r="RVW525" s="133"/>
      <c r="RVX525" s="133"/>
      <c r="RVY525" s="133"/>
      <c r="RVZ525" s="133"/>
      <c r="RWA525" s="133"/>
      <c r="RWB525" s="133"/>
      <c r="RWC525" s="133"/>
      <c r="RWD525" s="133"/>
      <c r="RWE525" s="133"/>
      <c r="RWF525" s="133"/>
      <c r="RWG525" s="133"/>
      <c r="RWH525" s="133"/>
      <c r="RWI525" s="133"/>
      <c r="RWJ525" s="133"/>
      <c r="RWK525" s="133"/>
      <c r="RWL525" s="133"/>
      <c r="RWM525" s="133"/>
      <c r="RWN525" s="133"/>
      <c r="RWO525" s="133"/>
      <c r="RWP525" s="133"/>
      <c r="RWQ525" s="133"/>
      <c r="RWR525" s="133"/>
      <c r="RWS525" s="133"/>
      <c r="RWT525" s="133"/>
      <c r="RWU525" s="133"/>
      <c r="RWV525" s="133"/>
      <c r="RWW525" s="133"/>
      <c r="RWX525" s="133"/>
      <c r="RWY525" s="133"/>
      <c r="RWZ525" s="133"/>
      <c r="RXA525" s="133"/>
      <c r="RXB525" s="133"/>
      <c r="RXC525" s="133"/>
      <c r="RXD525" s="133"/>
      <c r="RXE525" s="133"/>
      <c r="RXF525" s="133"/>
      <c r="RXG525" s="133"/>
      <c r="RXH525" s="133"/>
      <c r="RXI525" s="133"/>
      <c r="RXJ525" s="133"/>
      <c r="RXK525" s="133"/>
      <c r="RXL525" s="133"/>
      <c r="RXM525" s="133"/>
      <c r="RXN525" s="133"/>
      <c r="RXO525" s="133"/>
      <c r="RXP525" s="133"/>
      <c r="RXQ525" s="133"/>
      <c r="RXR525" s="133"/>
      <c r="RXS525" s="133"/>
      <c r="RXT525" s="133"/>
      <c r="RXU525" s="133"/>
      <c r="RXV525" s="133"/>
      <c r="RXW525" s="133"/>
      <c r="RXX525" s="133"/>
      <c r="RXY525" s="133"/>
      <c r="RXZ525" s="133"/>
      <c r="RYA525" s="133"/>
      <c r="RYB525" s="133"/>
      <c r="RYC525" s="133"/>
      <c r="RYD525" s="133"/>
      <c r="RYE525" s="133"/>
      <c r="RYF525" s="133"/>
      <c r="RYG525" s="133"/>
      <c r="RYH525" s="133"/>
      <c r="RYI525" s="133"/>
      <c r="RYJ525" s="133"/>
      <c r="RYK525" s="133"/>
      <c r="RYL525" s="133"/>
      <c r="RYM525" s="133"/>
      <c r="RYN525" s="133"/>
      <c r="RYO525" s="133"/>
      <c r="RYP525" s="133"/>
      <c r="RYQ525" s="133"/>
      <c r="RYR525" s="133"/>
      <c r="RYS525" s="133"/>
      <c r="RYT525" s="133"/>
      <c r="RYU525" s="133"/>
      <c r="RYV525" s="133"/>
      <c r="RYW525" s="133"/>
      <c r="RYX525" s="133"/>
      <c r="RYY525" s="133"/>
      <c r="RYZ525" s="133"/>
      <c r="RZA525" s="133"/>
      <c r="RZB525" s="133"/>
      <c r="RZC525" s="133"/>
      <c r="RZD525" s="133"/>
      <c r="RZE525" s="133"/>
      <c r="RZF525" s="133"/>
      <c r="RZG525" s="133"/>
      <c r="RZH525" s="133"/>
      <c r="RZI525" s="133"/>
      <c r="RZJ525" s="133"/>
      <c r="RZK525" s="133"/>
      <c r="RZL525" s="133"/>
      <c r="RZM525" s="133"/>
      <c r="RZN525" s="133"/>
      <c r="RZO525" s="133"/>
      <c r="RZP525" s="133"/>
      <c r="RZQ525" s="133"/>
      <c r="RZR525" s="133"/>
      <c r="RZS525" s="133"/>
      <c r="RZT525" s="133"/>
      <c r="RZU525" s="133"/>
      <c r="RZV525" s="133"/>
      <c r="RZW525" s="133"/>
      <c r="RZX525" s="133"/>
      <c r="RZY525" s="133"/>
      <c r="RZZ525" s="133"/>
      <c r="SAA525" s="133"/>
      <c r="SAB525" s="133"/>
      <c r="SAC525" s="133"/>
      <c r="SAD525" s="133"/>
      <c r="SAE525" s="133"/>
      <c r="SAF525" s="133"/>
      <c r="SAG525" s="133"/>
      <c r="SAH525" s="133"/>
      <c r="SAI525" s="133"/>
      <c r="SAJ525" s="133"/>
      <c r="SAK525" s="133"/>
      <c r="SAL525" s="133"/>
      <c r="SAM525" s="133"/>
      <c r="SAN525" s="133"/>
      <c r="SAO525" s="133"/>
      <c r="SAP525" s="133"/>
      <c r="SAQ525" s="133"/>
      <c r="SAR525" s="133"/>
      <c r="SAS525" s="133"/>
      <c r="SAT525" s="133"/>
      <c r="SAU525" s="133"/>
      <c r="SAV525" s="133"/>
      <c r="SAW525" s="133"/>
      <c r="SAX525" s="133"/>
      <c r="SAY525" s="133"/>
      <c r="SAZ525" s="133"/>
      <c r="SBA525" s="133"/>
      <c r="SBB525" s="133"/>
      <c r="SBC525" s="133"/>
      <c r="SBD525" s="133"/>
      <c r="SBE525" s="133"/>
      <c r="SBF525" s="133"/>
      <c r="SBG525" s="133"/>
      <c r="SBH525" s="133"/>
      <c r="SBI525" s="133"/>
      <c r="SBJ525" s="133"/>
      <c r="SBK525" s="133"/>
      <c r="SBL525" s="133"/>
      <c r="SBM525" s="133"/>
      <c r="SBN525" s="133"/>
      <c r="SBO525" s="133"/>
      <c r="SBP525" s="133"/>
      <c r="SBQ525" s="133"/>
      <c r="SBR525" s="133"/>
      <c r="SBS525" s="133"/>
      <c r="SBT525" s="133"/>
      <c r="SBU525" s="133"/>
      <c r="SBV525" s="133"/>
      <c r="SBW525" s="133"/>
      <c r="SBX525" s="133"/>
      <c r="SBY525" s="133"/>
      <c r="SBZ525" s="133"/>
      <c r="SCA525" s="133"/>
      <c r="SCB525" s="133"/>
      <c r="SCC525" s="133"/>
      <c r="SCD525" s="133"/>
      <c r="SCE525" s="133"/>
      <c r="SCF525" s="133"/>
      <c r="SCG525" s="133"/>
      <c r="SCH525" s="133"/>
      <c r="SCI525" s="133"/>
      <c r="SCJ525" s="133"/>
      <c r="SCK525" s="133"/>
      <c r="SCL525" s="133"/>
      <c r="SCM525" s="133"/>
      <c r="SCN525" s="133"/>
      <c r="SCO525" s="133"/>
      <c r="SCP525" s="133"/>
      <c r="SCQ525" s="133"/>
      <c r="SCR525" s="133"/>
      <c r="SCS525" s="133"/>
      <c r="SCT525" s="133"/>
      <c r="SCU525" s="133"/>
      <c r="SCV525" s="133"/>
      <c r="SCW525" s="133"/>
      <c r="SCX525" s="133"/>
      <c r="SCY525" s="133"/>
      <c r="SCZ525" s="133"/>
      <c r="SDA525" s="133"/>
      <c r="SDB525" s="133"/>
      <c r="SDC525" s="133"/>
      <c r="SDD525" s="133"/>
      <c r="SDE525" s="133"/>
      <c r="SDF525" s="133"/>
      <c r="SDG525" s="133"/>
      <c r="SDH525" s="133"/>
      <c r="SDI525" s="133"/>
      <c r="SDJ525" s="133"/>
      <c r="SDK525" s="133"/>
      <c r="SDL525" s="133"/>
      <c r="SDM525" s="133"/>
      <c r="SDN525" s="133"/>
      <c r="SDO525" s="133"/>
      <c r="SDP525" s="133"/>
      <c r="SDQ525" s="133"/>
      <c r="SDR525" s="133"/>
      <c r="SDS525" s="133"/>
      <c r="SDT525" s="133"/>
      <c r="SDU525" s="133"/>
      <c r="SDV525" s="133"/>
      <c r="SDW525" s="133"/>
      <c r="SDX525" s="133"/>
      <c r="SDY525" s="133"/>
      <c r="SDZ525" s="133"/>
      <c r="SEA525" s="133"/>
      <c r="SEB525" s="133"/>
      <c r="SEC525" s="133"/>
      <c r="SED525" s="133"/>
      <c r="SEE525" s="133"/>
      <c r="SEF525" s="133"/>
      <c r="SEG525" s="133"/>
      <c r="SEH525" s="133"/>
      <c r="SEI525" s="133"/>
      <c r="SEJ525" s="133"/>
      <c r="SEK525" s="133"/>
      <c r="SEL525" s="133"/>
      <c r="SEM525" s="133"/>
      <c r="SEN525" s="133"/>
      <c r="SEO525" s="133"/>
      <c r="SEP525" s="133"/>
      <c r="SEQ525" s="133"/>
      <c r="SER525" s="133"/>
      <c r="SES525" s="133"/>
      <c r="SET525" s="133"/>
      <c r="SEU525" s="133"/>
      <c r="SEV525" s="133"/>
      <c r="SEW525" s="133"/>
      <c r="SEX525" s="133"/>
      <c r="SEY525" s="133"/>
      <c r="SEZ525" s="133"/>
      <c r="SFA525" s="133"/>
      <c r="SFB525" s="133"/>
      <c r="SFC525" s="133"/>
      <c r="SFD525" s="133"/>
      <c r="SFE525" s="133"/>
      <c r="SFF525" s="133"/>
      <c r="SFG525" s="133"/>
      <c r="SFH525" s="133"/>
      <c r="SFI525" s="133"/>
      <c r="SFJ525" s="133"/>
      <c r="SFK525" s="133"/>
      <c r="SFL525" s="133"/>
      <c r="SFM525" s="133"/>
      <c r="SFN525" s="133"/>
      <c r="SFO525" s="133"/>
      <c r="SFP525" s="133"/>
      <c r="SFQ525" s="133"/>
      <c r="SFR525" s="133"/>
      <c r="SFS525" s="133"/>
      <c r="SFT525" s="133"/>
      <c r="SFU525" s="133"/>
      <c r="SFV525" s="133"/>
      <c r="SFW525" s="133"/>
      <c r="SFX525" s="133"/>
      <c r="SFY525" s="133"/>
      <c r="SFZ525" s="133"/>
      <c r="SGA525" s="133"/>
      <c r="SGB525" s="133"/>
      <c r="SGC525" s="133"/>
      <c r="SGD525" s="133"/>
      <c r="SGE525" s="133"/>
      <c r="SGF525" s="133"/>
      <c r="SGG525" s="133"/>
      <c r="SGH525" s="133"/>
      <c r="SGI525" s="133"/>
      <c r="SGJ525" s="133"/>
      <c r="SGK525" s="133"/>
      <c r="SGL525" s="133"/>
      <c r="SGM525" s="133"/>
      <c r="SGN525" s="133"/>
      <c r="SGO525" s="133"/>
      <c r="SGP525" s="133"/>
      <c r="SGQ525" s="133"/>
      <c r="SGR525" s="133"/>
      <c r="SGS525" s="133"/>
      <c r="SGT525" s="133"/>
      <c r="SGU525" s="133"/>
      <c r="SGV525" s="133"/>
      <c r="SGW525" s="133"/>
      <c r="SGX525" s="133"/>
      <c r="SGY525" s="133"/>
      <c r="SGZ525" s="133"/>
      <c r="SHA525" s="133"/>
      <c r="SHB525" s="133"/>
      <c r="SHC525" s="133"/>
      <c r="SHD525" s="133"/>
      <c r="SHE525" s="133"/>
      <c r="SHF525" s="133"/>
      <c r="SHG525" s="133"/>
      <c r="SHH525" s="133"/>
      <c r="SHI525" s="133"/>
      <c r="SHJ525" s="133"/>
      <c r="SHK525" s="133"/>
      <c r="SHL525" s="133"/>
      <c r="SHM525" s="133"/>
      <c r="SHN525" s="133"/>
      <c r="SHO525" s="133"/>
      <c r="SHP525" s="133"/>
      <c r="SHQ525" s="133"/>
      <c r="SHR525" s="133"/>
      <c r="SHS525" s="133"/>
      <c r="SHT525" s="133"/>
      <c r="SHU525" s="133"/>
      <c r="SHV525" s="133"/>
      <c r="SHW525" s="133"/>
      <c r="SHX525" s="133"/>
      <c r="SHY525" s="133"/>
      <c r="SHZ525" s="133"/>
      <c r="SIA525" s="133"/>
      <c r="SIB525" s="133"/>
      <c r="SIC525" s="133"/>
      <c r="SID525" s="133"/>
      <c r="SIE525" s="133"/>
      <c r="SIF525" s="133"/>
      <c r="SIG525" s="133"/>
      <c r="SIH525" s="133"/>
      <c r="SII525" s="133"/>
      <c r="SIJ525" s="133"/>
      <c r="SIK525" s="133"/>
      <c r="SIL525" s="133"/>
      <c r="SIM525" s="133"/>
      <c r="SIN525" s="133"/>
      <c r="SIO525" s="133"/>
      <c r="SIP525" s="133"/>
      <c r="SIQ525" s="133"/>
      <c r="SIR525" s="133"/>
      <c r="SIS525" s="133"/>
      <c r="SIT525" s="133"/>
      <c r="SIU525" s="133"/>
      <c r="SIV525" s="133"/>
      <c r="SIW525" s="133"/>
      <c r="SIX525" s="133"/>
      <c r="SIY525" s="133"/>
      <c r="SIZ525" s="133"/>
      <c r="SJA525" s="133"/>
      <c r="SJB525" s="133"/>
      <c r="SJC525" s="133"/>
      <c r="SJD525" s="133"/>
      <c r="SJE525" s="133"/>
      <c r="SJF525" s="133"/>
      <c r="SJG525" s="133"/>
      <c r="SJH525" s="133"/>
      <c r="SJI525" s="133"/>
      <c r="SJJ525" s="133"/>
      <c r="SJK525" s="133"/>
      <c r="SJL525" s="133"/>
      <c r="SJM525" s="133"/>
      <c r="SJN525" s="133"/>
      <c r="SJO525" s="133"/>
      <c r="SJP525" s="133"/>
      <c r="SJQ525" s="133"/>
      <c r="SJR525" s="133"/>
      <c r="SJS525" s="133"/>
      <c r="SJT525" s="133"/>
      <c r="SJU525" s="133"/>
      <c r="SJV525" s="133"/>
      <c r="SJW525" s="133"/>
      <c r="SJX525" s="133"/>
      <c r="SJY525" s="133"/>
      <c r="SJZ525" s="133"/>
      <c r="SKA525" s="133"/>
      <c r="SKB525" s="133"/>
      <c r="SKC525" s="133"/>
      <c r="SKD525" s="133"/>
      <c r="SKE525" s="133"/>
      <c r="SKF525" s="133"/>
      <c r="SKG525" s="133"/>
      <c r="SKH525" s="133"/>
      <c r="SKI525" s="133"/>
      <c r="SKJ525" s="133"/>
      <c r="SKK525" s="133"/>
      <c r="SKL525" s="133"/>
      <c r="SKM525" s="133"/>
      <c r="SKN525" s="133"/>
      <c r="SKO525" s="133"/>
      <c r="SKP525" s="133"/>
      <c r="SKQ525" s="133"/>
      <c r="SKR525" s="133"/>
      <c r="SKS525" s="133"/>
      <c r="SKT525" s="133"/>
      <c r="SKU525" s="133"/>
      <c r="SKV525" s="133"/>
      <c r="SKW525" s="133"/>
      <c r="SKX525" s="133"/>
      <c r="SKY525" s="133"/>
      <c r="SKZ525" s="133"/>
      <c r="SLA525" s="133"/>
      <c r="SLB525" s="133"/>
      <c r="SLC525" s="133"/>
      <c r="SLD525" s="133"/>
      <c r="SLE525" s="133"/>
      <c r="SLF525" s="133"/>
      <c r="SLG525" s="133"/>
      <c r="SLH525" s="133"/>
      <c r="SLI525" s="133"/>
      <c r="SLJ525" s="133"/>
      <c r="SLK525" s="133"/>
      <c r="SLL525" s="133"/>
      <c r="SLM525" s="133"/>
      <c r="SLN525" s="133"/>
      <c r="SLO525" s="133"/>
      <c r="SLP525" s="133"/>
      <c r="SLQ525" s="133"/>
      <c r="SLR525" s="133"/>
      <c r="SLS525" s="133"/>
      <c r="SLT525" s="133"/>
      <c r="SLU525" s="133"/>
      <c r="SLV525" s="133"/>
      <c r="SLW525" s="133"/>
      <c r="SLX525" s="133"/>
      <c r="SLY525" s="133"/>
      <c r="SLZ525" s="133"/>
      <c r="SMA525" s="133"/>
      <c r="SMB525" s="133"/>
      <c r="SMC525" s="133"/>
      <c r="SMD525" s="133"/>
      <c r="SME525" s="133"/>
      <c r="SMF525" s="133"/>
      <c r="SMG525" s="133"/>
      <c r="SMH525" s="133"/>
      <c r="SMI525" s="133"/>
      <c r="SMJ525" s="133"/>
      <c r="SMK525" s="133"/>
      <c r="SML525" s="133"/>
      <c r="SMM525" s="133"/>
      <c r="SMN525" s="133"/>
      <c r="SMO525" s="133"/>
      <c r="SMP525" s="133"/>
      <c r="SMQ525" s="133"/>
      <c r="SMR525" s="133"/>
      <c r="SMS525" s="133"/>
      <c r="SMT525" s="133"/>
      <c r="SMU525" s="133"/>
      <c r="SMV525" s="133"/>
      <c r="SMW525" s="133"/>
      <c r="SMX525" s="133"/>
      <c r="SMY525" s="133"/>
      <c r="SMZ525" s="133"/>
      <c r="SNA525" s="133"/>
      <c r="SNB525" s="133"/>
      <c r="SNC525" s="133"/>
      <c r="SND525" s="133"/>
      <c r="SNE525" s="133"/>
      <c r="SNF525" s="133"/>
      <c r="SNG525" s="133"/>
      <c r="SNH525" s="133"/>
      <c r="SNI525" s="133"/>
      <c r="SNJ525" s="133"/>
      <c r="SNK525" s="133"/>
      <c r="SNL525" s="133"/>
      <c r="SNM525" s="133"/>
      <c r="SNN525" s="133"/>
      <c r="SNO525" s="133"/>
      <c r="SNP525" s="133"/>
      <c r="SNQ525" s="133"/>
      <c r="SNR525" s="133"/>
      <c r="SNS525" s="133"/>
      <c r="SNT525" s="133"/>
      <c r="SNU525" s="133"/>
      <c r="SNV525" s="133"/>
      <c r="SNW525" s="133"/>
      <c r="SNX525" s="133"/>
      <c r="SNY525" s="133"/>
      <c r="SNZ525" s="133"/>
      <c r="SOA525" s="133"/>
      <c r="SOB525" s="133"/>
      <c r="SOC525" s="133"/>
      <c r="SOD525" s="133"/>
      <c r="SOE525" s="133"/>
      <c r="SOF525" s="133"/>
      <c r="SOG525" s="133"/>
      <c r="SOH525" s="133"/>
      <c r="SOI525" s="133"/>
      <c r="SOJ525" s="133"/>
      <c r="SOK525" s="133"/>
      <c r="SOL525" s="133"/>
      <c r="SOM525" s="133"/>
      <c r="SON525" s="133"/>
      <c r="SOO525" s="133"/>
      <c r="SOP525" s="133"/>
      <c r="SOQ525" s="133"/>
      <c r="SOR525" s="133"/>
      <c r="SOS525" s="133"/>
      <c r="SOT525" s="133"/>
      <c r="SOU525" s="133"/>
      <c r="SOV525" s="133"/>
      <c r="SOW525" s="133"/>
      <c r="SOX525" s="133"/>
      <c r="SOY525" s="133"/>
      <c r="SOZ525" s="133"/>
      <c r="SPA525" s="133"/>
      <c r="SPB525" s="133"/>
      <c r="SPC525" s="133"/>
      <c r="SPD525" s="133"/>
      <c r="SPE525" s="133"/>
      <c r="SPF525" s="133"/>
      <c r="SPG525" s="133"/>
      <c r="SPH525" s="133"/>
      <c r="SPI525" s="133"/>
      <c r="SPJ525" s="133"/>
      <c r="SPK525" s="133"/>
      <c r="SPL525" s="133"/>
      <c r="SPM525" s="133"/>
      <c r="SPN525" s="133"/>
      <c r="SPO525" s="133"/>
      <c r="SPP525" s="133"/>
      <c r="SPQ525" s="133"/>
      <c r="SPR525" s="133"/>
      <c r="SPS525" s="133"/>
      <c r="SPT525" s="133"/>
      <c r="SPU525" s="133"/>
      <c r="SPV525" s="133"/>
      <c r="SPW525" s="133"/>
      <c r="SPX525" s="133"/>
      <c r="SPY525" s="133"/>
      <c r="SPZ525" s="133"/>
      <c r="SQA525" s="133"/>
      <c r="SQB525" s="133"/>
      <c r="SQC525" s="133"/>
      <c r="SQD525" s="133"/>
      <c r="SQE525" s="133"/>
      <c r="SQF525" s="133"/>
      <c r="SQG525" s="133"/>
      <c r="SQH525" s="133"/>
      <c r="SQI525" s="133"/>
      <c r="SQJ525" s="133"/>
      <c r="SQK525" s="133"/>
      <c r="SQL525" s="133"/>
      <c r="SQM525" s="133"/>
      <c r="SQN525" s="133"/>
      <c r="SQO525" s="133"/>
      <c r="SQP525" s="133"/>
      <c r="SQQ525" s="133"/>
      <c r="SQR525" s="133"/>
      <c r="SQS525" s="133"/>
      <c r="SQT525" s="133"/>
      <c r="SQU525" s="133"/>
      <c r="SQV525" s="133"/>
      <c r="SQW525" s="133"/>
      <c r="SQX525" s="133"/>
      <c r="SQY525" s="133"/>
      <c r="SQZ525" s="133"/>
      <c r="SRA525" s="133"/>
      <c r="SRB525" s="133"/>
      <c r="SRC525" s="133"/>
      <c r="SRD525" s="133"/>
      <c r="SRE525" s="133"/>
      <c r="SRF525" s="133"/>
      <c r="SRG525" s="133"/>
      <c r="SRH525" s="133"/>
      <c r="SRI525" s="133"/>
      <c r="SRJ525" s="133"/>
      <c r="SRK525" s="133"/>
      <c r="SRL525" s="133"/>
      <c r="SRM525" s="133"/>
      <c r="SRN525" s="133"/>
      <c r="SRO525" s="133"/>
      <c r="SRP525" s="133"/>
      <c r="SRQ525" s="133"/>
      <c r="SRR525" s="133"/>
      <c r="SRS525" s="133"/>
      <c r="SRT525" s="133"/>
      <c r="SRU525" s="133"/>
      <c r="SRV525" s="133"/>
      <c r="SRW525" s="133"/>
      <c r="SRX525" s="133"/>
      <c r="SRY525" s="133"/>
      <c r="SRZ525" s="133"/>
      <c r="SSA525" s="133"/>
      <c r="SSB525" s="133"/>
      <c r="SSC525" s="133"/>
      <c r="SSD525" s="133"/>
      <c r="SSE525" s="133"/>
      <c r="SSF525" s="133"/>
      <c r="SSG525" s="133"/>
      <c r="SSH525" s="133"/>
      <c r="SSI525" s="133"/>
      <c r="SSJ525" s="133"/>
      <c r="SSK525" s="133"/>
      <c r="SSL525" s="133"/>
      <c r="SSM525" s="133"/>
      <c r="SSN525" s="133"/>
      <c r="SSO525" s="133"/>
      <c r="SSP525" s="133"/>
      <c r="SSQ525" s="133"/>
      <c r="SSR525" s="133"/>
      <c r="SSS525" s="133"/>
      <c r="SST525" s="133"/>
      <c r="SSU525" s="133"/>
      <c r="SSV525" s="133"/>
      <c r="SSW525" s="133"/>
      <c r="SSX525" s="133"/>
      <c r="SSY525" s="133"/>
      <c r="SSZ525" s="133"/>
      <c r="STA525" s="133"/>
      <c r="STB525" s="133"/>
      <c r="STC525" s="133"/>
      <c r="STD525" s="133"/>
      <c r="STE525" s="133"/>
      <c r="STF525" s="133"/>
      <c r="STG525" s="133"/>
      <c r="STH525" s="133"/>
      <c r="STI525" s="133"/>
      <c r="STJ525" s="133"/>
      <c r="STK525" s="133"/>
      <c r="STL525" s="133"/>
      <c r="STM525" s="133"/>
      <c r="STN525" s="133"/>
      <c r="STO525" s="133"/>
      <c r="STP525" s="133"/>
      <c r="STQ525" s="133"/>
      <c r="STR525" s="133"/>
      <c r="STS525" s="133"/>
      <c r="STT525" s="133"/>
      <c r="STU525" s="133"/>
      <c r="STV525" s="133"/>
      <c r="STW525" s="133"/>
      <c r="STX525" s="133"/>
      <c r="STY525" s="133"/>
      <c r="STZ525" s="133"/>
      <c r="SUA525" s="133"/>
      <c r="SUB525" s="133"/>
      <c r="SUC525" s="133"/>
      <c r="SUD525" s="133"/>
      <c r="SUE525" s="133"/>
      <c r="SUF525" s="133"/>
      <c r="SUG525" s="133"/>
      <c r="SUH525" s="133"/>
      <c r="SUI525" s="133"/>
      <c r="SUJ525" s="133"/>
      <c r="SUK525" s="133"/>
      <c r="SUL525" s="133"/>
      <c r="SUM525" s="133"/>
      <c r="SUN525" s="133"/>
      <c r="SUO525" s="133"/>
      <c r="SUP525" s="133"/>
      <c r="SUQ525" s="133"/>
      <c r="SUR525" s="133"/>
      <c r="SUS525" s="133"/>
      <c r="SUT525" s="133"/>
      <c r="SUU525" s="133"/>
      <c r="SUV525" s="133"/>
      <c r="SUW525" s="133"/>
      <c r="SUX525" s="133"/>
      <c r="SUY525" s="133"/>
      <c r="SUZ525" s="133"/>
      <c r="SVA525" s="133"/>
      <c r="SVB525" s="133"/>
      <c r="SVC525" s="133"/>
      <c r="SVD525" s="133"/>
      <c r="SVE525" s="133"/>
      <c r="SVF525" s="133"/>
      <c r="SVG525" s="133"/>
      <c r="SVH525" s="133"/>
      <c r="SVI525" s="133"/>
      <c r="SVJ525" s="133"/>
      <c r="SVK525" s="133"/>
      <c r="SVL525" s="133"/>
      <c r="SVM525" s="133"/>
      <c r="SVN525" s="133"/>
      <c r="SVO525" s="133"/>
      <c r="SVP525" s="133"/>
      <c r="SVQ525" s="133"/>
      <c r="SVR525" s="133"/>
      <c r="SVS525" s="133"/>
      <c r="SVT525" s="133"/>
      <c r="SVU525" s="133"/>
      <c r="SVV525" s="133"/>
      <c r="SVW525" s="133"/>
      <c r="SVX525" s="133"/>
      <c r="SVY525" s="133"/>
      <c r="SVZ525" s="133"/>
      <c r="SWA525" s="133"/>
      <c r="SWB525" s="133"/>
      <c r="SWC525" s="133"/>
      <c r="SWD525" s="133"/>
      <c r="SWE525" s="133"/>
      <c r="SWF525" s="133"/>
      <c r="SWG525" s="133"/>
      <c r="SWH525" s="133"/>
      <c r="SWI525" s="133"/>
      <c r="SWJ525" s="133"/>
      <c r="SWK525" s="133"/>
      <c r="SWL525" s="133"/>
      <c r="SWM525" s="133"/>
      <c r="SWN525" s="133"/>
      <c r="SWO525" s="133"/>
      <c r="SWP525" s="133"/>
      <c r="SWQ525" s="133"/>
      <c r="SWR525" s="133"/>
      <c r="SWS525" s="133"/>
      <c r="SWT525" s="133"/>
      <c r="SWU525" s="133"/>
      <c r="SWV525" s="133"/>
      <c r="SWW525" s="133"/>
      <c r="SWX525" s="133"/>
      <c r="SWY525" s="133"/>
      <c r="SWZ525" s="133"/>
      <c r="SXA525" s="133"/>
      <c r="SXB525" s="133"/>
      <c r="SXC525" s="133"/>
      <c r="SXD525" s="133"/>
      <c r="SXE525" s="133"/>
      <c r="SXF525" s="133"/>
      <c r="SXG525" s="133"/>
      <c r="SXH525" s="133"/>
      <c r="SXI525" s="133"/>
      <c r="SXJ525" s="133"/>
      <c r="SXK525" s="133"/>
      <c r="SXL525" s="133"/>
      <c r="SXM525" s="133"/>
      <c r="SXN525" s="133"/>
      <c r="SXO525" s="133"/>
      <c r="SXP525" s="133"/>
      <c r="SXQ525" s="133"/>
      <c r="SXR525" s="133"/>
      <c r="SXS525" s="133"/>
      <c r="SXT525" s="133"/>
      <c r="SXU525" s="133"/>
      <c r="SXV525" s="133"/>
      <c r="SXW525" s="133"/>
      <c r="SXX525" s="133"/>
      <c r="SXY525" s="133"/>
      <c r="SXZ525" s="133"/>
      <c r="SYA525" s="133"/>
      <c r="SYB525" s="133"/>
      <c r="SYC525" s="133"/>
      <c r="SYD525" s="133"/>
      <c r="SYE525" s="133"/>
      <c r="SYF525" s="133"/>
      <c r="SYG525" s="133"/>
      <c r="SYH525" s="133"/>
      <c r="SYI525" s="133"/>
      <c r="SYJ525" s="133"/>
      <c r="SYK525" s="133"/>
      <c r="SYL525" s="133"/>
      <c r="SYM525" s="133"/>
      <c r="SYN525" s="133"/>
      <c r="SYO525" s="133"/>
      <c r="SYP525" s="133"/>
      <c r="SYQ525" s="133"/>
      <c r="SYR525" s="133"/>
      <c r="SYS525" s="133"/>
      <c r="SYT525" s="133"/>
      <c r="SYU525" s="133"/>
      <c r="SYV525" s="133"/>
      <c r="SYW525" s="133"/>
      <c r="SYX525" s="133"/>
      <c r="SYY525" s="133"/>
      <c r="SYZ525" s="133"/>
      <c r="SZA525" s="133"/>
      <c r="SZB525" s="133"/>
      <c r="SZC525" s="133"/>
      <c r="SZD525" s="133"/>
      <c r="SZE525" s="133"/>
      <c r="SZF525" s="133"/>
      <c r="SZG525" s="133"/>
      <c r="SZH525" s="133"/>
      <c r="SZI525" s="133"/>
      <c r="SZJ525" s="133"/>
      <c r="SZK525" s="133"/>
      <c r="SZL525" s="133"/>
      <c r="SZM525" s="133"/>
      <c r="SZN525" s="133"/>
      <c r="SZO525" s="133"/>
      <c r="SZP525" s="133"/>
      <c r="SZQ525" s="133"/>
      <c r="SZR525" s="133"/>
      <c r="SZS525" s="133"/>
      <c r="SZT525" s="133"/>
      <c r="SZU525" s="133"/>
      <c r="SZV525" s="133"/>
      <c r="SZW525" s="133"/>
      <c r="SZX525" s="133"/>
      <c r="SZY525" s="133"/>
      <c r="SZZ525" s="133"/>
      <c r="TAA525" s="133"/>
      <c r="TAB525" s="133"/>
      <c r="TAC525" s="133"/>
      <c r="TAD525" s="133"/>
      <c r="TAE525" s="133"/>
      <c r="TAF525" s="133"/>
      <c r="TAG525" s="133"/>
      <c r="TAH525" s="133"/>
      <c r="TAI525" s="133"/>
      <c r="TAJ525" s="133"/>
      <c r="TAK525" s="133"/>
      <c r="TAL525" s="133"/>
      <c r="TAM525" s="133"/>
      <c r="TAN525" s="133"/>
      <c r="TAO525" s="133"/>
      <c r="TAP525" s="133"/>
      <c r="TAQ525" s="133"/>
      <c r="TAR525" s="133"/>
      <c r="TAS525" s="133"/>
      <c r="TAT525" s="133"/>
      <c r="TAU525" s="133"/>
      <c r="TAV525" s="133"/>
      <c r="TAW525" s="133"/>
      <c r="TAX525" s="133"/>
      <c r="TAY525" s="133"/>
      <c r="TAZ525" s="133"/>
      <c r="TBA525" s="133"/>
      <c r="TBB525" s="133"/>
      <c r="TBC525" s="133"/>
      <c r="TBD525" s="133"/>
      <c r="TBE525" s="133"/>
      <c r="TBF525" s="133"/>
      <c r="TBG525" s="133"/>
      <c r="TBH525" s="133"/>
      <c r="TBI525" s="133"/>
      <c r="TBJ525" s="133"/>
      <c r="TBK525" s="133"/>
      <c r="TBL525" s="133"/>
      <c r="TBM525" s="133"/>
      <c r="TBN525" s="133"/>
      <c r="TBO525" s="133"/>
      <c r="TBP525" s="133"/>
      <c r="TBQ525" s="133"/>
      <c r="TBR525" s="133"/>
      <c r="TBS525" s="133"/>
      <c r="TBT525" s="133"/>
      <c r="TBU525" s="133"/>
      <c r="TBV525" s="133"/>
      <c r="TBW525" s="133"/>
      <c r="TBX525" s="133"/>
      <c r="TBY525" s="133"/>
      <c r="TBZ525" s="133"/>
      <c r="TCA525" s="133"/>
      <c r="TCB525" s="133"/>
      <c r="TCC525" s="133"/>
      <c r="TCD525" s="133"/>
      <c r="TCE525" s="133"/>
      <c r="TCF525" s="133"/>
      <c r="TCG525" s="133"/>
      <c r="TCH525" s="133"/>
      <c r="TCI525" s="133"/>
      <c r="TCJ525" s="133"/>
      <c r="TCK525" s="133"/>
      <c r="TCL525" s="133"/>
      <c r="TCM525" s="133"/>
      <c r="TCN525" s="133"/>
      <c r="TCO525" s="133"/>
      <c r="TCP525" s="133"/>
      <c r="TCQ525" s="133"/>
      <c r="TCR525" s="133"/>
      <c r="TCS525" s="133"/>
      <c r="TCT525" s="133"/>
      <c r="TCU525" s="133"/>
      <c r="TCV525" s="133"/>
      <c r="TCW525" s="133"/>
      <c r="TCX525" s="133"/>
      <c r="TCY525" s="133"/>
      <c r="TCZ525" s="133"/>
      <c r="TDA525" s="133"/>
      <c r="TDB525" s="133"/>
      <c r="TDC525" s="133"/>
      <c r="TDD525" s="133"/>
      <c r="TDE525" s="133"/>
      <c r="TDF525" s="133"/>
      <c r="TDG525" s="133"/>
      <c r="TDH525" s="133"/>
      <c r="TDI525" s="133"/>
      <c r="TDJ525" s="133"/>
      <c r="TDK525" s="133"/>
      <c r="TDL525" s="133"/>
      <c r="TDM525" s="133"/>
      <c r="TDN525" s="133"/>
      <c r="TDO525" s="133"/>
      <c r="TDP525" s="133"/>
      <c r="TDQ525" s="133"/>
      <c r="TDR525" s="133"/>
      <c r="TDS525" s="133"/>
      <c r="TDT525" s="133"/>
      <c r="TDU525" s="133"/>
      <c r="TDV525" s="133"/>
      <c r="TDW525" s="133"/>
      <c r="TDX525" s="133"/>
      <c r="TDY525" s="133"/>
      <c r="TDZ525" s="133"/>
      <c r="TEA525" s="133"/>
      <c r="TEB525" s="133"/>
      <c r="TEC525" s="133"/>
      <c r="TED525" s="133"/>
      <c r="TEE525" s="133"/>
      <c r="TEF525" s="133"/>
      <c r="TEG525" s="133"/>
      <c r="TEH525" s="133"/>
      <c r="TEI525" s="133"/>
      <c r="TEJ525" s="133"/>
      <c r="TEK525" s="133"/>
      <c r="TEL525" s="133"/>
      <c r="TEM525" s="133"/>
      <c r="TEN525" s="133"/>
      <c r="TEO525" s="133"/>
      <c r="TEP525" s="133"/>
      <c r="TEQ525" s="133"/>
      <c r="TER525" s="133"/>
      <c r="TES525" s="133"/>
      <c r="TET525" s="133"/>
      <c r="TEU525" s="133"/>
      <c r="TEV525" s="133"/>
      <c r="TEW525" s="133"/>
      <c r="TEX525" s="133"/>
      <c r="TEY525" s="133"/>
      <c r="TEZ525" s="133"/>
      <c r="TFA525" s="133"/>
      <c r="TFB525" s="133"/>
      <c r="TFC525" s="133"/>
      <c r="TFD525" s="133"/>
      <c r="TFE525" s="133"/>
      <c r="TFF525" s="133"/>
      <c r="TFG525" s="133"/>
      <c r="TFH525" s="133"/>
      <c r="TFI525" s="133"/>
      <c r="TFJ525" s="133"/>
      <c r="TFK525" s="133"/>
      <c r="TFL525" s="133"/>
      <c r="TFM525" s="133"/>
      <c r="TFN525" s="133"/>
      <c r="TFO525" s="133"/>
      <c r="TFP525" s="133"/>
      <c r="TFQ525" s="133"/>
      <c r="TFR525" s="133"/>
      <c r="TFS525" s="133"/>
      <c r="TFT525" s="133"/>
      <c r="TFU525" s="133"/>
      <c r="TFV525" s="133"/>
      <c r="TFW525" s="133"/>
      <c r="TFX525" s="133"/>
      <c r="TFY525" s="133"/>
      <c r="TFZ525" s="133"/>
      <c r="TGA525" s="133"/>
      <c r="TGB525" s="133"/>
      <c r="TGC525" s="133"/>
      <c r="TGD525" s="133"/>
      <c r="TGE525" s="133"/>
      <c r="TGF525" s="133"/>
      <c r="TGG525" s="133"/>
      <c r="TGH525" s="133"/>
      <c r="TGI525" s="133"/>
      <c r="TGJ525" s="133"/>
      <c r="TGK525" s="133"/>
      <c r="TGL525" s="133"/>
      <c r="TGM525" s="133"/>
      <c r="TGN525" s="133"/>
      <c r="TGO525" s="133"/>
      <c r="TGP525" s="133"/>
      <c r="TGQ525" s="133"/>
      <c r="TGR525" s="133"/>
      <c r="TGS525" s="133"/>
      <c r="TGT525" s="133"/>
      <c r="TGU525" s="133"/>
      <c r="TGV525" s="133"/>
      <c r="TGW525" s="133"/>
      <c r="TGX525" s="133"/>
      <c r="TGY525" s="133"/>
      <c r="TGZ525" s="133"/>
      <c r="THA525" s="133"/>
      <c r="THB525" s="133"/>
      <c r="THC525" s="133"/>
      <c r="THD525" s="133"/>
      <c r="THE525" s="133"/>
      <c r="THF525" s="133"/>
      <c r="THG525" s="133"/>
      <c r="THH525" s="133"/>
      <c r="THI525" s="133"/>
      <c r="THJ525" s="133"/>
      <c r="THK525" s="133"/>
      <c r="THL525" s="133"/>
      <c r="THM525" s="133"/>
      <c r="THN525" s="133"/>
      <c r="THO525" s="133"/>
      <c r="THP525" s="133"/>
      <c r="THQ525" s="133"/>
      <c r="THR525" s="133"/>
      <c r="THS525" s="133"/>
      <c r="THT525" s="133"/>
      <c r="THU525" s="133"/>
      <c r="THV525" s="133"/>
      <c r="THW525" s="133"/>
      <c r="THX525" s="133"/>
      <c r="THY525" s="133"/>
      <c r="THZ525" s="133"/>
      <c r="TIA525" s="133"/>
      <c r="TIB525" s="133"/>
      <c r="TIC525" s="133"/>
      <c r="TID525" s="133"/>
      <c r="TIE525" s="133"/>
      <c r="TIF525" s="133"/>
      <c r="TIG525" s="133"/>
      <c r="TIH525" s="133"/>
      <c r="TII525" s="133"/>
      <c r="TIJ525" s="133"/>
      <c r="TIK525" s="133"/>
      <c r="TIL525" s="133"/>
      <c r="TIM525" s="133"/>
      <c r="TIN525" s="133"/>
      <c r="TIO525" s="133"/>
      <c r="TIP525" s="133"/>
      <c r="TIQ525" s="133"/>
      <c r="TIR525" s="133"/>
      <c r="TIS525" s="133"/>
      <c r="TIT525" s="133"/>
      <c r="TIU525" s="133"/>
      <c r="TIV525" s="133"/>
      <c r="TIW525" s="133"/>
      <c r="TIX525" s="133"/>
      <c r="TIY525" s="133"/>
      <c r="TIZ525" s="133"/>
      <c r="TJA525" s="133"/>
      <c r="TJB525" s="133"/>
      <c r="TJC525" s="133"/>
      <c r="TJD525" s="133"/>
      <c r="TJE525" s="133"/>
      <c r="TJF525" s="133"/>
      <c r="TJG525" s="133"/>
      <c r="TJH525" s="133"/>
      <c r="TJI525" s="133"/>
      <c r="TJJ525" s="133"/>
      <c r="TJK525" s="133"/>
      <c r="TJL525" s="133"/>
      <c r="TJM525" s="133"/>
      <c r="TJN525" s="133"/>
      <c r="TJO525" s="133"/>
      <c r="TJP525" s="133"/>
      <c r="TJQ525" s="133"/>
      <c r="TJR525" s="133"/>
      <c r="TJS525" s="133"/>
      <c r="TJT525" s="133"/>
      <c r="TJU525" s="133"/>
      <c r="TJV525" s="133"/>
      <c r="TJW525" s="133"/>
      <c r="TJX525" s="133"/>
      <c r="TJY525" s="133"/>
      <c r="TJZ525" s="133"/>
      <c r="TKA525" s="133"/>
      <c r="TKB525" s="133"/>
      <c r="TKC525" s="133"/>
      <c r="TKD525" s="133"/>
      <c r="TKE525" s="133"/>
      <c r="TKF525" s="133"/>
      <c r="TKG525" s="133"/>
      <c r="TKH525" s="133"/>
      <c r="TKI525" s="133"/>
      <c r="TKJ525" s="133"/>
      <c r="TKK525" s="133"/>
      <c r="TKL525" s="133"/>
      <c r="TKM525" s="133"/>
      <c r="TKN525" s="133"/>
      <c r="TKO525" s="133"/>
      <c r="TKP525" s="133"/>
      <c r="TKQ525" s="133"/>
      <c r="TKR525" s="133"/>
      <c r="TKS525" s="133"/>
      <c r="TKT525" s="133"/>
      <c r="TKU525" s="133"/>
      <c r="TKV525" s="133"/>
      <c r="TKW525" s="133"/>
      <c r="TKX525" s="133"/>
      <c r="TKY525" s="133"/>
      <c r="TKZ525" s="133"/>
      <c r="TLA525" s="133"/>
      <c r="TLB525" s="133"/>
      <c r="TLC525" s="133"/>
      <c r="TLD525" s="133"/>
      <c r="TLE525" s="133"/>
      <c r="TLF525" s="133"/>
      <c r="TLG525" s="133"/>
      <c r="TLH525" s="133"/>
      <c r="TLI525" s="133"/>
      <c r="TLJ525" s="133"/>
      <c r="TLK525" s="133"/>
      <c r="TLL525" s="133"/>
      <c r="TLM525" s="133"/>
      <c r="TLN525" s="133"/>
      <c r="TLO525" s="133"/>
      <c r="TLP525" s="133"/>
      <c r="TLQ525" s="133"/>
      <c r="TLR525" s="133"/>
      <c r="TLS525" s="133"/>
      <c r="TLT525" s="133"/>
      <c r="TLU525" s="133"/>
      <c r="TLV525" s="133"/>
      <c r="TLW525" s="133"/>
      <c r="TLX525" s="133"/>
      <c r="TLY525" s="133"/>
      <c r="TLZ525" s="133"/>
      <c r="TMA525" s="133"/>
      <c r="TMB525" s="133"/>
      <c r="TMC525" s="133"/>
      <c r="TMD525" s="133"/>
      <c r="TME525" s="133"/>
      <c r="TMF525" s="133"/>
      <c r="TMG525" s="133"/>
      <c r="TMH525" s="133"/>
      <c r="TMI525" s="133"/>
      <c r="TMJ525" s="133"/>
      <c r="TMK525" s="133"/>
      <c r="TML525" s="133"/>
      <c r="TMM525" s="133"/>
      <c r="TMN525" s="133"/>
      <c r="TMO525" s="133"/>
      <c r="TMP525" s="133"/>
      <c r="TMQ525" s="133"/>
      <c r="TMR525" s="133"/>
      <c r="TMS525" s="133"/>
      <c r="TMT525" s="133"/>
      <c r="TMU525" s="133"/>
      <c r="TMV525" s="133"/>
      <c r="TMW525" s="133"/>
      <c r="TMX525" s="133"/>
      <c r="TMY525" s="133"/>
      <c r="TMZ525" s="133"/>
      <c r="TNA525" s="133"/>
      <c r="TNB525" s="133"/>
      <c r="TNC525" s="133"/>
      <c r="TND525" s="133"/>
      <c r="TNE525" s="133"/>
      <c r="TNF525" s="133"/>
      <c r="TNG525" s="133"/>
      <c r="TNH525" s="133"/>
      <c r="TNI525" s="133"/>
      <c r="TNJ525" s="133"/>
      <c r="TNK525" s="133"/>
      <c r="TNL525" s="133"/>
      <c r="TNM525" s="133"/>
      <c r="TNN525" s="133"/>
      <c r="TNO525" s="133"/>
      <c r="TNP525" s="133"/>
      <c r="TNQ525" s="133"/>
      <c r="TNR525" s="133"/>
      <c r="TNS525" s="133"/>
      <c r="TNT525" s="133"/>
      <c r="TNU525" s="133"/>
      <c r="TNV525" s="133"/>
      <c r="TNW525" s="133"/>
      <c r="TNX525" s="133"/>
      <c r="TNY525" s="133"/>
      <c r="TNZ525" s="133"/>
      <c r="TOA525" s="133"/>
      <c r="TOB525" s="133"/>
      <c r="TOC525" s="133"/>
      <c r="TOD525" s="133"/>
      <c r="TOE525" s="133"/>
      <c r="TOF525" s="133"/>
      <c r="TOG525" s="133"/>
      <c r="TOH525" s="133"/>
      <c r="TOI525" s="133"/>
      <c r="TOJ525" s="133"/>
      <c r="TOK525" s="133"/>
      <c r="TOL525" s="133"/>
      <c r="TOM525" s="133"/>
      <c r="TON525" s="133"/>
      <c r="TOO525" s="133"/>
      <c r="TOP525" s="133"/>
      <c r="TOQ525" s="133"/>
      <c r="TOR525" s="133"/>
      <c r="TOS525" s="133"/>
      <c r="TOT525" s="133"/>
      <c r="TOU525" s="133"/>
      <c r="TOV525" s="133"/>
      <c r="TOW525" s="133"/>
      <c r="TOX525" s="133"/>
      <c r="TOY525" s="133"/>
      <c r="TOZ525" s="133"/>
      <c r="TPA525" s="133"/>
      <c r="TPB525" s="133"/>
      <c r="TPC525" s="133"/>
      <c r="TPD525" s="133"/>
      <c r="TPE525" s="133"/>
      <c r="TPF525" s="133"/>
      <c r="TPG525" s="133"/>
      <c r="TPH525" s="133"/>
      <c r="TPI525" s="133"/>
      <c r="TPJ525" s="133"/>
      <c r="TPK525" s="133"/>
      <c r="TPL525" s="133"/>
      <c r="TPM525" s="133"/>
      <c r="TPN525" s="133"/>
      <c r="TPO525" s="133"/>
      <c r="TPP525" s="133"/>
      <c r="TPQ525" s="133"/>
      <c r="TPR525" s="133"/>
      <c r="TPS525" s="133"/>
      <c r="TPT525" s="133"/>
      <c r="TPU525" s="133"/>
      <c r="TPV525" s="133"/>
      <c r="TPW525" s="133"/>
      <c r="TPX525" s="133"/>
      <c r="TPY525" s="133"/>
      <c r="TPZ525" s="133"/>
      <c r="TQA525" s="133"/>
      <c r="TQB525" s="133"/>
      <c r="TQC525" s="133"/>
      <c r="TQD525" s="133"/>
      <c r="TQE525" s="133"/>
      <c r="TQF525" s="133"/>
      <c r="TQG525" s="133"/>
      <c r="TQH525" s="133"/>
      <c r="TQI525" s="133"/>
      <c r="TQJ525" s="133"/>
      <c r="TQK525" s="133"/>
      <c r="TQL525" s="133"/>
      <c r="TQM525" s="133"/>
      <c r="TQN525" s="133"/>
      <c r="TQO525" s="133"/>
      <c r="TQP525" s="133"/>
      <c r="TQQ525" s="133"/>
      <c r="TQR525" s="133"/>
      <c r="TQS525" s="133"/>
      <c r="TQT525" s="133"/>
      <c r="TQU525" s="133"/>
      <c r="TQV525" s="133"/>
      <c r="TQW525" s="133"/>
      <c r="TQX525" s="133"/>
      <c r="TQY525" s="133"/>
      <c r="TQZ525" s="133"/>
      <c r="TRA525" s="133"/>
      <c r="TRB525" s="133"/>
      <c r="TRC525" s="133"/>
      <c r="TRD525" s="133"/>
      <c r="TRE525" s="133"/>
      <c r="TRF525" s="133"/>
      <c r="TRG525" s="133"/>
      <c r="TRH525" s="133"/>
      <c r="TRI525" s="133"/>
      <c r="TRJ525" s="133"/>
      <c r="TRK525" s="133"/>
      <c r="TRL525" s="133"/>
      <c r="TRM525" s="133"/>
      <c r="TRN525" s="133"/>
      <c r="TRO525" s="133"/>
      <c r="TRP525" s="133"/>
      <c r="TRQ525" s="133"/>
      <c r="TRR525" s="133"/>
      <c r="TRS525" s="133"/>
      <c r="TRT525" s="133"/>
      <c r="TRU525" s="133"/>
      <c r="TRV525" s="133"/>
      <c r="TRW525" s="133"/>
      <c r="TRX525" s="133"/>
      <c r="TRY525" s="133"/>
      <c r="TRZ525" s="133"/>
      <c r="TSA525" s="133"/>
      <c r="TSB525" s="133"/>
      <c r="TSC525" s="133"/>
      <c r="TSD525" s="133"/>
      <c r="TSE525" s="133"/>
      <c r="TSF525" s="133"/>
      <c r="TSG525" s="133"/>
      <c r="TSH525" s="133"/>
      <c r="TSI525" s="133"/>
      <c r="TSJ525" s="133"/>
      <c r="TSK525" s="133"/>
      <c r="TSL525" s="133"/>
      <c r="TSM525" s="133"/>
      <c r="TSN525" s="133"/>
      <c r="TSO525" s="133"/>
      <c r="TSP525" s="133"/>
      <c r="TSQ525" s="133"/>
      <c r="TSR525" s="133"/>
      <c r="TSS525" s="133"/>
      <c r="TST525" s="133"/>
      <c r="TSU525" s="133"/>
      <c r="TSV525" s="133"/>
      <c r="TSW525" s="133"/>
      <c r="TSX525" s="133"/>
      <c r="TSY525" s="133"/>
      <c r="TSZ525" s="133"/>
      <c r="TTA525" s="133"/>
      <c r="TTB525" s="133"/>
      <c r="TTC525" s="133"/>
      <c r="TTD525" s="133"/>
      <c r="TTE525" s="133"/>
      <c r="TTF525" s="133"/>
      <c r="TTG525" s="133"/>
      <c r="TTH525" s="133"/>
      <c r="TTI525" s="133"/>
      <c r="TTJ525" s="133"/>
      <c r="TTK525" s="133"/>
      <c r="TTL525" s="133"/>
      <c r="TTM525" s="133"/>
      <c r="TTN525" s="133"/>
      <c r="TTO525" s="133"/>
      <c r="TTP525" s="133"/>
      <c r="TTQ525" s="133"/>
      <c r="TTR525" s="133"/>
      <c r="TTS525" s="133"/>
      <c r="TTT525" s="133"/>
      <c r="TTU525" s="133"/>
      <c r="TTV525" s="133"/>
      <c r="TTW525" s="133"/>
      <c r="TTX525" s="133"/>
      <c r="TTY525" s="133"/>
      <c r="TTZ525" s="133"/>
      <c r="TUA525" s="133"/>
      <c r="TUB525" s="133"/>
      <c r="TUC525" s="133"/>
      <c r="TUD525" s="133"/>
      <c r="TUE525" s="133"/>
      <c r="TUF525" s="133"/>
      <c r="TUG525" s="133"/>
      <c r="TUH525" s="133"/>
      <c r="TUI525" s="133"/>
      <c r="TUJ525" s="133"/>
      <c r="TUK525" s="133"/>
      <c r="TUL525" s="133"/>
      <c r="TUM525" s="133"/>
      <c r="TUN525" s="133"/>
      <c r="TUO525" s="133"/>
      <c r="TUP525" s="133"/>
      <c r="TUQ525" s="133"/>
      <c r="TUR525" s="133"/>
      <c r="TUS525" s="133"/>
      <c r="TUT525" s="133"/>
      <c r="TUU525" s="133"/>
      <c r="TUV525" s="133"/>
      <c r="TUW525" s="133"/>
      <c r="TUX525" s="133"/>
      <c r="TUY525" s="133"/>
      <c r="TUZ525" s="133"/>
      <c r="TVA525" s="133"/>
      <c r="TVB525" s="133"/>
      <c r="TVC525" s="133"/>
      <c r="TVD525" s="133"/>
      <c r="TVE525" s="133"/>
      <c r="TVF525" s="133"/>
      <c r="TVG525" s="133"/>
      <c r="TVH525" s="133"/>
      <c r="TVI525" s="133"/>
      <c r="TVJ525" s="133"/>
      <c r="TVK525" s="133"/>
      <c r="TVL525" s="133"/>
      <c r="TVM525" s="133"/>
      <c r="TVN525" s="133"/>
      <c r="TVO525" s="133"/>
      <c r="TVP525" s="133"/>
      <c r="TVQ525" s="133"/>
      <c r="TVR525" s="133"/>
      <c r="TVS525" s="133"/>
      <c r="TVT525" s="133"/>
      <c r="TVU525" s="133"/>
      <c r="TVV525" s="133"/>
      <c r="TVW525" s="133"/>
      <c r="TVX525" s="133"/>
      <c r="TVY525" s="133"/>
      <c r="TVZ525" s="133"/>
      <c r="TWA525" s="133"/>
      <c r="TWB525" s="133"/>
      <c r="TWC525" s="133"/>
      <c r="TWD525" s="133"/>
      <c r="TWE525" s="133"/>
      <c r="TWF525" s="133"/>
      <c r="TWG525" s="133"/>
      <c r="TWH525" s="133"/>
      <c r="TWI525" s="133"/>
      <c r="TWJ525" s="133"/>
      <c r="TWK525" s="133"/>
      <c r="TWL525" s="133"/>
      <c r="TWM525" s="133"/>
      <c r="TWN525" s="133"/>
      <c r="TWO525" s="133"/>
      <c r="TWP525" s="133"/>
      <c r="TWQ525" s="133"/>
      <c r="TWR525" s="133"/>
      <c r="TWS525" s="133"/>
      <c r="TWT525" s="133"/>
      <c r="TWU525" s="133"/>
      <c r="TWV525" s="133"/>
      <c r="TWW525" s="133"/>
      <c r="TWX525" s="133"/>
      <c r="TWY525" s="133"/>
      <c r="TWZ525" s="133"/>
      <c r="TXA525" s="133"/>
      <c r="TXB525" s="133"/>
      <c r="TXC525" s="133"/>
      <c r="TXD525" s="133"/>
      <c r="TXE525" s="133"/>
      <c r="TXF525" s="133"/>
      <c r="TXG525" s="133"/>
      <c r="TXH525" s="133"/>
      <c r="TXI525" s="133"/>
      <c r="TXJ525" s="133"/>
      <c r="TXK525" s="133"/>
      <c r="TXL525" s="133"/>
      <c r="TXM525" s="133"/>
      <c r="TXN525" s="133"/>
      <c r="TXO525" s="133"/>
      <c r="TXP525" s="133"/>
      <c r="TXQ525" s="133"/>
      <c r="TXR525" s="133"/>
      <c r="TXS525" s="133"/>
      <c r="TXT525" s="133"/>
      <c r="TXU525" s="133"/>
      <c r="TXV525" s="133"/>
      <c r="TXW525" s="133"/>
      <c r="TXX525" s="133"/>
      <c r="TXY525" s="133"/>
      <c r="TXZ525" s="133"/>
      <c r="TYA525" s="133"/>
      <c r="TYB525" s="133"/>
      <c r="TYC525" s="133"/>
      <c r="TYD525" s="133"/>
      <c r="TYE525" s="133"/>
      <c r="TYF525" s="133"/>
      <c r="TYG525" s="133"/>
      <c r="TYH525" s="133"/>
      <c r="TYI525" s="133"/>
      <c r="TYJ525" s="133"/>
      <c r="TYK525" s="133"/>
      <c r="TYL525" s="133"/>
      <c r="TYM525" s="133"/>
      <c r="TYN525" s="133"/>
      <c r="TYO525" s="133"/>
      <c r="TYP525" s="133"/>
      <c r="TYQ525" s="133"/>
      <c r="TYR525" s="133"/>
      <c r="TYS525" s="133"/>
      <c r="TYT525" s="133"/>
      <c r="TYU525" s="133"/>
      <c r="TYV525" s="133"/>
      <c r="TYW525" s="133"/>
      <c r="TYX525" s="133"/>
      <c r="TYY525" s="133"/>
      <c r="TYZ525" s="133"/>
      <c r="TZA525" s="133"/>
      <c r="TZB525" s="133"/>
      <c r="TZC525" s="133"/>
      <c r="TZD525" s="133"/>
      <c r="TZE525" s="133"/>
      <c r="TZF525" s="133"/>
      <c r="TZG525" s="133"/>
      <c r="TZH525" s="133"/>
      <c r="TZI525" s="133"/>
      <c r="TZJ525" s="133"/>
      <c r="TZK525" s="133"/>
      <c r="TZL525" s="133"/>
      <c r="TZM525" s="133"/>
      <c r="TZN525" s="133"/>
      <c r="TZO525" s="133"/>
      <c r="TZP525" s="133"/>
      <c r="TZQ525" s="133"/>
      <c r="TZR525" s="133"/>
      <c r="TZS525" s="133"/>
      <c r="TZT525" s="133"/>
      <c r="TZU525" s="133"/>
      <c r="TZV525" s="133"/>
      <c r="TZW525" s="133"/>
      <c r="TZX525" s="133"/>
      <c r="TZY525" s="133"/>
      <c r="TZZ525" s="133"/>
      <c r="UAA525" s="133"/>
      <c r="UAB525" s="133"/>
      <c r="UAC525" s="133"/>
      <c r="UAD525" s="133"/>
      <c r="UAE525" s="133"/>
      <c r="UAF525" s="133"/>
      <c r="UAG525" s="133"/>
      <c r="UAH525" s="133"/>
      <c r="UAI525" s="133"/>
      <c r="UAJ525" s="133"/>
      <c r="UAK525" s="133"/>
      <c r="UAL525" s="133"/>
      <c r="UAM525" s="133"/>
      <c r="UAN525" s="133"/>
      <c r="UAO525" s="133"/>
      <c r="UAP525" s="133"/>
      <c r="UAQ525" s="133"/>
      <c r="UAR525" s="133"/>
      <c r="UAS525" s="133"/>
      <c r="UAT525" s="133"/>
      <c r="UAU525" s="133"/>
      <c r="UAV525" s="133"/>
      <c r="UAW525" s="133"/>
      <c r="UAX525" s="133"/>
      <c r="UAY525" s="133"/>
      <c r="UAZ525" s="133"/>
      <c r="UBA525" s="133"/>
      <c r="UBB525" s="133"/>
      <c r="UBC525" s="133"/>
      <c r="UBD525" s="133"/>
      <c r="UBE525" s="133"/>
      <c r="UBF525" s="133"/>
      <c r="UBG525" s="133"/>
      <c r="UBH525" s="133"/>
      <c r="UBI525" s="133"/>
      <c r="UBJ525" s="133"/>
      <c r="UBK525" s="133"/>
      <c r="UBL525" s="133"/>
      <c r="UBM525" s="133"/>
      <c r="UBN525" s="133"/>
      <c r="UBO525" s="133"/>
      <c r="UBP525" s="133"/>
      <c r="UBQ525" s="133"/>
      <c r="UBR525" s="133"/>
      <c r="UBS525" s="133"/>
      <c r="UBT525" s="133"/>
      <c r="UBU525" s="133"/>
      <c r="UBV525" s="133"/>
      <c r="UBW525" s="133"/>
      <c r="UBX525" s="133"/>
      <c r="UBY525" s="133"/>
      <c r="UBZ525" s="133"/>
      <c r="UCA525" s="133"/>
      <c r="UCB525" s="133"/>
      <c r="UCC525" s="133"/>
      <c r="UCD525" s="133"/>
      <c r="UCE525" s="133"/>
      <c r="UCF525" s="133"/>
      <c r="UCG525" s="133"/>
      <c r="UCH525" s="133"/>
      <c r="UCI525" s="133"/>
      <c r="UCJ525" s="133"/>
      <c r="UCK525" s="133"/>
      <c r="UCL525" s="133"/>
      <c r="UCM525" s="133"/>
      <c r="UCN525" s="133"/>
      <c r="UCO525" s="133"/>
      <c r="UCP525" s="133"/>
      <c r="UCQ525" s="133"/>
      <c r="UCR525" s="133"/>
      <c r="UCS525" s="133"/>
      <c r="UCT525" s="133"/>
      <c r="UCU525" s="133"/>
      <c r="UCV525" s="133"/>
      <c r="UCW525" s="133"/>
      <c r="UCX525" s="133"/>
      <c r="UCY525" s="133"/>
      <c r="UCZ525" s="133"/>
      <c r="UDA525" s="133"/>
      <c r="UDB525" s="133"/>
      <c r="UDC525" s="133"/>
      <c r="UDD525" s="133"/>
      <c r="UDE525" s="133"/>
      <c r="UDF525" s="133"/>
      <c r="UDG525" s="133"/>
      <c r="UDH525" s="133"/>
      <c r="UDI525" s="133"/>
      <c r="UDJ525" s="133"/>
      <c r="UDK525" s="133"/>
      <c r="UDL525" s="133"/>
      <c r="UDM525" s="133"/>
      <c r="UDN525" s="133"/>
      <c r="UDO525" s="133"/>
      <c r="UDP525" s="133"/>
      <c r="UDQ525" s="133"/>
      <c r="UDR525" s="133"/>
      <c r="UDS525" s="133"/>
      <c r="UDT525" s="133"/>
      <c r="UDU525" s="133"/>
      <c r="UDV525" s="133"/>
      <c r="UDW525" s="133"/>
      <c r="UDX525" s="133"/>
      <c r="UDY525" s="133"/>
      <c r="UDZ525" s="133"/>
      <c r="UEA525" s="133"/>
      <c r="UEB525" s="133"/>
      <c r="UEC525" s="133"/>
      <c r="UED525" s="133"/>
      <c r="UEE525" s="133"/>
      <c r="UEF525" s="133"/>
      <c r="UEG525" s="133"/>
      <c r="UEH525" s="133"/>
      <c r="UEI525" s="133"/>
      <c r="UEJ525" s="133"/>
      <c r="UEK525" s="133"/>
      <c r="UEL525" s="133"/>
      <c r="UEM525" s="133"/>
      <c r="UEN525" s="133"/>
      <c r="UEO525" s="133"/>
      <c r="UEP525" s="133"/>
      <c r="UEQ525" s="133"/>
      <c r="UER525" s="133"/>
      <c r="UES525" s="133"/>
      <c r="UET525" s="133"/>
      <c r="UEU525" s="133"/>
      <c r="UEV525" s="133"/>
      <c r="UEW525" s="133"/>
      <c r="UEX525" s="133"/>
      <c r="UEY525" s="133"/>
      <c r="UEZ525" s="133"/>
      <c r="UFA525" s="133"/>
      <c r="UFB525" s="133"/>
      <c r="UFC525" s="133"/>
      <c r="UFD525" s="133"/>
      <c r="UFE525" s="133"/>
      <c r="UFF525" s="133"/>
      <c r="UFG525" s="133"/>
      <c r="UFH525" s="133"/>
      <c r="UFI525" s="133"/>
      <c r="UFJ525" s="133"/>
      <c r="UFK525" s="133"/>
      <c r="UFL525" s="133"/>
      <c r="UFM525" s="133"/>
      <c r="UFN525" s="133"/>
      <c r="UFO525" s="133"/>
      <c r="UFP525" s="133"/>
      <c r="UFQ525" s="133"/>
      <c r="UFR525" s="133"/>
      <c r="UFS525" s="133"/>
      <c r="UFT525" s="133"/>
      <c r="UFU525" s="133"/>
      <c r="UFV525" s="133"/>
      <c r="UFW525" s="133"/>
      <c r="UFX525" s="133"/>
      <c r="UFY525" s="133"/>
      <c r="UFZ525" s="133"/>
      <c r="UGA525" s="133"/>
      <c r="UGB525" s="133"/>
      <c r="UGC525" s="133"/>
      <c r="UGD525" s="133"/>
      <c r="UGE525" s="133"/>
      <c r="UGF525" s="133"/>
      <c r="UGG525" s="133"/>
      <c r="UGH525" s="133"/>
      <c r="UGI525" s="133"/>
      <c r="UGJ525" s="133"/>
      <c r="UGK525" s="133"/>
      <c r="UGL525" s="133"/>
      <c r="UGM525" s="133"/>
      <c r="UGN525" s="133"/>
      <c r="UGO525" s="133"/>
      <c r="UGP525" s="133"/>
      <c r="UGQ525" s="133"/>
      <c r="UGR525" s="133"/>
      <c r="UGS525" s="133"/>
      <c r="UGT525" s="133"/>
      <c r="UGU525" s="133"/>
      <c r="UGV525" s="133"/>
      <c r="UGW525" s="133"/>
      <c r="UGX525" s="133"/>
      <c r="UGY525" s="133"/>
      <c r="UGZ525" s="133"/>
      <c r="UHA525" s="133"/>
      <c r="UHB525" s="133"/>
      <c r="UHC525" s="133"/>
      <c r="UHD525" s="133"/>
      <c r="UHE525" s="133"/>
      <c r="UHF525" s="133"/>
      <c r="UHG525" s="133"/>
      <c r="UHH525" s="133"/>
      <c r="UHI525" s="133"/>
      <c r="UHJ525" s="133"/>
      <c r="UHK525" s="133"/>
      <c r="UHL525" s="133"/>
      <c r="UHM525" s="133"/>
      <c r="UHN525" s="133"/>
      <c r="UHO525" s="133"/>
      <c r="UHP525" s="133"/>
      <c r="UHQ525" s="133"/>
      <c r="UHR525" s="133"/>
      <c r="UHS525" s="133"/>
      <c r="UHT525" s="133"/>
      <c r="UHU525" s="133"/>
      <c r="UHV525" s="133"/>
      <c r="UHW525" s="133"/>
      <c r="UHX525" s="133"/>
      <c r="UHY525" s="133"/>
      <c r="UHZ525" s="133"/>
      <c r="UIA525" s="133"/>
      <c r="UIB525" s="133"/>
      <c r="UIC525" s="133"/>
      <c r="UID525" s="133"/>
      <c r="UIE525" s="133"/>
      <c r="UIF525" s="133"/>
      <c r="UIG525" s="133"/>
      <c r="UIH525" s="133"/>
      <c r="UII525" s="133"/>
      <c r="UIJ525" s="133"/>
      <c r="UIK525" s="133"/>
      <c r="UIL525" s="133"/>
      <c r="UIM525" s="133"/>
      <c r="UIN525" s="133"/>
      <c r="UIO525" s="133"/>
      <c r="UIP525" s="133"/>
      <c r="UIQ525" s="133"/>
      <c r="UIR525" s="133"/>
      <c r="UIS525" s="133"/>
      <c r="UIT525" s="133"/>
      <c r="UIU525" s="133"/>
      <c r="UIV525" s="133"/>
      <c r="UIW525" s="133"/>
      <c r="UIX525" s="133"/>
      <c r="UIY525" s="133"/>
      <c r="UIZ525" s="133"/>
      <c r="UJA525" s="133"/>
      <c r="UJB525" s="133"/>
      <c r="UJC525" s="133"/>
      <c r="UJD525" s="133"/>
      <c r="UJE525" s="133"/>
      <c r="UJF525" s="133"/>
      <c r="UJG525" s="133"/>
      <c r="UJH525" s="133"/>
      <c r="UJI525" s="133"/>
      <c r="UJJ525" s="133"/>
      <c r="UJK525" s="133"/>
      <c r="UJL525" s="133"/>
      <c r="UJM525" s="133"/>
      <c r="UJN525" s="133"/>
      <c r="UJO525" s="133"/>
      <c r="UJP525" s="133"/>
      <c r="UJQ525" s="133"/>
      <c r="UJR525" s="133"/>
      <c r="UJS525" s="133"/>
      <c r="UJT525" s="133"/>
      <c r="UJU525" s="133"/>
      <c r="UJV525" s="133"/>
      <c r="UJW525" s="133"/>
      <c r="UJX525" s="133"/>
      <c r="UJY525" s="133"/>
      <c r="UJZ525" s="133"/>
      <c r="UKA525" s="133"/>
      <c r="UKB525" s="133"/>
      <c r="UKC525" s="133"/>
      <c r="UKD525" s="133"/>
      <c r="UKE525" s="133"/>
      <c r="UKF525" s="133"/>
      <c r="UKG525" s="133"/>
      <c r="UKH525" s="133"/>
      <c r="UKI525" s="133"/>
      <c r="UKJ525" s="133"/>
      <c r="UKK525" s="133"/>
      <c r="UKL525" s="133"/>
      <c r="UKM525" s="133"/>
      <c r="UKN525" s="133"/>
      <c r="UKO525" s="133"/>
      <c r="UKP525" s="133"/>
      <c r="UKQ525" s="133"/>
      <c r="UKR525" s="133"/>
      <c r="UKS525" s="133"/>
      <c r="UKT525" s="133"/>
      <c r="UKU525" s="133"/>
      <c r="UKV525" s="133"/>
      <c r="UKW525" s="133"/>
      <c r="UKX525" s="133"/>
      <c r="UKY525" s="133"/>
      <c r="UKZ525" s="133"/>
      <c r="ULA525" s="133"/>
      <c r="ULB525" s="133"/>
      <c r="ULC525" s="133"/>
      <c r="ULD525" s="133"/>
      <c r="ULE525" s="133"/>
      <c r="ULF525" s="133"/>
      <c r="ULG525" s="133"/>
      <c r="ULH525" s="133"/>
      <c r="ULI525" s="133"/>
      <c r="ULJ525" s="133"/>
      <c r="ULK525" s="133"/>
      <c r="ULL525" s="133"/>
      <c r="ULM525" s="133"/>
      <c r="ULN525" s="133"/>
      <c r="ULO525" s="133"/>
      <c r="ULP525" s="133"/>
      <c r="ULQ525" s="133"/>
      <c r="ULR525" s="133"/>
      <c r="ULS525" s="133"/>
      <c r="ULT525" s="133"/>
      <c r="ULU525" s="133"/>
      <c r="ULV525" s="133"/>
      <c r="ULW525" s="133"/>
      <c r="ULX525" s="133"/>
      <c r="ULY525" s="133"/>
      <c r="ULZ525" s="133"/>
      <c r="UMA525" s="133"/>
      <c r="UMB525" s="133"/>
      <c r="UMC525" s="133"/>
      <c r="UMD525" s="133"/>
      <c r="UME525" s="133"/>
      <c r="UMF525" s="133"/>
      <c r="UMG525" s="133"/>
      <c r="UMH525" s="133"/>
      <c r="UMI525" s="133"/>
      <c r="UMJ525" s="133"/>
      <c r="UMK525" s="133"/>
      <c r="UML525" s="133"/>
      <c r="UMM525" s="133"/>
      <c r="UMN525" s="133"/>
      <c r="UMO525" s="133"/>
      <c r="UMP525" s="133"/>
      <c r="UMQ525" s="133"/>
      <c r="UMR525" s="133"/>
      <c r="UMS525" s="133"/>
      <c r="UMT525" s="133"/>
      <c r="UMU525" s="133"/>
      <c r="UMV525" s="133"/>
      <c r="UMW525" s="133"/>
      <c r="UMX525" s="133"/>
      <c r="UMY525" s="133"/>
      <c r="UMZ525" s="133"/>
      <c r="UNA525" s="133"/>
      <c r="UNB525" s="133"/>
      <c r="UNC525" s="133"/>
      <c r="UND525" s="133"/>
      <c r="UNE525" s="133"/>
      <c r="UNF525" s="133"/>
      <c r="UNG525" s="133"/>
      <c r="UNH525" s="133"/>
      <c r="UNI525" s="133"/>
      <c r="UNJ525" s="133"/>
      <c r="UNK525" s="133"/>
      <c r="UNL525" s="133"/>
      <c r="UNM525" s="133"/>
      <c r="UNN525" s="133"/>
      <c r="UNO525" s="133"/>
      <c r="UNP525" s="133"/>
      <c r="UNQ525" s="133"/>
      <c r="UNR525" s="133"/>
      <c r="UNS525" s="133"/>
      <c r="UNT525" s="133"/>
      <c r="UNU525" s="133"/>
      <c r="UNV525" s="133"/>
      <c r="UNW525" s="133"/>
      <c r="UNX525" s="133"/>
      <c r="UNY525" s="133"/>
      <c r="UNZ525" s="133"/>
      <c r="UOA525" s="133"/>
      <c r="UOB525" s="133"/>
      <c r="UOC525" s="133"/>
      <c r="UOD525" s="133"/>
      <c r="UOE525" s="133"/>
      <c r="UOF525" s="133"/>
      <c r="UOG525" s="133"/>
      <c r="UOH525" s="133"/>
      <c r="UOI525" s="133"/>
      <c r="UOJ525" s="133"/>
      <c r="UOK525" s="133"/>
      <c r="UOL525" s="133"/>
      <c r="UOM525" s="133"/>
      <c r="UON525" s="133"/>
      <c r="UOO525" s="133"/>
      <c r="UOP525" s="133"/>
      <c r="UOQ525" s="133"/>
      <c r="UOR525" s="133"/>
      <c r="UOS525" s="133"/>
      <c r="UOT525" s="133"/>
      <c r="UOU525" s="133"/>
      <c r="UOV525" s="133"/>
      <c r="UOW525" s="133"/>
      <c r="UOX525" s="133"/>
      <c r="UOY525" s="133"/>
      <c r="UOZ525" s="133"/>
      <c r="UPA525" s="133"/>
      <c r="UPB525" s="133"/>
      <c r="UPC525" s="133"/>
      <c r="UPD525" s="133"/>
      <c r="UPE525" s="133"/>
      <c r="UPF525" s="133"/>
      <c r="UPG525" s="133"/>
      <c r="UPH525" s="133"/>
      <c r="UPI525" s="133"/>
      <c r="UPJ525" s="133"/>
      <c r="UPK525" s="133"/>
      <c r="UPL525" s="133"/>
      <c r="UPM525" s="133"/>
      <c r="UPN525" s="133"/>
      <c r="UPO525" s="133"/>
      <c r="UPP525" s="133"/>
      <c r="UPQ525" s="133"/>
      <c r="UPR525" s="133"/>
      <c r="UPS525" s="133"/>
      <c r="UPT525" s="133"/>
      <c r="UPU525" s="133"/>
      <c r="UPV525" s="133"/>
      <c r="UPW525" s="133"/>
      <c r="UPX525" s="133"/>
      <c r="UPY525" s="133"/>
      <c r="UPZ525" s="133"/>
      <c r="UQA525" s="133"/>
      <c r="UQB525" s="133"/>
      <c r="UQC525" s="133"/>
      <c r="UQD525" s="133"/>
      <c r="UQE525" s="133"/>
      <c r="UQF525" s="133"/>
      <c r="UQG525" s="133"/>
      <c r="UQH525" s="133"/>
      <c r="UQI525" s="133"/>
      <c r="UQJ525" s="133"/>
      <c r="UQK525" s="133"/>
      <c r="UQL525" s="133"/>
      <c r="UQM525" s="133"/>
      <c r="UQN525" s="133"/>
      <c r="UQO525" s="133"/>
      <c r="UQP525" s="133"/>
      <c r="UQQ525" s="133"/>
      <c r="UQR525" s="133"/>
      <c r="UQS525" s="133"/>
      <c r="UQT525" s="133"/>
      <c r="UQU525" s="133"/>
      <c r="UQV525" s="133"/>
      <c r="UQW525" s="133"/>
      <c r="UQX525" s="133"/>
      <c r="UQY525" s="133"/>
      <c r="UQZ525" s="133"/>
      <c r="URA525" s="133"/>
      <c r="URB525" s="133"/>
      <c r="URC525" s="133"/>
      <c r="URD525" s="133"/>
      <c r="URE525" s="133"/>
      <c r="URF525" s="133"/>
      <c r="URG525" s="133"/>
      <c r="URH525" s="133"/>
      <c r="URI525" s="133"/>
      <c r="URJ525" s="133"/>
      <c r="URK525" s="133"/>
      <c r="URL525" s="133"/>
      <c r="URM525" s="133"/>
      <c r="URN525" s="133"/>
      <c r="URO525" s="133"/>
      <c r="URP525" s="133"/>
      <c r="URQ525" s="133"/>
      <c r="URR525" s="133"/>
      <c r="URS525" s="133"/>
      <c r="URT525" s="133"/>
      <c r="URU525" s="133"/>
      <c r="URV525" s="133"/>
      <c r="URW525" s="133"/>
      <c r="URX525" s="133"/>
      <c r="URY525" s="133"/>
      <c r="URZ525" s="133"/>
      <c r="USA525" s="133"/>
      <c r="USB525" s="133"/>
      <c r="USC525" s="133"/>
      <c r="USD525" s="133"/>
      <c r="USE525" s="133"/>
      <c r="USF525" s="133"/>
      <c r="USG525" s="133"/>
      <c r="USH525" s="133"/>
      <c r="USI525" s="133"/>
      <c r="USJ525" s="133"/>
      <c r="USK525" s="133"/>
      <c r="USL525" s="133"/>
      <c r="USM525" s="133"/>
      <c r="USN525" s="133"/>
      <c r="USO525" s="133"/>
      <c r="USP525" s="133"/>
      <c r="USQ525" s="133"/>
      <c r="USR525" s="133"/>
      <c r="USS525" s="133"/>
      <c r="UST525" s="133"/>
      <c r="USU525" s="133"/>
      <c r="USV525" s="133"/>
      <c r="USW525" s="133"/>
      <c r="USX525" s="133"/>
      <c r="USY525" s="133"/>
      <c r="USZ525" s="133"/>
      <c r="UTA525" s="133"/>
      <c r="UTB525" s="133"/>
      <c r="UTC525" s="133"/>
      <c r="UTD525" s="133"/>
      <c r="UTE525" s="133"/>
      <c r="UTF525" s="133"/>
      <c r="UTG525" s="133"/>
      <c r="UTH525" s="133"/>
      <c r="UTI525" s="133"/>
      <c r="UTJ525" s="133"/>
      <c r="UTK525" s="133"/>
      <c r="UTL525" s="133"/>
      <c r="UTM525" s="133"/>
      <c r="UTN525" s="133"/>
      <c r="UTO525" s="133"/>
      <c r="UTP525" s="133"/>
      <c r="UTQ525" s="133"/>
      <c r="UTR525" s="133"/>
      <c r="UTS525" s="133"/>
      <c r="UTT525" s="133"/>
      <c r="UTU525" s="133"/>
      <c r="UTV525" s="133"/>
      <c r="UTW525" s="133"/>
      <c r="UTX525" s="133"/>
      <c r="UTY525" s="133"/>
      <c r="UTZ525" s="133"/>
      <c r="UUA525" s="133"/>
      <c r="UUB525" s="133"/>
      <c r="UUC525" s="133"/>
      <c r="UUD525" s="133"/>
      <c r="UUE525" s="133"/>
      <c r="UUF525" s="133"/>
      <c r="UUG525" s="133"/>
      <c r="UUH525" s="133"/>
      <c r="UUI525" s="133"/>
      <c r="UUJ525" s="133"/>
      <c r="UUK525" s="133"/>
      <c r="UUL525" s="133"/>
      <c r="UUM525" s="133"/>
      <c r="UUN525" s="133"/>
      <c r="UUO525" s="133"/>
      <c r="UUP525" s="133"/>
      <c r="UUQ525" s="133"/>
      <c r="UUR525" s="133"/>
      <c r="UUS525" s="133"/>
      <c r="UUT525" s="133"/>
      <c r="UUU525" s="133"/>
      <c r="UUV525" s="133"/>
      <c r="UUW525" s="133"/>
      <c r="UUX525" s="133"/>
      <c r="UUY525" s="133"/>
      <c r="UUZ525" s="133"/>
      <c r="UVA525" s="133"/>
      <c r="UVB525" s="133"/>
      <c r="UVC525" s="133"/>
      <c r="UVD525" s="133"/>
      <c r="UVE525" s="133"/>
      <c r="UVF525" s="133"/>
      <c r="UVG525" s="133"/>
      <c r="UVH525" s="133"/>
      <c r="UVI525" s="133"/>
      <c r="UVJ525" s="133"/>
      <c r="UVK525" s="133"/>
      <c r="UVL525" s="133"/>
      <c r="UVM525" s="133"/>
      <c r="UVN525" s="133"/>
      <c r="UVO525" s="133"/>
      <c r="UVP525" s="133"/>
      <c r="UVQ525" s="133"/>
      <c r="UVR525" s="133"/>
      <c r="UVS525" s="133"/>
      <c r="UVT525" s="133"/>
      <c r="UVU525" s="133"/>
      <c r="UVV525" s="133"/>
      <c r="UVW525" s="133"/>
      <c r="UVX525" s="133"/>
      <c r="UVY525" s="133"/>
      <c r="UVZ525" s="133"/>
      <c r="UWA525" s="133"/>
      <c r="UWB525" s="133"/>
      <c r="UWC525" s="133"/>
      <c r="UWD525" s="133"/>
      <c r="UWE525" s="133"/>
      <c r="UWF525" s="133"/>
      <c r="UWG525" s="133"/>
      <c r="UWH525" s="133"/>
      <c r="UWI525" s="133"/>
      <c r="UWJ525" s="133"/>
      <c r="UWK525" s="133"/>
      <c r="UWL525" s="133"/>
      <c r="UWM525" s="133"/>
      <c r="UWN525" s="133"/>
      <c r="UWO525" s="133"/>
      <c r="UWP525" s="133"/>
      <c r="UWQ525" s="133"/>
      <c r="UWR525" s="133"/>
      <c r="UWS525" s="133"/>
      <c r="UWT525" s="133"/>
      <c r="UWU525" s="133"/>
      <c r="UWV525" s="133"/>
      <c r="UWW525" s="133"/>
      <c r="UWX525" s="133"/>
      <c r="UWY525" s="133"/>
      <c r="UWZ525" s="133"/>
      <c r="UXA525" s="133"/>
      <c r="UXB525" s="133"/>
      <c r="UXC525" s="133"/>
      <c r="UXD525" s="133"/>
      <c r="UXE525" s="133"/>
      <c r="UXF525" s="133"/>
      <c r="UXG525" s="133"/>
      <c r="UXH525" s="133"/>
      <c r="UXI525" s="133"/>
      <c r="UXJ525" s="133"/>
      <c r="UXK525" s="133"/>
      <c r="UXL525" s="133"/>
      <c r="UXM525" s="133"/>
      <c r="UXN525" s="133"/>
      <c r="UXO525" s="133"/>
      <c r="UXP525" s="133"/>
      <c r="UXQ525" s="133"/>
      <c r="UXR525" s="133"/>
      <c r="UXS525" s="133"/>
      <c r="UXT525" s="133"/>
      <c r="UXU525" s="133"/>
      <c r="UXV525" s="133"/>
      <c r="UXW525" s="133"/>
      <c r="UXX525" s="133"/>
      <c r="UXY525" s="133"/>
      <c r="UXZ525" s="133"/>
      <c r="UYA525" s="133"/>
      <c r="UYB525" s="133"/>
      <c r="UYC525" s="133"/>
      <c r="UYD525" s="133"/>
      <c r="UYE525" s="133"/>
      <c r="UYF525" s="133"/>
      <c r="UYG525" s="133"/>
      <c r="UYH525" s="133"/>
      <c r="UYI525" s="133"/>
      <c r="UYJ525" s="133"/>
      <c r="UYK525" s="133"/>
      <c r="UYL525" s="133"/>
      <c r="UYM525" s="133"/>
      <c r="UYN525" s="133"/>
      <c r="UYO525" s="133"/>
      <c r="UYP525" s="133"/>
      <c r="UYQ525" s="133"/>
      <c r="UYR525" s="133"/>
      <c r="UYS525" s="133"/>
      <c r="UYT525" s="133"/>
      <c r="UYU525" s="133"/>
      <c r="UYV525" s="133"/>
      <c r="UYW525" s="133"/>
      <c r="UYX525" s="133"/>
      <c r="UYY525" s="133"/>
      <c r="UYZ525" s="133"/>
      <c r="UZA525" s="133"/>
      <c r="UZB525" s="133"/>
      <c r="UZC525" s="133"/>
      <c r="UZD525" s="133"/>
      <c r="UZE525" s="133"/>
      <c r="UZF525" s="133"/>
      <c r="UZG525" s="133"/>
      <c r="UZH525" s="133"/>
      <c r="UZI525" s="133"/>
      <c r="UZJ525" s="133"/>
      <c r="UZK525" s="133"/>
      <c r="UZL525" s="133"/>
      <c r="UZM525" s="133"/>
      <c r="UZN525" s="133"/>
      <c r="UZO525" s="133"/>
      <c r="UZP525" s="133"/>
      <c r="UZQ525" s="133"/>
      <c r="UZR525" s="133"/>
      <c r="UZS525" s="133"/>
      <c r="UZT525" s="133"/>
      <c r="UZU525" s="133"/>
      <c r="UZV525" s="133"/>
      <c r="UZW525" s="133"/>
      <c r="UZX525" s="133"/>
      <c r="UZY525" s="133"/>
      <c r="UZZ525" s="133"/>
      <c r="VAA525" s="133"/>
      <c r="VAB525" s="133"/>
      <c r="VAC525" s="133"/>
      <c r="VAD525" s="133"/>
      <c r="VAE525" s="133"/>
      <c r="VAF525" s="133"/>
      <c r="VAG525" s="133"/>
      <c r="VAH525" s="133"/>
      <c r="VAI525" s="133"/>
      <c r="VAJ525" s="133"/>
      <c r="VAK525" s="133"/>
      <c r="VAL525" s="133"/>
      <c r="VAM525" s="133"/>
      <c r="VAN525" s="133"/>
      <c r="VAO525" s="133"/>
      <c r="VAP525" s="133"/>
      <c r="VAQ525" s="133"/>
      <c r="VAR525" s="133"/>
      <c r="VAS525" s="133"/>
      <c r="VAT525" s="133"/>
      <c r="VAU525" s="133"/>
      <c r="VAV525" s="133"/>
      <c r="VAW525" s="133"/>
      <c r="VAX525" s="133"/>
      <c r="VAY525" s="133"/>
      <c r="VAZ525" s="133"/>
      <c r="VBA525" s="133"/>
      <c r="VBB525" s="133"/>
      <c r="VBC525" s="133"/>
      <c r="VBD525" s="133"/>
      <c r="VBE525" s="133"/>
      <c r="VBF525" s="133"/>
      <c r="VBG525" s="133"/>
      <c r="VBH525" s="133"/>
      <c r="VBI525" s="133"/>
      <c r="VBJ525" s="133"/>
      <c r="VBK525" s="133"/>
      <c r="VBL525" s="133"/>
      <c r="VBM525" s="133"/>
      <c r="VBN525" s="133"/>
      <c r="VBO525" s="133"/>
      <c r="VBP525" s="133"/>
      <c r="VBQ525" s="133"/>
      <c r="VBR525" s="133"/>
      <c r="VBS525" s="133"/>
      <c r="VBT525" s="133"/>
      <c r="VBU525" s="133"/>
      <c r="VBV525" s="133"/>
      <c r="VBW525" s="133"/>
      <c r="VBX525" s="133"/>
      <c r="VBY525" s="133"/>
      <c r="VBZ525" s="133"/>
      <c r="VCA525" s="133"/>
      <c r="VCB525" s="133"/>
      <c r="VCC525" s="133"/>
      <c r="VCD525" s="133"/>
      <c r="VCE525" s="133"/>
      <c r="VCF525" s="133"/>
      <c r="VCG525" s="133"/>
      <c r="VCH525" s="133"/>
      <c r="VCI525" s="133"/>
      <c r="VCJ525" s="133"/>
      <c r="VCK525" s="133"/>
      <c r="VCL525" s="133"/>
      <c r="VCM525" s="133"/>
      <c r="VCN525" s="133"/>
      <c r="VCO525" s="133"/>
      <c r="VCP525" s="133"/>
      <c r="VCQ525" s="133"/>
      <c r="VCR525" s="133"/>
      <c r="VCS525" s="133"/>
      <c r="VCT525" s="133"/>
      <c r="VCU525" s="133"/>
      <c r="VCV525" s="133"/>
      <c r="VCW525" s="133"/>
      <c r="VCX525" s="133"/>
      <c r="VCY525" s="133"/>
      <c r="VCZ525" s="133"/>
      <c r="VDA525" s="133"/>
      <c r="VDB525" s="133"/>
      <c r="VDC525" s="133"/>
      <c r="VDD525" s="133"/>
      <c r="VDE525" s="133"/>
      <c r="VDF525" s="133"/>
      <c r="VDG525" s="133"/>
      <c r="VDH525" s="133"/>
      <c r="VDI525" s="133"/>
      <c r="VDJ525" s="133"/>
      <c r="VDK525" s="133"/>
      <c r="VDL525" s="133"/>
      <c r="VDM525" s="133"/>
      <c r="VDN525" s="133"/>
      <c r="VDO525" s="133"/>
      <c r="VDP525" s="133"/>
      <c r="VDQ525" s="133"/>
      <c r="VDR525" s="133"/>
      <c r="VDS525" s="133"/>
      <c r="VDT525" s="133"/>
      <c r="VDU525" s="133"/>
      <c r="VDV525" s="133"/>
      <c r="VDW525" s="133"/>
      <c r="VDX525" s="133"/>
      <c r="VDY525" s="133"/>
      <c r="VDZ525" s="133"/>
      <c r="VEA525" s="133"/>
      <c r="VEB525" s="133"/>
      <c r="VEC525" s="133"/>
      <c r="VED525" s="133"/>
      <c r="VEE525" s="133"/>
      <c r="VEF525" s="133"/>
      <c r="VEG525" s="133"/>
      <c r="VEH525" s="133"/>
      <c r="VEI525" s="133"/>
      <c r="VEJ525" s="133"/>
      <c r="VEK525" s="133"/>
      <c r="VEL525" s="133"/>
      <c r="VEM525" s="133"/>
      <c r="VEN525" s="133"/>
      <c r="VEO525" s="133"/>
      <c r="VEP525" s="133"/>
      <c r="VEQ525" s="133"/>
      <c r="VER525" s="133"/>
      <c r="VES525" s="133"/>
      <c r="VET525" s="133"/>
      <c r="VEU525" s="133"/>
      <c r="VEV525" s="133"/>
      <c r="VEW525" s="133"/>
      <c r="VEX525" s="133"/>
      <c r="VEY525" s="133"/>
      <c r="VEZ525" s="133"/>
      <c r="VFA525" s="133"/>
      <c r="VFB525" s="133"/>
      <c r="VFC525" s="133"/>
      <c r="VFD525" s="133"/>
      <c r="VFE525" s="133"/>
      <c r="VFF525" s="133"/>
      <c r="VFG525" s="133"/>
      <c r="VFH525" s="133"/>
      <c r="VFI525" s="133"/>
      <c r="VFJ525" s="133"/>
      <c r="VFK525" s="133"/>
      <c r="VFL525" s="133"/>
      <c r="VFM525" s="133"/>
      <c r="VFN525" s="133"/>
      <c r="VFO525" s="133"/>
      <c r="VFP525" s="133"/>
      <c r="VFQ525" s="133"/>
      <c r="VFR525" s="133"/>
      <c r="VFS525" s="133"/>
      <c r="VFT525" s="133"/>
      <c r="VFU525" s="133"/>
      <c r="VFV525" s="133"/>
      <c r="VFW525" s="133"/>
      <c r="VFX525" s="133"/>
      <c r="VFY525" s="133"/>
      <c r="VFZ525" s="133"/>
      <c r="VGA525" s="133"/>
      <c r="VGB525" s="133"/>
      <c r="VGC525" s="133"/>
      <c r="VGD525" s="133"/>
      <c r="VGE525" s="133"/>
      <c r="VGF525" s="133"/>
      <c r="VGG525" s="133"/>
      <c r="VGH525" s="133"/>
      <c r="VGI525" s="133"/>
      <c r="VGJ525" s="133"/>
      <c r="VGK525" s="133"/>
      <c r="VGL525" s="133"/>
      <c r="VGM525" s="133"/>
      <c r="VGN525" s="133"/>
      <c r="VGO525" s="133"/>
      <c r="VGP525" s="133"/>
      <c r="VGQ525" s="133"/>
      <c r="VGR525" s="133"/>
      <c r="VGS525" s="133"/>
      <c r="VGT525" s="133"/>
      <c r="VGU525" s="133"/>
      <c r="VGV525" s="133"/>
      <c r="VGW525" s="133"/>
      <c r="VGX525" s="133"/>
      <c r="VGY525" s="133"/>
      <c r="VGZ525" s="133"/>
      <c r="VHA525" s="133"/>
      <c r="VHB525" s="133"/>
      <c r="VHC525" s="133"/>
      <c r="VHD525" s="133"/>
      <c r="VHE525" s="133"/>
      <c r="VHF525" s="133"/>
      <c r="VHG525" s="133"/>
      <c r="VHH525" s="133"/>
      <c r="VHI525" s="133"/>
      <c r="VHJ525" s="133"/>
      <c r="VHK525" s="133"/>
      <c r="VHL525" s="133"/>
      <c r="VHM525" s="133"/>
      <c r="VHN525" s="133"/>
      <c r="VHO525" s="133"/>
      <c r="VHP525" s="133"/>
      <c r="VHQ525" s="133"/>
      <c r="VHR525" s="133"/>
      <c r="VHS525" s="133"/>
      <c r="VHT525" s="133"/>
      <c r="VHU525" s="133"/>
      <c r="VHV525" s="133"/>
      <c r="VHW525" s="133"/>
      <c r="VHX525" s="133"/>
      <c r="VHY525" s="133"/>
      <c r="VHZ525" s="133"/>
      <c r="VIA525" s="133"/>
      <c r="VIB525" s="133"/>
      <c r="VIC525" s="133"/>
      <c r="VID525" s="133"/>
      <c r="VIE525" s="133"/>
      <c r="VIF525" s="133"/>
      <c r="VIG525" s="133"/>
      <c r="VIH525" s="133"/>
      <c r="VII525" s="133"/>
      <c r="VIJ525" s="133"/>
      <c r="VIK525" s="133"/>
      <c r="VIL525" s="133"/>
      <c r="VIM525" s="133"/>
      <c r="VIN525" s="133"/>
      <c r="VIO525" s="133"/>
      <c r="VIP525" s="133"/>
      <c r="VIQ525" s="133"/>
      <c r="VIR525" s="133"/>
      <c r="VIS525" s="133"/>
      <c r="VIT525" s="133"/>
      <c r="VIU525" s="133"/>
      <c r="VIV525" s="133"/>
      <c r="VIW525" s="133"/>
      <c r="VIX525" s="133"/>
      <c r="VIY525" s="133"/>
      <c r="VIZ525" s="133"/>
      <c r="VJA525" s="133"/>
      <c r="VJB525" s="133"/>
      <c r="VJC525" s="133"/>
      <c r="VJD525" s="133"/>
      <c r="VJE525" s="133"/>
      <c r="VJF525" s="133"/>
      <c r="VJG525" s="133"/>
      <c r="VJH525" s="133"/>
      <c r="VJI525" s="133"/>
      <c r="VJJ525" s="133"/>
      <c r="VJK525" s="133"/>
      <c r="VJL525" s="133"/>
      <c r="VJM525" s="133"/>
      <c r="VJN525" s="133"/>
      <c r="VJO525" s="133"/>
      <c r="VJP525" s="133"/>
      <c r="VJQ525" s="133"/>
      <c r="VJR525" s="133"/>
      <c r="VJS525" s="133"/>
      <c r="VJT525" s="133"/>
      <c r="VJU525" s="133"/>
      <c r="VJV525" s="133"/>
      <c r="VJW525" s="133"/>
      <c r="VJX525" s="133"/>
      <c r="VJY525" s="133"/>
      <c r="VJZ525" s="133"/>
      <c r="VKA525" s="133"/>
      <c r="VKB525" s="133"/>
      <c r="VKC525" s="133"/>
      <c r="VKD525" s="133"/>
      <c r="VKE525" s="133"/>
      <c r="VKF525" s="133"/>
      <c r="VKG525" s="133"/>
      <c r="VKH525" s="133"/>
      <c r="VKI525" s="133"/>
      <c r="VKJ525" s="133"/>
      <c r="VKK525" s="133"/>
      <c r="VKL525" s="133"/>
      <c r="VKM525" s="133"/>
      <c r="VKN525" s="133"/>
      <c r="VKO525" s="133"/>
      <c r="VKP525" s="133"/>
      <c r="VKQ525" s="133"/>
      <c r="VKR525" s="133"/>
      <c r="VKS525" s="133"/>
      <c r="VKT525" s="133"/>
      <c r="VKU525" s="133"/>
      <c r="VKV525" s="133"/>
      <c r="VKW525" s="133"/>
      <c r="VKX525" s="133"/>
      <c r="VKY525" s="133"/>
      <c r="VKZ525" s="133"/>
      <c r="VLA525" s="133"/>
      <c r="VLB525" s="133"/>
      <c r="VLC525" s="133"/>
      <c r="VLD525" s="133"/>
      <c r="VLE525" s="133"/>
      <c r="VLF525" s="133"/>
      <c r="VLG525" s="133"/>
      <c r="VLH525" s="133"/>
      <c r="VLI525" s="133"/>
      <c r="VLJ525" s="133"/>
      <c r="VLK525" s="133"/>
      <c r="VLL525" s="133"/>
      <c r="VLM525" s="133"/>
      <c r="VLN525" s="133"/>
      <c r="VLO525" s="133"/>
      <c r="VLP525" s="133"/>
      <c r="VLQ525" s="133"/>
      <c r="VLR525" s="133"/>
      <c r="VLS525" s="133"/>
      <c r="VLT525" s="133"/>
      <c r="VLU525" s="133"/>
      <c r="VLV525" s="133"/>
      <c r="VLW525" s="133"/>
      <c r="VLX525" s="133"/>
      <c r="VLY525" s="133"/>
      <c r="VLZ525" s="133"/>
      <c r="VMA525" s="133"/>
      <c r="VMB525" s="133"/>
      <c r="VMC525" s="133"/>
      <c r="VMD525" s="133"/>
      <c r="VME525" s="133"/>
      <c r="VMF525" s="133"/>
      <c r="VMG525" s="133"/>
      <c r="VMH525" s="133"/>
      <c r="VMI525" s="133"/>
      <c r="VMJ525" s="133"/>
      <c r="VMK525" s="133"/>
      <c r="VML525" s="133"/>
      <c r="VMM525" s="133"/>
      <c r="VMN525" s="133"/>
      <c r="VMO525" s="133"/>
      <c r="VMP525" s="133"/>
      <c r="VMQ525" s="133"/>
      <c r="VMR525" s="133"/>
      <c r="VMS525" s="133"/>
      <c r="VMT525" s="133"/>
      <c r="VMU525" s="133"/>
      <c r="VMV525" s="133"/>
      <c r="VMW525" s="133"/>
      <c r="VMX525" s="133"/>
      <c r="VMY525" s="133"/>
      <c r="VMZ525" s="133"/>
      <c r="VNA525" s="133"/>
      <c r="VNB525" s="133"/>
      <c r="VNC525" s="133"/>
      <c r="VND525" s="133"/>
      <c r="VNE525" s="133"/>
      <c r="VNF525" s="133"/>
      <c r="VNG525" s="133"/>
      <c r="VNH525" s="133"/>
      <c r="VNI525" s="133"/>
      <c r="VNJ525" s="133"/>
      <c r="VNK525" s="133"/>
      <c r="VNL525" s="133"/>
      <c r="VNM525" s="133"/>
      <c r="VNN525" s="133"/>
      <c r="VNO525" s="133"/>
      <c r="VNP525" s="133"/>
      <c r="VNQ525" s="133"/>
      <c r="VNR525" s="133"/>
      <c r="VNS525" s="133"/>
      <c r="VNT525" s="133"/>
      <c r="VNU525" s="133"/>
      <c r="VNV525" s="133"/>
      <c r="VNW525" s="133"/>
      <c r="VNX525" s="133"/>
      <c r="VNY525" s="133"/>
      <c r="VNZ525" s="133"/>
      <c r="VOA525" s="133"/>
      <c r="VOB525" s="133"/>
      <c r="VOC525" s="133"/>
      <c r="VOD525" s="133"/>
      <c r="VOE525" s="133"/>
      <c r="VOF525" s="133"/>
      <c r="VOG525" s="133"/>
      <c r="VOH525" s="133"/>
      <c r="VOI525" s="133"/>
      <c r="VOJ525" s="133"/>
      <c r="VOK525" s="133"/>
      <c r="VOL525" s="133"/>
      <c r="VOM525" s="133"/>
      <c r="VON525" s="133"/>
      <c r="VOO525" s="133"/>
      <c r="VOP525" s="133"/>
      <c r="VOQ525" s="133"/>
      <c r="VOR525" s="133"/>
      <c r="VOS525" s="133"/>
      <c r="VOT525" s="133"/>
      <c r="VOU525" s="133"/>
      <c r="VOV525" s="133"/>
      <c r="VOW525" s="133"/>
      <c r="VOX525" s="133"/>
      <c r="VOY525" s="133"/>
      <c r="VOZ525" s="133"/>
      <c r="VPA525" s="133"/>
      <c r="VPB525" s="133"/>
      <c r="VPC525" s="133"/>
      <c r="VPD525" s="133"/>
      <c r="VPE525" s="133"/>
      <c r="VPF525" s="133"/>
      <c r="VPG525" s="133"/>
      <c r="VPH525" s="133"/>
      <c r="VPI525" s="133"/>
      <c r="VPJ525" s="133"/>
      <c r="VPK525" s="133"/>
      <c r="VPL525" s="133"/>
      <c r="VPM525" s="133"/>
      <c r="VPN525" s="133"/>
      <c r="VPO525" s="133"/>
      <c r="VPP525" s="133"/>
      <c r="VPQ525" s="133"/>
      <c r="VPR525" s="133"/>
      <c r="VPS525" s="133"/>
      <c r="VPT525" s="133"/>
      <c r="VPU525" s="133"/>
      <c r="VPV525" s="133"/>
      <c r="VPW525" s="133"/>
      <c r="VPX525" s="133"/>
      <c r="VPY525" s="133"/>
      <c r="VPZ525" s="133"/>
      <c r="VQA525" s="133"/>
      <c r="VQB525" s="133"/>
      <c r="VQC525" s="133"/>
      <c r="VQD525" s="133"/>
      <c r="VQE525" s="133"/>
      <c r="VQF525" s="133"/>
      <c r="VQG525" s="133"/>
      <c r="VQH525" s="133"/>
      <c r="VQI525" s="133"/>
      <c r="VQJ525" s="133"/>
      <c r="VQK525" s="133"/>
      <c r="VQL525" s="133"/>
      <c r="VQM525" s="133"/>
      <c r="VQN525" s="133"/>
      <c r="VQO525" s="133"/>
      <c r="VQP525" s="133"/>
      <c r="VQQ525" s="133"/>
      <c r="VQR525" s="133"/>
      <c r="VQS525" s="133"/>
      <c r="VQT525" s="133"/>
      <c r="VQU525" s="133"/>
      <c r="VQV525" s="133"/>
      <c r="VQW525" s="133"/>
      <c r="VQX525" s="133"/>
      <c r="VQY525" s="133"/>
      <c r="VQZ525" s="133"/>
      <c r="VRA525" s="133"/>
      <c r="VRB525" s="133"/>
      <c r="VRC525" s="133"/>
      <c r="VRD525" s="133"/>
      <c r="VRE525" s="133"/>
      <c r="VRF525" s="133"/>
      <c r="VRG525" s="133"/>
      <c r="VRH525" s="133"/>
      <c r="VRI525" s="133"/>
      <c r="VRJ525" s="133"/>
      <c r="VRK525" s="133"/>
      <c r="VRL525" s="133"/>
      <c r="VRM525" s="133"/>
      <c r="VRN525" s="133"/>
      <c r="VRO525" s="133"/>
      <c r="VRP525" s="133"/>
      <c r="VRQ525" s="133"/>
      <c r="VRR525" s="133"/>
      <c r="VRS525" s="133"/>
      <c r="VRT525" s="133"/>
      <c r="VRU525" s="133"/>
      <c r="VRV525" s="133"/>
      <c r="VRW525" s="133"/>
      <c r="VRX525" s="133"/>
      <c r="VRY525" s="133"/>
      <c r="VRZ525" s="133"/>
      <c r="VSA525" s="133"/>
      <c r="VSB525" s="133"/>
      <c r="VSC525" s="133"/>
      <c r="VSD525" s="133"/>
      <c r="VSE525" s="133"/>
      <c r="VSF525" s="133"/>
      <c r="VSG525" s="133"/>
      <c r="VSH525" s="133"/>
      <c r="VSI525" s="133"/>
      <c r="VSJ525" s="133"/>
      <c r="VSK525" s="133"/>
      <c r="VSL525" s="133"/>
      <c r="VSM525" s="133"/>
      <c r="VSN525" s="133"/>
      <c r="VSO525" s="133"/>
      <c r="VSP525" s="133"/>
      <c r="VSQ525" s="133"/>
      <c r="VSR525" s="133"/>
      <c r="VSS525" s="133"/>
      <c r="VST525" s="133"/>
      <c r="VSU525" s="133"/>
      <c r="VSV525" s="133"/>
      <c r="VSW525" s="133"/>
      <c r="VSX525" s="133"/>
      <c r="VSY525" s="133"/>
      <c r="VSZ525" s="133"/>
      <c r="VTA525" s="133"/>
      <c r="VTB525" s="133"/>
      <c r="VTC525" s="133"/>
      <c r="VTD525" s="133"/>
      <c r="VTE525" s="133"/>
      <c r="VTF525" s="133"/>
      <c r="VTG525" s="133"/>
      <c r="VTH525" s="133"/>
      <c r="VTI525" s="133"/>
      <c r="VTJ525" s="133"/>
      <c r="VTK525" s="133"/>
      <c r="VTL525" s="133"/>
      <c r="VTM525" s="133"/>
      <c r="VTN525" s="133"/>
      <c r="VTO525" s="133"/>
      <c r="VTP525" s="133"/>
      <c r="VTQ525" s="133"/>
      <c r="VTR525" s="133"/>
      <c r="VTS525" s="133"/>
      <c r="VTT525" s="133"/>
      <c r="VTU525" s="133"/>
      <c r="VTV525" s="133"/>
      <c r="VTW525" s="133"/>
      <c r="VTX525" s="133"/>
      <c r="VTY525" s="133"/>
      <c r="VTZ525" s="133"/>
      <c r="VUA525" s="133"/>
      <c r="VUB525" s="133"/>
      <c r="VUC525" s="133"/>
      <c r="VUD525" s="133"/>
      <c r="VUE525" s="133"/>
      <c r="VUF525" s="133"/>
      <c r="VUG525" s="133"/>
      <c r="VUH525" s="133"/>
      <c r="VUI525" s="133"/>
      <c r="VUJ525" s="133"/>
      <c r="VUK525" s="133"/>
      <c r="VUL525" s="133"/>
      <c r="VUM525" s="133"/>
      <c r="VUN525" s="133"/>
      <c r="VUO525" s="133"/>
      <c r="VUP525" s="133"/>
      <c r="VUQ525" s="133"/>
      <c r="VUR525" s="133"/>
      <c r="VUS525" s="133"/>
      <c r="VUT525" s="133"/>
      <c r="VUU525" s="133"/>
      <c r="VUV525" s="133"/>
      <c r="VUW525" s="133"/>
      <c r="VUX525" s="133"/>
      <c r="VUY525" s="133"/>
      <c r="VUZ525" s="133"/>
      <c r="VVA525" s="133"/>
      <c r="VVB525" s="133"/>
      <c r="VVC525" s="133"/>
      <c r="VVD525" s="133"/>
      <c r="VVE525" s="133"/>
      <c r="VVF525" s="133"/>
      <c r="VVG525" s="133"/>
      <c r="VVH525" s="133"/>
      <c r="VVI525" s="133"/>
      <c r="VVJ525" s="133"/>
      <c r="VVK525" s="133"/>
      <c r="VVL525" s="133"/>
      <c r="VVM525" s="133"/>
      <c r="VVN525" s="133"/>
      <c r="VVO525" s="133"/>
      <c r="VVP525" s="133"/>
      <c r="VVQ525" s="133"/>
      <c r="VVR525" s="133"/>
      <c r="VVS525" s="133"/>
      <c r="VVT525" s="133"/>
      <c r="VVU525" s="133"/>
      <c r="VVV525" s="133"/>
      <c r="VVW525" s="133"/>
      <c r="VVX525" s="133"/>
      <c r="VVY525" s="133"/>
      <c r="VVZ525" s="133"/>
      <c r="VWA525" s="133"/>
      <c r="VWB525" s="133"/>
      <c r="VWC525" s="133"/>
      <c r="VWD525" s="133"/>
      <c r="VWE525" s="133"/>
      <c r="VWF525" s="133"/>
      <c r="VWG525" s="133"/>
      <c r="VWH525" s="133"/>
      <c r="VWI525" s="133"/>
      <c r="VWJ525" s="133"/>
      <c r="VWK525" s="133"/>
      <c r="VWL525" s="133"/>
      <c r="VWM525" s="133"/>
      <c r="VWN525" s="133"/>
      <c r="VWO525" s="133"/>
      <c r="VWP525" s="133"/>
      <c r="VWQ525" s="133"/>
      <c r="VWR525" s="133"/>
      <c r="VWS525" s="133"/>
      <c r="VWT525" s="133"/>
      <c r="VWU525" s="133"/>
      <c r="VWV525" s="133"/>
      <c r="VWW525" s="133"/>
      <c r="VWX525" s="133"/>
      <c r="VWY525" s="133"/>
      <c r="VWZ525" s="133"/>
      <c r="VXA525" s="133"/>
      <c r="VXB525" s="133"/>
      <c r="VXC525" s="133"/>
      <c r="VXD525" s="133"/>
      <c r="VXE525" s="133"/>
      <c r="VXF525" s="133"/>
      <c r="VXG525" s="133"/>
      <c r="VXH525" s="133"/>
      <c r="VXI525" s="133"/>
      <c r="VXJ525" s="133"/>
      <c r="VXK525" s="133"/>
      <c r="VXL525" s="133"/>
      <c r="VXM525" s="133"/>
      <c r="VXN525" s="133"/>
      <c r="VXO525" s="133"/>
      <c r="VXP525" s="133"/>
      <c r="VXQ525" s="133"/>
      <c r="VXR525" s="133"/>
      <c r="VXS525" s="133"/>
      <c r="VXT525" s="133"/>
      <c r="VXU525" s="133"/>
      <c r="VXV525" s="133"/>
      <c r="VXW525" s="133"/>
      <c r="VXX525" s="133"/>
      <c r="VXY525" s="133"/>
      <c r="VXZ525" s="133"/>
      <c r="VYA525" s="133"/>
      <c r="VYB525" s="133"/>
      <c r="VYC525" s="133"/>
      <c r="VYD525" s="133"/>
      <c r="VYE525" s="133"/>
      <c r="VYF525" s="133"/>
      <c r="VYG525" s="133"/>
      <c r="VYH525" s="133"/>
      <c r="VYI525" s="133"/>
      <c r="VYJ525" s="133"/>
      <c r="VYK525" s="133"/>
      <c r="VYL525" s="133"/>
      <c r="VYM525" s="133"/>
      <c r="VYN525" s="133"/>
      <c r="VYO525" s="133"/>
      <c r="VYP525" s="133"/>
      <c r="VYQ525" s="133"/>
      <c r="VYR525" s="133"/>
      <c r="VYS525" s="133"/>
      <c r="VYT525" s="133"/>
      <c r="VYU525" s="133"/>
      <c r="VYV525" s="133"/>
      <c r="VYW525" s="133"/>
      <c r="VYX525" s="133"/>
      <c r="VYY525" s="133"/>
      <c r="VYZ525" s="133"/>
      <c r="VZA525" s="133"/>
      <c r="VZB525" s="133"/>
      <c r="VZC525" s="133"/>
      <c r="VZD525" s="133"/>
      <c r="VZE525" s="133"/>
      <c r="VZF525" s="133"/>
      <c r="VZG525" s="133"/>
      <c r="VZH525" s="133"/>
      <c r="VZI525" s="133"/>
      <c r="VZJ525" s="133"/>
      <c r="VZK525" s="133"/>
      <c r="VZL525" s="133"/>
      <c r="VZM525" s="133"/>
      <c r="VZN525" s="133"/>
      <c r="VZO525" s="133"/>
      <c r="VZP525" s="133"/>
      <c r="VZQ525" s="133"/>
      <c r="VZR525" s="133"/>
      <c r="VZS525" s="133"/>
      <c r="VZT525" s="133"/>
      <c r="VZU525" s="133"/>
      <c r="VZV525" s="133"/>
      <c r="VZW525" s="133"/>
      <c r="VZX525" s="133"/>
      <c r="VZY525" s="133"/>
      <c r="VZZ525" s="133"/>
      <c r="WAA525" s="133"/>
      <c r="WAB525" s="133"/>
      <c r="WAC525" s="133"/>
      <c r="WAD525" s="133"/>
      <c r="WAE525" s="133"/>
      <c r="WAF525" s="133"/>
      <c r="WAG525" s="133"/>
      <c r="WAH525" s="133"/>
      <c r="WAI525" s="133"/>
      <c r="WAJ525" s="133"/>
      <c r="WAK525" s="133"/>
      <c r="WAL525" s="133"/>
      <c r="WAM525" s="133"/>
      <c r="WAN525" s="133"/>
      <c r="WAO525" s="133"/>
      <c r="WAP525" s="133"/>
      <c r="WAQ525" s="133"/>
      <c r="WAR525" s="133"/>
      <c r="WAS525" s="133"/>
      <c r="WAT525" s="133"/>
      <c r="WAU525" s="133"/>
      <c r="WAV525" s="133"/>
      <c r="WAW525" s="133"/>
      <c r="WAX525" s="133"/>
      <c r="WAY525" s="133"/>
      <c r="WAZ525" s="133"/>
      <c r="WBA525" s="133"/>
      <c r="WBB525" s="133"/>
      <c r="WBC525" s="133"/>
      <c r="WBD525" s="133"/>
      <c r="WBE525" s="133"/>
      <c r="WBF525" s="133"/>
      <c r="WBG525" s="133"/>
      <c r="WBH525" s="133"/>
      <c r="WBI525" s="133"/>
      <c r="WBJ525" s="133"/>
      <c r="WBK525" s="133"/>
      <c r="WBL525" s="133"/>
      <c r="WBM525" s="133"/>
      <c r="WBN525" s="133"/>
      <c r="WBO525" s="133"/>
      <c r="WBP525" s="133"/>
      <c r="WBQ525" s="133"/>
      <c r="WBR525" s="133"/>
      <c r="WBS525" s="133"/>
      <c r="WBT525" s="133"/>
      <c r="WBU525" s="133"/>
      <c r="WBV525" s="133"/>
      <c r="WBW525" s="133"/>
      <c r="WBX525" s="133"/>
      <c r="WBY525" s="133"/>
      <c r="WBZ525" s="133"/>
      <c r="WCA525" s="133"/>
      <c r="WCB525" s="133"/>
      <c r="WCC525" s="133"/>
      <c r="WCD525" s="133"/>
      <c r="WCE525" s="133"/>
      <c r="WCF525" s="133"/>
      <c r="WCG525" s="133"/>
      <c r="WCH525" s="133"/>
      <c r="WCI525" s="133"/>
      <c r="WCJ525" s="133"/>
      <c r="WCK525" s="133"/>
      <c r="WCL525" s="133"/>
      <c r="WCM525" s="133"/>
      <c r="WCN525" s="133"/>
      <c r="WCO525" s="133"/>
      <c r="WCP525" s="133"/>
      <c r="WCQ525" s="133"/>
      <c r="WCR525" s="133"/>
      <c r="WCS525" s="133"/>
      <c r="WCT525" s="133"/>
      <c r="WCU525" s="133"/>
      <c r="WCV525" s="133"/>
      <c r="WCW525" s="133"/>
      <c r="WCX525" s="133"/>
      <c r="WCY525" s="133"/>
      <c r="WCZ525" s="133"/>
      <c r="WDA525" s="133"/>
      <c r="WDB525" s="133"/>
      <c r="WDC525" s="133"/>
      <c r="WDD525" s="133"/>
      <c r="WDE525" s="133"/>
      <c r="WDF525" s="133"/>
      <c r="WDG525" s="133"/>
      <c r="WDH525" s="133"/>
      <c r="WDI525" s="133"/>
      <c r="WDJ525" s="133"/>
      <c r="WDK525" s="133"/>
      <c r="WDL525" s="133"/>
      <c r="WDM525" s="133"/>
      <c r="WDN525" s="133"/>
      <c r="WDO525" s="133"/>
      <c r="WDP525" s="133"/>
      <c r="WDQ525" s="133"/>
      <c r="WDR525" s="133"/>
      <c r="WDS525" s="133"/>
      <c r="WDT525" s="133"/>
      <c r="WDU525" s="133"/>
      <c r="WDV525" s="133"/>
      <c r="WDW525" s="133"/>
      <c r="WDX525" s="133"/>
      <c r="WDY525" s="133"/>
      <c r="WDZ525" s="133"/>
      <c r="WEA525" s="133"/>
      <c r="WEB525" s="133"/>
      <c r="WEC525" s="133"/>
      <c r="WED525" s="133"/>
      <c r="WEE525" s="133"/>
      <c r="WEF525" s="133"/>
      <c r="WEG525" s="133"/>
      <c r="WEH525" s="133"/>
      <c r="WEI525" s="133"/>
      <c r="WEJ525" s="133"/>
      <c r="WEK525" s="133"/>
      <c r="WEL525" s="133"/>
      <c r="WEM525" s="133"/>
      <c r="WEN525" s="133"/>
      <c r="WEO525" s="133"/>
      <c r="WEP525" s="133"/>
      <c r="WEQ525" s="133"/>
      <c r="WER525" s="133"/>
      <c r="WES525" s="133"/>
      <c r="WET525" s="133"/>
      <c r="WEU525" s="133"/>
      <c r="WEV525" s="133"/>
      <c r="WEW525" s="133"/>
      <c r="WEX525" s="133"/>
      <c r="WEY525" s="133"/>
      <c r="WEZ525" s="133"/>
      <c r="WFA525" s="133"/>
      <c r="WFB525" s="133"/>
      <c r="WFC525" s="133"/>
      <c r="WFD525" s="133"/>
      <c r="WFE525" s="133"/>
      <c r="WFF525" s="133"/>
      <c r="WFG525" s="133"/>
      <c r="WFH525" s="133"/>
      <c r="WFI525" s="133"/>
      <c r="WFJ525" s="133"/>
      <c r="WFK525" s="133"/>
      <c r="WFL525" s="133"/>
      <c r="WFM525" s="133"/>
      <c r="WFN525" s="133"/>
      <c r="WFO525" s="133"/>
      <c r="WFP525" s="133"/>
      <c r="WFQ525" s="133"/>
      <c r="WFR525" s="133"/>
      <c r="WFS525" s="133"/>
      <c r="WFT525" s="133"/>
      <c r="WFU525" s="133"/>
      <c r="WFV525" s="133"/>
      <c r="WFW525" s="133"/>
      <c r="WFX525" s="133"/>
      <c r="WFY525" s="133"/>
      <c r="WFZ525" s="133"/>
      <c r="WGA525" s="133"/>
      <c r="WGB525" s="133"/>
      <c r="WGC525" s="133"/>
      <c r="WGD525" s="133"/>
      <c r="WGE525" s="133"/>
      <c r="WGF525" s="133"/>
      <c r="WGG525" s="133"/>
      <c r="WGH525" s="133"/>
      <c r="WGI525" s="133"/>
      <c r="WGJ525" s="133"/>
      <c r="WGK525" s="133"/>
      <c r="WGL525" s="133"/>
      <c r="WGM525" s="133"/>
      <c r="WGN525" s="133"/>
      <c r="WGO525" s="133"/>
      <c r="WGP525" s="133"/>
      <c r="WGQ525" s="133"/>
      <c r="WGR525" s="133"/>
      <c r="WGS525" s="133"/>
      <c r="WGT525" s="133"/>
      <c r="WGU525" s="133"/>
      <c r="WGV525" s="133"/>
      <c r="WGW525" s="133"/>
      <c r="WGX525" s="133"/>
      <c r="WGY525" s="133"/>
      <c r="WGZ525" s="133"/>
      <c r="WHA525" s="133"/>
      <c r="WHB525" s="133"/>
      <c r="WHC525" s="133"/>
      <c r="WHD525" s="133"/>
      <c r="WHE525" s="133"/>
      <c r="WHF525" s="133"/>
      <c r="WHG525" s="133"/>
      <c r="WHH525" s="133"/>
      <c r="WHI525" s="133"/>
      <c r="WHJ525" s="133"/>
      <c r="WHK525" s="133"/>
      <c r="WHL525" s="133"/>
      <c r="WHM525" s="133"/>
      <c r="WHN525" s="133"/>
      <c r="WHO525" s="133"/>
      <c r="WHP525" s="133"/>
      <c r="WHQ525" s="133"/>
      <c r="WHR525" s="133"/>
      <c r="WHS525" s="133"/>
      <c r="WHT525" s="133"/>
      <c r="WHU525" s="133"/>
      <c r="WHV525" s="133"/>
      <c r="WHW525" s="133"/>
      <c r="WHX525" s="133"/>
      <c r="WHY525" s="133"/>
      <c r="WHZ525" s="133"/>
      <c r="WIA525" s="133"/>
      <c r="WIB525" s="133"/>
      <c r="WIC525" s="133"/>
      <c r="WID525" s="133"/>
      <c r="WIE525" s="133"/>
      <c r="WIF525" s="133"/>
      <c r="WIG525" s="133"/>
      <c r="WIH525" s="133"/>
      <c r="WII525" s="133"/>
      <c r="WIJ525" s="133"/>
      <c r="WIK525" s="133"/>
      <c r="WIL525" s="133"/>
      <c r="WIM525" s="133"/>
      <c r="WIN525" s="133"/>
      <c r="WIO525" s="133"/>
      <c r="WIP525" s="133"/>
      <c r="WIQ525" s="133"/>
      <c r="WIR525" s="133"/>
      <c r="WIS525" s="133"/>
      <c r="WIT525" s="133"/>
      <c r="WIU525" s="133"/>
      <c r="WIV525" s="133"/>
      <c r="WIW525" s="133"/>
      <c r="WIX525" s="133"/>
      <c r="WIY525" s="133"/>
      <c r="WIZ525" s="133"/>
      <c r="WJA525" s="133"/>
      <c r="WJB525" s="133"/>
      <c r="WJC525" s="133"/>
      <c r="WJD525" s="133"/>
      <c r="WJE525" s="133"/>
      <c r="WJF525" s="133"/>
      <c r="WJG525" s="133"/>
      <c r="WJH525" s="133"/>
      <c r="WJI525" s="133"/>
      <c r="WJJ525" s="133"/>
      <c r="WJK525" s="133"/>
      <c r="WJL525" s="133"/>
      <c r="WJM525" s="133"/>
      <c r="WJN525" s="133"/>
      <c r="WJO525" s="133"/>
      <c r="WJP525" s="133"/>
      <c r="WJQ525" s="133"/>
      <c r="WJR525" s="133"/>
      <c r="WJS525" s="133"/>
      <c r="WJT525" s="133"/>
      <c r="WJU525" s="133"/>
      <c r="WJV525" s="133"/>
      <c r="WJW525" s="133"/>
      <c r="WJX525" s="133"/>
      <c r="WJY525" s="133"/>
      <c r="WJZ525" s="133"/>
      <c r="WKA525" s="133"/>
      <c r="WKB525" s="133"/>
      <c r="WKC525" s="133"/>
      <c r="WKD525" s="133"/>
      <c r="WKE525" s="133"/>
      <c r="WKF525" s="133"/>
      <c r="WKG525" s="133"/>
      <c r="WKH525" s="133"/>
      <c r="WKI525" s="133"/>
      <c r="WKJ525" s="133"/>
      <c r="WKK525" s="133"/>
      <c r="WKL525" s="133"/>
      <c r="WKM525" s="133"/>
      <c r="WKN525" s="133"/>
      <c r="WKO525" s="133"/>
      <c r="WKP525" s="133"/>
      <c r="WKQ525" s="133"/>
      <c r="WKR525" s="133"/>
      <c r="WKS525" s="133"/>
      <c r="WKT525" s="133"/>
      <c r="WKU525" s="133"/>
      <c r="WKV525" s="133"/>
      <c r="WKW525" s="133"/>
      <c r="WKX525" s="133"/>
      <c r="WKY525" s="133"/>
      <c r="WKZ525" s="133"/>
      <c r="WLA525" s="133"/>
      <c r="WLB525" s="133"/>
      <c r="WLC525" s="133"/>
      <c r="WLD525" s="133"/>
      <c r="WLE525" s="133"/>
      <c r="WLF525" s="133"/>
      <c r="WLG525" s="133"/>
      <c r="WLH525" s="133"/>
      <c r="WLI525" s="133"/>
      <c r="WLJ525" s="133"/>
      <c r="WLK525" s="133"/>
      <c r="WLL525" s="133"/>
      <c r="WLM525" s="133"/>
      <c r="WLN525" s="133"/>
      <c r="WLO525" s="133"/>
      <c r="WLP525" s="133"/>
      <c r="WLQ525" s="133"/>
      <c r="WLR525" s="133"/>
      <c r="WLS525" s="133"/>
      <c r="WLT525" s="133"/>
      <c r="WLU525" s="133"/>
      <c r="WLV525" s="133"/>
      <c r="WLW525" s="133"/>
      <c r="WLX525" s="133"/>
      <c r="WLY525" s="133"/>
      <c r="WLZ525" s="133"/>
      <c r="WMA525" s="133"/>
      <c r="WMB525" s="133"/>
      <c r="WMC525" s="133"/>
      <c r="WMD525" s="133"/>
      <c r="WME525" s="133"/>
      <c r="WMF525" s="133"/>
      <c r="WMG525" s="133"/>
      <c r="WMH525" s="133"/>
      <c r="WMI525" s="133"/>
      <c r="WMJ525" s="133"/>
      <c r="WMK525" s="133"/>
      <c r="WML525" s="133"/>
      <c r="WMM525" s="133"/>
      <c r="WMN525" s="133"/>
      <c r="WMO525" s="133"/>
      <c r="WMP525" s="133"/>
      <c r="WMQ525" s="133"/>
      <c r="WMR525" s="133"/>
      <c r="WMS525" s="133"/>
      <c r="WMT525" s="133"/>
      <c r="WMU525" s="133"/>
      <c r="WMV525" s="133"/>
      <c r="WMW525" s="133"/>
      <c r="WMX525" s="133"/>
      <c r="WMY525" s="133"/>
      <c r="WMZ525" s="133"/>
      <c r="WNA525" s="133"/>
      <c r="WNB525" s="133"/>
      <c r="WNC525" s="133"/>
      <c r="WND525" s="133"/>
      <c r="WNE525" s="133"/>
      <c r="WNF525" s="133"/>
      <c r="WNG525" s="133"/>
      <c r="WNH525" s="133"/>
      <c r="WNI525" s="133"/>
      <c r="WNJ525" s="133"/>
      <c r="WNK525" s="133"/>
      <c r="WNL525" s="133"/>
      <c r="WNM525" s="133"/>
      <c r="WNN525" s="133"/>
      <c r="WNO525" s="133"/>
      <c r="WNP525" s="133"/>
      <c r="WNQ525" s="133"/>
      <c r="WNR525" s="133"/>
      <c r="WNS525" s="133"/>
      <c r="WNT525" s="133"/>
      <c r="WNU525" s="133"/>
      <c r="WNV525" s="133"/>
      <c r="WNW525" s="133"/>
      <c r="WNX525" s="133"/>
      <c r="WNY525" s="133"/>
      <c r="WNZ525" s="133"/>
      <c r="WOA525" s="133"/>
      <c r="WOB525" s="133"/>
      <c r="WOC525" s="133"/>
      <c r="WOD525" s="133"/>
      <c r="WOE525" s="133"/>
      <c r="WOF525" s="133"/>
      <c r="WOG525" s="133"/>
      <c r="WOH525" s="133"/>
      <c r="WOI525" s="133"/>
      <c r="WOJ525" s="133"/>
      <c r="WOK525" s="133"/>
      <c r="WOL525" s="133"/>
      <c r="WOM525" s="133"/>
      <c r="WON525" s="133"/>
      <c r="WOO525" s="133"/>
      <c r="WOP525" s="133"/>
      <c r="WOQ525" s="133"/>
      <c r="WOR525" s="133"/>
      <c r="WOS525" s="133"/>
      <c r="WOT525" s="133"/>
      <c r="WOU525" s="133"/>
      <c r="WOV525" s="133"/>
      <c r="WOW525" s="133"/>
      <c r="WOX525" s="133"/>
      <c r="WOY525" s="133"/>
      <c r="WOZ525" s="133"/>
      <c r="WPA525" s="133"/>
      <c r="WPB525" s="133"/>
      <c r="WPC525" s="133"/>
      <c r="WPD525" s="133"/>
      <c r="WPE525" s="133"/>
      <c r="WPF525" s="133"/>
      <c r="WPG525" s="133"/>
      <c r="WPH525" s="133"/>
      <c r="WPI525" s="133"/>
      <c r="WPJ525" s="133"/>
      <c r="WPK525" s="133"/>
      <c r="WPL525" s="133"/>
      <c r="WPM525" s="133"/>
      <c r="WPN525" s="133"/>
      <c r="WPO525" s="133"/>
      <c r="WPP525" s="133"/>
      <c r="WPQ525" s="133"/>
      <c r="WPR525" s="133"/>
      <c r="WPS525" s="133"/>
      <c r="WPT525" s="133"/>
      <c r="WPU525" s="133"/>
      <c r="WPV525" s="133"/>
      <c r="WPW525" s="133"/>
      <c r="WPX525" s="133"/>
      <c r="WPY525" s="133"/>
      <c r="WPZ525" s="133"/>
      <c r="WQA525" s="133"/>
      <c r="WQB525" s="133"/>
      <c r="WQC525" s="133"/>
      <c r="WQD525" s="133"/>
      <c r="WQE525" s="133"/>
      <c r="WQF525" s="133"/>
      <c r="WQG525" s="133"/>
      <c r="WQH525" s="133"/>
      <c r="WQI525" s="133"/>
      <c r="WQJ525" s="133"/>
      <c r="WQK525" s="133"/>
      <c r="WQL525" s="133"/>
      <c r="WQM525" s="133"/>
      <c r="WQN525" s="133"/>
      <c r="WQO525" s="133"/>
      <c r="WQP525" s="133"/>
      <c r="WQQ525" s="133"/>
      <c r="WQR525" s="133"/>
      <c r="WQS525" s="133"/>
      <c r="WQT525" s="133"/>
      <c r="WQU525" s="133"/>
      <c r="WQV525" s="133"/>
      <c r="WQW525" s="133"/>
      <c r="WQX525" s="133"/>
      <c r="WQY525" s="133"/>
      <c r="WQZ525" s="133"/>
      <c r="WRA525" s="133"/>
      <c r="WRB525" s="133"/>
      <c r="WRC525" s="133"/>
      <c r="WRD525" s="133"/>
      <c r="WRE525" s="133"/>
      <c r="WRF525" s="133"/>
      <c r="WRG525" s="133"/>
      <c r="WRH525" s="133"/>
      <c r="WRI525" s="133"/>
      <c r="WRJ525" s="133"/>
      <c r="WRK525" s="133"/>
      <c r="WRL525" s="133"/>
      <c r="WRM525" s="133"/>
      <c r="WRN525" s="133"/>
      <c r="WRO525" s="133"/>
      <c r="WRP525" s="133"/>
      <c r="WRQ525" s="133"/>
      <c r="WRR525" s="133"/>
      <c r="WRS525" s="133"/>
      <c r="WRT525" s="133"/>
      <c r="WRU525" s="133"/>
      <c r="WRV525" s="133"/>
      <c r="WRW525" s="133"/>
      <c r="WRX525" s="133"/>
      <c r="WRY525" s="133"/>
      <c r="WRZ525" s="133"/>
      <c r="WSA525" s="133"/>
      <c r="WSB525" s="133"/>
      <c r="WSC525" s="133"/>
      <c r="WSD525" s="133"/>
      <c r="WSE525" s="133"/>
      <c r="WSF525" s="133"/>
      <c r="WSG525" s="133"/>
      <c r="WSH525" s="133"/>
      <c r="WSI525" s="133"/>
      <c r="WSJ525" s="133"/>
      <c r="WSK525" s="133"/>
      <c r="WSL525" s="133"/>
      <c r="WSM525" s="133"/>
      <c r="WSN525" s="133"/>
      <c r="WSO525" s="133"/>
      <c r="WSP525" s="133"/>
      <c r="WSQ525" s="133"/>
      <c r="WSR525" s="133"/>
      <c r="WSS525" s="133"/>
      <c r="WST525" s="133"/>
      <c r="WSU525" s="133"/>
      <c r="WSV525" s="133"/>
      <c r="WSW525" s="133"/>
      <c r="WSX525" s="133"/>
      <c r="WSY525" s="133"/>
      <c r="WSZ525" s="133"/>
      <c r="WTA525" s="133"/>
      <c r="WTB525" s="133"/>
      <c r="WTC525" s="133"/>
      <c r="WTD525" s="133"/>
      <c r="WTE525" s="133"/>
      <c r="WTF525" s="133"/>
      <c r="WTG525" s="133"/>
      <c r="WTH525" s="133"/>
      <c r="WTI525" s="133"/>
      <c r="WTJ525" s="133"/>
      <c r="WTK525" s="133"/>
      <c r="WTL525" s="133"/>
      <c r="WTM525" s="133"/>
      <c r="WTN525" s="133"/>
      <c r="WTO525" s="133"/>
      <c r="WTP525" s="133"/>
      <c r="WTQ525" s="133"/>
      <c r="WTR525" s="133"/>
      <c r="WTS525" s="133"/>
      <c r="WTT525" s="133"/>
      <c r="WTU525" s="133"/>
      <c r="WTV525" s="133"/>
      <c r="WTW525" s="133"/>
      <c r="WTX525" s="133"/>
      <c r="WTY525" s="133"/>
      <c r="WTZ525" s="133"/>
      <c r="WUA525" s="133"/>
      <c r="WUB525" s="133"/>
      <c r="WUC525" s="133"/>
      <c r="WUD525" s="133"/>
      <c r="WUE525" s="133"/>
      <c r="WUF525" s="133"/>
      <c r="WUG525" s="133"/>
      <c r="WUH525" s="133"/>
      <c r="WUI525" s="133"/>
      <c r="WUJ525" s="133"/>
      <c r="WUK525" s="133"/>
      <c r="WUL525" s="133"/>
      <c r="WUM525" s="133"/>
      <c r="WUN525" s="133"/>
      <c r="WUO525" s="133"/>
      <c r="WUP525" s="133"/>
      <c r="WUQ525" s="133"/>
      <c r="WUR525" s="133"/>
      <c r="WUS525" s="133"/>
      <c r="WUT525" s="133"/>
      <c r="WUU525" s="133"/>
      <c r="WUV525" s="133"/>
      <c r="WUW525" s="133"/>
      <c r="WUX525" s="133"/>
      <c r="WUY525" s="133"/>
      <c r="WUZ525" s="133"/>
      <c r="WVA525" s="133"/>
      <c r="WVB525" s="133"/>
      <c r="WVC525" s="133"/>
      <c r="WVD525" s="133"/>
      <c r="WVE525" s="133"/>
      <c r="WVF525" s="133"/>
      <c r="WVG525" s="133"/>
      <c r="WVH525" s="133"/>
      <c r="WVI525" s="133"/>
      <c r="WVJ525" s="133"/>
      <c r="WVK525" s="133"/>
      <c r="WVL525" s="133"/>
      <c r="WVM525" s="133"/>
      <c r="WVN525" s="133"/>
      <c r="WVO525" s="133"/>
      <c r="WVP525" s="133"/>
      <c r="WVQ525" s="133"/>
      <c r="WVR525" s="133"/>
      <c r="WVS525" s="133"/>
      <c r="WVT525" s="133"/>
      <c r="WVU525" s="133"/>
      <c r="WVV525" s="133"/>
      <c r="WVW525" s="133"/>
      <c r="WVX525" s="133"/>
      <c r="WVY525" s="133"/>
      <c r="WVZ525" s="133"/>
      <c r="WWA525" s="133"/>
      <c r="WWB525" s="133"/>
      <c r="WWC525" s="133"/>
      <c r="WWD525" s="133"/>
      <c r="WWE525" s="133"/>
      <c r="WWF525" s="133"/>
      <c r="WWG525" s="133"/>
      <c r="WWH525" s="133"/>
      <c r="WWI525" s="133"/>
      <c r="WWJ525" s="133"/>
      <c r="WWK525" s="133"/>
      <c r="WWL525" s="133"/>
      <c r="WWM525" s="133"/>
      <c r="WWN525" s="133"/>
      <c r="WWO525" s="133"/>
      <c r="WWP525" s="133"/>
      <c r="WWQ525" s="133"/>
      <c r="WWR525" s="133"/>
      <c r="WWS525" s="133"/>
      <c r="WWT525" s="133"/>
      <c r="WWU525" s="133"/>
      <c r="WWV525" s="133"/>
      <c r="WWW525" s="133"/>
      <c r="WWX525" s="133"/>
      <c r="WWY525" s="133"/>
      <c r="WWZ525" s="133"/>
      <c r="WXA525" s="133"/>
      <c r="WXB525" s="133"/>
      <c r="WXC525" s="133"/>
      <c r="WXD525" s="133"/>
      <c r="WXE525" s="133"/>
      <c r="WXF525" s="133"/>
      <c r="WXG525" s="133"/>
      <c r="WXH525" s="133"/>
      <c r="WXI525" s="133"/>
      <c r="WXJ525" s="133"/>
      <c r="WXK525" s="133"/>
      <c r="WXL525" s="133"/>
      <c r="WXM525" s="133"/>
      <c r="WXN525" s="133"/>
      <c r="WXO525" s="133"/>
      <c r="WXP525" s="133"/>
      <c r="WXQ525" s="133"/>
      <c r="WXR525" s="133"/>
      <c r="WXS525" s="133"/>
      <c r="WXT525" s="133"/>
      <c r="WXU525" s="133"/>
      <c r="WXV525" s="133"/>
      <c r="WXW525" s="133"/>
      <c r="WXX525" s="133"/>
      <c r="WXY525" s="133"/>
      <c r="WXZ525" s="133"/>
      <c r="WYA525" s="133"/>
      <c r="WYB525" s="133"/>
      <c r="WYC525" s="133"/>
      <c r="WYD525" s="133"/>
      <c r="WYE525" s="133"/>
      <c r="WYF525" s="133"/>
      <c r="WYG525" s="133"/>
      <c r="WYH525" s="133"/>
      <c r="WYI525" s="133"/>
      <c r="WYJ525" s="133"/>
      <c r="WYK525" s="133"/>
      <c r="WYL525" s="133"/>
      <c r="WYM525" s="133"/>
      <c r="WYN525" s="133"/>
      <c r="WYO525" s="133"/>
      <c r="WYP525" s="133"/>
      <c r="WYQ525" s="133"/>
      <c r="WYR525" s="133"/>
      <c r="WYS525" s="133"/>
      <c r="WYT525" s="133"/>
      <c r="WYU525" s="133"/>
      <c r="WYV525" s="133"/>
      <c r="WYW525" s="133"/>
      <c r="WYX525" s="133"/>
      <c r="WYY525" s="133"/>
      <c r="WYZ525" s="133"/>
      <c r="WZA525" s="133"/>
      <c r="WZB525" s="133"/>
      <c r="WZC525" s="133"/>
      <c r="WZD525" s="133"/>
      <c r="WZE525" s="133"/>
      <c r="WZF525" s="133"/>
      <c r="WZG525" s="133"/>
      <c r="WZH525" s="133"/>
      <c r="WZI525" s="133"/>
      <c r="WZJ525" s="133"/>
      <c r="WZK525" s="133"/>
      <c r="WZL525" s="133"/>
      <c r="WZM525" s="133"/>
      <c r="WZN525" s="133"/>
      <c r="WZO525" s="133"/>
      <c r="WZP525" s="133"/>
      <c r="WZQ525" s="133"/>
      <c r="WZR525" s="133"/>
      <c r="WZS525" s="133"/>
      <c r="WZT525" s="133"/>
      <c r="WZU525" s="133"/>
      <c r="WZV525" s="133"/>
      <c r="WZW525" s="133"/>
      <c r="WZX525" s="133"/>
      <c r="WZY525" s="133"/>
      <c r="WZZ525" s="133"/>
      <c r="XAA525" s="133"/>
      <c r="XAB525" s="133"/>
      <c r="XAC525" s="133"/>
      <c r="XAD525" s="133"/>
      <c r="XAE525" s="133"/>
      <c r="XAF525" s="133"/>
      <c r="XAG525" s="133"/>
      <c r="XAH525" s="133"/>
      <c r="XAI525" s="133"/>
      <c r="XAJ525" s="133"/>
      <c r="XAK525" s="133"/>
      <c r="XAL525" s="133"/>
      <c r="XAM525" s="133"/>
      <c r="XAN525" s="133"/>
      <c r="XAO525" s="133"/>
      <c r="XAP525" s="133"/>
      <c r="XAQ525" s="133"/>
      <c r="XAR525" s="133"/>
      <c r="XAS525" s="133"/>
      <c r="XAT525" s="133"/>
      <c r="XAU525" s="133"/>
      <c r="XAV525" s="133"/>
      <c r="XAW525" s="133"/>
      <c r="XAX525" s="133"/>
      <c r="XAY525" s="133"/>
      <c r="XAZ525" s="133"/>
      <c r="XBA525" s="133"/>
      <c r="XBB525" s="133"/>
      <c r="XBC525" s="133"/>
      <c r="XBD525" s="133"/>
      <c r="XBE525" s="133"/>
      <c r="XBF525" s="133"/>
      <c r="XBG525" s="133"/>
      <c r="XBH525" s="133"/>
      <c r="XBI525" s="133"/>
      <c r="XBJ525" s="133"/>
      <c r="XBK525" s="133"/>
      <c r="XBL525" s="133"/>
      <c r="XBM525" s="133"/>
      <c r="XBN525" s="133"/>
      <c r="XBO525" s="133"/>
      <c r="XBP525" s="133"/>
      <c r="XBQ525" s="133"/>
      <c r="XBR525" s="133"/>
      <c r="XBS525" s="133"/>
      <c r="XBT525" s="133"/>
      <c r="XBU525" s="133"/>
      <c r="XBV525" s="133"/>
      <c r="XBW525" s="133"/>
      <c r="XBX525" s="133"/>
      <c r="XBY525" s="133"/>
      <c r="XBZ525" s="133"/>
      <c r="XCA525" s="133"/>
      <c r="XCB525" s="133"/>
      <c r="XCC525" s="133"/>
      <c r="XCD525" s="133"/>
      <c r="XCE525" s="133"/>
      <c r="XCF525" s="133"/>
      <c r="XCG525" s="133"/>
      <c r="XCH525" s="133"/>
      <c r="XCI525" s="133"/>
      <c r="XCJ525" s="133"/>
      <c r="XCK525" s="133"/>
      <c r="XCL525" s="133"/>
      <c r="XCM525" s="133"/>
      <c r="XCN525" s="133"/>
      <c r="XCO525" s="133"/>
      <c r="XCP525" s="133"/>
      <c r="XCQ525" s="133"/>
      <c r="XCR525" s="133"/>
      <c r="XCS525" s="133"/>
      <c r="XCT525" s="133"/>
      <c r="XCU525" s="133"/>
      <c r="XCV525" s="133"/>
      <c r="XCW525" s="133"/>
      <c r="XCX525" s="133"/>
      <c r="XCY525" s="133"/>
      <c r="XCZ525" s="133"/>
      <c r="XDA525" s="133"/>
      <c r="XDB525" s="133"/>
      <c r="XDC525" s="133"/>
      <c r="XDD525" s="133"/>
      <c r="XDE525" s="133"/>
      <c r="XDF525" s="133"/>
      <c r="XDG525" s="133"/>
      <c r="XDH525" s="133"/>
      <c r="XDI525" s="133"/>
      <c r="XDJ525" s="133"/>
      <c r="XDK525" s="133"/>
      <c r="XDL525" s="133"/>
      <c r="XDM525" s="133"/>
      <c r="XDN525" s="133"/>
      <c r="XDO525" s="133"/>
      <c r="XDP525" s="133"/>
      <c r="XDQ525" s="133"/>
      <c r="XDR525" s="133"/>
      <c r="XDS525" s="133"/>
      <c r="XDT525" s="133"/>
      <c r="XDU525" s="133"/>
      <c r="XDV525" s="133"/>
      <c r="XDW525" s="133"/>
      <c r="XDX525" s="133"/>
      <c r="XDY525" s="133"/>
      <c r="XDZ525" s="133"/>
      <c r="XEA525" s="133"/>
      <c r="XEB525" s="133"/>
      <c r="XEC525" s="133"/>
      <c r="XED525" s="133"/>
      <c r="XEE525" s="133"/>
      <c r="XEF525" s="133"/>
      <c r="XEG525" s="133"/>
      <c r="XEH525" s="133"/>
      <c r="XEI525" s="133"/>
      <c r="XEJ525" s="133"/>
      <c r="XEK525" s="133"/>
      <c r="XEL525" s="133"/>
      <c r="XEM525" s="133"/>
      <c r="XEN525" s="133"/>
      <c r="XEO525" s="133"/>
      <c r="XEP525" s="133"/>
      <c r="XEQ525" s="133"/>
      <c r="XER525" s="133"/>
      <c r="XES525" s="133"/>
      <c r="XET525" s="133"/>
      <c r="XEU525" s="133"/>
      <c r="XEV525" s="133"/>
      <c r="XEW525" s="133"/>
      <c r="XEX525" s="133"/>
      <c r="XEY525" s="133"/>
      <c r="XEZ525" s="133"/>
      <c r="XFA525" s="133"/>
      <c r="XFB525" s="133"/>
      <c r="XFC525" s="133"/>
    </row>
    <row r="527" spans="1:16383">
      <c r="B527">
        <v>1</v>
      </c>
      <c r="D527" s="137">
        <f t="shared" ref="D527:D590" si="21">F18*INDEX($E$442:$CG$522,E18-1945,G18-1945)</f>
        <v>65971.540357294682</v>
      </c>
      <c r="E527" s="136">
        <f t="shared" ref="E527:E590" si="22">G18</f>
        <v>2020</v>
      </c>
      <c r="F527" s="135">
        <f>_xlfn.XLOOKUP(D18,'3. Input (des)investeringen '!$B$11:$B$80,'3. Input (des)investeringen '!$E$11:$E$80)</f>
        <v>1</v>
      </c>
    </row>
    <row r="528" spans="1:16383">
      <c r="B528">
        <v>2</v>
      </c>
      <c r="D528" s="137">
        <f t="shared" si="21"/>
        <v>10418.237040788192</v>
      </c>
      <c r="E528" s="136">
        <f t="shared" si="22"/>
        <v>2020</v>
      </c>
      <c r="F528" s="135">
        <f>_xlfn.XLOOKUP(D19,'3. Input (des)investeringen '!$B$11:$B$80,'3. Input (des)investeringen '!$E$11:$E$80)</f>
        <v>1</v>
      </c>
    </row>
    <row r="529" spans="2:6">
      <c r="B529">
        <v>3</v>
      </c>
      <c r="D529" s="137">
        <f t="shared" si="21"/>
        <v>854933.1294840395</v>
      </c>
      <c r="E529" s="136">
        <f t="shared" si="22"/>
        <v>2020</v>
      </c>
      <c r="F529" s="135">
        <f>_xlfn.XLOOKUP(D20,'3. Input (des)investeringen '!$B$11:$B$80,'3. Input (des)investeringen '!$E$11:$E$80)</f>
        <v>1</v>
      </c>
    </row>
    <row r="530" spans="2:6">
      <c r="B530">
        <v>4</v>
      </c>
      <c r="D530" s="137">
        <f t="shared" si="21"/>
        <v>11347.896858824235</v>
      </c>
      <c r="E530" s="136">
        <f t="shared" si="22"/>
        <v>2020</v>
      </c>
      <c r="F530" s="135">
        <f>_xlfn.XLOOKUP(D21,'3. Input (des)investeringen '!$B$11:$B$80,'3. Input (des)investeringen '!$E$11:$E$80)</f>
        <v>1</v>
      </c>
    </row>
    <row r="531" spans="2:6">
      <c r="B531">
        <v>5</v>
      </c>
      <c r="D531" s="137">
        <f t="shared" si="21"/>
        <v>3517510.3440651735</v>
      </c>
      <c r="E531" s="136">
        <f t="shared" si="22"/>
        <v>2020</v>
      </c>
      <c r="F531" s="135">
        <f>_xlfn.XLOOKUP(D22,'3. Input (des)investeringen '!$B$11:$B$80,'3. Input (des)investeringen '!$E$11:$E$80)</f>
        <v>1</v>
      </c>
    </row>
    <row r="532" spans="2:6">
      <c r="B532">
        <v>6</v>
      </c>
      <c r="D532" s="137">
        <f t="shared" si="21"/>
        <v>36014.029146678571</v>
      </c>
      <c r="E532" s="136">
        <f t="shared" si="22"/>
        <v>2020</v>
      </c>
      <c r="F532" s="135">
        <f>_xlfn.XLOOKUP(D23,'3. Input (des)investeringen '!$B$11:$B$80,'3. Input (des)investeringen '!$E$11:$E$80)</f>
        <v>1</v>
      </c>
    </row>
    <row r="533" spans="2:6">
      <c r="B533">
        <v>7</v>
      </c>
      <c r="D533" s="137">
        <f t="shared" si="21"/>
        <v>2030273.1982919059</v>
      </c>
      <c r="E533" s="136">
        <f t="shared" si="22"/>
        <v>2020</v>
      </c>
      <c r="F533" s="135">
        <f>_xlfn.XLOOKUP(D24,'3. Input (des)investeringen '!$B$11:$B$80,'3. Input (des)investeringen '!$E$11:$E$80)</f>
        <v>1</v>
      </c>
    </row>
    <row r="534" spans="2:6">
      <c r="B534">
        <v>8</v>
      </c>
      <c r="D534" s="137">
        <f t="shared" si="21"/>
        <v>2626856.2307547103</v>
      </c>
      <c r="E534" s="136">
        <f t="shared" si="22"/>
        <v>2020</v>
      </c>
      <c r="F534" s="135">
        <f>_xlfn.XLOOKUP(D25,'3. Input (des)investeringen '!$B$11:$B$80,'3. Input (des)investeringen '!$E$11:$E$80)</f>
        <v>1</v>
      </c>
    </row>
    <row r="535" spans="2:6">
      <c r="B535">
        <v>9</v>
      </c>
      <c r="D535" s="137">
        <f t="shared" si="21"/>
        <v>1116.3576548659616</v>
      </c>
      <c r="E535" s="136">
        <f t="shared" si="22"/>
        <v>2020</v>
      </c>
      <c r="F535" s="135">
        <f>_xlfn.XLOOKUP(D26,'3. Input (des)investeringen '!$B$11:$B$80,'3. Input (des)investeringen '!$E$11:$E$80)</f>
        <v>0</v>
      </c>
    </row>
    <row r="536" spans="2:6">
      <c r="B536">
        <v>10</v>
      </c>
      <c r="D536" s="137">
        <f t="shared" si="21"/>
        <v>2999487.0331639843</v>
      </c>
      <c r="E536" s="136">
        <f t="shared" si="22"/>
        <v>2020</v>
      </c>
      <c r="F536" s="135">
        <f>_xlfn.XLOOKUP(D27,'3. Input (des)investeringen '!$B$11:$B$80,'3. Input (des)investeringen '!$E$11:$E$80)</f>
        <v>1</v>
      </c>
    </row>
    <row r="537" spans="2:6">
      <c r="B537">
        <v>11</v>
      </c>
      <c r="D537" s="137">
        <f t="shared" si="21"/>
        <v>1330117.5926660511</v>
      </c>
      <c r="E537" s="136">
        <f t="shared" si="22"/>
        <v>2020</v>
      </c>
      <c r="F537" s="135">
        <f>_xlfn.XLOOKUP(D28,'3. Input (des)investeringen '!$B$11:$B$80,'3. Input (des)investeringen '!$E$11:$E$80)</f>
        <v>1</v>
      </c>
    </row>
    <row r="538" spans="2:6">
      <c r="B538">
        <v>12</v>
      </c>
      <c r="D538" s="137">
        <f t="shared" si="21"/>
        <v>831794.93402741617</v>
      </c>
      <c r="E538" s="136">
        <f t="shared" si="22"/>
        <v>2020</v>
      </c>
      <c r="F538" s="135">
        <f>_xlfn.XLOOKUP(D29,'3. Input (des)investeringen '!$B$11:$B$80,'3. Input (des)investeringen '!$E$11:$E$80)</f>
        <v>1</v>
      </c>
    </row>
    <row r="539" spans="2:6">
      <c r="B539">
        <v>13</v>
      </c>
      <c r="D539" s="137">
        <f t="shared" si="21"/>
        <v>88537.809838823887</v>
      </c>
      <c r="E539" s="136">
        <f t="shared" si="22"/>
        <v>2020</v>
      </c>
      <c r="F539" s="135">
        <f>_xlfn.XLOOKUP(D30,'3. Input (des)investeringen '!$B$11:$B$80,'3. Input (des)investeringen '!$E$11:$E$80)</f>
        <v>0</v>
      </c>
    </row>
    <row r="540" spans="2:6">
      <c r="B540">
        <v>14</v>
      </c>
      <c r="D540" s="137">
        <f t="shared" si="21"/>
        <v>922617.58994232956</v>
      </c>
      <c r="E540" s="136">
        <f t="shared" si="22"/>
        <v>2020</v>
      </c>
      <c r="F540" s="135">
        <f>_xlfn.XLOOKUP(D31,'3. Input (des)investeringen '!$B$11:$B$80,'3. Input (des)investeringen '!$E$11:$E$80)</f>
        <v>1</v>
      </c>
    </row>
    <row r="541" spans="2:6">
      <c r="B541">
        <v>15</v>
      </c>
      <c r="D541" s="137">
        <f t="shared" si="21"/>
        <v>760674.32352435426</v>
      </c>
      <c r="E541" s="136">
        <f t="shared" si="22"/>
        <v>2020</v>
      </c>
      <c r="F541" s="135">
        <f>_xlfn.XLOOKUP(D32,'3. Input (des)investeringen '!$B$11:$B$80,'3. Input (des)investeringen '!$E$11:$E$80)</f>
        <v>1</v>
      </c>
    </row>
    <row r="542" spans="2:6">
      <c r="B542">
        <v>16</v>
      </c>
      <c r="D542" s="137">
        <f t="shared" si="21"/>
        <v>98402.82977106719</v>
      </c>
      <c r="E542" s="136">
        <f t="shared" si="22"/>
        <v>2020</v>
      </c>
      <c r="F542" s="135">
        <f>_xlfn.XLOOKUP(D33,'3. Input (des)investeringen '!$B$11:$B$80,'3. Input (des)investeringen '!$E$11:$E$80)</f>
        <v>0</v>
      </c>
    </row>
    <row r="543" spans="2:6">
      <c r="B543">
        <v>17</v>
      </c>
      <c r="D543" s="137">
        <f t="shared" si="21"/>
        <v>1809144.9262669957</v>
      </c>
      <c r="E543" s="136">
        <f t="shared" si="22"/>
        <v>2020</v>
      </c>
      <c r="F543" s="135">
        <f>_xlfn.XLOOKUP(D34,'3. Input (des)investeringen '!$B$11:$B$80,'3. Input (des)investeringen '!$E$11:$E$80)</f>
        <v>1</v>
      </c>
    </row>
    <row r="544" spans="2:6">
      <c r="B544">
        <v>18</v>
      </c>
      <c r="D544" s="137">
        <f t="shared" si="21"/>
        <v>178982.44585064959</v>
      </c>
      <c r="E544" s="136">
        <f t="shared" si="22"/>
        <v>2020</v>
      </c>
      <c r="F544" s="135">
        <f>_xlfn.XLOOKUP(D35,'3. Input (des)investeringen '!$B$11:$B$80,'3. Input (des)investeringen '!$E$11:$E$80)</f>
        <v>0</v>
      </c>
    </row>
    <row r="545" spans="2:6">
      <c r="B545">
        <v>19</v>
      </c>
      <c r="D545" s="137">
        <f t="shared" si="21"/>
        <v>810767.9596087964</v>
      </c>
      <c r="E545" s="136">
        <f t="shared" si="22"/>
        <v>2020</v>
      </c>
      <c r="F545" s="135">
        <f>_xlfn.XLOOKUP(D36,'3. Input (des)investeringen '!$B$11:$B$80,'3. Input (des)investeringen '!$E$11:$E$80)</f>
        <v>1</v>
      </c>
    </row>
    <row r="546" spans="2:6">
      <c r="B546">
        <v>20</v>
      </c>
      <c r="D546" s="137">
        <f t="shared" si="21"/>
        <v>50003.305627282651</v>
      </c>
      <c r="E546" s="136">
        <f t="shared" si="22"/>
        <v>2020</v>
      </c>
      <c r="F546" s="135">
        <f>_xlfn.XLOOKUP(D37,'3. Input (des)investeringen '!$B$11:$B$80,'3. Input (des)investeringen '!$E$11:$E$80)</f>
        <v>0</v>
      </c>
    </row>
    <row r="547" spans="2:6">
      <c r="B547">
        <v>21</v>
      </c>
      <c r="D547" s="137">
        <f t="shared" si="21"/>
        <v>171552.72165034333</v>
      </c>
      <c r="E547" s="136">
        <f t="shared" si="22"/>
        <v>2020</v>
      </c>
      <c r="F547" s="135">
        <f>_xlfn.XLOOKUP(D38,'3. Input (des)investeringen '!$B$11:$B$80,'3. Input (des)investeringen '!$E$11:$E$80)</f>
        <v>1</v>
      </c>
    </row>
    <row r="548" spans="2:6">
      <c r="B548">
        <v>22</v>
      </c>
      <c r="D548" s="137">
        <f t="shared" si="21"/>
        <v>91246.024644601261</v>
      </c>
      <c r="E548" s="136">
        <f t="shared" si="22"/>
        <v>2020</v>
      </c>
      <c r="F548" s="135">
        <f>_xlfn.XLOOKUP(D39,'3. Input (des)investeringen '!$B$11:$B$80,'3. Input (des)investeringen '!$E$11:$E$80)</f>
        <v>1</v>
      </c>
    </row>
    <row r="549" spans="2:6">
      <c r="B549">
        <v>23</v>
      </c>
      <c r="D549" s="137">
        <f t="shared" si="21"/>
        <v>45774.93431054215</v>
      </c>
      <c r="E549" s="136">
        <f t="shared" si="22"/>
        <v>2020</v>
      </c>
      <c r="F549" s="135">
        <f>_xlfn.XLOOKUP(D40,'3. Input (des)investeringen '!$B$11:$B$80,'3. Input (des)investeringen '!$E$11:$E$80)</f>
        <v>0</v>
      </c>
    </row>
    <row r="550" spans="2:6">
      <c r="B550">
        <v>24</v>
      </c>
      <c r="D550" s="137">
        <f t="shared" si="21"/>
        <v>340746.27672134229</v>
      </c>
      <c r="E550" s="136">
        <f t="shared" si="22"/>
        <v>2020</v>
      </c>
      <c r="F550" s="135">
        <f>_xlfn.XLOOKUP(D41,'3. Input (des)investeringen '!$B$11:$B$80,'3. Input (des)investeringen '!$E$11:$E$80)</f>
        <v>1</v>
      </c>
    </row>
    <row r="551" spans="2:6">
      <c r="B551">
        <v>25</v>
      </c>
      <c r="D551" s="137">
        <f t="shared" si="21"/>
        <v>114290.70854834077</v>
      </c>
      <c r="E551" s="136">
        <f t="shared" si="22"/>
        <v>2020</v>
      </c>
      <c r="F551" s="135">
        <f>_xlfn.XLOOKUP(D42,'3. Input (des)investeringen '!$B$11:$B$80,'3. Input (des)investeringen '!$E$11:$E$80)</f>
        <v>1</v>
      </c>
    </row>
    <row r="552" spans="2:6">
      <c r="B552">
        <v>26</v>
      </c>
      <c r="D552" s="137">
        <f t="shared" si="21"/>
        <v>257687.63762762956</v>
      </c>
      <c r="E552" s="136">
        <f t="shared" si="22"/>
        <v>2020</v>
      </c>
      <c r="F552" s="135">
        <f>_xlfn.XLOOKUP(D43,'3. Input (des)investeringen '!$B$11:$B$80,'3. Input (des)investeringen '!$E$11:$E$80)</f>
        <v>1</v>
      </c>
    </row>
    <row r="553" spans="2:6">
      <c r="B553">
        <v>27</v>
      </c>
      <c r="D553" s="137">
        <f t="shared" si="21"/>
        <v>118717.77880424444</v>
      </c>
      <c r="E553" s="136">
        <f t="shared" si="22"/>
        <v>2020</v>
      </c>
      <c r="F553" s="135">
        <f>_xlfn.XLOOKUP(D44,'3. Input (des)investeringen '!$B$11:$B$80,'3. Input (des)investeringen '!$E$11:$E$80)</f>
        <v>0</v>
      </c>
    </row>
    <row r="554" spans="2:6">
      <c r="B554">
        <v>28</v>
      </c>
      <c r="D554" s="137">
        <f t="shared" si="21"/>
        <v>3164.8772080974418</v>
      </c>
      <c r="E554" s="136">
        <f t="shared" si="22"/>
        <v>2020</v>
      </c>
      <c r="F554" s="135">
        <f>_xlfn.XLOOKUP(D45,'3. Input (des)investeringen '!$B$11:$B$80,'3. Input (des)investeringen '!$E$11:$E$80)</f>
        <v>1</v>
      </c>
    </row>
    <row r="555" spans="2:6">
      <c r="B555">
        <v>29</v>
      </c>
      <c r="D555" s="137">
        <f t="shared" si="21"/>
        <v>68190.529569318343</v>
      </c>
      <c r="E555" s="136">
        <f t="shared" si="22"/>
        <v>2020</v>
      </c>
      <c r="F555" s="135">
        <f>_xlfn.XLOOKUP(D46,'3. Input (des)investeringen '!$B$11:$B$80,'3. Input (des)investeringen '!$E$11:$E$80)</f>
        <v>1</v>
      </c>
    </row>
    <row r="556" spans="2:6">
      <c r="B556">
        <v>30</v>
      </c>
      <c r="D556" s="137">
        <f t="shared" si="21"/>
        <v>9161.1991360213215</v>
      </c>
      <c r="E556" s="136">
        <f t="shared" si="22"/>
        <v>2020</v>
      </c>
      <c r="F556" s="135">
        <f>_xlfn.XLOOKUP(D47,'3. Input (des)investeringen '!$B$11:$B$80,'3. Input (des)investeringen '!$E$11:$E$80)</f>
        <v>1</v>
      </c>
    </row>
    <row r="557" spans="2:6">
      <c r="B557">
        <v>31</v>
      </c>
      <c r="D557" s="137">
        <f t="shared" si="21"/>
        <v>46805.036504867581</v>
      </c>
      <c r="E557" s="136">
        <f t="shared" si="22"/>
        <v>2020</v>
      </c>
      <c r="F557" s="135">
        <f>_xlfn.XLOOKUP(D48,'3. Input (des)investeringen '!$B$11:$B$80,'3. Input (des)investeringen '!$E$11:$E$80)</f>
        <v>1</v>
      </c>
    </row>
    <row r="558" spans="2:6">
      <c r="B558">
        <v>32</v>
      </c>
      <c r="D558" s="137">
        <f t="shared" si="21"/>
        <v>40084.467968826939</v>
      </c>
      <c r="E558" s="136">
        <f t="shared" si="22"/>
        <v>2020</v>
      </c>
      <c r="F558" s="135">
        <f>_xlfn.XLOOKUP(D49,'3. Input (des)investeringen '!$B$11:$B$80,'3. Input (des)investeringen '!$E$11:$E$80)</f>
        <v>1</v>
      </c>
    </row>
    <row r="559" spans="2:6">
      <c r="B559">
        <v>33</v>
      </c>
      <c r="D559" s="137">
        <f t="shared" si="21"/>
        <v>93182.452122152143</v>
      </c>
      <c r="E559" s="136">
        <f t="shared" si="22"/>
        <v>2020</v>
      </c>
      <c r="F559" s="135">
        <f>_xlfn.XLOOKUP(D50,'3. Input (des)investeringen '!$B$11:$B$80,'3. Input (des)investeringen '!$E$11:$E$80)</f>
        <v>1</v>
      </c>
    </row>
    <row r="560" spans="2:6">
      <c r="B560">
        <v>34</v>
      </c>
      <c r="D560" s="137">
        <f t="shared" si="21"/>
        <v>268344.63701932121</v>
      </c>
      <c r="E560" s="136">
        <f t="shared" si="22"/>
        <v>2020</v>
      </c>
      <c r="F560" s="135">
        <f>_xlfn.XLOOKUP(D51,'3. Input (des)investeringen '!$B$11:$B$80,'3. Input (des)investeringen '!$E$11:$E$80)</f>
        <v>1</v>
      </c>
    </row>
    <row r="561" spans="2:6">
      <c r="B561">
        <v>35</v>
      </c>
      <c r="D561" s="137">
        <f t="shared" si="21"/>
        <v>106238.45888432344</v>
      </c>
      <c r="E561" s="136">
        <f t="shared" si="22"/>
        <v>2020</v>
      </c>
      <c r="F561" s="135">
        <f>_xlfn.XLOOKUP(D52,'3. Input (des)investeringen '!$B$11:$B$80,'3. Input (des)investeringen '!$E$11:$E$80)</f>
        <v>1</v>
      </c>
    </row>
    <row r="562" spans="2:6">
      <c r="B562">
        <v>36</v>
      </c>
      <c r="D562" s="137">
        <f t="shared" si="21"/>
        <v>133036.96947395953</v>
      </c>
      <c r="E562" s="136">
        <f t="shared" si="22"/>
        <v>2020</v>
      </c>
      <c r="F562" s="135">
        <f>_xlfn.XLOOKUP(D53,'3. Input (des)investeringen '!$B$11:$B$80,'3. Input (des)investeringen '!$E$11:$E$80)</f>
        <v>1</v>
      </c>
    </row>
    <row r="563" spans="2:6">
      <c r="B563">
        <v>37</v>
      </c>
      <c r="D563" s="137">
        <f t="shared" si="21"/>
        <v>154343.3001910657</v>
      </c>
      <c r="E563" s="136">
        <f t="shared" si="22"/>
        <v>2020</v>
      </c>
      <c r="F563" s="135">
        <f>_xlfn.XLOOKUP(D54,'3. Input (des)investeringen '!$B$11:$B$80,'3. Input (des)investeringen '!$E$11:$E$80)</f>
        <v>1</v>
      </c>
    </row>
    <row r="564" spans="2:6">
      <c r="B564">
        <v>38</v>
      </c>
      <c r="D564" s="137">
        <f t="shared" si="21"/>
        <v>34143.730074277388</v>
      </c>
      <c r="E564" s="136">
        <f t="shared" si="22"/>
        <v>2020</v>
      </c>
      <c r="F564" s="135">
        <f>_xlfn.XLOOKUP(D55,'3. Input (des)investeringen '!$B$11:$B$80,'3. Input (des)investeringen '!$E$11:$E$80)</f>
        <v>1</v>
      </c>
    </row>
    <row r="565" spans="2:6">
      <c r="B565">
        <v>39</v>
      </c>
      <c r="D565" s="137">
        <f t="shared" si="21"/>
        <v>3511.4554836606476</v>
      </c>
      <c r="E565" s="136">
        <f t="shared" si="22"/>
        <v>2020</v>
      </c>
      <c r="F565" s="135">
        <f>_xlfn.XLOOKUP(D56,'3. Input (des)investeringen '!$B$11:$B$80,'3. Input (des)investeringen '!$E$11:$E$80)</f>
        <v>1</v>
      </c>
    </row>
    <row r="566" spans="2:6">
      <c r="B566">
        <v>40</v>
      </c>
      <c r="D566" s="137">
        <f t="shared" si="21"/>
        <v>7181.457765698261</v>
      </c>
      <c r="E566" s="136">
        <f t="shared" si="22"/>
        <v>2020</v>
      </c>
      <c r="F566" s="135">
        <f>_xlfn.XLOOKUP(D57,'3. Input (des)investeringen '!$B$11:$B$80,'3. Input (des)investeringen '!$E$11:$E$80)</f>
        <v>1</v>
      </c>
    </row>
    <row r="567" spans="2:6">
      <c r="B567">
        <v>41</v>
      </c>
      <c r="D567" s="137">
        <f t="shared" si="21"/>
        <v>884026.28992311645</v>
      </c>
      <c r="E567" s="136">
        <f t="shared" si="22"/>
        <v>2020</v>
      </c>
      <c r="F567" s="135">
        <f>_xlfn.XLOOKUP(D58,'3. Input (des)investeringen '!$B$11:$B$80,'3. Input (des)investeringen '!$E$11:$E$80)</f>
        <v>1</v>
      </c>
    </row>
    <row r="568" spans="2:6">
      <c r="B568">
        <v>42</v>
      </c>
      <c r="D568" s="137">
        <f t="shared" si="21"/>
        <v>1020378.4183405952</v>
      </c>
      <c r="E568" s="136">
        <f t="shared" si="22"/>
        <v>2020</v>
      </c>
      <c r="F568" s="135">
        <f>_xlfn.XLOOKUP(D59,'3. Input (des)investeringen '!$B$11:$B$80,'3. Input (des)investeringen '!$E$11:$E$80)</f>
        <v>0</v>
      </c>
    </row>
    <row r="569" spans="2:6">
      <c r="B569">
        <v>43</v>
      </c>
      <c r="D569" s="137">
        <f t="shared" si="21"/>
        <v>1695531.0999208845</v>
      </c>
      <c r="E569" s="136">
        <f t="shared" si="22"/>
        <v>2020</v>
      </c>
      <c r="F569" s="135">
        <f>_xlfn.XLOOKUP(D60,'3. Input (des)investeringen '!$B$11:$B$80,'3. Input (des)investeringen '!$E$11:$E$80)</f>
        <v>0</v>
      </c>
    </row>
    <row r="570" spans="2:6">
      <c r="B570">
        <v>44</v>
      </c>
      <c r="D570" s="137">
        <f t="shared" si="21"/>
        <v>2217785.5845449823</v>
      </c>
      <c r="E570" s="136">
        <f t="shared" si="22"/>
        <v>2020</v>
      </c>
      <c r="F570" s="135">
        <f>_xlfn.XLOOKUP(D61,'3. Input (des)investeringen '!$B$11:$B$80,'3. Input (des)investeringen '!$E$11:$E$80)</f>
        <v>0</v>
      </c>
    </row>
    <row r="571" spans="2:6">
      <c r="B571">
        <v>45</v>
      </c>
      <c r="D571" s="137">
        <f t="shared" si="21"/>
        <v>1848040.6593128797</v>
      </c>
      <c r="E571" s="136">
        <f t="shared" si="22"/>
        <v>2020</v>
      </c>
      <c r="F571" s="135">
        <f>_xlfn.XLOOKUP(D62,'3. Input (des)investeringen '!$B$11:$B$80,'3. Input (des)investeringen '!$E$11:$E$80)</f>
        <v>0</v>
      </c>
    </row>
    <row r="572" spans="2:6">
      <c r="B572">
        <v>46</v>
      </c>
      <c r="D572" s="137">
        <f t="shared" si="21"/>
        <v>104452.05756534761</v>
      </c>
      <c r="E572" s="136">
        <f t="shared" si="22"/>
        <v>2020</v>
      </c>
      <c r="F572" s="135">
        <f>_xlfn.XLOOKUP(D63,'3. Input (des)investeringen '!$B$11:$B$80,'3. Input (des)investeringen '!$E$11:$E$80)</f>
        <v>0</v>
      </c>
    </row>
    <row r="573" spans="2:6">
      <c r="B573">
        <v>47</v>
      </c>
      <c r="D573" s="137">
        <f t="shared" si="21"/>
        <v>838717.57884401153</v>
      </c>
      <c r="E573" s="136">
        <f t="shared" si="22"/>
        <v>2020</v>
      </c>
      <c r="F573" s="135">
        <f>_xlfn.XLOOKUP(D64,'3. Input (des)investeringen '!$B$11:$B$80,'3. Input (des)investeringen '!$E$11:$E$80)</f>
        <v>0</v>
      </c>
    </row>
    <row r="574" spans="2:6">
      <c r="B574">
        <v>48</v>
      </c>
      <c r="D574" s="137">
        <f t="shared" si="21"/>
        <v>946547.48386907566</v>
      </c>
      <c r="E574" s="136">
        <f t="shared" si="22"/>
        <v>2020</v>
      </c>
      <c r="F574" s="135">
        <f>_xlfn.XLOOKUP(D65,'3. Input (des)investeringen '!$B$11:$B$80,'3. Input (des)investeringen '!$E$11:$E$80)</f>
        <v>0</v>
      </c>
    </row>
    <row r="575" spans="2:6">
      <c r="B575">
        <v>49</v>
      </c>
      <c r="D575" s="137">
        <f t="shared" si="21"/>
        <v>644836.48467939708</v>
      </c>
      <c r="E575" s="136">
        <f t="shared" si="22"/>
        <v>2020</v>
      </c>
      <c r="F575" s="135">
        <f>_xlfn.XLOOKUP(D66,'3. Input (des)investeringen '!$B$11:$B$80,'3. Input (des)investeringen '!$E$11:$E$80)</f>
        <v>0</v>
      </c>
    </row>
    <row r="576" spans="2:6">
      <c r="B576">
        <v>50</v>
      </c>
      <c r="D576" s="137">
        <f t="shared" si="21"/>
        <v>103187.86270413175</v>
      </c>
      <c r="E576" s="136">
        <f t="shared" si="22"/>
        <v>2020</v>
      </c>
      <c r="F576" s="135">
        <f>_xlfn.XLOOKUP(D67,'3. Input (des)investeringen '!$B$11:$B$80,'3. Input (des)investeringen '!$E$11:$E$80)</f>
        <v>0</v>
      </c>
    </row>
    <row r="577" spans="2:6">
      <c r="B577">
        <v>51</v>
      </c>
      <c r="D577" s="137">
        <f t="shared" si="21"/>
        <v>102765.71921635757</v>
      </c>
      <c r="E577" s="136">
        <f t="shared" si="22"/>
        <v>2020</v>
      </c>
      <c r="F577" s="135">
        <f>_xlfn.XLOOKUP(D68,'3. Input (des)investeringen '!$B$11:$B$80,'3. Input (des)investeringen '!$E$11:$E$80)</f>
        <v>0</v>
      </c>
    </row>
    <row r="578" spans="2:6">
      <c r="B578">
        <v>52</v>
      </c>
      <c r="D578" s="137">
        <f t="shared" si="21"/>
        <v>222798.30724413577</v>
      </c>
      <c r="E578" s="136">
        <f t="shared" si="22"/>
        <v>2020</v>
      </c>
      <c r="F578" s="135">
        <f>_xlfn.XLOOKUP(D69,'3. Input (des)investeringen '!$B$11:$B$80,'3. Input (des)investeringen '!$E$11:$E$80)</f>
        <v>0</v>
      </c>
    </row>
    <row r="579" spans="2:6">
      <c r="B579">
        <v>53</v>
      </c>
      <c r="D579" s="137">
        <f t="shared" si="21"/>
        <v>298662.93665395869</v>
      </c>
      <c r="E579" s="136">
        <f t="shared" si="22"/>
        <v>2020</v>
      </c>
      <c r="F579" s="135">
        <f>_xlfn.XLOOKUP(D70,'3. Input (des)investeringen '!$B$11:$B$80,'3. Input (des)investeringen '!$E$11:$E$80)</f>
        <v>0</v>
      </c>
    </row>
    <row r="580" spans="2:6">
      <c r="B580">
        <v>54</v>
      </c>
      <c r="D580" s="137">
        <f t="shared" si="21"/>
        <v>262349.11477001454</v>
      </c>
      <c r="E580" s="136">
        <f t="shared" si="22"/>
        <v>2020</v>
      </c>
      <c r="F580" s="135">
        <f>_xlfn.XLOOKUP(D71,'3. Input (des)investeringen '!$B$11:$B$80,'3. Input (des)investeringen '!$E$11:$E$80)</f>
        <v>0</v>
      </c>
    </row>
    <row r="581" spans="2:6">
      <c r="B581">
        <v>55</v>
      </c>
      <c r="D581" s="137">
        <f t="shared" si="21"/>
        <v>189333.02773128528</v>
      </c>
      <c r="E581" s="136">
        <f t="shared" si="22"/>
        <v>2020</v>
      </c>
      <c r="F581" s="135">
        <f>_xlfn.XLOOKUP(D72,'3. Input (des)investeringen '!$B$11:$B$80,'3. Input (des)investeringen '!$E$11:$E$80)</f>
        <v>0</v>
      </c>
    </row>
    <row r="582" spans="2:6">
      <c r="B582">
        <v>56</v>
      </c>
      <c r="D582" s="137">
        <f t="shared" si="21"/>
        <v>61490.61044017315</v>
      </c>
      <c r="E582" s="136">
        <f t="shared" si="22"/>
        <v>2020</v>
      </c>
      <c r="F582" s="135">
        <f>_xlfn.XLOOKUP(D73,'3. Input (des)investeringen '!$B$11:$B$80,'3. Input (des)investeringen '!$E$11:$E$80)</f>
        <v>0</v>
      </c>
    </row>
    <row r="583" spans="2:6">
      <c r="B583">
        <v>57</v>
      </c>
      <c r="D583" s="137">
        <f t="shared" si="21"/>
        <v>75038.027032218612</v>
      </c>
      <c r="E583" s="136">
        <f t="shared" si="22"/>
        <v>2020</v>
      </c>
      <c r="F583" s="135">
        <f>_xlfn.XLOOKUP(D74,'3. Input (des)investeringen '!$B$11:$B$80,'3. Input (des)investeringen '!$E$11:$E$80)</f>
        <v>0</v>
      </c>
    </row>
    <row r="584" spans="2:6">
      <c r="B584">
        <v>58</v>
      </c>
      <c r="D584" s="137">
        <f t="shared" si="21"/>
        <v>15568.327853298582</v>
      </c>
      <c r="E584" s="136">
        <f t="shared" si="22"/>
        <v>2020</v>
      </c>
      <c r="F584" s="135">
        <f>_xlfn.XLOOKUP(D75,'3. Input (des)investeringen '!$B$11:$B$80,'3. Input (des)investeringen '!$E$11:$E$80)</f>
        <v>0</v>
      </c>
    </row>
    <row r="585" spans="2:6">
      <c r="B585">
        <v>59</v>
      </c>
      <c r="D585" s="137">
        <f t="shared" si="21"/>
        <v>139159.19469639403</v>
      </c>
      <c r="E585" s="136">
        <f t="shared" si="22"/>
        <v>2020</v>
      </c>
      <c r="F585" s="135">
        <f>_xlfn.XLOOKUP(D76,'3. Input (des)investeringen '!$B$11:$B$80,'3. Input (des)investeringen '!$E$11:$E$80)</f>
        <v>0</v>
      </c>
    </row>
    <row r="586" spans="2:6">
      <c r="B586">
        <v>60</v>
      </c>
      <c r="D586" s="137">
        <f t="shared" si="21"/>
        <v>195602.61673343295</v>
      </c>
      <c r="E586" s="136">
        <f t="shared" si="22"/>
        <v>2020</v>
      </c>
      <c r="F586" s="135">
        <f>_xlfn.XLOOKUP(D77,'3. Input (des)investeringen '!$B$11:$B$80,'3. Input (des)investeringen '!$E$11:$E$80)</f>
        <v>0</v>
      </c>
    </row>
    <row r="587" spans="2:6">
      <c r="B587">
        <v>61</v>
      </c>
      <c r="D587" s="137">
        <f t="shared" si="21"/>
        <v>68987.421631756384</v>
      </c>
      <c r="E587" s="136">
        <f t="shared" si="22"/>
        <v>2020</v>
      </c>
      <c r="F587" s="135">
        <f>_xlfn.XLOOKUP(D78,'3. Input (des)investeringen '!$B$11:$B$80,'3. Input (des)investeringen '!$E$11:$E$80)</f>
        <v>0</v>
      </c>
    </row>
    <row r="588" spans="2:6">
      <c r="B588">
        <v>62</v>
      </c>
      <c r="D588" s="137">
        <f t="shared" si="21"/>
        <v>14017.585527295665</v>
      </c>
      <c r="E588" s="136">
        <f t="shared" si="22"/>
        <v>2020</v>
      </c>
      <c r="F588" s="135">
        <f>_xlfn.XLOOKUP(D79,'3. Input (des)investeringen '!$B$11:$B$80,'3. Input (des)investeringen '!$E$11:$E$80)</f>
        <v>0</v>
      </c>
    </row>
    <row r="589" spans="2:6">
      <c r="B589">
        <v>63</v>
      </c>
      <c r="D589" s="137">
        <f t="shared" si="21"/>
        <v>13850.760694758967</v>
      </c>
      <c r="E589" s="136">
        <f t="shared" si="22"/>
        <v>2020</v>
      </c>
      <c r="F589" s="135">
        <f>_xlfn.XLOOKUP(D80,'3. Input (des)investeringen '!$B$11:$B$80,'3. Input (des)investeringen '!$E$11:$E$80)</f>
        <v>0</v>
      </c>
    </row>
    <row r="590" spans="2:6">
      <c r="B590">
        <v>64</v>
      </c>
      <c r="D590" s="137">
        <f t="shared" si="21"/>
        <v>84133.673674020334</v>
      </c>
      <c r="E590" s="136">
        <f t="shared" si="22"/>
        <v>2020</v>
      </c>
      <c r="F590" s="135">
        <f>_xlfn.XLOOKUP(D81,'3. Input (des)investeringen '!$B$11:$B$80,'3. Input (des)investeringen '!$E$11:$E$80)</f>
        <v>0</v>
      </c>
    </row>
    <row r="591" spans="2:6">
      <c r="B591">
        <v>65</v>
      </c>
      <c r="D591" s="137">
        <f t="shared" ref="D591:D654" si="23">F82*INDEX($E$442:$CG$522,E82-1945,G82-1945)</f>
        <v>35929.792062961962</v>
      </c>
      <c r="E591" s="136">
        <f t="shared" ref="E591:E654" si="24">G82</f>
        <v>2020</v>
      </c>
      <c r="F591" s="135">
        <f>_xlfn.XLOOKUP(D82,'3. Input (des)investeringen '!$B$11:$B$80,'3. Input (des)investeringen '!$E$11:$E$80)</f>
        <v>0</v>
      </c>
    </row>
    <row r="592" spans="2:6">
      <c r="B592">
        <v>66</v>
      </c>
      <c r="D592" s="137">
        <f t="shared" si="23"/>
        <v>194556.62172449686</v>
      </c>
      <c r="E592" s="136">
        <f t="shared" si="24"/>
        <v>2020</v>
      </c>
      <c r="F592" s="135">
        <f>_xlfn.XLOOKUP(D83,'3. Input (des)investeringen '!$B$11:$B$80,'3. Input (des)investeringen '!$E$11:$E$80)</f>
        <v>0</v>
      </c>
    </row>
    <row r="593" spans="2:6">
      <c r="B593">
        <v>67</v>
      </c>
      <c r="D593" s="137">
        <f t="shared" si="23"/>
        <v>62778.725667823048</v>
      </c>
      <c r="E593" s="136">
        <f t="shared" si="24"/>
        <v>2020</v>
      </c>
      <c r="F593" s="135">
        <f>_xlfn.XLOOKUP(D84,'3. Input (des)investeringen '!$B$11:$B$80,'3. Input (des)investeringen '!$E$11:$E$80)</f>
        <v>0</v>
      </c>
    </row>
    <row r="594" spans="2:6">
      <c r="B594">
        <v>68</v>
      </c>
      <c r="D594" s="137">
        <f t="shared" si="23"/>
        <v>19044.179567605603</v>
      </c>
      <c r="E594" s="136">
        <f t="shared" si="24"/>
        <v>2020</v>
      </c>
      <c r="F594" s="135">
        <f>_xlfn.XLOOKUP(D85,'3. Input (des)investeringen '!$B$11:$B$80,'3. Input (des)investeringen '!$E$11:$E$80)</f>
        <v>0</v>
      </c>
    </row>
    <row r="595" spans="2:6">
      <c r="B595">
        <v>69</v>
      </c>
      <c r="D595" s="137">
        <f t="shared" si="23"/>
        <v>16243.59232368206</v>
      </c>
      <c r="E595" s="136">
        <f t="shared" si="24"/>
        <v>2020</v>
      </c>
      <c r="F595" s="135">
        <f>_xlfn.XLOOKUP(D86,'3. Input (des)investeringen '!$B$11:$B$80,'3. Input (des)investeringen '!$E$11:$E$80)</f>
        <v>0</v>
      </c>
    </row>
    <row r="596" spans="2:6">
      <c r="B596">
        <v>70</v>
      </c>
      <c r="D596" s="137">
        <f t="shared" si="23"/>
        <v>420548.3780368499</v>
      </c>
      <c r="E596" s="136">
        <f t="shared" si="24"/>
        <v>2020</v>
      </c>
      <c r="F596" s="135">
        <f>_xlfn.XLOOKUP(D87,'3. Input (des)investeringen '!$B$11:$B$80,'3. Input (des)investeringen '!$E$11:$E$80)</f>
        <v>0</v>
      </c>
    </row>
    <row r="597" spans="2:6">
      <c r="B597">
        <v>71</v>
      </c>
      <c r="D597" s="137">
        <f t="shared" si="23"/>
        <v>678889.94025137217</v>
      </c>
      <c r="E597" s="136">
        <f t="shared" si="24"/>
        <v>2020</v>
      </c>
      <c r="F597" s="135">
        <f>_xlfn.XLOOKUP(D88,'3. Input (des)investeringen '!$B$11:$B$80,'3. Input (des)investeringen '!$E$11:$E$80)</f>
        <v>0</v>
      </c>
    </row>
    <row r="598" spans="2:6">
      <c r="B598">
        <v>72</v>
      </c>
      <c r="D598" s="137">
        <f t="shared" si="23"/>
        <v>839133.50408215157</v>
      </c>
      <c r="E598" s="136">
        <f t="shared" si="24"/>
        <v>2020</v>
      </c>
      <c r="F598" s="135">
        <f>_xlfn.XLOOKUP(D89,'3. Input (des)investeringen '!$B$11:$B$80,'3. Input (des)investeringen '!$E$11:$E$80)</f>
        <v>0</v>
      </c>
    </row>
    <row r="599" spans="2:6">
      <c r="B599">
        <v>73</v>
      </c>
      <c r="D599" s="137">
        <f t="shared" si="23"/>
        <v>466144.55323262321</v>
      </c>
      <c r="E599" s="136">
        <f t="shared" si="24"/>
        <v>2020</v>
      </c>
      <c r="F599" s="135">
        <f>_xlfn.XLOOKUP(D90,'3. Input (des)investeringen '!$B$11:$B$80,'3. Input (des)investeringen '!$E$11:$E$80)</f>
        <v>0</v>
      </c>
    </row>
    <row r="600" spans="2:6">
      <c r="B600">
        <v>74</v>
      </c>
      <c r="D600" s="137">
        <f t="shared" si="23"/>
        <v>52695.014543283847</v>
      </c>
      <c r="E600" s="136">
        <f t="shared" si="24"/>
        <v>2020</v>
      </c>
      <c r="F600" s="135">
        <f>_xlfn.XLOOKUP(D91,'3. Input (des)investeringen '!$B$11:$B$80,'3. Input (des)investeringen '!$E$11:$E$80)</f>
        <v>0</v>
      </c>
    </row>
    <row r="601" spans="2:6">
      <c r="B601">
        <v>75</v>
      </c>
      <c r="D601" s="137">
        <f t="shared" si="23"/>
        <v>236374.02269672992</v>
      </c>
      <c r="E601" s="136">
        <f t="shared" si="24"/>
        <v>2020</v>
      </c>
      <c r="F601" s="135">
        <f>_xlfn.XLOOKUP(D92,'3. Input (des)investeringen '!$B$11:$B$80,'3. Input (des)investeringen '!$E$11:$E$80)</f>
        <v>0</v>
      </c>
    </row>
    <row r="602" spans="2:6">
      <c r="B602">
        <v>76</v>
      </c>
      <c r="D602" s="137">
        <f t="shared" si="23"/>
        <v>285825.23173650069</v>
      </c>
      <c r="E602" s="136">
        <f t="shared" si="24"/>
        <v>2020</v>
      </c>
      <c r="F602" s="135">
        <f>_xlfn.XLOOKUP(D93,'3. Input (des)investeringen '!$B$11:$B$80,'3. Input (des)investeringen '!$E$11:$E$80)</f>
        <v>0</v>
      </c>
    </row>
    <row r="603" spans="2:6">
      <c r="B603">
        <v>77</v>
      </c>
      <c r="D603" s="137">
        <f t="shared" si="23"/>
        <v>176761.46807564</v>
      </c>
      <c r="E603" s="136">
        <f t="shared" si="24"/>
        <v>2020</v>
      </c>
      <c r="F603" s="135">
        <f>_xlfn.XLOOKUP(D94,'3. Input (des)investeringen '!$B$11:$B$80,'3. Input (des)investeringen '!$E$11:$E$80)</f>
        <v>0</v>
      </c>
    </row>
    <row r="604" spans="2:6">
      <c r="B604">
        <v>78</v>
      </c>
      <c r="D604" s="137">
        <f t="shared" si="23"/>
        <v>43746.070987545623</v>
      </c>
      <c r="E604" s="136">
        <f t="shared" si="24"/>
        <v>2020</v>
      </c>
      <c r="F604" s="135">
        <f>_xlfn.XLOOKUP(D95,'3. Input (des)investeringen '!$B$11:$B$80,'3. Input (des)investeringen '!$E$11:$E$80)</f>
        <v>0</v>
      </c>
    </row>
    <row r="605" spans="2:6">
      <c r="B605">
        <v>79</v>
      </c>
      <c r="D605" s="137">
        <f t="shared" si="23"/>
        <v>7279.2095916837961</v>
      </c>
      <c r="E605" s="136">
        <f t="shared" si="24"/>
        <v>2020</v>
      </c>
      <c r="F605" s="135">
        <f>_xlfn.XLOOKUP(D96,'3. Input (des)investeringen '!$B$11:$B$80,'3. Input (des)investeringen '!$E$11:$E$80)</f>
        <v>1</v>
      </c>
    </row>
    <row r="606" spans="2:6">
      <c r="B606">
        <v>80</v>
      </c>
      <c r="D606" s="137">
        <f t="shared" si="23"/>
        <v>556191.94794048101</v>
      </c>
      <c r="E606" s="136">
        <f t="shared" si="24"/>
        <v>2020</v>
      </c>
      <c r="F606" s="135">
        <f>_xlfn.XLOOKUP(D97,'3. Input (des)investeringen '!$B$11:$B$80,'3. Input (des)investeringen '!$E$11:$E$80)</f>
        <v>1</v>
      </c>
    </row>
    <row r="607" spans="2:6">
      <c r="B607">
        <v>81</v>
      </c>
      <c r="D607" s="137">
        <f t="shared" si="23"/>
        <v>400794.95961332711</v>
      </c>
      <c r="E607" s="136">
        <f t="shared" si="24"/>
        <v>2020</v>
      </c>
      <c r="F607" s="135">
        <f>_xlfn.XLOOKUP(D98,'3. Input (des)investeringen '!$B$11:$B$80,'3. Input (des)investeringen '!$E$11:$E$80)</f>
        <v>1</v>
      </c>
    </row>
    <row r="608" spans="2:6">
      <c r="B608">
        <v>82</v>
      </c>
      <c r="D608" s="137">
        <f t="shared" si="23"/>
        <v>134478.71159135591</v>
      </c>
      <c r="E608" s="136">
        <f t="shared" si="24"/>
        <v>2020</v>
      </c>
      <c r="F608" s="135">
        <f>_xlfn.XLOOKUP(D99,'3. Input (des)investeringen '!$B$11:$B$80,'3. Input (des)investeringen '!$E$11:$E$80)</f>
        <v>1</v>
      </c>
    </row>
    <row r="609" spans="2:6">
      <c r="B609">
        <v>83</v>
      </c>
      <c r="D609" s="137">
        <f t="shared" si="23"/>
        <v>3474396.3025643122</v>
      </c>
      <c r="E609" s="136">
        <f t="shared" si="24"/>
        <v>2020</v>
      </c>
      <c r="F609" s="135">
        <f>_xlfn.XLOOKUP(D100,'3. Input (des)investeringen '!$B$11:$B$80,'3. Input (des)investeringen '!$E$11:$E$80)</f>
        <v>1</v>
      </c>
    </row>
    <row r="610" spans="2:6">
      <c r="B610">
        <v>84</v>
      </c>
      <c r="D610" s="137">
        <f t="shared" si="23"/>
        <v>194769.36815296905</v>
      </c>
      <c r="E610" s="136">
        <f t="shared" si="24"/>
        <v>2020</v>
      </c>
      <c r="F610" s="135">
        <f>_xlfn.XLOOKUP(D101,'3. Input (des)investeringen '!$B$11:$B$80,'3. Input (des)investeringen '!$E$11:$E$80)</f>
        <v>1</v>
      </c>
    </row>
    <row r="611" spans="2:6">
      <c r="B611">
        <v>85</v>
      </c>
      <c r="D611" s="137">
        <f t="shared" si="23"/>
        <v>621379.6226425051</v>
      </c>
      <c r="E611" s="136">
        <f t="shared" si="24"/>
        <v>2020</v>
      </c>
      <c r="F611" s="135">
        <f>_xlfn.XLOOKUP(D102,'3. Input (des)investeringen '!$B$11:$B$80,'3. Input (des)investeringen '!$E$11:$E$80)</f>
        <v>1</v>
      </c>
    </row>
    <row r="612" spans="2:6">
      <c r="B612">
        <v>86</v>
      </c>
      <c r="D612" s="137">
        <f t="shared" si="23"/>
        <v>1917866.939989456</v>
      </c>
      <c r="E612" s="136">
        <f t="shared" si="24"/>
        <v>2020</v>
      </c>
      <c r="F612" s="135">
        <f>_xlfn.XLOOKUP(D103,'3. Input (des)investeringen '!$B$11:$B$80,'3. Input (des)investeringen '!$E$11:$E$80)</f>
        <v>1</v>
      </c>
    </row>
    <row r="613" spans="2:6">
      <c r="B613">
        <v>87</v>
      </c>
      <c r="D613" s="137">
        <f t="shared" si="23"/>
        <v>95593.658163605258</v>
      </c>
      <c r="E613" s="136">
        <f t="shared" si="24"/>
        <v>2020</v>
      </c>
      <c r="F613" s="135">
        <f>_xlfn.XLOOKUP(D104,'3. Input (des)investeringen '!$B$11:$B$80,'3. Input (des)investeringen '!$E$11:$E$80)</f>
        <v>1</v>
      </c>
    </row>
    <row r="614" spans="2:6">
      <c r="B614">
        <v>88</v>
      </c>
      <c r="D614" s="137">
        <f t="shared" si="23"/>
        <v>177648.51548607223</v>
      </c>
      <c r="E614" s="136">
        <f t="shared" si="24"/>
        <v>2020</v>
      </c>
      <c r="F614" s="135">
        <f>_xlfn.XLOOKUP(D105,'3. Input (des)investeringen '!$B$11:$B$80,'3. Input (des)investeringen '!$E$11:$E$80)</f>
        <v>1</v>
      </c>
    </row>
    <row r="615" spans="2:6">
      <c r="B615">
        <v>89</v>
      </c>
      <c r="D615" s="137">
        <f t="shared" si="23"/>
        <v>193795.32414373165</v>
      </c>
      <c r="E615" s="136">
        <f t="shared" si="24"/>
        <v>2020</v>
      </c>
      <c r="F615" s="135">
        <f>_xlfn.XLOOKUP(D106,'3. Input (des)investeringen '!$B$11:$B$80,'3. Input (des)investeringen '!$E$11:$E$80)</f>
        <v>0</v>
      </c>
    </row>
    <row r="616" spans="2:6">
      <c r="B616">
        <v>90</v>
      </c>
      <c r="D616" s="137">
        <f t="shared" si="23"/>
        <v>640974.00509533472</v>
      </c>
      <c r="E616" s="136">
        <f t="shared" si="24"/>
        <v>2020</v>
      </c>
      <c r="F616" s="135">
        <f>_xlfn.XLOOKUP(D107,'3. Input (des)investeringen '!$B$11:$B$80,'3. Input (des)investeringen '!$E$11:$E$80)</f>
        <v>1</v>
      </c>
    </row>
    <row r="617" spans="2:6">
      <c r="B617">
        <v>91</v>
      </c>
      <c r="D617" s="137">
        <f t="shared" si="23"/>
        <v>574221.57553211425</v>
      </c>
      <c r="E617" s="136">
        <f t="shared" si="24"/>
        <v>2020</v>
      </c>
      <c r="F617" s="135">
        <f>_xlfn.XLOOKUP(D108,'3. Input (des)investeringen '!$B$11:$B$80,'3. Input (des)investeringen '!$E$11:$E$80)</f>
        <v>1</v>
      </c>
    </row>
    <row r="618" spans="2:6">
      <c r="B618">
        <v>92</v>
      </c>
      <c r="D618" s="137">
        <f t="shared" si="23"/>
        <v>101299.14611083685</v>
      </c>
      <c r="E618" s="136">
        <f t="shared" si="24"/>
        <v>2020</v>
      </c>
      <c r="F618" s="135">
        <f>_xlfn.XLOOKUP(D109,'3. Input (des)investeringen '!$B$11:$B$80,'3. Input (des)investeringen '!$E$11:$E$80)</f>
        <v>1</v>
      </c>
    </row>
    <row r="619" spans="2:6">
      <c r="B619">
        <v>93</v>
      </c>
      <c r="D619" s="137">
        <f t="shared" si="23"/>
        <v>417533.58819327998</v>
      </c>
      <c r="E619" s="136">
        <f t="shared" si="24"/>
        <v>2020</v>
      </c>
      <c r="F619" s="135">
        <f>_xlfn.XLOOKUP(D110,'3. Input (des)investeringen '!$B$11:$B$80,'3. Input (des)investeringen '!$E$11:$E$80)</f>
        <v>0</v>
      </c>
    </row>
    <row r="620" spans="2:6">
      <c r="B620">
        <v>94</v>
      </c>
      <c r="D620" s="137">
        <f t="shared" si="23"/>
        <v>3823402.407878554</v>
      </c>
      <c r="E620" s="136">
        <f t="shared" si="24"/>
        <v>2020</v>
      </c>
      <c r="F620" s="135">
        <f>_xlfn.XLOOKUP(D111,'3. Input (des)investeringen '!$B$11:$B$80,'3. Input (des)investeringen '!$E$11:$E$80)</f>
        <v>0</v>
      </c>
    </row>
    <row r="621" spans="2:6">
      <c r="B621">
        <v>95</v>
      </c>
      <c r="D621" s="137">
        <f t="shared" si="23"/>
        <v>7488.7980339025535</v>
      </c>
      <c r="E621" s="136">
        <f t="shared" si="24"/>
        <v>2020</v>
      </c>
      <c r="F621" s="135">
        <f>_xlfn.XLOOKUP(D112,'3. Input (des)investeringen '!$B$11:$B$80,'3. Input (des)investeringen '!$E$11:$E$80)</f>
        <v>0</v>
      </c>
    </row>
    <row r="622" spans="2:6">
      <c r="B622">
        <v>96</v>
      </c>
      <c r="D622" s="137">
        <f t="shared" si="23"/>
        <v>742382.84893713472</v>
      </c>
      <c r="E622" s="136">
        <f t="shared" si="24"/>
        <v>2020</v>
      </c>
      <c r="F622" s="135">
        <f>_xlfn.XLOOKUP(D113,'3. Input (des)investeringen '!$B$11:$B$80,'3. Input (des)investeringen '!$E$11:$E$80)</f>
        <v>1</v>
      </c>
    </row>
    <row r="623" spans="2:6">
      <c r="B623">
        <v>97</v>
      </c>
      <c r="D623" s="137">
        <f t="shared" si="23"/>
        <v>497559.24646460399</v>
      </c>
      <c r="E623" s="136">
        <f t="shared" si="24"/>
        <v>2020</v>
      </c>
      <c r="F623" s="135">
        <f>_xlfn.XLOOKUP(D114,'3. Input (des)investeringen '!$B$11:$B$80,'3. Input (des)investeringen '!$E$11:$E$80)</f>
        <v>1</v>
      </c>
    </row>
    <row r="624" spans="2:6">
      <c r="B624">
        <v>98</v>
      </c>
      <c r="D624" s="137">
        <f t="shared" si="23"/>
        <v>847051.65790449153</v>
      </c>
      <c r="E624" s="136">
        <f t="shared" si="24"/>
        <v>2020</v>
      </c>
      <c r="F624" s="135">
        <f>_xlfn.XLOOKUP(D115,'3. Input (des)investeringen '!$B$11:$B$80,'3. Input (des)investeringen '!$E$11:$E$80)</f>
        <v>1</v>
      </c>
    </row>
    <row r="625" spans="2:6">
      <c r="B625">
        <v>99</v>
      </c>
      <c r="D625" s="137">
        <f t="shared" si="23"/>
        <v>8144.057006494264</v>
      </c>
      <c r="E625" s="136">
        <f t="shared" si="24"/>
        <v>2020</v>
      </c>
      <c r="F625" s="135">
        <f>_xlfn.XLOOKUP(D116,'3. Input (des)investeringen '!$B$11:$B$80,'3. Input (des)investeringen '!$E$11:$E$80)</f>
        <v>1</v>
      </c>
    </row>
    <row r="626" spans="2:6">
      <c r="B626">
        <v>100</v>
      </c>
      <c r="D626" s="137">
        <f t="shared" si="23"/>
        <v>491817.1821266273</v>
      </c>
      <c r="E626" s="136">
        <f t="shared" si="24"/>
        <v>2020</v>
      </c>
      <c r="F626" s="135">
        <f>_xlfn.XLOOKUP(D117,'3. Input (des)investeringen '!$B$11:$B$80,'3. Input (des)investeringen '!$E$11:$E$80)</f>
        <v>1</v>
      </c>
    </row>
    <row r="627" spans="2:6">
      <c r="B627">
        <v>101</v>
      </c>
      <c r="D627" s="137">
        <f t="shared" si="23"/>
        <v>103365.52678590667</v>
      </c>
      <c r="E627" s="136">
        <f t="shared" si="24"/>
        <v>2020</v>
      </c>
      <c r="F627" s="135">
        <f>_xlfn.XLOOKUP(D118,'3. Input (des)investeringen '!$B$11:$B$80,'3. Input (des)investeringen '!$E$11:$E$80)</f>
        <v>0</v>
      </c>
    </row>
    <row r="628" spans="2:6">
      <c r="B628">
        <v>102</v>
      </c>
      <c r="D628" s="137">
        <f t="shared" si="23"/>
        <v>29842.132392463594</v>
      </c>
      <c r="E628" s="136">
        <f t="shared" si="24"/>
        <v>2020</v>
      </c>
      <c r="F628" s="135">
        <f>_xlfn.XLOOKUP(D119,'3. Input (des)investeringen '!$B$11:$B$80,'3. Input (des)investeringen '!$E$11:$E$80)</f>
        <v>1</v>
      </c>
    </row>
    <row r="629" spans="2:6">
      <c r="B629">
        <v>103</v>
      </c>
      <c r="D629" s="137">
        <f t="shared" si="23"/>
        <v>296132.66621760983</v>
      </c>
      <c r="E629" s="136">
        <f t="shared" si="24"/>
        <v>2020</v>
      </c>
      <c r="F629" s="135">
        <f>_xlfn.XLOOKUP(D120,'3. Input (des)investeringen '!$B$11:$B$80,'3. Input (des)investeringen '!$E$11:$E$80)</f>
        <v>1</v>
      </c>
    </row>
    <row r="630" spans="2:6">
      <c r="B630">
        <v>104</v>
      </c>
      <c r="D630" s="137">
        <f t="shared" si="23"/>
        <v>30464.280867373902</v>
      </c>
      <c r="E630" s="136">
        <f t="shared" si="24"/>
        <v>2020</v>
      </c>
      <c r="F630" s="135">
        <f>_xlfn.XLOOKUP(D121,'3. Input (des)investeringen '!$B$11:$B$80,'3. Input (des)investeringen '!$E$11:$E$80)</f>
        <v>1</v>
      </c>
    </row>
    <row r="631" spans="2:6">
      <c r="B631">
        <v>105</v>
      </c>
      <c r="D631" s="137">
        <f t="shared" si="23"/>
        <v>466951.00937448401</v>
      </c>
      <c r="E631" s="136">
        <f t="shared" si="24"/>
        <v>2020</v>
      </c>
      <c r="F631" s="135">
        <f>_xlfn.XLOOKUP(D122,'3. Input (des)investeringen '!$B$11:$B$80,'3. Input (des)investeringen '!$E$11:$E$80)</f>
        <v>1</v>
      </c>
    </row>
    <row r="632" spans="2:6">
      <c r="B632">
        <v>106</v>
      </c>
      <c r="D632" s="137">
        <f t="shared" si="23"/>
        <v>29207.343065497258</v>
      </c>
      <c r="E632" s="136">
        <f t="shared" si="24"/>
        <v>2020</v>
      </c>
      <c r="F632" s="135">
        <f>_xlfn.XLOOKUP(D123,'3. Input (des)investeringen '!$B$11:$B$80,'3. Input (des)investeringen '!$E$11:$E$80)</f>
        <v>1</v>
      </c>
    </row>
    <row r="633" spans="2:6">
      <c r="B633">
        <v>107</v>
      </c>
      <c r="D633" s="137">
        <f t="shared" si="23"/>
        <v>85681.109144716596</v>
      </c>
      <c r="E633" s="136">
        <f t="shared" si="24"/>
        <v>2020</v>
      </c>
      <c r="F633" s="135">
        <f>_xlfn.XLOOKUP(D124,'3. Input (des)investeringen '!$B$11:$B$80,'3. Input (des)investeringen '!$E$11:$E$80)</f>
        <v>1</v>
      </c>
    </row>
    <row r="634" spans="2:6">
      <c r="B634">
        <v>108</v>
      </c>
      <c r="D634" s="137">
        <f t="shared" si="23"/>
        <v>12094.992137610618</v>
      </c>
      <c r="E634" s="136">
        <f t="shared" si="24"/>
        <v>2020</v>
      </c>
      <c r="F634" s="135">
        <f>_xlfn.XLOOKUP(D125,'3. Input (des)investeringen '!$B$11:$B$80,'3. Input (des)investeringen '!$E$11:$E$80)</f>
        <v>1</v>
      </c>
    </row>
    <row r="635" spans="2:6">
      <c r="B635">
        <v>109</v>
      </c>
      <c r="D635" s="137">
        <f t="shared" si="23"/>
        <v>241190.94996912093</v>
      </c>
      <c r="E635" s="136">
        <f t="shared" si="24"/>
        <v>2020</v>
      </c>
      <c r="F635" s="135">
        <f>_xlfn.XLOOKUP(D126,'3. Input (des)investeringen '!$B$11:$B$80,'3. Input (des)investeringen '!$E$11:$E$80)</f>
        <v>1</v>
      </c>
    </row>
    <row r="636" spans="2:6">
      <c r="B636">
        <v>110</v>
      </c>
      <c r="D636" s="137">
        <f t="shared" si="23"/>
        <v>2577767.7699642316</v>
      </c>
      <c r="E636" s="136">
        <f t="shared" si="24"/>
        <v>2020</v>
      </c>
      <c r="F636" s="135">
        <f>_xlfn.XLOOKUP(D127,'3. Input (des)investeringen '!$B$11:$B$80,'3. Input (des)investeringen '!$E$11:$E$80)</f>
        <v>0</v>
      </c>
    </row>
    <row r="637" spans="2:6">
      <c r="B637">
        <v>111</v>
      </c>
      <c r="D637" s="137">
        <f t="shared" si="23"/>
        <v>2605.9297428298378</v>
      </c>
      <c r="E637" s="136">
        <f t="shared" si="24"/>
        <v>2020</v>
      </c>
      <c r="F637" s="135">
        <f>_xlfn.XLOOKUP(D128,'3. Input (des)investeringen '!$B$11:$B$80,'3. Input (des)investeringen '!$E$11:$E$80)</f>
        <v>1</v>
      </c>
    </row>
    <row r="638" spans="2:6">
      <c r="B638">
        <v>112</v>
      </c>
      <c r="D638" s="137">
        <f t="shared" si="23"/>
        <v>699507.92606819642</v>
      </c>
      <c r="E638" s="136">
        <f t="shared" si="24"/>
        <v>2020</v>
      </c>
      <c r="F638" s="135">
        <f>_xlfn.XLOOKUP(D129,'3. Input (des)investeringen '!$B$11:$B$80,'3. Input (des)investeringen '!$E$11:$E$80)</f>
        <v>1</v>
      </c>
    </row>
    <row r="639" spans="2:6">
      <c r="B639">
        <v>113</v>
      </c>
      <c r="D639" s="137">
        <f t="shared" si="23"/>
        <v>758579.68905049388</v>
      </c>
      <c r="E639" s="136">
        <f t="shared" si="24"/>
        <v>2020</v>
      </c>
      <c r="F639" s="135">
        <f>_xlfn.XLOOKUP(D130,'3. Input (des)investeringen '!$B$11:$B$80,'3. Input (des)investeringen '!$E$11:$E$80)</f>
        <v>1</v>
      </c>
    </row>
    <row r="640" spans="2:6">
      <c r="B640">
        <v>114</v>
      </c>
      <c r="D640" s="137">
        <f t="shared" si="23"/>
        <v>58484.431866942861</v>
      </c>
      <c r="E640" s="136">
        <f t="shared" si="24"/>
        <v>2020</v>
      </c>
      <c r="F640" s="135">
        <f>_xlfn.XLOOKUP(D131,'3. Input (des)investeringen '!$B$11:$B$80,'3. Input (des)investeringen '!$E$11:$E$80)</f>
        <v>1</v>
      </c>
    </row>
    <row r="641" spans="2:6">
      <c r="B641">
        <v>115</v>
      </c>
      <c r="D641" s="137">
        <f t="shared" si="23"/>
        <v>12654.139058755578</v>
      </c>
      <c r="E641" s="136">
        <f t="shared" si="24"/>
        <v>2020</v>
      </c>
      <c r="F641" s="135">
        <f>_xlfn.XLOOKUP(D132,'3. Input (des)investeringen '!$B$11:$B$80,'3. Input (des)investeringen '!$E$11:$E$80)</f>
        <v>1</v>
      </c>
    </row>
    <row r="642" spans="2:6">
      <c r="B642">
        <v>116</v>
      </c>
      <c r="D642" s="137">
        <f t="shared" si="23"/>
        <v>903016.7979884313</v>
      </c>
      <c r="E642" s="136">
        <f t="shared" si="24"/>
        <v>2020</v>
      </c>
      <c r="F642" s="135">
        <f>_xlfn.XLOOKUP(D133,'3. Input (des)investeringen '!$B$11:$B$80,'3. Input (des)investeringen '!$E$11:$E$80)</f>
        <v>1</v>
      </c>
    </row>
    <row r="643" spans="2:6">
      <c r="B643">
        <v>117</v>
      </c>
      <c r="D643" s="137">
        <f t="shared" si="23"/>
        <v>821582.77845572378</v>
      </c>
      <c r="E643" s="136">
        <f t="shared" si="24"/>
        <v>2020</v>
      </c>
      <c r="F643" s="135">
        <f>_xlfn.XLOOKUP(D134,'3. Input (des)investeringen '!$B$11:$B$80,'3. Input (des)investeringen '!$E$11:$E$80)</f>
        <v>1</v>
      </c>
    </row>
    <row r="644" spans="2:6">
      <c r="B644">
        <v>118</v>
      </c>
      <c r="D644" s="137">
        <f t="shared" si="23"/>
        <v>5515976.1618402852</v>
      </c>
      <c r="E644" s="136">
        <f t="shared" si="24"/>
        <v>2020</v>
      </c>
      <c r="F644" s="135">
        <f>_xlfn.XLOOKUP(D135,'3. Input (des)investeringen '!$B$11:$B$80,'3. Input (des)investeringen '!$E$11:$E$80)</f>
        <v>0</v>
      </c>
    </row>
    <row r="645" spans="2:6">
      <c r="B645">
        <v>119</v>
      </c>
      <c r="D645" s="137">
        <f t="shared" si="23"/>
        <v>382268.73025159683</v>
      </c>
      <c r="E645" s="136">
        <f t="shared" si="24"/>
        <v>2020</v>
      </c>
      <c r="F645" s="135">
        <f>_xlfn.XLOOKUP(D136,'3. Input (des)investeringen '!$B$11:$B$80,'3. Input (des)investeringen '!$E$11:$E$80)</f>
        <v>1</v>
      </c>
    </row>
    <row r="646" spans="2:6">
      <c r="B646">
        <v>120</v>
      </c>
      <c r="D646" s="137">
        <f t="shared" si="23"/>
        <v>1553156.491253328</v>
      </c>
      <c r="E646" s="136">
        <f t="shared" si="24"/>
        <v>2021</v>
      </c>
      <c r="F646" s="135">
        <f>_xlfn.XLOOKUP(D137,'3. Input (des)investeringen '!$B$11:$B$80,'3. Input (des)investeringen '!$E$11:$E$80)</f>
        <v>0</v>
      </c>
    </row>
    <row r="647" spans="2:6">
      <c r="B647">
        <v>121</v>
      </c>
      <c r="D647" s="137">
        <f t="shared" si="23"/>
        <v>10601.673798685901</v>
      </c>
      <c r="E647" s="136">
        <f t="shared" si="24"/>
        <v>2021</v>
      </c>
      <c r="F647" s="135">
        <f>_xlfn.XLOOKUP(D138,'3. Input (des)investeringen '!$B$11:$B$80,'3. Input (des)investeringen '!$E$11:$E$80)</f>
        <v>0</v>
      </c>
    </row>
    <row r="648" spans="2:6">
      <c r="B648">
        <v>122</v>
      </c>
      <c r="D648" s="137">
        <f t="shared" si="23"/>
        <v>13806.096316082207</v>
      </c>
      <c r="E648" s="136">
        <f t="shared" si="24"/>
        <v>2021</v>
      </c>
      <c r="F648" s="135">
        <f>_xlfn.XLOOKUP(D139,'3. Input (des)investeringen '!$B$11:$B$80,'3. Input (des)investeringen '!$E$11:$E$80)</f>
        <v>0</v>
      </c>
    </row>
    <row r="649" spans="2:6">
      <c r="B649">
        <v>123</v>
      </c>
      <c r="D649" s="137">
        <f t="shared" si="23"/>
        <v>10690.975721830873</v>
      </c>
      <c r="E649" s="136">
        <f t="shared" si="24"/>
        <v>2021</v>
      </c>
      <c r="F649" s="135">
        <f>_xlfn.XLOOKUP(D140,'3. Input (des)investeringen '!$B$11:$B$80,'3. Input (des)investeringen '!$E$11:$E$80)</f>
        <v>0</v>
      </c>
    </row>
    <row r="650" spans="2:6">
      <c r="B650">
        <v>124</v>
      </c>
      <c r="D650" s="137">
        <f t="shared" si="23"/>
        <v>15986.781599403323</v>
      </c>
      <c r="E650" s="136">
        <f t="shared" si="24"/>
        <v>2021</v>
      </c>
      <c r="F650" s="135">
        <f>_xlfn.XLOOKUP(D141,'3. Input (des)investeringen '!$B$11:$B$80,'3. Input (des)investeringen '!$E$11:$E$80)</f>
        <v>0</v>
      </c>
    </row>
    <row r="651" spans="2:6">
      <c r="B651">
        <v>125</v>
      </c>
      <c r="D651" s="137">
        <f t="shared" si="23"/>
        <v>7180.1720234295535</v>
      </c>
      <c r="E651" s="136">
        <f t="shared" si="24"/>
        <v>2021</v>
      </c>
      <c r="F651" s="135">
        <f>_xlfn.XLOOKUP(D142,'3. Input (des)investeringen '!$B$11:$B$80,'3. Input (des)investeringen '!$E$11:$E$80)</f>
        <v>0</v>
      </c>
    </row>
    <row r="652" spans="2:6">
      <c r="B652">
        <v>126</v>
      </c>
      <c r="D652" s="137">
        <f t="shared" si="23"/>
        <v>68385.256874844577</v>
      </c>
      <c r="E652" s="136">
        <f t="shared" si="24"/>
        <v>2021</v>
      </c>
      <c r="F652" s="135">
        <f>_xlfn.XLOOKUP(D143,'3. Input (des)investeringen '!$B$11:$B$80,'3. Input (des)investeringen '!$E$11:$E$80)</f>
        <v>0</v>
      </c>
    </row>
    <row r="653" spans="2:6">
      <c r="B653">
        <v>127</v>
      </c>
      <c r="D653" s="137">
        <f t="shared" si="23"/>
        <v>57231.902287510849</v>
      </c>
      <c r="E653" s="136">
        <f t="shared" si="24"/>
        <v>2021</v>
      </c>
      <c r="F653" s="135">
        <f>_xlfn.XLOOKUP(D144,'3. Input (des)investeringen '!$B$11:$B$80,'3. Input (des)investeringen '!$E$11:$E$80)</f>
        <v>0</v>
      </c>
    </row>
    <row r="654" spans="2:6">
      <c r="B654">
        <v>128</v>
      </c>
      <c r="D654" s="137">
        <f t="shared" si="23"/>
        <v>139666.15519997373</v>
      </c>
      <c r="E654" s="136">
        <f t="shared" si="24"/>
        <v>2021</v>
      </c>
      <c r="F654" s="135">
        <f>_xlfn.XLOOKUP(D145,'3. Input (des)investeringen '!$B$11:$B$80,'3. Input (des)investeringen '!$E$11:$E$80)</f>
        <v>0</v>
      </c>
    </row>
    <row r="655" spans="2:6">
      <c r="B655">
        <v>129</v>
      </c>
      <c r="D655" s="137">
        <f t="shared" ref="D655:D718" si="25">F146*INDEX($E$442:$CG$522,E146-1945,G146-1945)</f>
        <v>1248165.1609976974</v>
      </c>
      <c r="E655" s="136">
        <f t="shared" ref="E655:E718" si="26">G146</f>
        <v>2021</v>
      </c>
      <c r="F655" s="135">
        <f>_xlfn.XLOOKUP(D146,'3. Input (des)investeringen '!$B$11:$B$80,'3. Input (des)investeringen '!$E$11:$E$80)</f>
        <v>0</v>
      </c>
    </row>
    <row r="656" spans="2:6">
      <c r="B656">
        <v>130</v>
      </c>
      <c r="D656" s="137">
        <f t="shared" si="25"/>
        <v>65321.486835707648</v>
      </c>
      <c r="E656" s="136">
        <f t="shared" si="26"/>
        <v>2021</v>
      </c>
      <c r="F656" s="135">
        <f>_xlfn.XLOOKUP(D147,'3. Input (des)investeringen '!$B$11:$B$80,'3. Input (des)investeringen '!$E$11:$E$80)</f>
        <v>0</v>
      </c>
    </row>
    <row r="657" spans="2:6">
      <c r="B657">
        <v>131</v>
      </c>
      <c r="D657" s="137">
        <f t="shared" si="25"/>
        <v>4156569.4731986006</v>
      </c>
      <c r="E657" s="136">
        <f t="shared" si="26"/>
        <v>2021</v>
      </c>
      <c r="F657" s="135">
        <f>_xlfn.XLOOKUP(D148,'3. Input (des)investeringen '!$B$11:$B$80,'3. Input (des)investeringen '!$E$11:$E$80)</f>
        <v>0</v>
      </c>
    </row>
    <row r="658" spans="2:6">
      <c r="B658">
        <v>132</v>
      </c>
      <c r="D658" s="137">
        <f t="shared" si="25"/>
        <v>261877.80964518842</v>
      </c>
      <c r="E658" s="136">
        <f t="shared" si="26"/>
        <v>2021</v>
      </c>
      <c r="F658" s="135">
        <f>_xlfn.XLOOKUP(D149,'3. Input (des)investeringen '!$B$11:$B$80,'3. Input (des)investeringen '!$E$11:$E$80)</f>
        <v>0</v>
      </c>
    </row>
    <row r="659" spans="2:6">
      <c r="B659">
        <v>133</v>
      </c>
      <c r="D659" s="137">
        <f t="shared" si="25"/>
        <v>384106.38797041745</v>
      </c>
      <c r="E659" s="136">
        <f t="shared" si="26"/>
        <v>2021</v>
      </c>
      <c r="F659" s="135">
        <f>_xlfn.XLOOKUP(D150,'3. Input (des)investeringen '!$B$11:$B$80,'3. Input (des)investeringen '!$E$11:$E$80)</f>
        <v>0</v>
      </c>
    </row>
    <row r="660" spans="2:6">
      <c r="B660">
        <v>134</v>
      </c>
      <c r="D660" s="137">
        <f t="shared" si="25"/>
        <v>349737.18217299768</v>
      </c>
      <c r="E660" s="136">
        <f t="shared" si="26"/>
        <v>2021</v>
      </c>
      <c r="F660" s="135">
        <f>_xlfn.XLOOKUP(D151,'3. Input (des)investeringen '!$B$11:$B$80,'3. Input (des)investeringen '!$E$11:$E$80)</f>
        <v>0</v>
      </c>
    </row>
    <row r="661" spans="2:6">
      <c r="B661">
        <v>135</v>
      </c>
      <c r="D661" s="137">
        <f t="shared" si="25"/>
        <v>43685.695437945156</v>
      </c>
      <c r="E661" s="136">
        <f t="shared" si="26"/>
        <v>2021</v>
      </c>
      <c r="F661" s="135">
        <f>_xlfn.XLOOKUP(D152,'3. Input (des)investeringen '!$B$11:$B$80,'3. Input (des)investeringen '!$E$11:$E$80)</f>
        <v>0</v>
      </c>
    </row>
    <row r="662" spans="2:6">
      <c r="B662">
        <v>136</v>
      </c>
      <c r="D662" s="137">
        <f t="shared" si="25"/>
        <v>26142.883444457802</v>
      </c>
      <c r="E662" s="136">
        <f t="shared" si="26"/>
        <v>2021</v>
      </c>
      <c r="F662" s="135">
        <f>_xlfn.XLOOKUP(D153,'3. Input (des)investeringen '!$B$11:$B$80,'3. Input (des)investeringen '!$E$11:$E$80)</f>
        <v>0</v>
      </c>
    </row>
    <row r="663" spans="2:6">
      <c r="B663">
        <v>137</v>
      </c>
      <c r="D663" s="137">
        <f t="shared" si="25"/>
        <v>146891.26988423668</v>
      </c>
      <c r="E663" s="136">
        <f t="shared" si="26"/>
        <v>2021</v>
      </c>
      <c r="F663" s="135">
        <f>_xlfn.XLOOKUP(D154,'3. Input (des)investeringen '!$B$11:$B$80,'3. Input (des)investeringen '!$E$11:$E$80)</f>
        <v>0</v>
      </c>
    </row>
    <row r="664" spans="2:6">
      <c r="B664">
        <v>138</v>
      </c>
      <c r="D664" s="137">
        <f t="shared" si="25"/>
        <v>17125.53813751788</v>
      </c>
      <c r="E664" s="136">
        <f t="shared" si="26"/>
        <v>2021</v>
      </c>
      <c r="F664" s="135">
        <f>_xlfn.XLOOKUP(D155,'3. Input (des)investeringen '!$B$11:$B$80,'3. Input (des)investeringen '!$E$11:$E$80)</f>
        <v>0</v>
      </c>
    </row>
    <row r="665" spans="2:6">
      <c r="B665">
        <v>139</v>
      </c>
      <c r="D665" s="137">
        <f t="shared" si="25"/>
        <v>34968.302630908467</v>
      </c>
      <c r="E665" s="136">
        <f t="shared" si="26"/>
        <v>2021</v>
      </c>
      <c r="F665" s="135">
        <f>_xlfn.XLOOKUP(D156,'3. Input (des)investeringen '!$B$11:$B$80,'3. Input (des)investeringen '!$E$11:$E$80)</f>
        <v>0</v>
      </c>
    </row>
    <row r="666" spans="2:6">
      <c r="B666">
        <v>140</v>
      </c>
      <c r="D666" s="137">
        <f t="shared" si="25"/>
        <v>568322.42919150752</v>
      </c>
      <c r="E666" s="136">
        <f t="shared" si="26"/>
        <v>2021</v>
      </c>
      <c r="F666" s="135">
        <f>_xlfn.XLOOKUP(D157,'3. Input (des)investeringen '!$B$11:$B$80,'3. Input (des)investeringen '!$E$11:$E$80)</f>
        <v>0</v>
      </c>
    </row>
    <row r="667" spans="2:6">
      <c r="B667">
        <v>141</v>
      </c>
      <c r="D667" s="137">
        <f t="shared" si="25"/>
        <v>39042.787781114006</v>
      </c>
      <c r="E667" s="136">
        <f t="shared" si="26"/>
        <v>2021</v>
      </c>
      <c r="F667" s="135">
        <f>_xlfn.XLOOKUP(D158,'3. Input (des)investeringen '!$B$11:$B$80,'3. Input (des)investeringen '!$E$11:$E$80)</f>
        <v>0</v>
      </c>
    </row>
    <row r="668" spans="2:6">
      <c r="B668">
        <v>142</v>
      </c>
      <c r="D668" s="137">
        <f t="shared" si="25"/>
        <v>123253.28439898259</v>
      </c>
      <c r="E668" s="136">
        <f t="shared" si="26"/>
        <v>2021</v>
      </c>
      <c r="F668" s="135">
        <f>_xlfn.XLOOKUP(D159,'3. Input (des)investeringen '!$B$11:$B$80,'3. Input (des)investeringen '!$E$11:$E$80)</f>
        <v>0</v>
      </c>
    </row>
    <row r="669" spans="2:6">
      <c r="B669">
        <v>143</v>
      </c>
      <c r="D669" s="137">
        <f t="shared" si="25"/>
        <v>55481.291015903735</v>
      </c>
      <c r="E669" s="136">
        <f t="shared" si="26"/>
        <v>2021</v>
      </c>
      <c r="F669" s="135">
        <f>_xlfn.XLOOKUP(D160,'3. Input (des)investeringen '!$B$11:$B$80,'3. Input (des)investeringen '!$E$11:$E$80)</f>
        <v>0</v>
      </c>
    </row>
    <row r="670" spans="2:6">
      <c r="B670">
        <v>144</v>
      </c>
      <c r="D670" s="137">
        <f t="shared" si="25"/>
        <v>270121.01778384193</v>
      </c>
      <c r="E670" s="136">
        <f t="shared" si="26"/>
        <v>2021</v>
      </c>
      <c r="F670" s="135">
        <f>_xlfn.XLOOKUP(D161,'3. Input (des)investeringen '!$B$11:$B$80,'3. Input (des)investeringen '!$E$11:$E$80)</f>
        <v>0</v>
      </c>
    </row>
    <row r="671" spans="2:6">
      <c r="B671">
        <v>145</v>
      </c>
      <c r="D671" s="137">
        <f t="shared" si="25"/>
        <v>10091.637804543583</v>
      </c>
      <c r="E671" s="136">
        <f t="shared" si="26"/>
        <v>2021</v>
      </c>
      <c r="F671" s="135">
        <f>_xlfn.XLOOKUP(D162,'3. Input (des)investeringen '!$B$11:$B$80,'3. Input (des)investeringen '!$E$11:$E$80)</f>
        <v>0</v>
      </c>
    </row>
    <row r="672" spans="2:6">
      <c r="B672">
        <v>146</v>
      </c>
      <c r="D672" s="137">
        <f t="shared" si="25"/>
        <v>35012.560970798419</v>
      </c>
      <c r="E672" s="136">
        <f t="shared" si="26"/>
        <v>2021</v>
      </c>
      <c r="F672" s="135">
        <f>_xlfn.XLOOKUP(D163,'3. Input (des)investeringen '!$B$11:$B$80,'3. Input (des)investeringen '!$E$11:$E$80)</f>
        <v>0</v>
      </c>
    </row>
    <row r="673" spans="2:6">
      <c r="B673">
        <v>147</v>
      </c>
      <c r="D673" s="137">
        <f t="shared" si="25"/>
        <v>62541.855255277696</v>
      </c>
      <c r="E673" s="136">
        <f t="shared" si="26"/>
        <v>2021</v>
      </c>
      <c r="F673" s="135">
        <f>_xlfn.XLOOKUP(D164,'3. Input (des)investeringen '!$B$11:$B$80,'3. Input (des)investeringen '!$E$11:$E$80)</f>
        <v>0</v>
      </c>
    </row>
    <row r="674" spans="2:6">
      <c r="B674">
        <v>148</v>
      </c>
      <c r="D674" s="137">
        <f t="shared" si="25"/>
        <v>4146788.7842293433</v>
      </c>
      <c r="E674" s="136">
        <f t="shared" si="26"/>
        <v>2021</v>
      </c>
      <c r="F674" s="135">
        <f>_xlfn.XLOOKUP(D165,'3. Input (des)investeringen '!$B$11:$B$80,'3. Input (des)investeringen '!$E$11:$E$80)</f>
        <v>0</v>
      </c>
    </row>
    <row r="675" spans="2:6">
      <c r="B675">
        <v>149</v>
      </c>
      <c r="D675" s="137">
        <f t="shared" si="25"/>
        <v>-230531.07145305187</v>
      </c>
      <c r="E675" s="136">
        <f t="shared" si="26"/>
        <v>2021</v>
      </c>
      <c r="F675" s="135">
        <f>_xlfn.XLOOKUP(D166,'3. Input (des)investeringen '!$B$11:$B$80,'3. Input (des)investeringen '!$E$11:$E$80)</f>
        <v>0</v>
      </c>
    </row>
    <row r="676" spans="2:6">
      <c r="B676">
        <v>150</v>
      </c>
      <c r="D676" s="137">
        <f t="shared" si="25"/>
        <v>1523751.932813362</v>
      </c>
      <c r="E676" s="136">
        <f t="shared" si="26"/>
        <v>2021</v>
      </c>
      <c r="F676" s="135">
        <f>_xlfn.XLOOKUP(D167,'3. Input (des)investeringen '!$B$11:$B$80,'3. Input (des)investeringen '!$E$11:$E$80)</f>
        <v>0</v>
      </c>
    </row>
    <row r="677" spans="2:6">
      <c r="B677">
        <v>151</v>
      </c>
      <c r="D677" s="137">
        <f t="shared" si="25"/>
        <v>33394.539172533448</v>
      </c>
      <c r="E677" s="136">
        <f t="shared" si="26"/>
        <v>2021</v>
      </c>
      <c r="F677" s="135">
        <f>_xlfn.XLOOKUP(D168,'3. Input (des)investeringen '!$B$11:$B$80,'3. Input (des)investeringen '!$E$11:$E$80)</f>
        <v>0</v>
      </c>
    </row>
    <row r="678" spans="2:6">
      <c r="B678">
        <v>152</v>
      </c>
      <c r="D678" s="137">
        <f t="shared" si="25"/>
        <v>90699.603627050601</v>
      </c>
      <c r="E678" s="136">
        <f t="shared" si="26"/>
        <v>2021</v>
      </c>
      <c r="F678" s="135">
        <f>_xlfn.XLOOKUP(D169,'3. Input (des)investeringen '!$B$11:$B$80,'3. Input (des)investeringen '!$E$11:$E$80)</f>
        <v>0</v>
      </c>
    </row>
    <row r="679" spans="2:6">
      <c r="B679">
        <v>153</v>
      </c>
      <c r="D679" s="137">
        <f t="shared" si="25"/>
        <v>52450.485618818253</v>
      </c>
      <c r="E679" s="136">
        <f t="shared" si="26"/>
        <v>2021</v>
      </c>
      <c r="F679" s="135">
        <f>_xlfn.XLOOKUP(D170,'3. Input (des)investeringen '!$B$11:$B$80,'3. Input (des)investeringen '!$E$11:$E$80)</f>
        <v>0</v>
      </c>
    </row>
    <row r="680" spans="2:6">
      <c r="B680">
        <v>154</v>
      </c>
      <c r="D680" s="137">
        <f t="shared" si="25"/>
        <v>97120.363411276601</v>
      </c>
      <c r="E680" s="136">
        <f t="shared" si="26"/>
        <v>2021</v>
      </c>
      <c r="F680" s="135">
        <f>_xlfn.XLOOKUP(D171,'3. Input (des)investeringen '!$B$11:$B$80,'3. Input (des)investeringen '!$E$11:$E$80)</f>
        <v>0</v>
      </c>
    </row>
    <row r="681" spans="2:6">
      <c r="B681">
        <v>155</v>
      </c>
      <c r="D681" s="137">
        <f t="shared" si="25"/>
        <v>35812.951397548226</v>
      </c>
      <c r="E681" s="136">
        <f t="shared" si="26"/>
        <v>2021</v>
      </c>
      <c r="F681" s="135">
        <f>_xlfn.XLOOKUP(D172,'3. Input (des)investeringen '!$B$11:$B$80,'3. Input (des)investeringen '!$E$11:$E$80)</f>
        <v>1</v>
      </c>
    </row>
    <row r="682" spans="2:6">
      <c r="B682">
        <v>156</v>
      </c>
      <c r="D682" s="137">
        <f t="shared" si="25"/>
        <v>7395.676945150738</v>
      </c>
      <c r="E682" s="136">
        <f t="shared" si="26"/>
        <v>2021</v>
      </c>
      <c r="F682" s="135">
        <f>_xlfn.XLOOKUP(D173,'3. Input (des)investeringen '!$B$11:$B$80,'3. Input (des)investeringen '!$E$11:$E$80)</f>
        <v>1</v>
      </c>
    </row>
    <row r="683" spans="2:6">
      <c r="B683">
        <v>157</v>
      </c>
      <c r="D683" s="137">
        <f t="shared" si="25"/>
        <v>9234.2532207256827</v>
      </c>
      <c r="E683" s="136">
        <f t="shared" si="26"/>
        <v>2021</v>
      </c>
      <c r="F683" s="135">
        <f>_xlfn.XLOOKUP(D174,'3. Input (des)investeringen '!$B$11:$B$80,'3. Input (des)investeringen '!$E$11:$E$80)</f>
        <v>1</v>
      </c>
    </row>
    <row r="684" spans="2:6">
      <c r="B684">
        <v>158</v>
      </c>
      <c r="D684" s="137">
        <f t="shared" si="25"/>
        <v>38374.048222204416</v>
      </c>
      <c r="E684" s="136">
        <f t="shared" si="26"/>
        <v>2021</v>
      </c>
      <c r="F684" s="135">
        <f>_xlfn.XLOOKUP(D175,'3. Input (des)investeringen '!$B$11:$B$80,'3. Input (des)investeringen '!$E$11:$E$80)</f>
        <v>1</v>
      </c>
    </row>
    <row r="685" spans="2:6">
      <c r="B685">
        <v>159</v>
      </c>
      <c r="D685" s="137">
        <f t="shared" si="25"/>
        <v>54618.312856535376</v>
      </c>
      <c r="E685" s="136">
        <f t="shared" si="26"/>
        <v>2021</v>
      </c>
      <c r="F685" s="135">
        <f>_xlfn.XLOOKUP(D176,'3. Input (des)investeringen '!$B$11:$B$80,'3. Input (des)investeringen '!$E$11:$E$80)</f>
        <v>1</v>
      </c>
    </row>
    <row r="686" spans="2:6">
      <c r="B686">
        <v>160</v>
      </c>
      <c r="D686" s="137">
        <f t="shared" si="25"/>
        <v>32933.043087597522</v>
      </c>
      <c r="E686" s="136">
        <f t="shared" si="26"/>
        <v>2021</v>
      </c>
      <c r="F686" s="135">
        <f>_xlfn.XLOOKUP(D177,'3. Input (des)investeringen '!$B$11:$B$80,'3. Input (des)investeringen '!$E$11:$E$80)</f>
        <v>1</v>
      </c>
    </row>
    <row r="687" spans="2:6">
      <c r="B687">
        <v>161</v>
      </c>
      <c r="D687" s="137">
        <f t="shared" si="25"/>
        <v>15991.4120397446</v>
      </c>
      <c r="E687" s="136">
        <f t="shared" si="26"/>
        <v>2021</v>
      </c>
      <c r="F687" s="135">
        <f>_xlfn.XLOOKUP(D178,'3. Input (des)investeringen '!$B$11:$B$80,'3. Input (des)investeringen '!$E$11:$E$80)</f>
        <v>1</v>
      </c>
    </row>
    <row r="688" spans="2:6">
      <c r="B688">
        <v>162</v>
      </c>
      <c r="D688" s="137">
        <f t="shared" si="25"/>
        <v>385081.50137901091</v>
      </c>
      <c r="E688" s="136">
        <f t="shared" si="26"/>
        <v>2021</v>
      </c>
      <c r="F688" s="135">
        <f>_xlfn.XLOOKUP(D179,'3. Input (des)investeringen '!$B$11:$B$80,'3. Input (des)investeringen '!$E$11:$E$80)</f>
        <v>1</v>
      </c>
    </row>
    <row r="689" spans="2:6">
      <c r="B689">
        <v>163</v>
      </c>
      <c r="D689" s="137">
        <f t="shared" si="25"/>
        <v>240431.96093370012</v>
      </c>
      <c r="E689" s="136">
        <f t="shared" si="26"/>
        <v>2021</v>
      </c>
      <c r="F689" s="135">
        <f>_xlfn.XLOOKUP(D180,'3. Input (des)investeringen '!$B$11:$B$80,'3. Input (des)investeringen '!$E$11:$E$80)</f>
        <v>1</v>
      </c>
    </row>
    <row r="690" spans="2:6">
      <c r="B690">
        <v>164</v>
      </c>
      <c r="D690" s="137">
        <f t="shared" si="25"/>
        <v>1009696.3117501126</v>
      </c>
      <c r="E690" s="136">
        <f t="shared" si="26"/>
        <v>2021</v>
      </c>
      <c r="F690" s="135">
        <f>_xlfn.XLOOKUP(D181,'3. Input (des)investeringen '!$B$11:$B$80,'3. Input (des)investeringen '!$E$11:$E$80)</f>
        <v>1</v>
      </c>
    </row>
    <row r="691" spans="2:6">
      <c r="B691">
        <v>165</v>
      </c>
      <c r="D691" s="137">
        <f t="shared" si="25"/>
        <v>150181.49791814786</v>
      </c>
      <c r="E691" s="136">
        <f t="shared" si="26"/>
        <v>2021</v>
      </c>
      <c r="F691" s="135">
        <f>_xlfn.XLOOKUP(D182,'3. Input (des)investeringen '!$B$11:$B$80,'3. Input (des)investeringen '!$E$11:$E$80)</f>
        <v>1</v>
      </c>
    </row>
    <row r="692" spans="2:6">
      <c r="B692">
        <v>166</v>
      </c>
      <c r="D692" s="137">
        <f t="shared" si="25"/>
        <v>142565.19188129232</v>
      </c>
      <c r="E692" s="136">
        <f t="shared" si="26"/>
        <v>2021</v>
      </c>
      <c r="F692" s="135">
        <f>_xlfn.XLOOKUP(D183,'3. Input (des)investeringen '!$B$11:$B$80,'3. Input (des)investeringen '!$E$11:$E$80)</f>
        <v>1</v>
      </c>
    </row>
    <row r="693" spans="2:6">
      <c r="B693">
        <v>167</v>
      </c>
      <c r="D693" s="137">
        <f t="shared" si="25"/>
        <v>104010926.97902162</v>
      </c>
      <c r="E693" s="136">
        <f t="shared" si="26"/>
        <v>2021</v>
      </c>
      <c r="F693" s="135">
        <f>_xlfn.XLOOKUP(D184,'3. Input (des)investeringen '!$B$11:$B$80,'3. Input (des)investeringen '!$E$11:$E$80)</f>
        <v>0</v>
      </c>
    </row>
    <row r="694" spans="2:6">
      <c r="B694">
        <v>168</v>
      </c>
      <c r="D694" s="137">
        <f t="shared" si="25"/>
        <v>116891.95984626604</v>
      </c>
      <c r="E694" s="136">
        <f t="shared" si="26"/>
        <v>2021</v>
      </c>
      <c r="F694" s="135">
        <f>_xlfn.XLOOKUP(D185,'3. Input (des)investeringen '!$B$11:$B$80,'3. Input (des)investeringen '!$E$11:$E$80)</f>
        <v>0</v>
      </c>
    </row>
    <row r="695" spans="2:6">
      <c r="B695">
        <v>169</v>
      </c>
      <c r="D695" s="137">
        <f t="shared" si="25"/>
        <v>911799.99730978173</v>
      </c>
      <c r="E695" s="136">
        <f t="shared" si="26"/>
        <v>2021</v>
      </c>
      <c r="F695" s="135">
        <f>_xlfn.XLOOKUP(D186,'3. Input (des)investeringen '!$B$11:$B$80,'3. Input (des)investeringen '!$E$11:$E$80)</f>
        <v>0</v>
      </c>
    </row>
    <row r="696" spans="2:6">
      <c r="B696">
        <v>170</v>
      </c>
      <c r="D696" s="137">
        <f t="shared" si="25"/>
        <v>165452.03127582563</v>
      </c>
      <c r="E696" s="136">
        <f t="shared" si="26"/>
        <v>2021</v>
      </c>
      <c r="F696" s="135">
        <f>_xlfn.XLOOKUP(D187,'3. Input (des)investeringen '!$B$11:$B$80,'3. Input (des)investeringen '!$E$11:$E$80)</f>
        <v>1</v>
      </c>
    </row>
    <row r="697" spans="2:6">
      <c r="B697">
        <v>171</v>
      </c>
      <c r="D697" s="137">
        <f t="shared" si="25"/>
        <v>58464.304990344099</v>
      </c>
      <c r="E697" s="136">
        <f t="shared" si="26"/>
        <v>2021</v>
      </c>
      <c r="F697" s="135">
        <f>_xlfn.XLOOKUP(D188,'3. Input (des)investeringen '!$B$11:$B$80,'3. Input (des)investeringen '!$E$11:$E$80)</f>
        <v>1</v>
      </c>
    </row>
    <row r="698" spans="2:6">
      <c r="B698">
        <v>172</v>
      </c>
      <c r="D698" s="137">
        <f t="shared" si="25"/>
        <v>280032.44418820832</v>
      </c>
      <c r="E698" s="136">
        <f t="shared" si="26"/>
        <v>2021</v>
      </c>
      <c r="F698" s="135">
        <f>_xlfn.XLOOKUP(D189,'3. Input (des)investeringen '!$B$11:$B$80,'3. Input (des)investeringen '!$E$11:$E$80)</f>
        <v>1</v>
      </c>
    </row>
    <row r="699" spans="2:6">
      <c r="B699">
        <v>173</v>
      </c>
      <c r="D699" s="137">
        <f t="shared" si="25"/>
        <v>148341.65621620402</v>
      </c>
      <c r="E699" s="136">
        <f t="shared" si="26"/>
        <v>2021</v>
      </c>
      <c r="F699" s="135">
        <f>_xlfn.XLOOKUP(D190,'3. Input (des)investeringen '!$B$11:$B$80,'3. Input (des)investeringen '!$E$11:$E$80)</f>
        <v>1</v>
      </c>
    </row>
    <row r="700" spans="2:6">
      <c r="B700">
        <v>174</v>
      </c>
      <c r="D700" s="137">
        <f t="shared" si="25"/>
        <v>44049.749833951413</v>
      </c>
      <c r="E700" s="136">
        <f t="shared" si="26"/>
        <v>2021</v>
      </c>
      <c r="F700" s="135">
        <f>_xlfn.XLOOKUP(D191,'3. Input (des)investeringen '!$B$11:$B$80,'3. Input (des)investeringen '!$E$11:$E$80)</f>
        <v>1</v>
      </c>
    </row>
    <row r="701" spans="2:6">
      <c r="B701">
        <v>175</v>
      </c>
      <c r="D701" s="137">
        <f t="shared" si="25"/>
        <v>20139.757063131787</v>
      </c>
      <c r="E701" s="136">
        <f t="shared" si="26"/>
        <v>2021</v>
      </c>
      <c r="F701" s="135">
        <f>_xlfn.XLOOKUP(D192,'3. Input (des)investeringen '!$B$11:$B$80,'3. Input (des)investeringen '!$E$11:$E$80)</f>
        <v>1</v>
      </c>
    </row>
    <row r="702" spans="2:6">
      <c r="B702">
        <v>176</v>
      </c>
      <c r="D702" s="137">
        <f t="shared" si="25"/>
        <v>189844.78929481862</v>
      </c>
      <c r="E702" s="136">
        <f t="shared" si="26"/>
        <v>2021</v>
      </c>
      <c r="F702" s="135">
        <f>_xlfn.XLOOKUP(D193,'3. Input (des)investeringen '!$B$11:$B$80,'3. Input (des)investeringen '!$E$11:$E$80)</f>
        <v>1</v>
      </c>
    </row>
    <row r="703" spans="2:6">
      <c r="B703">
        <v>177</v>
      </c>
      <c r="D703" s="137">
        <f t="shared" si="25"/>
        <v>1297007.6448952188</v>
      </c>
      <c r="E703" s="136">
        <f t="shared" si="26"/>
        <v>2021</v>
      </c>
      <c r="F703" s="135">
        <f>_xlfn.XLOOKUP(D194,'3. Input (des)investeringen '!$B$11:$B$80,'3. Input (des)investeringen '!$E$11:$E$80)</f>
        <v>0</v>
      </c>
    </row>
    <row r="704" spans="2:6">
      <c r="B704">
        <v>178</v>
      </c>
      <c r="D704" s="137">
        <f t="shared" si="25"/>
        <v>4783603.0620347345</v>
      </c>
      <c r="E704" s="136">
        <f t="shared" si="26"/>
        <v>2021</v>
      </c>
      <c r="F704" s="135">
        <f>_xlfn.XLOOKUP(D195,'3. Input (des)investeringen '!$B$11:$B$80,'3. Input (des)investeringen '!$E$11:$E$80)</f>
        <v>0</v>
      </c>
    </row>
    <row r="705" spans="2:6">
      <c r="B705">
        <v>179</v>
      </c>
      <c r="D705" s="137">
        <f t="shared" si="25"/>
        <v>12349.860653952734</v>
      </c>
      <c r="E705" s="136">
        <f t="shared" si="26"/>
        <v>2021</v>
      </c>
      <c r="F705" s="135">
        <f>_xlfn.XLOOKUP(D196,'3. Input (des)investeringen '!$B$11:$B$80,'3. Input (des)investeringen '!$E$11:$E$80)</f>
        <v>0</v>
      </c>
    </row>
    <row r="706" spans="2:6">
      <c r="B706">
        <v>180</v>
      </c>
      <c r="D706" s="137">
        <f t="shared" si="25"/>
        <v>114981.28949244491</v>
      </c>
      <c r="E706" s="136">
        <f t="shared" si="26"/>
        <v>2021</v>
      </c>
      <c r="F706" s="135">
        <f>_xlfn.XLOOKUP(D197,'3. Input (des)investeringen '!$B$11:$B$80,'3. Input (des)investeringen '!$E$11:$E$80)</f>
        <v>0</v>
      </c>
    </row>
    <row r="707" spans="2:6">
      <c r="B707">
        <v>181</v>
      </c>
      <c r="D707" s="137">
        <f t="shared" si="25"/>
        <v>19331.1200477034</v>
      </c>
      <c r="E707" s="136">
        <f t="shared" si="26"/>
        <v>2021</v>
      </c>
      <c r="F707" s="135">
        <f>_xlfn.XLOOKUP(D198,'3. Input (des)investeringen '!$B$11:$B$80,'3. Input (des)investeringen '!$E$11:$E$80)</f>
        <v>0</v>
      </c>
    </row>
    <row r="708" spans="2:6">
      <c r="B708">
        <v>182</v>
      </c>
      <c r="D708" s="137">
        <f t="shared" si="25"/>
        <v>20851.224859054288</v>
      </c>
      <c r="E708" s="136">
        <f t="shared" si="26"/>
        <v>2021</v>
      </c>
      <c r="F708" s="135">
        <f>_xlfn.XLOOKUP(D199,'3. Input (des)investeringen '!$B$11:$B$80,'3. Input (des)investeringen '!$E$11:$E$80)</f>
        <v>0</v>
      </c>
    </row>
    <row r="709" spans="2:6">
      <c r="B709">
        <v>183</v>
      </c>
      <c r="D709" s="137">
        <f t="shared" si="25"/>
        <v>1765293.8649986126</v>
      </c>
      <c r="E709" s="136">
        <f t="shared" si="26"/>
        <v>2021</v>
      </c>
      <c r="F709" s="135">
        <f>_xlfn.XLOOKUP(D200,'3. Input (des)investeringen '!$B$11:$B$80,'3. Input (des)investeringen '!$E$11:$E$80)</f>
        <v>0</v>
      </c>
    </row>
    <row r="710" spans="2:6">
      <c r="B710">
        <v>184</v>
      </c>
      <c r="D710" s="137">
        <f t="shared" si="25"/>
        <v>285321.61534912506</v>
      </c>
      <c r="E710" s="136">
        <f t="shared" si="26"/>
        <v>2021</v>
      </c>
      <c r="F710" s="135">
        <f>_xlfn.XLOOKUP(D201,'3. Input (des)investeringen '!$B$11:$B$80,'3. Input (des)investeringen '!$E$11:$E$80)</f>
        <v>0</v>
      </c>
    </row>
    <row r="711" spans="2:6">
      <c r="B711">
        <v>185</v>
      </c>
      <c r="D711" s="137">
        <f t="shared" si="25"/>
        <v>149378.05172204439</v>
      </c>
      <c r="E711" s="136">
        <f t="shared" si="26"/>
        <v>2021</v>
      </c>
      <c r="F711" s="135">
        <f>_xlfn.XLOOKUP(D202,'3. Input (des)investeringen '!$B$11:$B$80,'3. Input (des)investeringen '!$E$11:$E$80)</f>
        <v>0</v>
      </c>
    </row>
    <row r="712" spans="2:6">
      <c r="B712">
        <v>186</v>
      </c>
      <c r="D712" s="137">
        <f t="shared" si="25"/>
        <v>243984.22373602603</v>
      </c>
      <c r="E712" s="136">
        <f t="shared" si="26"/>
        <v>2021</v>
      </c>
      <c r="F712" s="135">
        <f>_xlfn.XLOOKUP(D203,'3. Input (des)investeringen '!$B$11:$B$80,'3. Input (des)investeringen '!$E$11:$E$80)</f>
        <v>0</v>
      </c>
    </row>
    <row r="713" spans="2:6">
      <c r="B713">
        <v>187</v>
      </c>
      <c r="D713" s="137">
        <f t="shared" si="25"/>
        <v>104610.26629596196</v>
      </c>
      <c r="E713" s="136">
        <f t="shared" si="26"/>
        <v>2021</v>
      </c>
      <c r="F713" s="135">
        <f>_xlfn.XLOOKUP(D204,'3. Input (des)investeringen '!$B$11:$B$80,'3. Input (des)investeringen '!$E$11:$E$80)</f>
        <v>0</v>
      </c>
    </row>
    <row r="714" spans="2:6">
      <c r="B714">
        <v>188</v>
      </c>
      <c r="D714" s="137">
        <f t="shared" si="25"/>
        <v>195391.21351023228</v>
      </c>
      <c r="E714" s="136">
        <f t="shared" si="26"/>
        <v>2021</v>
      </c>
      <c r="F714" s="135">
        <f>_xlfn.XLOOKUP(D205,'3. Input (des)investeringen '!$B$11:$B$80,'3. Input (des)investeringen '!$E$11:$E$80)</f>
        <v>0</v>
      </c>
    </row>
    <row r="715" spans="2:6">
      <c r="B715">
        <v>189</v>
      </c>
      <c r="D715" s="137">
        <f t="shared" si="25"/>
        <v>163915.44571076255</v>
      </c>
      <c r="E715" s="136">
        <f t="shared" si="26"/>
        <v>2021</v>
      </c>
      <c r="F715" s="135">
        <f>_xlfn.XLOOKUP(D206,'3. Input (des)investeringen '!$B$11:$B$80,'3. Input (des)investeringen '!$E$11:$E$80)</f>
        <v>0</v>
      </c>
    </row>
    <row r="716" spans="2:6">
      <c r="B716">
        <v>190</v>
      </c>
      <c r="D716" s="137">
        <f t="shared" si="25"/>
        <v>32969.87889546567</v>
      </c>
      <c r="E716" s="136">
        <f t="shared" si="26"/>
        <v>2021</v>
      </c>
      <c r="F716" s="135">
        <f>_xlfn.XLOOKUP(D207,'3. Input (des)investeringen '!$B$11:$B$80,'3. Input (des)investeringen '!$E$11:$E$80)</f>
        <v>0</v>
      </c>
    </row>
    <row r="717" spans="2:6">
      <c r="B717">
        <v>191</v>
      </c>
      <c r="D717" s="137">
        <f t="shared" si="25"/>
        <v>480037.33780433988</v>
      </c>
      <c r="E717" s="136">
        <f t="shared" si="26"/>
        <v>2021</v>
      </c>
      <c r="F717" s="135">
        <f>_xlfn.XLOOKUP(D208,'3. Input (des)investeringen '!$B$11:$B$80,'3. Input (des)investeringen '!$E$11:$E$80)</f>
        <v>0</v>
      </c>
    </row>
    <row r="718" spans="2:6">
      <c r="B718">
        <v>192</v>
      </c>
      <c r="D718" s="137">
        <f t="shared" si="25"/>
        <v>39584.037201071034</v>
      </c>
      <c r="E718" s="136">
        <f t="shared" si="26"/>
        <v>2021</v>
      </c>
      <c r="F718" s="135">
        <f>_xlfn.XLOOKUP(D209,'3. Input (des)investeringen '!$B$11:$B$80,'3. Input (des)investeringen '!$E$11:$E$80)</f>
        <v>0</v>
      </c>
    </row>
    <row r="719" spans="2:6">
      <c r="B719">
        <v>193</v>
      </c>
      <c r="D719" s="137">
        <f t="shared" ref="D719:D782" si="27">F210*INDEX($E$442:$CG$522,E210-1945,G210-1945)</f>
        <v>130083.06844424587</v>
      </c>
      <c r="E719" s="136">
        <f t="shared" ref="E719:E782" si="28">G210</f>
        <v>2021</v>
      </c>
      <c r="F719" s="135">
        <f>_xlfn.XLOOKUP(D210,'3. Input (des)investeringen '!$B$11:$B$80,'3. Input (des)investeringen '!$E$11:$E$80)</f>
        <v>0</v>
      </c>
    </row>
    <row r="720" spans="2:6">
      <c r="B720">
        <v>194</v>
      </c>
      <c r="D720" s="137">
        <f t="shared" si="27"/>
        <v>93719.44025903086</v>
      </c>
      <c r="E720" s="136">
        <f t="shared" si="28"/>
        <v>2021</v>
      </c>
      <c r="F720" s="135">
        <f>_xlfn.XLOOKUP(D211,'3. Input (des)investeringen '!$B$11:$B$80,'3. Input (des)investeringen '!$E$11:$E$80)</f>
        <v>0</v>
      </c>
    </row>
    <row r="721" spans="2:6">
      <c r="B721">
        <v>195</v>
      </c>
      <c r="D721" s="137">
        <f t="shared" si="27"/>
        <v>935644.29138639243</v>
      </c>
      <c r="E721" s="136">
        <f t="shared" si="28"/>
        <v>2021</v>
      </c>
      <c r="F721" s="135">
        <f>_xlfn.XLOOKUP(D212,'3. Input (des)investeringen '!$B$11:$B$80,'3. Input (des)investeringen '!$E$11:$E$80)</f>
        <v>0</v>
      </c>
    </row>
    <row r="722" spans="2:6">
      <c r="B722">
        <v>196</v>
      </c>
      <c r="D722" s="137">
        <f t="shared" si="27"/>
        <v>335934.63931652613</v>
      </c>
      <c r="E722" s="136">
        <f t="shared" si="28"/>
        <v>2021</v>
      </c>
      <c r="F722" s="135">
        <f>_xlfn.XLOOKUP(D213,'3. Input (des)investeringen '!$B$11:$B$80,'3. Input (des)investeringen '!$E$11:$E$80)</f>
        <v>0</v>
      </c>
    </row>
    <row r="723" spans="2:6">
      <c r="B723">
        <v>197</v>
      </c>
      <c r="D723" s="137">
        <f t="shared" si="27"/>
        <v>490147.87998982042</v>
      </c>
      <c r="E723" s="136">
        <f t="shared" si="28"/>
        <v>2021</v>
      </c>
      <c r="F723" s="135">
        <f>_xlfn.XLOOKUP(D214,'3. Input (des)investeringen '!$B$11:$B$80,'3. Input (des)investeringen '!$E$11:$E$80)</f>
        <v>0</v>
      </c>
    </row>
    <row r="724" spans="2:6">
      <c r="B724">
        <v>198</v>
      </c>
      <c r="D724" s="137">
        <f t="shared" si="27"/>
        <v>13148.18159183512</v>
      </c>
      <c r="E724" s="136">
        <f t="shared" si="28"/>
        <v>2021</v>
      </c>
      <c r="F724" s="135">
        <f>_xlfn.XLOOKUP(D215,'3. Input (des)investeringen '!$B$11:$B$80,'3. Input (des)investeringen '!$E$11:$E$80)</f>
        <v>1</v>
      </c>
    </row>
    <row r="725" spans="2:6">
      <c r="B725">
        <v>199</v>
      </c>
      <c r="D725" s="137">
        <f t="shared" si="27"/>
        <v>2198.8097783725052</v>
      </c>
      <c r="E725" s="136">
        <f t="shared" si="28"/>
        <v>2021</v>
      </c>
      <c r="F725" s="135">
        <f>_xlfn.XLOOKUP(D216,'3. Input (des)investeringen '!$B$11:$B$80,'3. Input (des)investeringen '!$E$11:$E$80)</f>
        <v>1</v>
      </c>
    </row>
    <row r="726" spans="2:6">
      <c r="B726">
        <v>200</v>
      </c>
      <c r="D726" s="137">
        <f t="shared" si="27"/>
        <v>969.85938554552843</v>
      </c>
      <c r="E726" s="136">
        <f t="shared" si="28"/>
        <v>2021</v>
      </c>
      <c r="F726" s="135">
        <f>_xlfn.XLOOKUP(D217,'3. Input (des)investeringen '!$B$11:$B$80,'3. Input (des)investeringen '!$E$11:$E$80)</f>
        <v>1</v>
      </c>
    </row>
    <row r="727" spans="2:6">
      <c r="B727">
        <v>201</v>
      </c>
      <c r="D727" s="137">
        <f t="shared" si="27"/>
        <v>59918.898744918304</v>
      </c>
      <c r="E727" s="136">
        <f t="shared" si="28"/>
        <v>2021</v>
      </c>
      <c r="F727" s="135">
        <f>_xlfn.XLOOKUP(D218,'3. Input (des)investeringen '!$B$11:$B$80,'3. Input (des)investeringen '!$E$11:$E$80)</f>
        <v>1</v>
      </c>
    </row>
    <row r="728" spans="2:6">
      <c r="B728">
        <v>202</v>
      </c>
      <c r="D728" s="137">
        <f t="shared" si="27"/>
        <v>42724.477449178637</v>
      </c>
      <c r="E728" s="136">
        <f t="shared" si="28"/>
        <v>2021</v>
      </c>
      <c r="F728" s="135">
        <f>_xlfn.XLOOKUP(D219,'3. Input (des)investeringen '!$B$11:$B$80,'3. Input (des)investeringen '!$E$11:$E$80)</f>
        <v>1</v>
      </c>
    </row>
    <row r="729" spans="2:6">
      <c r="B729">
        <v>203</v>
      </c>
      <c r="D729" s="137">
        <f t="shared" si="27"/>
        <v>5769.3714682024574</v>
      </c>
      <c r="E729" s="136">
        <f t="shared" si="28"/>
        <v>2021</v>
      </c>
      <c r="F729" s="135">
        <f>_xlfn.XLOOKUP(D220,'3. Input (des)investeringen '!$B$11:$B$80,'3. Input (des)investeringen '!$E$11:$E$80)</f>
        <v>1</v>
      </c>
    </row>
    <row r="730" spans="2:6">
      <c r="B730">
        <v>204</v>
      </c>
      <c r="D730" s="137">
        <f t="shared" si="27"/>
        <v>32593.798813292055</v>
      </c>
      <c r="E730" s="136">
        <f t="shared" si="28"/>
        <v>2021</v>
      </c>
      <c r="F730" s="135">
        <f>_xlfn.XLOOKUP(D221,'3. Input (des)investeringen '!$B$11:$B$80,'3. Input (des)investeringen '!$E$11:$E$80)</f>
        <v>1</v>
      </c>
    </row>
    <row r="731" spans="2:6">
      <c r="B731">
        <v>205</v>
      </c>
      <c r="D731" s="137">
        <f t="shared" si="27"/>
        <v>2839.9947986221796</v>
      </c>
      <c r="E731" s="136">
        <f t="shared" si="28"/>
        <v>2021</v>
      </c>
      <c r="F731" s="135">
        <f>_xlfn.XLOOKUP(D222,'3. Input (des)investeringen '!$B$11:$B$80,'3. Input (des)investeringen '!$E$11:$E$80)</f>
        <v>1</v>
      </c>
    </row>
    <row r="732" spans="2:6">
      <c r="B732">
        <v>206</v>
      </c>
      <c r="D732" s="137">
        <f t="shared" si="27"/>
        <v>637836.07775882166</v>
      </c>
      <c r="E732" s="136">
        <f t="shared" si="28"/>
        <v>2021</v>
      </c>
      <c r="F732" s="135">
        <f>_xlfn.XLOOKUP(D223,'3. Input (des)investeringen '!$B$11:$B$80,'3. Input (des)investeringen '!$E$11:$E$80)</f>
        <v>1</v>
      </c>
    </row>
    <row r="733" spans="2:6">
      <c r="B733">
        <v>207</v>
      </c>
      <c r="D733" s="137">
        <f t="shared" si="27"/>
        <v>64198.222918813022</v>
      </c>
      <c r="E733" s="136">
        <f t="shared" si="28"/>
        <v>2021</v>
      </c>
      <c r="F733" s="135">
        <f>_xlfn.XLOOKUP(D224,'3. Input (des)investeringen '!$B$11:$B$80,'3. Input (des)investeringen '!$E$11:$E$80)</f>
        <v>1</v>
      </c>
    </row>
    <row r="734" spans="2:6">
      <c r="B734">
        <v>208</v>
      </c>
      <c r="D734" s="137">
        <f t="shared" si="27"/>
        <v>13522.842733938553</v>
      </c>
      <c r="E734" s="136">
        <f t="shared" si="28"/>
        <v>2021</v>
      </c>
      <c r="F734" s="135">
        <f>_xlfn.XLOOKUP(D225,'3. Input (des)investeringen '!$B$11:$B$80,'3. Input (des)investeringen '!$E$11:$E$80)</f>
        <v>1</v>
      </c>
    </row>
    <row r="735" spans="2:6">
      <c r="B735">
        <v>209</v>
      </c>
      <c r="D735" s="137">
        <f t="shared" si="27"/>
        <v>892.28276518311873</v>
      </c>
      <c r="E735" s="136">
        <f t="shared" si="28"/>
        <v>2021</v>
      </c>
      <c r="F735" s="135">
        <f>_xlfn.XLOOKUP(D226,'3. Input (des)investeringen '!$B$11:$B$80,'3. Input (des)investeringen '!$E$11:$E$80)</f>
        <v>1</v>
      </c>
    </row>
    <row r="736" spans="2:6">
      <c r="B736">
        <v>210</v>
      </c>
      <c r="D736" s="137">
        <f t="shared" si="27"/>
        <v>14093.341376277704</v>
      </c>
      <c r="E736" s="136">
        <f t="shared" si="28"/>
        <v>2021</v>
      </c>
      <c r="F736" s="135">
        <f>_xlfn.XLOOKUP(D227,'3. Input (des)investeringen '!$B$11:$B$80,'3. Input (des)investeringen '!$E$11:$E$80)</f>
        <v>1</v>
      </c>
    </row>
    <row r="737" spans="2:6">
      <c r="B737">
        <v>211</v>
      </c>
      <c r="D737" s="137">
        <f t="shared" si="27"/>
        <v>15593.002667778068</v>
      </c>
      <c r="E737" s="136">
        <f t="shared" si="28"/>
        <v>2021</v>
      </c>
      <c r="F737" s="135">
        <f>_xlfn.XLOOKUP(D228,'3. Input (des)investeringen '!$B$11:$B$80,'3. Input (des)investeringen '!$E$11:$E$80)</f>
        <v>1</v>
      </c>
    </row>
    <row r="738" spans="2:6">
      <c r="B738">
        <v>212</v>
      </c>
      <c r="D738" s="137">
        <f t="shared" si="27"/>
        <v>2163.7971819391896</v>
      </c>
      <c r="E738" s="136">
        <f t="shared" si="28"/>
        <v>2021</v>
      </c>
      <c r="F738" s="135">
        <f>_xlfn.XLOOKUP(D229,'3. Input (des)investeringen '!$B$11:$B$80,'3. Input (des)investeringen '!$E$11:$E$80)</f>
        <v>1</v>
      </c>
    </row>
    <row r="739" spans="2:6">
      <c r="B739">
        <v>213</v>
      </c>
      <c r="D739" s="137">
        <f t="shared" si="27"/>
        <v>70198.665179236268</v>
      </c>
      <c r="E739" s="136">
        <f t="shared" si="28"/>
        <v>2021</v>
      </c>
      <c r="F739" s="135">
        <f>_xlfn.XLOOKUP(D230,'3. Input (des)investeringen '!$B$11:$B$80,'3. Input (des)investeringen '!$E$11:$E$80)</f>
        <v>1</v>
      </c>
    </row>
    <row r="740" spans="2:6">
      <c r="B740">
        <v>214</v>
      </c>
      <c r="D740" s="137">
        <f t="shared" si="27"/>
        <v>4210.7603497279788</v>
      </c>
      <c r="E740" s="136">
        <f t="shared" si="28"/>
        <v>2021</v>
      </c>
      <c r="F740" s="135">
        <f>_xlfn.XLOOKUP(D231,'3. Input (des)investeringen '!$B$11:$B$80,'3. Input (des)investeringen '!$E$11:$E$80)</f>
        <v>1</v>
      </c>
    </row>
    <row r="741" spans="2:6">
      <c r="B741">
        <v>215</v>
      </c>
      <c r="D741" s="137">
        <f t="shared" si="27"/>
        <v>5034.7947985725787</v>
      </c>
      <c r="E741" s="136">
        <f t="shared" si="28"/>
        <v>2021</v>
      </c>
      <c r="F741" s="135">
        <f>_xlfn.XLOOKUP(D232,'3. Input (des)investeringen '!$B$11:$B$80,'3. Input (des)investeringen '!$E$11:$E$80)</f>
        <v>1</v>
      </c>
    </row>
    <row r="742" spans="2:6">
      <c r="B742">
        <v>216</v>
      </c>
      <c r="D742" s="137">
        <f t="shared" si="27"/>
        <v>99834.624732352502</v>
      </c>
      <c r="E742" s="136">
        <f t="shared" si="28"/>
        <v>2021</v>
      </c>
      <c r="F742" s="135">
        <f>_xlfn.XLOOKUP(D233,'3. Input (des)investeringen '!$B$11:$B$80,'3. Input (des)investeringen '!$E$11:$E$80)</f>
        <v>1</v>
      </c>
    </row>
    <row r="743" spans="2:6">
      <c r="B743">
        <v>217</v>
      </c>
      <c r="D743" s="137">
        <f t="shared" si="27"/>
        <v>6147.3001511106786</v>
      </c>
      <c r="E743" s="136">
        <f t="shared" si="28"/>
        <v>2021</v>
      </c>
      <c r="F743" s="135">
        <f>_xlfn.XLOOKUP(D234,'3. Input (des)investeringen '!$B$11:$B$80,'3. Input (des)investeringen '!$E$11:$E$80)</f>
        <v>1</v>
      </c>
    </row>
    <row r="744" spans="2:6">
      <c r="B744">
        <v>218</v>
      </c>
      <c r="D744" s="137">
        <f t="shared" si="27"/>
        <v>10192.952624599267</v>
      </c>
      <c r="E744" s="136">
        <f t="shared" si="28"/>
        <v>2021</v>
      </c>
      <c r="F744" s="135">
        <f>_xlfn.XLOOKUP(D235,'3. Input (des)investeringen '!$B$11:$B$80,'3. Input (des)investeringen '!$E$11:$E$80)</f>
        <v>1</v>
      </c>
    </row>
    <row r="745" spans="2:6">
      <c r="B745">
        <v>219</v>
      </c>
      <c r="D745" s="137">
        <f t="shared" si="27"/>
        <v>11818921.881351909</v>
      </c>
      <c r="E745" s="136">
        <f t="shared" si="28"/>
        <v>2021</v>
      </c>
      <c r="F745" s="135">
        <f>_xlfn.XLOOKUP(D236,'3. Input (des)investeringen '!$B$11:$B$80,'3. Input (des)investeringen '!$E$11:$E$80)</f>
        <v>1</v>
      </c>
    </row>
    <row r="746" spans="2:6">
      <c r="B746">
        <v>220</v>
      </c>
      <c r="D746" s="137">
        <f t="shared" si="27"/>
        <v>11191.738605549699</v>
      </c>
      <c r="E746" s="136">
        <f t="shared" si="28"/>
        <v>2021</v>
      </c>
      <c r="F746" s="135">
        <f>_xlfn.XLOOKUP(D237,'3. Input (des)investeringen '!$B$11:$B$80,'3. Input (des)investeringen '!$E$11:$E$80)</f>
        <v>1</v>
      </c>
    </row>
    <row r="747" spans="2:6">
      <c r="B747">
        <v>221</v>
      </c>
      <c r="D747" s="137">
        <f t="shared" si="27"/>
        <v>147471.83523486831</v>
      </c>
      <c r="E747" s="136">
        <f t="shared" si="28"/>
        <v>2021</v>
      </c>
      <c r="F747" s="135">
        <f>_xlfn.XLOOKUP(D238,'3. Input (des)investeringen '!$B$11:$B$80,'3. Input (des)investeringen '!$E$11:$E$80)</f>
        <v>1</v>
      </c>
    </row>
    <row r="748" spans="2:6">
      <c r="B748">
        <v>222</v>
      </c>
      <c r="D748" s="137">
        <f t="shared" si="27"/>
        <v>521013.98608091858</v>
      </c>
      <c r="E748" s="136">
        <f t="shared" si="28"/>
        <v>2021</v>
      </c>
      <c r="F748" s="135">
        <f>_xlfn.XLOOKUP(D239,'3. Input (des)investeringen '!$B$11:$B$80,'3. Input (des)investeringen '!$E$11:$E$80)</f>
        <v>1</v>
      </c>
    </row>
    <row r="749" spans="2:6">
      <c r="B749">
        <v>223</v>
      </c>
      <c r="D749" s="137">
        <f t="shared" si="27"/>
        <v>47308.343375890465</v>
      </c>
      <c r="E749" s="136">
        <f t="shared" si="28"/>
        <v>2021</v>
      </c>
      <c r="F749" s="135">
        <f>_xlfn.XLOOKUP(D240,'3. Input (des)investeringen '!$B$11:$B$80,'3. Input (des)investeringen '!$E$11:$E$80)</f>
        <v>1</v>
      </c>
    </row>
    <row r="750" spans="2:6">
      <c r="B750">
        <v>224</v>
      </c>
      <c r="D750" s="137">
        <f t="shared" si="27"/>
        <v>4358.6895977904169</v>
      </c>
      <c r="E750" s="136">
        <f t="shared" si="28"/>
        <v>2021</v>
      </c>
      <c r="F750" s="135">
        <f>_xlfn.XLOOKUP(D241,'3. Input (des)investeringen '!$B$11:$B$80,'3. Input (des)investeringen '!$E$11:$E$80)</f>
        <v>1</v>
      </c>
    </row>
    <row r="751" spans="2:6">
      <c r="B751">
        <v>225</v>
      </c>
      <c r="D751" s="137">
        <f t="shared" si="27"/>
        <v>4298.2967550578487</v>
      </c>
      <c r="E751" s="136">
        <f t="shared" si="28"/>
        <v>2021</v>
      </c>
      <c r="F751" s="135">
        <f>_xlfn.XLOOKUP(D242,'3. Input (des)investeringen '!$B$11:$B$80,'3. Input (des)investeringen '!$E$11:$E$80)</f>
        <v>1</v>
      </c>
    </row>
    <row r="752" spans="2:6">
      <c r="B752">
        <v>226</v>
      </c>
      <c r="D752" s="137">
        <f t="shared" si="27"/>
        <v>392969.28707945748</v>
      </c>
      <c r="E752" s="136">
        <f t="shared" si="28"/>
        <v>2021</v>
      </c>
      <c r="F752" s="135">
        <f>_xlfn.XLOOKUP(D243,'3. Input (des)investeringen '!$B$11:$B$80,'3. Input (des)investeringen '!$E$11:$E$80)</f>
        <v>1</v>
      </c>
    </row>
    <row r="753" spans="2:6">
      <c r="B753">
        <v>227</v>
      </c>
      <c r="D753" s="137">
        <f t="shared" si="27"/>
        <v>30500.195074069827</v>
      </c>
      <c r="E753" s="136">
        <f t="shared" si="28"/>
        <v>2021</v>
      </c>
      <c r="F753" s="135">
        <f>_xlfn.XLOOKUP(D244,'3. Input (des)investeringen '!$B$11:$B$80,'3. Input (des)investeringen '!$E$11:$E$80)</f>
        <v>1</v>
      </c>
    </row>
    <row r="754" spans="2:6">
      <c r="B754">
        <v>228</v>
      </c>
      <c r="D754" s="137">
        <f t="shared" si="27"/>
        <v>1634.829629192873</v>
      </c>
      <c r="E754" s="136">
        <f t="shared" si="28"/>
        <v>2021</v>
      </c>
      <c r="F754" s="135">
        <f>_xlfn.XLOOKUP(D245,'3. Input (des)investeringen '!$B$11:$B$80,'3. Input (des)investeringen '!$E$11:$E$80)</f>
        <v>1</v>
      </c>
    </row>
    <row r="755" spans="2:6">
      <c r="B755">
        <v>229</v>
      </c>
      <c r="D755" s="137">
        <f t="shared" si="27"/>
        <v>3718.1735391030879</v>
      </c>
      <c r="E755" s="136">
        <f t="shared" si="28"/>
        <v>2021</v>
      </c>
      <c r="F755" s="135">
        <f>_xlfn.XLOOKUP(D246,'3. Input (des)investeringen '!$B$11:$B$80,'3. Input (des)investeringen '!$E$11:$E$80)</f>
        <v>1</v>
      </c>
    </row>
    <row r="756" spans="2:6">
      <c r="B756">
        <v>230</v>
      </c>
      <c r="D756" s="137">
        <f t="shared" si="27"/>
        <v>3603.5041513126812</v>
      </c>
      <c r="E756" s="136">
        <f t="shared" si="28"/>
        <v>2021</v>
      </c>
      <c r="F756" s="135">
        <f>_xlfn.XLOOKUP(D247,'3. Input (des)investeringen '!$B$11:$B$80,'3. Input (des)investeringen '!$E$11:$E$80)</f>
        <v>1</v>
      </c>
    </row>
    <row r="757" spans="2:6">
      <c r="B757">
        <v>231</v>
      </c>
      <c r="D757" s="137">
        <f t="shared" si="27"/>
        <v>41793.8888539033</v>
      </c>
      <c r="E757" s="136">
        <f t="shared" si="28"/>
        <v>2021</v>
      </c>
      <c r="F757" s="135">
        <f>_xlfn.XLOOKUP(D248,'3. Input (des)investeringen '!$B$11:$B$80,'3. Input (des)investeringen '!$E$11:$E$80)</f>
        <v>1</v>
      </c>
    </row>
    <row r="758" spans="2:6">
      <c r="B758">
        <v>232</v>
      </c>
      <c r="D758" s="137">
        <f t="shared" si="27"/>
        <v>336.29464010461714</v>
      </c>
      <c r="E758" s="136">
        <f t="shared" si="28"/>
        <v>2021</v>
      </c>
      <c r="F758" s="135">
        <f>_xlfn.XLOOKUP(D249,'3. Input (des)investeringen '!$B$11:$B$80,'3. Input (des)investeringen '!$E$11:$E$80)</f>
        <v>1</v>
      </c>
    </row>
    <row r="759" spans="2:6">
      <c r="B759">
        <v>233</v>
      </c>
      <c r="D759" s="137">
        <f t="shared" si="27"/>
        <v>4928.815060077477</v>
      </c>
      <c r="E759" s="136">
        <f t="shared" si="28"/>
        <v>2021</v>
      </c>
      <c r="F759" s="135">
        <f>_xlfn.XLOOKUP(D250,'3. Input (des)investeringen '!$B$11:$B$80,'3. Input (des)investeringen '!$E$11:$E$80)</f>
        <v>1</v>
      </c>
    </row>
    <row r="760" spans="2:6">
      <c r="B760">
        <v>234</v>
      </c>
      <c r="D760" s="137">
        <f t="shared" si="27"/>
        <v>10568.050386272796</v>
      </c>
      <c r="E760" s="136">
        <f t="shared" si="28"/>
        <v>2021</v>
      </c>
      <c r="F760" s="135">
        <f>_xlfn.XLOOKUP(D251,'3. Input (des)investeringen '!$B$11:$B$80,'3. Input (des)investeringen '!$E$11:$E$80)</f>
        <v>1</v>
      </c>
    </row>
    <row r="761" spans="2:6">
      <c r="B761">
        <v>235</v>
      </c>
      <c r="D761" s="137">
        <f t="shared" si="27"/>
        <v>42378.464875823673</v>
      </c>
      <c r="E761" s="136">
        <f t="shared" si="28"/>
        <v>2021</v>
      </c>
      <c r="F761" s="135">
        <f>_xlfn.XLOOKUP(D252,'3. Input (des)investeringen '!$B$11:$B$80,'3. Input (des)investeringen '!$E$11:$E$80)</f>
        <v>1</v>
      </c>
    </row>
    <row r="762" spans="2:6">
      <c r="B762">
        <v>236</v>
      </c>
      <c r="D762" s="137">
        <f t="shared" si="27"/>
        <v>45895.075538151323</v>
      </c>
      <c r="E762" s="136">
        <f t="shared" si="28"/>
        <v>2021</v>
      </c>
      <c r="F762" s="135">
        <f>_xlfn.XLOOKUP(D253,'3. Input (des)investeringen '!$B$11:$B$80,'3. Input (des)investeringen '!$E$11:$E$80)</f>
        <v>1</v>
      </c>
    </row>
    <row r="763" spans="2:6">
      <c r="B763">
        <v>237</v>
      </c>
      <c r="D763" s="137">
        <f t="shared" si="27"/>
        <v>1019.0795676930163</v>
      </c>
      <c r="E763" s="136">
        <f t="shared" si="28"/>
        <v>2021</v>
      </c>
      <c r="F763" s="135">
        <f>_xlfn.XLOOKUP(D254,'3. Input (des)investeringen '!$B$11:$B$80,'3. Input (des)investeringen '!$E$11:$E$80)</f>
        <v>1</v>
      </c>
    </row>
    <row r="764" spans="2:6">
      <c r="B764">
        <v>238</v>
      </c>
      <c r="D764" s="137">
        <f t="shared" si="27"/>
        <v>2100.2142001328425</v>
      </c>
      <c r="E764" s="136">
        <f t="shared" si="28"/>
        <v>2021</v>
      </c>
      <c r="F764" s="135">
        <f>_xlfn.XLOOKUP(D255,'3. Input (des)investeringen '!$B$11:$B$80,'3. Input (des)investeringen '!$E$11:$E$80)</f>
        <v>1</v>
      </c>
    </row>
    <row r="765" spans="2:6">
      <c r="B765">
        <v>239</v>
      </c>
      <c r="D765" s="137">
        <f t="shared" si="27"/>
        <v>366.99055079584537</v>
      </c>
      <c r="E765" s="136">
        <f t="shared" si="28"/>
        <v>2021</v>
      </c>
      <c r="F765" s="135">
        <f>_xlfn.XLOOKUP(D256,'3. Input (des)investeringen '!$B$11:$B$80,'3. Input (des)investeringen '!$E$11:$E$80)</f>
        <v>1</v>
      </c>
    </row>
    <row r="766" spans="2:6">
      <c r="B766">
        <v>240</v>
      </c>
      <c r="D766" s="137">
        <f t="shared" si="27"/>
        <v>6986.0961518104068</v>
      </c>
      <c r="E766" s="136">
        <f t="shared" si="28"/>
        <v>2021</v>
      </c>
      <c r="F766" s="135">
        <f>_xlfn.XLOOKUP(D257,'3. Input (des)investeringen '!$B$11:$B$80,'3. Input (des)investeringen '!$E$11:$E$80)</f>
        <v>1</v>
      </c>
    </row>
    <row r="767" spans="2:6">
      <c r="B767">
        <v>241</v>
      </c>
      <c r="D767" s="137">
        <f t="shared" si="27"/>
        <v>4256.1290103364654</v>
      </c>
      <c r="E767" s="136">
        <f t="shared" si="28"/>
        <v>2021</v>
      </c>
      <c r="F767" s="135">
        <f>_xlfn.XLOOKUP(D258,'3. Input (des)investeringen '!$B$11:$B$80,'3. Input (des)investeringen '!$E$11:$E$80)</f>
        <v>1</v>
      </c>
    </row>
    <row r="768" spans="2:6">
      <c r="B768">
        <v>242</v>
      </c>
      <c r="D768" s="137">
        <f t="shared" si="27"/>
        <v>8389.0335760579055</v>
      </c>
      <c r="E768" s="136">
        <f t="shared" si="28"/>
        <v>2021</v>
      </c>
      <c r="F768" s="135">
        <f>_xlfn.XLOOKUP(D259,'3. Input (des)investeringen '!$B$11:$B$80,'3. Input (des)investeringen '!$E$11:$E$80)</f>
        <v>1</v>
      </c>
    </row>
    <row r="769" spans="2:6">
      <c r="B769">
        <v>243</v>
      </c>
      <c r="D769" s="137">
        <f t="shared" si="27"/>
        <v>124607.29559635933</v>
      </c>
      <c r="E769" s="136">
        <f t="shared" si="28"/>
        <v>2021</v>
      </c>
      <c r="F769" s="135">
        <f>_xlfn.XLOOKUP(D260,'3. Input (des)investeringen '!$B$11:$B$80,'3. Input (des)investeringen '!$E$11:$E$80)</f>
        <v>1</v>
      </c>
    </row>
    <row r="770" spans="2:6">
      <c r="B770">
        <v>244</v>
      </c>
      <c r="D770" s="137">
        <f t="shared" si="27"/>
        <v>11394.787114572611</v>
      </c>
      <c r="E770" s="136">
        <f t="shared" si="28"/>
        <v>2021</v>
      </c>
      <c r="F770" s="135">
        <f>_xlfn.XLOOKUP(D261,'3. Input (des)investeringen '!$B$11:$B$80,'3. Input (des)investeringen '!$E$11:$E$80)</f>
        <v>1</v>
      </c>
    </row>
    <row r="771" spans="2:6">
      <c r="B771">
        <v>245</v>
      </c>
      <c r="D771" s="137">
        <f t="shared" si="27"/>
        <v>25202.921441979426</v>
      </c>
      <c r="E771" s="136">
        <f t="shared" si="28"/>
        <v>2021</v>
      </c>
      <c r="F771" s="135">
        <f>_xlfn.XLOOKUP(D262,'3. Input (des)investeringen '!$B$11:$B$80,'3. Input (des)investeringen '!$E$11:$E$80)</f>
        <v>1</v>
      </c>
    </row>
    <row r="772" spans="2:6">
      <c r="B772">
        <v>246</v>
      </c>
      <c r="D772" s="137">
        <f t="shared" si="27"/>
        <v>1593.8026855964886</v>
      </c>
      <c r="E772" s="136">
        <f t="shared" si="28"/>
        <v>2021</v>
      </c>
      <c r="F772" s="135">
        <f>_xlfn.XLOOKUP(D263,'3. Input (des)investeringen '!$B$11:$B$80,'3. Input (des)investeringen '!$E$11:$E$80)</f>
        <v>1</v>
      </c>
    </row>
    <row r="773" spans="2:6">
      <c r="B773">
        <v>247</v>
      </c>
      <c r="D773" s="137">
        <f t="shared" si="27"/>
        <v>5358.9077232865529</v>
      </c>
      <c r="E773" s="136">
        <f t="shared" si="28"/>
        <v>2021</v>
      </c>
      <c r="F773" s="135">
        <f>_xlfn.XLOOKUP(D264,'3. Input (des)investeringen '!$B$11:$B$80,'3. Input (des)investeringen '!$E$11:$E$80)</f>
        <v>1</v>
      </c>
    </row>
    <row r="774" spans="2:6">
      <c r="B774">
        <v>248</v>
      </c>
      <c r="D774" s="137">
        <f t="shared" si="27"/>
        <v>59207.289824187035</v>
      </c>
      <c r="E774" s="136">
        <f t="shared" si="28"/>
        <v>2021</v>
      </c>
      <c r="F774" s="135">
        <f>_xlfn.XLOOKUP(D265,'3. Input (des)investeringen '!$B$11:$B$80,'3. Input (des)investeringen '!$E$11:$E$80)</f>
        <v>1</v>
      </c>
    </row>
    <row r="775" spans="2:6">
      <c r="B775">
        <v>249</v>
      </c>
      <c r="D775" s="137">
        <f t="shared" si="27"/>
        <v>144489.30413571815</v>
      </c>
      <c r="E775" s="136">
        <f t="shared" si="28"/>
        <v>2021</v>
      </c>
      <c r="F775" s="135">
        <f>_xlfn.XLOOKUP(D266,'3. Input (des)investeringen '!$B$11:$B$80,'3. Input (des)investeringen '!$E$11:$E$80)</f>
        <v>1</v>
      </c>
    </row>
    <row r="776" spans="2:6">
      <c r="B776">
        <v>250</v>
      </c>
      <c r="D776" s="137">
        <f t="shared" si="27"/>
        <v>24627.505284401475</v>
      </c>
      <c r="E776" s="136">
        <f t="shared" si="28"/>
        <v>2021</v>
      </c>
      <c r="F776" s="135">
        <f>_xlfn.XLOOKUP(D267,'3. Input (des)investeringen '!$B$11:$B$80,'3. Input (des)investeringen '!$E$11:$E$80)</f>
        <v>1</v>
      </c>
    </row>
    <row r="777" spans="2:6">
      <c r="B777">
        <v>251</v>
      </c>
      <c r="D777" s="137">
        <f t="shared" si="27"/>
        <v>129644.58151460749</v>
      </c>
      <c r="E777" s="136">
        <f t="shared" si="28"/>
        <v>2021</v>
      </c>
      <c r="F777" s="135">
        <f>_xlfn.XLOOKUP(D268,'3. Input (des)investeringen '!$B$11:$B$80,'3. Input (des)investeringen '!$E$11:$E$80)</f>
        <v>1</v>
      </c>
    </row>
    <row r="778" spans="2:6">
      <c r="B778">
        <v>252</v>
      </c>
      <c r="D778" s="137">
        <f t="shared" si="27"/>
        <v>22146.107560498778</v>
      </c>
      <c r="E778" s="136">
        <f t="shared" si="28"/>
        <v>2021</v>
      </c>
      <c r="F778" s="135">
        <f>_xlfn.XLOOKUP(D269,'3. Input (des)investeringen '!$B$11:$B$80,'3. Input (des)investeringen '!$E$11:$E$80)</f>
        <v>1</v>
      </c>
    </row>
    <row r="779" spans="2:6">
      <c r="B779">
        <v>253</v>
      </c>
      <c r="D779" s="137">
        <f t="shared" si="27"/>
        <v>4986.3759054118091</v>
      </c>
      <c r="E779" s="136">
        <f t="shared" si="28"/>
        <v>2021</v>
      </c>
      <c r="F779" s="135">
        <f>_xlfn.XLOOKUP(D270,'3. Input (des)investeringen '!$B$11:$B$80,'3. Input (des)investeringen '!$E$11:$E$80)</f>
        <v>1</v>
      </c>
    </row>
    <row r="780" spans="2:6">
      <c r="B780">
        <v>254</v>
      </c>
      <c r="D780" s="137">
        <f t="shared" si="27"/>
        <v>49793.54833839096</v>
      </c>
      <c r="E780" s="136">
        <f t="shared" si="28"/>
        <v>2021</v>
      </c>
      <c r="F780" s="135">
        <f>_xlfn.XLOOKUP(D271,'3. Input (des)investeringen '!$B$11:$B$80,'3. Input (des)investeringen '!$E$11:$E$80)</f>
        <v>1</v>
      </c>
    </row>
    <row r="781" spans="2:6">
      <c r="B781">
        <v>255</v>
      </c>
      <c r="D781" s="137">
        <f t="shared" si="27"/>
        <v>2281.2143132879228</v>
      </c>
      <c r="E781" s="136">
        <f t="shared" si="28"/>
        <v>2021</v>
      </c>
      <c r="F781" s="135">
        <f>_xlfn.XLOOKUP(D272,'3. Input (des)investeringen '!$B$11:$B$80,'3. Input (des)investeringen '!$E$11:$E$80)</f>
        <v>1</v>
      </c>
    </row>
    <row r="782" spans="2:6">
      <c r="B782">
        <v>256</v>
      </c>
      <c r="D782" s="137">
        <f t="shared" si="27"/>
        <v>425378.17598325771</v>
      </c>
      <c r="E782" s="136">
        <f t="shared" si="28"/>
        <v>2021</v>
      </c>
      <c r="F782" s="135">
        <f>_xlfn.XLOOKUP(D273,'3. Input (des)investeringen '!$B$11:$B$80,'3. Input (des)investeringen '!$E$11:$E$80)</f>
        <v>1</v>
      </c>
    </row>
    <row r="783" spans="2:6">
      <c r="B783">
        <v>257</v>
      </c>
      <c r="D783" s="137">
        <f t="shared" ref="D783:D846" si="29">F274*INDEX($E$442:$CG$522,E274-1945,G274-1945)</f>
        <v>7185524.2223373363</v>
      </c>
      <c r="E783" s="136">
        <f t="shared" ref="E783:E846" si="30">G274</f>
        <v>2021</v>
      </c>
      <c r="F783" s="135">
        <f>_xlfn.XLOOKUP(D274,'3. Input (des)investeringen '!$B$11:$B$80,'3. Input (des)investeringen '!$E$11:$E$80)</f>
        <v>1</v>
      </c>
    </row>
    <row r="784" spans="2:6">
      <c r="B784">
        <v>258</v>
      </c>
      <c r="D784" s="137">
        <f t="shared" si="29"/>
        <v>732448.55317733798</v>
      </c>
      <c r="E784" s="136">
        <f t="shared" si="30"/>
        <v>2021</v>
      </c>
      <c r="F784" s="135">
        <f>_xlfn.XLOOKUP(D275,'3. Input (des)investeringen '!$B$11:$B$80,'3. Input (des)investeringen '!$E$11:$E$80)</f>
        <v>1</v>
      </c>
    </row>
    <row r="785" spans="2:6">
      <c r="B785">
        <v>259</v>
      </c>
      <c r="D785" s="137">
        <f t="shared" si="29"/>
        <v>521090.13683721371</v>
      </c>
      <c r="E785" s="136">
        <f t="shared" si="30"/>
        <v>2021</v>
      </c>
      <c r="F785" s="135">
        <f>_xlfn.XLOOKUP(D276,'3. Input (des)investeringen '!$B$11:$B$80,'3. Input (des)investeringen '!$E$11:$E$80)</f>
        <v>1</v>
      </c>
    </row>
    <row r="786" spans="2:6">
      <c r="B786">
        <v>260</v>
      </c>
      <c r="D786" s="137">
        <f t="shared" si="29"/>
        <v>928647.3485637689</v>
      </c>
      <c r="E786" s="136">
        <f t="shared" si="30"/>
        <v>2021</v>
      </c>
      <c r="F786" s="135">
        <f>_xlfn.XLOOKUP(D277,'3. Input (des)investeringen '!$B$11:$B$80,'3. Input (des)investeringen '!$E$11:$E$80)</f>
        <v>1</v>
      </c>
    </row>
    <row r="787" spans="2:6">
      <c r="B787">
        <v>261</v>
      </c>
      <c r="D787" s="137">
        <f t="shared" si="29"/>
        <v>220417.58622530752</v>
      </c>
      <c r="E787" s="136">
        <f t="shared" si="30"/>
        <v>2021</v>
      </c>
      <c r="F787" s="135">
        <f>_xlfn.XLOOKUP(D278,'3. Input (des)investeringen '!$B$11:$B$80,'3. Input (des)investeringen '!$E$11:$E$80)</f>
        <v>1</v>
      </c>
    </row>
    <row r="788" spans="2:6">
      <c r="B788">
        <v>262</v>
      </c>
      <c r="D788" s="137">
        <f t="shared" si="29"/>
        <v>1082540.7671306636</v>
      </c>
      <c r="E788" s="136">
        <f t="shared" si="30"/>
        <v>2021</v>
      </c>
      <c r="F788" s="135">
        <f>_xlfn.XLOOKUP(D279,'3. Input (des)investeringen '!$B$11:$B$80,'3. Input (des)investeringen '!$E$11:$E$80)</f>
        <v>1</v>
      </c>
    </row>
    <row r="789" spans="2:6">
      <c r="B789">
        <v>263</v>
      </c>
      <c r="D789" s="137">
        <f t="shared" si="29"/>
        <v>511401.65758878307</v>
      </c>
      <c r="E789" s="136">
        <f t="shared" si="30"/>
        <v>2021</v>
      </c>
      <c r="F789" s="135">
        <f>_xlfn.XLOOKUP(D280,'3. Input (des)investeringen '!$B$11:$B$80,'3. Input (des)investeringen '!$E$11:$E$80)</f>
        <v>1</v>
      </c>
    </row>
    <row r="790" spans="2:6">
      <c r="B790">
        <v>264</v>
      </c>
      <c r="D790" s="137">
        <f t="shared" si="29"/>
        <v>292220.68125933275</v>
      </c>
      <c r="E790" s="136">
        <f t="shared" si="30"/>
        <v>2021</v>
      </c>
      <c r="F790" s="135">
        <f>_xlfn.XLOOKUP(D281,'3. Input (des)investeringen '!$B$11:$B$80,'3. Input (des)investeringen '!$E$11:$E$80)</f>
        <v>1</v>
      </c>
    </row>
    <row r="791" spans="2:6">
      <c r="B791">
        <v>265</v>
      </c>
      <c r="D791" s="137">
        <f t="shared" si="29"/>
        <v>163737.84090666575</v>
      </c>
      <c r="E791" s="136">
        <f t="shared" si="30"/>
        <v>2021</v>
      </c>
      <c r="F791" s="135">
        <f>_xlfn.XLOOKUP(D282,'3. Input (des)investeringen '!$B$11:$B$80,'3. Input (des)investeringen '!$E$11:$E$80)</f>
        <v>1</v>
      </c>
    </row>
    <row r="792" spans="2:6">
      <c r="B792">
        <v>266</v>
      </c>
      <c r="D792" s="137">
        <f t="shared" si="29"/>
        <v>668403.90783952852</v>
      </c>
      <c r="E792" s="136">
        <f t="shared" si="30"/>
        <v>2021</v>
      </c>
      <c r="F792" s="135">
        <f>_xlfn.XLOOKUP(D283,'3. Input (des)investeringen '!$B$11:$B$80,'3. Input (des)investeringen '!$E$11:$E$80)</f>
        <v>1</v>
      </c>
    </row>
    <row r="793" spans="2:6">
      <c r="B793">
        <v>267</v>
      </c>
      <c r="D793" s="137">
        <f t="shared" si="29"/>
        <v>1100763.5582718961</v>
      </c>
      <c r="E793" s="136">
        <f t="shared" si="30"/>
        <v>2021</v>
      </c>
      <c r="F793" s="135">
        <f>_xlfn.XLOOKUP(D284,'3. Input (des)investeringen '!$B$11:$B$80,'3. Input (des)investeringen '!$E$11:$E$80)</f>
        <v>1</v>
      </c>
    </row>
    <row r="794" spans="2:6">
      <c r="B794">
        <v>268</v>
      </c>
      <c r="D794" s="137">
        <f t="shared" si="29"/>
        <v>550425.76082445181</v>
      </c>
      <c r="E794" s="136">
        <f t="shared" si="30"/>
        <v>2021</v>
      </c>
      <c r="F794" s="135">
        <f>_xlfn.XLOOKUP(D285,'3. Input (des)investeringen '!$B$11:$B$80,'3. Input (des)investeringen '!$E$11:$E$80)</f>
        <v>1</v>
      </c>
    </row>
    <row r="795" spans="2:6">
      <c r="B795">
        <v>269</v>
      </c>
      <c r="D795" s="137">
        <f t="shared" si="29"/>
        <v>493535.1567090468</v>
      </c>
      <c r="E795" s="136">
        <f t="shared" si="30"/>
        <v>2021</v>
      </c>
      <c r="F795" s="135">
        <f>_xlfn.XLOOKUP(D286,'3. Input (des)investeringen '!$B$11:$B$80,'3. Input (des)investeringen '!$E$11:$E$80)</f>
        <v>1</v>
      </c>
    </row>
    <row r="796" spans="2:6">
      <c r="B796">
        <v>270</v>
      </c>
      <c r="D796" s="137">
        <f t="shared" si="29"/>
        <v>1141043.6057034757</v>
      </c>
      <c r="E796" s="136">
        <f t="shared" si="30"/>
        <v>2021</v>
      </c>
      <c r="F796" s="135">
        <f>_xlfn.XLOOKUP(D287,'3. Input (des)investeringen '!$B$11:$B$80,'3. Input (des)investeringen '!$E$11:$E$80)</f>
        <v>1</v>
      </c>
    </row>
    <row r="797" spans="2:6">
      <c r="B797">
        <v>271</v>
      </c>
      <c r="D797" s="137">
        <f t="shared" si="29"/>
        <v>1340871.0177292731</v>
      </c>
      <c r="E797" s="136">
        <f t="shared" si="30"/>
        <v>2021</v>
      </c>
      <c r="F797" s="135">
        <f>_xlfn.XLOOKUP(D288,'3. Input (des)investeringen '!$B$11:$B$80,'3. Input (des)investeringen '!$E$11:$E$80)</f>
        <v>1</v>
      </c>
    </row>
    <row r="798" spans="2:6">
      <c r="B798">
        <v>272</v>
      </c>
      <c r="D798" s="137">
        <f t="shared" si="29"/>
        <v>503640.04308366589</v>
      </c>
      <c r="E798" s="136">
        <f t="shared" si="30"/>
        <v>2021</v>
      </c>
      <c r="F798" s="135">
        <f>_xlfn.XLOOKUP(D289,'3. Input (des)investeringen '!$B$11:$B$80,'3. Input (des)investeringen '!$E$11:$E$80)</f>
        <v>1</v>
      </c>
    </row>
    <row r="799" spans="2:6">
      <c r="B799">
        <v>273</v>
      </c>
      <c r="D799" s="137">
        <f t="shared" si="29"/>
        <v>294963.8965371729</v>
      </c>
      <c r="E799" s="136">
        <f t="shared" si="30"/>
        <v>2021</v>
      </c>
      <c r="F799" s="135">
        <f>_xlfn.XLOOKUP(D290,'3. Input (des)investeringen '!$B$11:$B$80,'3. Input (des)investeringen '!$E$11:$E$80)</f>
        <v>1</v>
      </c>
    </row>
    <row r="800" spans="2:6">
      <c r="B800">
        <v>274</v>
      </c>
      <c r="D800" s="137">
        <f t="shared" si="29"/>
        <v>66815.699025118025</v>
      </c>
      <c r="E800" s="136">
        <f t="shared" si="30"/>
        <v>2021</v>
      </c>
      <c r="F800" s="135">
        <f>_xlfn.XLOOKUP(D291,'3. Input (des)investeringen '!$B$11:$B$80,'3. Input (des)investeringen '!$E$11:$E$80)</f>
        <v>1</v>
      </c>
    </row>
    <row r="801" spans="2:6">
      <c r="B801">
        <v>275</v>
      </c>
      <c r="D801" s="137">
        <f t="shared" si="29"/>
        <v>109772.84528112932</v>
      </c>
      <c r="E801" s="136">
        <f t="shared" si="30"/>
        <v>2021</v>
      </c>
      <c r="F801" s="135">
        <f>_xlfn.XLOOKUP(D292,'3. Input (des)investeringen '!$B$11:$B$80,'3. Input (des)investeringen '!$E$11:$E$80)</f>
        <v>1</v>
      </c>
    </row>
    <row r="802" spans="2:6">
      <c r="B802">
        <v>276</v>
      </c>
      <c r="D802" s="137">
        <f t="shared" si="29"/>
        <v>71760.577142878115</v>
      </c>
      <c r="E802" s="136">
        <f t="shared" si="30"/>
        <v>2021</v>
      </c>
      <c r="F802" s="135">
        <f>_xlfn.XLOOKUP(D293,'3. Input (des)investeringen '!$B$11:$B$80,'3. Input (des)investeringen '!$E$11:$E$80)</f>
        <v>1</v>
      </c>
    </row>
    <row r="803" spans="2:6">
      <c r="B803">
        <v>277</v>
      </c>
      <c r="D803" s="137">
        <f t="shared" si="29"/>
        <v>91685.903273300093</v>
      </c>
      <c r="E803" s="136">
        <f t="shared" si="30"/>
        <v>2021</v>
      </c>
      <c r="F803" s="135">
        <f>_xlfn.XLOOKUP(D294,'3. Input (des)investeringen '!$B$11:$B$80,'3. Input (des)investeringen '!$E$11:$E$80)</f>
        <v>0</v>
      </c>
    </row>
    <row r="804" spans="2:6">
      <c r="B804">
        <v>278</v>
      </c>
      <c r="D804" s="137">
        <f t="shared" si="29"/>
        <v>406564.28543185152</v>
      </c>
      <c r="E804" s="136">
        <f t="shared" si="30"/>
        <v>2021</v>
      </c>
      <c r="F804" s="135">
        <f>_xlfn.XLOOKUP(D295,'3. Input (des)investeringen '!$B$11:$B$80,'3. Input (des)investeringen '!$E$11:$E$80)</f>
        <v>0</v>
      </c>
    </row>
    <row r="805" spans="2:6">
      <c r="B805">
        <v>279</v>
      </c>
      <c r="D805" s="137">
        <f t="shared" si="29"/>
        <v>4343.1703706661292</v>
      </c>
      <c r="E805" s="136">
        <f t="shared" si="30"/>
        <v>2021</v>
      </c>
      <c r="F805" s="135">
        <f>_xlfn.XLOOKUP(D296,'3. Input (des)investeringen '!$B$11:$B$80,'3. Input (des)investeringen '!$E$11:$E$80)</f>
        <v>0</v>
      </c>
    </row>
    <row r="806" spans="2:6">
      <c r="B806">
        <v>280</v>
      </c>
      <c r="D806" s="137">
        <f t="shared" si="29"/>
        <v>98357.91620714216</v>
      </c>
      <c r="E806" s="136">
        <f t="shared" si="30"/>
        <v>2021</v>
      </c>
      <c r="F806" s="135">
        <f>_xlfn.XLOOKUP(D297,'3. Input (des)investeringen '!$B$11:$B$80,'3. Input (des)investeringen '!$E$11:$E$80)</f>
        <v>1</v>
      </c>
    </row>
    <row r="807" spans="2:6">
      <c r="B807">
        <v>281</v>
      </c>
      <c r="D807" s="137">
        <f t="shared" si="29"/>
        <v>38685.240317018492</v>
      </c>
      <c r="E807" s="136">
        <f t="shared" si="30"/>
        <v>2021</v>
      </c>
      <c r="F807" s="135">
        <f>_xlfn.XLOOKUP(D298,'3. Input (des)investeringen '!$B$11:$B$80,'3. Input (des)investeringen '!$E$11:$E$80)</f>
        <v>1</v>
      </c>
    </row>
    <row r="808" spans="2:6">
      <c r="B808">
        <v>282</v>
      </c>
      <c r="D808" s="137">
        <f t="shared" si="29"/>
        <v>43273.531147319729</v>
      </c>
      <c r="E808" s="136">
        <f t="shared" si="30"/>
        <v>2021</v>
      </c>
      <c r="F808" s="135">
        <f>_xlfn.XLOOKUP(D299,'3. Input (des)investeringen '!$B$11:$B$80,'3. Input (des)investeringen '!$E$11:$E$80)</f>
        <v>1</v>
      </c>
    </row>
    <row r="809" spans="2:6">
      <c r="B809">
        <v>283</v>
      </c>
      <c r="D809" s="137">
        <f t="shared" si="29"/>
        <v>197935.88660477666</v>
      </c>
      <c r="E809" s="136">
        <f t="shared" si="30"/>
        <v>2021</v>
      </c>
      <c r="F809" s="135">
        <f>_xlfn.XLOOKUP(D300,'3. Input (des)investeringen '!$B$11:$B$80,'3. Input (des)investeringen '!$E$11:$E$80)</f>
        <v>1</v>
      </c>
    </row>
    <row r="810" spans="2:6">
      <c r="B810">
        <v>284</v>
      </c>
      <c r="D810" s="137">
        <f t="shared" si="29"/>
        <v>3536.1721082700515</v>
      </c>
      <c r="E810" s="136">
        <f t="shared" si="30"/>
        <v>2021</v>
      </c>
      <c r="F810" s="135">
        <f>_xlfn.XLOOKUP(D301,'3. Input (des)investeringen '!$B$11:$B$80,'3. Input (des)investeringen '!$E$11:$E$80)</f>
        <v>1</v>
      </c>
    </row>
    <row r="811" spans="2:6">
      <c r="B811">
        <v>285</v>
      </c>
      <c r="D811" s="137">
        <f t="shared" si="29"/>
        <v>149008.91551010619</v>
      </c>
      <c r="E811" s="136">
        <f t="shared" si="30"/>
        <v>2021</v>
      </c>
      <c r="F811" s="135">
        <f>_xlfn.XLOOKUP(D302,'3. Input (des)investeringen '!$B$11:$B$80,'3. Input (des)investeringen '!$E$11:$E$80)</f>
        <v>1</v>
      </c>
    </row>
    <row r="812" spans="2:6">
      <c r="B812">
        <v>286</v>
      </c>
      <c r="D812" s="137">
        <f t="shared" si="29"/>
        <v>320750.25625020906</v>
      </c>
      <c r="E812" s="136">
        <f t="shared" si="30"/>
        <v>2021</v>
      </c>
      <c r="F812" s="135">
        <f>_xlfn.XLOOKUP(D303,'3. Input (des)investeringen '!$B$11:$B$80,'3. Input (des)investeringen '!$E$11:$E$80)</f>
        <v>1</v>
      </c>
    </row>
    <row r="813" spans="2:6">
      <c r="B813">
        <v>287</v>
      </c>
      <c r="D813" s="137">
        <f t="shared" si="29"/>
        <v>75796.301285625028</v>
      </c>
      <c r="E813" s="136">
        <f t="shared" si="30"/>
        <v>2021</v>
      </c>
      <c r="F813" s="135">
        <f>_xlfn.XLOOKUP(D304,'3. Input (des)investeringen '!$B$11:$B$80,'3. Input (des)investeringen '!$E$11:$E$80)</f>
        <v>1</v>
      </c>
    </row>
    <row r="814" spans="2:6">
      <c r="B814">
        <v>288</v>
      </c>
      <c r="D814" s="137">
        <f t="shared" si="29"/>
        <v>447507.68906529818</v>
      </c>
      <c r="E814" s="136">
        <f t="shared" si="30"/>
        <v>2021</v>
      </c>
      <c r="F814" s="135">
        <f>_xlfn.XLOOKUP(D305,'3. Input (des)investeringen '!$B$11:$B$80,'3. Input (des)investeringen '!$E$11:$E$80)</f>
        <v>1</v>
      </c>
    </row>
    <row r="815" spans="2:6">
      <c r="B815">
        <v>289</v>
      </c>
      <c r="D815" s="137">
        <f t="shared" si="29"/>
        <v>585.89540720010632</v>
      </c>
      <c r="E815" s="136">
        <f t="shared" si="30"/>
        <v>2021</v>
      </c>
      <c r="F815" s="135">
        <f>_xlfn.XLOOKUP(D306,'3. Input (des)investeringen '!$B$11:$B$80,'3. Input (des)investeringen '!$E$11:$E$80)</f>
        <v>1</v>
      </c>
    </row>
    <row r="816" spans="2:6">
      <c r="B816">
        <v>290</v>
      </c>
      <c r="D816" s="137">
        <f t="shared" si="29"/>
        <v>1076368.1896706892</v>
      </c>
      <c r="E816" s="136">
        <f t="shared" si="30"/>
        <v>2021</v>
      </c>
      <c r="F816" s="135">
        <f>_xlfn.XLOOKUP(D307,'3. Input (des)investeringen '!$B$11:$B$80,'3. Input (des)investeringen '!$E$11:$E$80)</f>
        <v>1</v>
      </c>
    </row>
    <row r="817" spans="2:6">
      <c r="B817">
        <v>291</v>
      </c>
      <c r="D817" s="137">
        <f t="shared" si="29"/>
        <v>12458.301884420251</v>
      </c>
      <c r="E817" s="136">
        <f t="shared" si="30"/>
        <v>2021</v>
      </c>
      <c r="F817" s="135">
        <f>_xlfn.XLOOKUP(D308,'3. Input (des)investeringen '!$B$11:$B$80,'3. Input (des)investeringen '!$E$11:$E$80)</f>
        <v>1</v>
      </c>
    </row>
    <row r="818" spans="2:6">
      <c r="B818">
        <v>292</v>
      </c>
      <c r="D818" s="137">
        <f t="shared" si="29"/>
        <v>236253.64868884979</v>
      </c>
      <c r="E818" s="136">
        <f t="shared" si="30"/>
        <v>2021</v>
      </c>
      <c r="F818" s="135">
        <f>_xlfn.XLOOKUP(D309,'3. Input (des)investeringen '!$B$11:$B$80,'3. Input (des)investeringen '!$E$11:$E$80)</f>
        <v>0</v>
      </c>
    </row>
    <row r="819" spans="2:6">
      <c r="B819">
        <v>293</v>
      </c>
      <c r="D819" s="137">
        <f t="shared" si="29"/>
        <v>1167992.7901493718</v>
      </c>
      <c r="E819" s="136">
        <f t="shared" si="30"/>
        <v>2021</v>
      </c>
      <c r="F819" s="135">
        <f>_xlfn.XLOOKUP(D310,'3. Input (des)investeringen '!$B$11:$B$80,'3. Input (des)investeringen '!$E$11:$E$80)</f>
        <v>0</v>
      </c>
    </row>
    <row r="820" spans="2:6">
      <c r="B820">
        <v>294</v>
      </c>
      <c r="D820" s="137">
        <f t="shared" si="29"/>
        <v>1278744.1282753907</v>
      </c>
      <c r="E820" s="136">
        <f t="shared" si="30"/>
        <v>2021</v>
      </c>
      <c r="F820" s="135">
        <f>_xlfn.XLOOKUP(D311,'3. Input (des)investeringen '!$B$11:$B$80,'3. Input (des)investeringen '!$E$11:$E$80)</f>
        <v>0</v>
      </c>
    </row>
    <row r="821" spans="2:6">
      <c r="B821">
        <v>295</v>
      </c>
      <c r="D821" s="137">
        <f t="shared" si="29"/>
        <v>417969.94669647992</v>
      </c>
      <c r="E821" s="136">
        <f t="shared" si="30"/>
        <v>2021</v>
      </c>
      <c r="F821" s="135">
        <f>_xlfn.XLOOKUP(D312,'3. Input (des)investeringen '!$B$11:$B$80,'3. Input (des)investeringen '!$E$11:$E$80)</f>
        <v>0</v>
      </c>
    </row>
    <row r="822" spans="2:6">
      <c r="B822">
        <v>296</v>
      </c>
      <c r="D822" s="137">
        <f t="shared" si="29"/>
        <v>565140.25960966269</v>
      </c>
      <c r="E822" s="136">
        <f t="shared" si="30"/>
        <v>2021</v>
      </c>
      <c r="F822" s="135">
        <f>_xlfn.XLOOKUP(D313,'3. Input (des)investeringen '!$B$11:$B$80,'3. Input (des)investeringen '!$E$11:$E$80)</f>
        <v>0</v>
      </c>
    </row>
    <row r="823" spans="2:6">
      <c r="B823">
        <v>297</v>
      </c>
      <c r="D823" s="137">
        <f t="shared" si="29"/>
        <v>170454.15687331129</v>
      </c>
      <c r="E823" s="136">
        <f t="shared" si="30"/>
        <v>2021</v>
      </c>
      <c r="F823" s="135">
        <f>_xlfn.XLOOKUP(D314,'3. Input (des)investeringen '!$B$11:$B$80,'3. Input (des)investeringen '!$E$11:$E$80)</f>
        <v>0</v>
      </c>
    </row>
    <row r="824" spans="2:6">
      <c r="B824">
        <v>298</v>
      </c>
      <c r="D824" s="137">
        <f t="shared" si="29"/>
        <v>770495.64099103538</v>
      </c>
      <c r="E824" s="136">
        <f t="shared" si="30"/>
        <v>2021</v>
      </c>
      <c r="F824" s="135">
        <f>_xlfn.XLOOKUP(D315,'3. Input (des)investeringen '!$B$11:$B$80,'3. Input (des)investeringen '!$E$11:$E$80)</f>
        <v>0</v>
      </c>
    </row>
    <row r="825" spans="2:6">
      <c r="B825">
        <v>299</v>
      </c>
      <c r="D825" s="137">
        <f t="shared" si="29"/>
        <v>1359018.3003866887</v>
      </c>
      <c r="E825" s="136">
        <f t="shared" si="30"/>
        <v>2021</v>
      </c>
      <c r="F825" s="135">
        <f>_xlfn.XLOOKUP(D316,'3. Input (des)investeringen '!$B$11:$B$80,'3. Input (des)investeringen '!$E$11:$E$80)</f>
        <v>0</v>
      </c>
    </row>
    <row r="826" spans="2:6">
      <c r="B826">
        <v>300</v>
      </c>
      <c r="D826" s="137">
        <f t="shared" si="29"/>
        <v>563287.27093052329</v>
      </c>
      <c r="E826" s="136">
        <f t="shared" si="30"/>
        <v>2021</v>
      </c>
      <c r="F826" s="135">
        <f>_xlfn.XLOOKUP(D317,'3. Input (des)investeringen '!$B$11:$B$80,'3. Input (des)investeringen '!$E$11:$E$80)</f>
        <v>0</v>
      </c>
    </row>
    <row r="827" spans="2:6">
      <c r="B827">
        <v>301</v>
      </c>
      <c r="D827" s="137">
        <f t="shared" si="29"/>
        <v>758025.33866394043</v>
      </c>
      <c r="E827" s="136">
        <f t="shared" si="30"/>
        <v>2021</v>
      </c>
      <c r="F827" s="135">
        <f>_xlfn.XLOOKUP(D318,'3. Input (des)investeringen '!$B$11:$B$80,'3. Input (des)investeringen '!$E$11:$E$80)</f>
        <v>0</v>
      </c>
    </row>
    <row r="828" spans="2:6">
      <c r="B828">
        <v>302</v>
      </c>
      <c r="D828" s="137">
        <f t="shared" si="29"/>
        <v>1072746.2175645537</v>
      </c>
      <c r="E828" s="136">
        <f t="shared" si="30"/>
        <v>2021</v>
      </c>
      <c r="F828" s="135">
        <f>_xlfn.XLOOKUP(D319,'3. Input (des)investeringen '!$B$11:$B$80,'3. Input (des)investeringen '!$E$11:$E$80)</f>
        <v>0</v>
      </c>
    </row>
    <row r="829" spans="2:6">
      <c r="B829">
        <v>303</v>
      </c>
      <c r="D829" s="137">
        <f t="shared" si="29"/>
        <v>69883.751406690964</v>
      </c>
      <c r="E829" s="136">
        <f t="shared" si="30"/>
        <v>2021</v>
      </c>
      <c r="F829" s="135">
        <f>_xlfn.XLOOKUP(D320,'3. Input (des)investeringen '!$B$11:$B$80,'3. Input (des)investeringen '!$E$11:$E$80)</f>
        <v>0</v>
      </c>
    </row>
    <row r="830" spans="2:6">
      <c r="B830">
        <v>304</v>
      </c>
      <c r="D830" s="137">
        <f t="shared" si="29"/>
        <v>74510.976145309935</v>
      </c>
      <c r="E830" s="136">
        <f t="shared" si="30"/>
        <v>2021</v>
      </c>
      <c r="F830" s="135">
        <f>_xlfn.XLOOKUP(D321,'3. Input (des)investeringen '!$B$11:$B$80,'3. Input (des)investeringen '!$E$11:$E$80)</f>
        <v>0</v>
      </c>
    </row>
    <row r="831" spans="2:6">
      <c r="B831">
        <v>305</v>
      </c>
      <c r="D831" s="137">
        <f t="shared" si="29"/>
        <v>474585.39415796031</v>
      </c>
      <c r="E831" s="136">
        <f t="shared" si="30"/>
        <v>2021</v>
      </c>
      <c r="F831" s="135">
        <f>_xlfn.XLOOKUP(D322,'3. Input (des)investeringen '!$B$11:$B$80,'3. Input (des)investeringen '!$E$11:$E$80)</f>
        <v>0</v>
      </c>
    </row>
    <row r="832" spans="2:6">
      <c r="B832">
        <v>306</v>
      </c>
      <c r="D832" s="137">
        <f t="shared" si="29"/>
        <v>300052.12258130778</v>
      </c>
      <c r="E832" s="136">
        <f t="shared" si="30"/>
        <v>2021</v>
      </c>
      <c r="F832" s="135">
        <f>_xlfn.XLOOKUP(D323,'3. Input (des)investeringen '!$B$11:$B$80,'3. Input (des)investeringen '!$E$11:$E$80)</f>
        <v>0</v>
      </c>
    </row>
    <row r="833" spans="2:6">
      <c r="B833">
        <v>307</v>
      </c>
      <c r="D833" s="137">
        <f t="shared" si="29"/>
        <v>174219.76869315104</v>
      </c>
      <c r="E833" s="136">
        <f t="shared" si="30"/>
        <v>2021</v>
      </c>
      <c r="F833" s="135">
        <f>_xlfn.XLOOKUP(D324,'3. Input (des)investeringen '!$B$11:$B$80,'3. Input (des)investeringen '!$E$11:$E$80)</f>
        <v>0</v>
      </c>
    </row>
    <row r="834" spans="2:6">
      <c r="B834">
        <v>308</v>
      </c>
      <c r="D834" s="137">
        <f t="shared" si="29"/>
        <v>44878.31143522395</v>
      </c>
      <c r="E834" s="136">
        <f t="shared" si="30"/>
        <v>2021</v>
      </c>
      <c r="F834" s="135">
        <f>_xlfn.XLOOKUP(D325,'3. Input (des)investeringen '!$B$11:$B$80,'3. Input (des)investeringen '!$E$11:$E$80)</f>
        <v>0</v>
      </c>
    </row>
    <row r="835" spans="2:6">
      <c r="B835">
        <v>309</v>
      </c>
      <c r="D835" s="137">
        <f t="shared" si="29"/>
        <v>99537.263491634294</v>
      </c>
      <c r="E835" s="136">
        <f t="shared" si="30"/>
        <v>2021</v>
      </c>
      <c r="F835" s="135">
        <f>_xlfn.XLOOKUP(D326,'3. Input (des)investeringen '!$B$11:$B$80,'3. Input (des)investeringen '!$E$11:$E$80)</f>
        <v>0</v>
      </c>
    </row>
    <row r="836" spans="2:6">
      <c r="B836">
        <v>310</v>
      </c>
      <c r="D836" s="137">
        <f t="shared" si="29"/>
        <v>211807.13784127281</v>
      </c>
      <c r="E836" s="136">
        <f t="shared" si="30"/>
        <v>2021</v>
      </c>
      <c r="F836" s="135">
        <f>_xlfn.XLOOKUP(D327,'3. Input (des)investeringen '!$B$11:$B$80,'3. Input (des)investeringen '!$E$11:$E$80)</f>
        <v>0</v>
      </c>
    </row>
    <row r="837" spans="2:6">
      <c r="B837">
        <v>311</v>
      </c>
      <c r="D837" s="137">
        <f t="shared" si="29"/>
        <v>25424.944825862574</v>
      </c>
      <c r="E837" s="136">
        <f t="shared" si="30"/>
        <v>2021</v>
      </c>
      <c r="F837" s="135">
        <f>_xlfn.XLOOKUP(D328,'3. Input (des)investeringen '!$B$11:$B$80,'3. Input (des)investeringen '!$E$11:$E$80)</f>
        <v>0</v>
      </c>
    </row>
    <row r="838" spans="2:6">
      <c r="B838">
        <v>312</v>
      </c>
      <c r="D838" s="137">
        <f t="shared" si="29"/>
        <v>15024.675380202731</v>
      </c>
      <c r="E838" s="136">
        <f t="shared" si="30"/>
        <v>2021</v>
      </c>
      <c r="F838" s="135">
        <f>_xlfn.XLOOKUP(D329,'3. Input (des)investeringen '!$B$11:$B$80,'3. Input (des)investeringen '!$E$11:$E$80)</f>
        <v>0</v>
      </c>
    </row>
    <row r="839" spans="2:6">
      <c r="B839">
        <v>313</v>
      </c>
      <c r="D839" s="137">
        <f t="shared" si="29"/>
        <v>369982.18838464137</v>
      </c>
      <c r="E839" s="136">
        <f t="shared" si="30"/>
        <v>2021</v>
      </c>
      <c r="F839" s="135">
        <f>_xlfn.XLOOKUP(D330,'3. Input (des)investeringen '!$B$11:$B$80,'3. Input (des)investeringen '!$E$11:$E$80)</f>
        <v>0</v>
      </c>
    </row>
    <row r="840" spans="2:6">
      <c r="B840">
        <v>314</v>
      </c>
      <c r="D840" s="137">
        <f t="shared" si="29"/>
        <v>522874.68696638738</v>
      </c>
      <c r="E840" s="136">
        <f t="shared" si="30"/>
        <v>2021</v>
      </c>
      <c r="F840" s="135">
        <f>_xlfn.XLOOKUP(D331,'3. Input (des)investeringen '!$B$11:$B$80,'3. Input (des)investeringen '!$E$11:$E$80)</f>
        <v>0</v>
      </c>
    </row>
    <row r="841" spans="2:6">
      <c r="B841">
        <v>315</v>
      </c>
      <c r="D841" s="137">
        <f t="shared" si="29"/>
        <v>8992226.8388336189</v>
      </c>
      <c r="E841" s="136">
        <f t="shared" si="30"/>
        <v>2021</v>
      </c>
      <c r="F841" s="135">
        <f>_xlfn.XLOOKUP(D332,'3. Input (des)investeringen '!$B$11:$B$80,'3. Input (des)investeringen '!$E$11:$E$80)</f>
        <v>0</v>
      </c>
    </row>
    <row r="842" spans="2:6">
      <c r="B842">
        <v>316</v>
      </c>
      <c r="D842" s="137">
        <f t="shared" si="29"/>
        <v>1794467.5130827182</v>
      </c>
      <c r="E842" s="136">
        <f t="shared" si="30"/>
        <v>2022</v>
      </c>
      <c r="F842" s="135">
        <f>_xlfn.XLOOKUP(D333,'3. Input (des)investeringen '!$B$11:$B$80,'3. Input (des)investeringen '!$E$11:$E$80)</f>
        <v>1</v>
      </c>
    </row>
    <row r="843" spans="2:6">
      <c r="B843">
        <v>317</v>
      </c>
      <c r="D843" s="137">
        <f t="shared" si="29"/>
        <v>788860.63503546279</v>
      </c>
      <c r="E843" s="136">
        <f t="shared" si="30"/>
        <v>2022</v>
      </c>
      <c r="F843" s="135">
        <f>_xlfn.XLOOKUP(D334,'3. Input (des)investeringen '!$B$11:$B$80,'3. Input (des)investeringen '!$E$11:$E$80)</f>
        <v>1</v>
      </c>
    </row>
    <row r="844" spans="2:6">
      <c r="B844">
        <v>318</v>
      </c>
      <c r="D844" s="137">
        <f t="shared" si="29"/>
        <v>1273.3351239778597</v>
      </c>
      <c r="E844" s="136">
        <f t="shared" si="30"/>
        <v>2022</v>
      </c>
      <c r="F844" s="135">
        <f>_xlfn.XLOOKUP(D335,'3. Input (des)investeringen '!$B$11:$B$80,'3. Input (des)investeringen '!$E$11:$E$80)</f>
        <v>1</v>
      </c>
    </row>
    <row r="845" spans="2:6">
      <c r="B845">
        <v>319</v>
      </c>
      <c r="D845" s="137">
        <f t="shared" si="29"/>
        <v>7.7062133580083972E-2</v>
      </c>
      <c r="E845" s="136">
        <f t="shared" si="30"/>
        <v>2022</v>
      </c>
      <c r="F845" s="135">
        <f>_xlfn.XLOOKUP(D336,'3. Input (des)investeringen '!$B$11:$B$80,'3. Input (des)investeringen '!$E$11:$E$80)</f>
        <v>1</v>
      </c>
    </row>
    <row r="846" spans="2:6">
      <c r="B846">
        <v>320</v>
      </c>
      <c r="D846" s="137">
        <f t="shared" si="29"/>
        <v>210895.72784382594</v>
      </c>
      <c r="E846" s="136">
        <f t="shared" si="30"/>
        <v>2022</v>
      </c>
      <c r="F846" s="135">
        <f>_xlfn.XLOOKUP(D337,'3. Input (des)investeringen '!$B$11:$B$80,'3. Input (des)investeringen '!$E$11:$E$80)</f>
        <v>1</v>
      </c>
    </row>
    <row r="847" spans="2:6">
      <c r="B847">
        <v>321</v>
      </c>
      <c r="D847" s="137">
        <f t="shared" ref="D847:D855" si="31">F338*INDEX($E$442:$CG$522,E338-1945,G338-1945)</f>
        <v>897712.16634437081</v>
      </c>
      <c r="E847" s="136">
        <f t="shared" ref="E847:E855" si="32">G338</f>
        <v>2022</v>
      </c>
      <c r="F847" s="135">
        <f>_xlfn.XLOOKUP(D338,'3. Input (des)investeringen '!$B$11:$B$80,'3. Input (des)investeringen '!$E$11:$E$80)</f>
        <v>1</v>
      </c>
    </row>
    <row r="848" spans="2:6">
      <c r="B848">
        <v>322</v>
      </c>
      <c r="D848" s="137">
        <f t="shared" si="31"/>
        <v>1456756.073943085</v>
      </c>
      <c r="E848" s="136">
        <f t="shared" si="32"/>
        <v>2022</v>
      </c>
      <c r="F848" s="135">
        <f>_xlfn.XLOOKUP(D339,'3. Input (des)investeringen '!$B$11:$B$80,'3. Input (des)investeringen '!$E$11:$E$80)</f>
        <v>1</v>
      </c>
    </row>
    <row r="849" spans="2:6">
      <c r="B849">
        <v>323</v>
      </c>
      <c r="D849" s="137">
        <f t="shared" si="31"/>
        <v>537510.92809868616</v>
      </c>
      <c r="E849" s="136">
        <f t="shared" si="32"/>
        <v>2022</v>
      </c>
      <c r="F849" s="135">
        <f>_xlfn.XLOOKUP(D340,'3. Input (des)investeringen '!$B$11:$B$80,'3. Input (des)investeringen '!$E$11:$E$80)</f>
        <v>1</v>
      </c>
    </row>
    <row r="850" spans="2:6">
      <c r="B850">
        <v>324</v>
      </c>
      <c r="D850" s="137">
        <f t="shared" si="31"/>
        <v>274815.80469335237</v>
      </c>
      <c r="E850" s="136">
        <f t="shared" si="32"/>
        <v>2022</v>
      </c>
      <c r="F850" s="135">
        <f>_xlfn.XLOOKUP(D341,'3. Input (des)investeringen '!$B$11:$B$80,'3. Input (des)investeringen '!$E$11:$E$80)</f>
        <v>1</v>
      </c>
    </row>
    <row r="851" spans="2:6">
      <c r="B851">
        <v>325</v>
      </c>
      <c r="D851" s="137">
        <f t="shared" si="31"/>
        <v>427908.4118906298</v>
      </c>
      <c r="E851" s="136">
        <f t="shared" si="32"/>
        <v>2022</v>
      </c>
      <c r="F851" s="135">
        <f>_xlfn.XLOOKUP(D342,'3. Input (des)investeringen '!$B$11:$B$80,'3. Input (des)investeringen '!$E$11:$E$80)</f>
        <v>1</v>
      </c>
    </row>
    <row r="852" spans="2:6">
      <c r="B852">
        <v>326</v>
      </c>
      <c r="D852" s="137">
        <f t="shared" si="31"/>
        <v>549678.59229549393</v>
      </c>
      <c r="E852" s="136">
        <f t="shared" si="32"/>
        <v>2022</v>
      </c>
      <c r="F852" s="135">
        <f>_xlfn.XLOOKUP(D343,'3. Input (des)investeringen '!$B$11:$B$80,'3. Input (des)investeringen '!$E$11:$E$80)</f>
        <v>1</v>
      </c>
    </row>
    <row r="853" spans="2:6">
      <c r="B853">
        <v>327</v>
      </c>
      <c r="D853" s="137">
        <f t="shared" si="31"/>
        <v>307195.76641828933</v>
      </c>
      <c r="E853" s="136">
        <f t="shared" si="32"/>
        <v>2022</v>
      </c>
      <c r="F853" s="135">
        <f>_xlfn.XLOOKUP(D344,'3. Input (des)investeringen '!$B$11:$B$80,'3. Input (des)investeringen '!$E$11:$E$80)</f>
        <v>1</v>
      </c>
    </row>
    <row r="854" spans="2:6">
      <c r="B854">
        <v>328</v>
      </c>
      <c r="D854" s="137">
        <f t="shared" si="31"/>
        <v>863222.8872694883</v>
      </c>
      <c r="E854" s="136">
        <f t="shared" si="32"/>
        <v>2022</v>
      </c>
      <c r="F854" s="135">
        <f>_xlfn.XLOOKUP(D345,'3. Input (des)investeringen '!$B$11:$B$80,'3. Input (des)investeringen '!$E$11:$E$80)</f>
        <v>1</v>
      </c>
    </row>
    <row r="855" spans="2:6">
      <c r="B855">
        <v>329</v>
      </c>
      <c r="D855" s="137">
        <f t="shared" si="31"/>
        <v>630047.23089903092</v>
      </c>
      <c r="E855" s="136">
        <f t="shared" si="32"/>
        <v>2022</v>
      </c>
      <c r="F855" s="135">
        <f>_xlfn.XLOOKUP(D346,'3. Input (des)investeringen '!$B$11:$B$80,'3. Input (des)investeringen '!$E$11:$E$80)</f>
        <v>1</v>
      </c>
    </row>
    <row r="856" spans="2:6">
      <c r="B856">
        <v>330</v>
      </c>
      <c r="D856" s="137">
        <f t="shared" ref="D856:D919" si="33">F347*INDEX($E$442:$CG$522,E347-1945,G347-1945)</f>
        <v>213886.93735114989</v>
      </c>
      <c r="E856" s="136">
        <f t="shared" ref="E856:E919" si="34">G347</f>
        <v>2022</v>
      </c>
      <c r="F856" s="135">
        <f>_xlfn.XLOOKUP(D347,'3. Input (des)investeringen '!$B$11:$B$80,'3. Input (des)investeringen '!$E$11:$E$80)</f>
        <v>1</v>
      </c>
    </row>
    <row r="857" spans="2:6">
      <c r="B857">
        <v>331</v>
      </c>
      <c r="D857" s="137">
        <f t="shared" si="33"/>
        <v>150944.69489504979</v>
      </c>
      <c r="E857" s="136">
        <f t="shared" si="34"/>
        <v>2022</v>
      </c>
      <c r="F857" s="135">
        <f>_xlfn.XLOOKUP(D348,'3. Input (des)investeringen '!$B$11:$B$80,'3. Input (des)investeringen '!$E$11:$E$80)</f>
        <v>1</v>
      </c>
    </row>
    <row r="858" spans="2:6">
      <c r="B858">
        <v>332</v>
      </c>
      <c r="D858" s="137">
        <f t="shared" si="33"/>
        <v>308372.44933566521</v>
      </c>
      <c r="E858" s="136">
        <f t="shared" si="34"/>
        <v>2022</v>
      </c>
      <c r="F858" s="135">
        <f>_xlfn.XLOOKUP(D349,'3. Input (des)investeringen '!$B$11:$B$80,'3. Input (des)investeringen '!$E$11:$E$80)</f>
        <v>1</v>
      </c>
    </row>
    <row r="859" spans="2:6">
      <c r="B859">
        <v>333</v>
      </c>
      <c r="D859" s="137">
        <f t="shared" si="33"/>
        <v>118209.50836304629</v>
      </c>
      <c r="E859" s="136">
        <f t="shared" si="34"/>
        <v>2022</v>
      </c>
      <c r="F859" s="135">
        <f>_xlfn.XLOOKUP(D350,'3. Input (des)investeringen '!$B$11:$B$80,'3. Input (des)investeringen '!$E$11:$E$80)</f>
        <v>1</v>
      </c>
    </row>
    <row r="860" spans="2:6">
      <c r="B860">
        <v>334</v>
      </c>
      <c r="D860" s="137">
        <f t="shared" si="33"/>
        <v>308127.28612936393</v>
      </c>
      <c r="E860" s="136">
        <f t="shared" si="34"/>
        <v>2022</v>
      </c>
      <c r="F860" s="135">
        <f>_xlfn.XLOOKUP(D351,'3. Input (des)investeringen '!$B$11:$B$80,'3. Input (des)investeringen '!$E$11:$E$80)</f>
        <v>1</v>
      </c>
    </row>
    <row r="861" spans="2:6">
      <c r="B861">
        <v>335</v>
      </c>
      <c r="D861" s="137">
        <f t="shared" si="33"/>
        <v>1026.437999083824</v>
      </c>
      <c r="E861" s="136">
        <f t="shared" si="34"/>
        <v>2022</v>
      </c>
      <c r="F861" s="135">
        <f>_xlfn.XLOOKUP(D352,'3. Input (des)investeringen '!$B$11:$B$80,'3. Input (des)investeringen '!$E$11:$E$80)</f>
        <v>1</v>
      </c>
    </row>
    <row r="862" spans="2:6">
      <c r="B862">
        <v>336</v>
      </c>
      <c r="D862" s="137">
        <f t="shared" si="33"/>
        <v>106287.18474987785</v>
      </c>
      <c r="E862" s="136">
        <f t="shared" si="34"/>
        <v>2022</v>
      </c>
      <c r="F862" s="135">
        <f>_xlfn.XLOOKUP(D353,'3. Input (des)investeringen '!$B$11:$B$80,'3. Input (des)investeringen '!$E$11:$E$80)</f>
        <v>1</v>
      </c>
    </row>
    <row r="863" spans="2:6">
      <c r="B863">
        <v>337</v>
      </c>
      <c r="D863" s="137">
        <f t="shared" si="33"/>
        <v>51523.01013098735</v>
      </c>
      <c r="E863" s="136">
        <f t="shared" si="34"/>
        <v>2022</v>
      </c>
      <c r="F863" s="135">
        <f>_xlfn.XLOOKUP(D354,'3. Input (des)investeringen '!$B$11:$B$80,'3. Input (des)investeringen '!$E$11:$E$80)</f>
        <v>1</v>
      </c>
    </row>
    <row r="864" spans="2:6">
      <c r="B864">
        <v>338</v>
      </c>
      <c r="D864" s="137">
        <f t="shared" si="33"/>
        <v>185537.31457817764</v>
      </c>
      <c r="E864" s="136">
        <f t="shared" si="34"/>
        <v>2022</v>
      </c>
      <c r="F864" s="135">
        <f>_xlfn.XLOOKUP(D355,'3. Input (des)investeringen '!$B$11:$B$80,'3. Input (des)investeringen '!$E$11:$E$80)</f>
        <v>1</v>
      </c>
    </row>
    <row r="865" spans="2:6">
      <c r="B865">
        <v>339</v>
      </c>
      <c r="D865" s="137">
        <f t="shared" si="33"/>
        <v>38260.827551339469</v>
      </c>
      <c r="E865" s="136">
        <f t="shared" si="34"/>
        <v>2022</v>
      </c>
      <c r="F865" s="135">
        <f>_xlfn.XLOOKUP(D356,'3. Input (des)investeringen '!$B$11:$B$80,'3. Input (des)investeringen '!$E$11:$E$80)</f>
        <v>1</v>
      </c>
    </row>
    <row r="866" spans="2:6">
      <c r="B866">
        <v>340</v>
      </c>
      <c r="D866" s="137">
        <f t="shared" si="33"/>
        <v>7830.8705971603458</v>
      </c>
      <c r="E866" s="136">
        <f t="shared" si="34"/>
        <v>2022</v>
      </c>
      <c r="F866" s="135">
        <f>_xlfn.XLOOKUP(D357,'3. Input (des)investeringen '!$B$11:$B$80,'3. Input (des)investeringen '!$E$11:$E$80)</f>
        <v>1</v>
      </c>
    </row>
    <row r="867" spans="2:6">
      <c r="B867">
        <v>341</v>
      </c>
      <c r="D867" s="137">
        <f t="shared" si="33"/>
        <v>9842.9371162809311</v>
      </c>
      <c r="E867" s="136">
        <f t="shared" si="34"/>
        <v>2022</v>
      </c>
      <c r="F867" s="135">
        <f>_xlfn.XLOOKUP(D358,'3. Input (des)investeringen '!$B$11:$B$80,'3. Input (des)investeringen '!$E$11:$E$80)</f>
        <v>1</v>
      </c>
    </row>
    <row r="868" spans="2:6">
      <c r="B868">
        <v>342</v>
      </c>
      <c r="D868" s="137">
        <f t="shared" si="33"/>
        <v>6250.3975099607405</v>
      </c>
      <c r="E868" s="136">
        <f t="shared" si="34"/>
        <v>2022</v>
      </c>
      <c r="F868" s="135">
        <f>_xlfn.XLOOKUP(D359,'3. Input (des)investeringen '!$B$11:$B$80,'3. Input (des)investeringen '!$E$11:$E$80)</f>
        <v>1</v>
      </c>
    </row>
    <row r="869" spans="2:6">
      <c r="B869">
        <v>343</v>
      </c>
      <c r="D869" s="137">
        <f t="shared" si="33"/>
        <v>148391.15704561133</v>
      </c>
      <c r="E869" s="136">
        <f t="shared" si="34"/>
        <v>2022</v>
      </c>
      <c r="F869" s="135">
        <f>_xlfn.XLOOKUP(D360,'3. Input (des)investeringen '!$B$11:$B$80,'3. Input (des)investeringen '!$E$11:$E$80)</f>
        <v>1</v>
      </c>
    </row>
    <row r="870" spans="2:6">
      <c r="B870">
        <v>344</v>
      </c>
      <c r="D870" s="137">
        <f t="shared" si="33"/>
        <v>31594.263591809497</v>
      </c>
      <c r="E870" s="136">
        <f t="shared" si="34"/>
        <v>2022</v>
      </c>
      <c r="F870" s="135">
        <f>_xlfn.XLOOKUP(D361,'3. Input (des)investeringen '!$B$11:$B$80,'3. Input (des)investeringen '!$E$11:$E$80)</f>
        <v>1</v>
      </c>
    </row>
    <row r="871" spans="2:6">
      <c r="B871">
        <v>345</v>
      </c>
      <c r="D871" s="137">
        <f t="shared" si="33"/>
        <v>466562.22269198875</v>
      </c>
      <c r="E871" s="136">
        <f t="shared" si="34"/>
        <v>2022</v>
      </c>
      <c r="F871" s="135">
        <f>_xlfn.XLOOKUP(D362,'3. Input (des)investeringen '!$B$11:$B$80,'3. Input (des)investeringen '!$E$11:$E$80)</f>
        <v>1</v>
      </c>
    </row>
    <row r="872" spans="2:6">
      <c r="B872">
        <v>346</v>
      </c>
      <c r="D872" s="137">
        <f t="shared" si="33"/>
        <v>196256.8092562297</v>
      </c>
      <c r="E872" s="136">
        <f t="shared" si="34"/>
        <v>2022</v>
      </c>
      <c r="F872" s="135">
        <f>_xlfn.XLOOKUP(D363,'3. Input (des)investeringen '!$B$11:$B$80,'3. Input (des)investeringen '!$E$11:$E$80)</f>
        <v>1</v>
      </c>
    </row>
    <row r="873" spans="2:6">
      <c r="B873">
        <v>347</v>
      </c>
      <c r="D873" s="137">
        <f t="shared" si="33"/>
        <v>70571.308074204644</v>
      </c>
      <c r="E873" s="136">
        <f t="shared" si="34"/>
        <v>2022</v>
      </c>
      <c r="F873" s="135">
        <f>_xlfn.XLOOKUP(D364,'3. Input (des)investeringen '!$B$11:$B$80,'3. Input (des)investeringen '!$E$11:$E$80)</f>
        <v>1</v>
      </c>
    </row>
    <row r="874" spans="2:6">
      <c r="B874">
        <v>348</v>
      </c>
      <c r="D874" s="137">
        <f t="shared" si="33"/>
        <v>109759.1915322928</v>
      </c>
      <c r="E874" s="136">
        <f t="shared" si="34"/>
        <v>2022</v>
      </c>
      <c r="F874" s="135">
        <f>_xlfn.XLOOKUP(D365,'3. Input (des)investeringen '!$B$11:$B$80,'3. Input (des)investeringen '!$E$11:$E$80)</f>
        <v>1</v>
      </c>
    </row>
    <row r="875" spans="2:6">
      <c r="B875">
        <v>349</v>
      </c>
      <c r="D875" s="137">
        <f t="shared" si="33"/>
        <v>192941.64705577045</v>
      </c>
      <c r="E875" s="136">
        <f t="shared" si="34"/>
        <v>2022</v>
      </c>
      <c r="F875" s="135">
        <f>_xlfn.XLOOKUP(D366,'3. Input (des)investeringen '!$B$11:$B$80,'3. Input (des)investeringen '!$E$11:$E$80)</f>
        <v>1</v>
      </c>
    </row>
    <row r="876" spans="2:6">
      <c r="B876">
        <v>350</v>
      </c>
      <c r="D876" s="137">
        <f t="shared" si="33"/>
        <v>388863.18766669295</v>
      </c>
      <c r="E876" s="136">
        <f t="shared" si="34"/>
        <v>2022</v>
      </c>
      <c r="F876" s="135">
        <f>_xlfn.XLOOKUP(D367,'3. Input (des)investeringen '!$B$11:$B$80,'3. Input (des)investeringen '!$E$11:$E$80)</f>
        <v>0</v>
      </c>
    </row>
    <row r="877" spans="2:6">
      <c r="B877">
        <v>351</v>
      </c>
      <c r="D877" s="137">
        <f t="shared" si="33"/>
        <v>1977539.2597640657</v>
      </c>
      <c r="E877" s="136">
        <f t="shared" si="34"/>
        <v>2022</v>
      </c>
      <c r="F877" s="135">
        <f>_xlfn.XLOOKUP(D368,'3. Input (des)investeringen '!$B$11:$B$80,'3. Input (des)investeringen '!$E$11:$E$80)</f>
        <v>0</v>
      </c>
    </row>
    <row r="878" spans="2:6">
      <c r="B878">
        <v>352</v>
      </c>
      <c r="D878" s="137">
        <f t="shared" si="33"/>
        <v>643355.23241316131</v>
      </c>
      <c r="E878" s="136">
        <f t="shared" si="34"/>
        <v>2022</v>
      </c>
      <c r="F878" s="135">
        <f>_xlfn.XLOOKUP(D369,'3. Input (des)investeringen '!$B$11:$B$80,'3. Input (des)investeringen '!$E$11:$E$80)</f>
        <v>0</v>
      </c>
    </row>
    <row r="879" spans="2:6">
      <c r="B879">
        <v>353</v>
      </c>
      <c r="D879" s="137">
        <f t="shared" si="33"/>
        <v>1160431.8736152633</v>
      </c>
      <c r="E879" s="136">
        <f t="shared" si="34"/>
        <v>2022</v>
      </c>
      <c r="F879" s="135">
        <f>_xlfn.XLOOKUP(D370,'3. Input (des)investeringen '!$B$11:$B$80,'3. Input (des)investeringen '!$E$11:$E$80)</f>
        <v>0</v>
      </c>
    </row>
    <row r="880" spans="2:6">
      <c r="B880">
        <v>354</v>
      </c>
      <c r="D880" s="137">
        <f t="shared" si="33"/>
        <v>2103852.2340272423</v>
      </c>
      <c r="E880" s="136">
        <f t="shared" si="34"/>
        <v>2022</v>
      </c>
      <c r="F880" s="135">
        <f>_xlfn.XLOOKUP(D371,'3. Input (des)investeringen '!$B$11:$B$80,'3. Input (des)investeringen '!$E$11:$E$80)</f>
        <v>0</v>
      </c>
    </row>
    <row r="881" spans="2:6">
      <c r="B881">
        <v>355</v>
      </c>
      <c r="D881" s="137">
        <f t="shared" si="33"/>
        <v>813729.55566402408</v>
      </c>
      <c r="E881" s="136">
        <f t="shared" si="34"/>
        <v>2022</v>
      </c>
      <c r="F881" s="135">
        <f>_xlfn.XLOOKUP(D372,'3. Input (des)investeringen '!$B$11:$B$80,'3. Input (des)investeringen '!$E$11:$E$80)</f>
        <v>0</v>
      </c>
    </row>
    <row r="882" spans="2:6">
      <c r="B882">
        <v>356</v>
      </c>
      <c r="D882" s="137">
        <f t="shared" si="33"/>
        <v>1277165.2332752666</v>
      </c>
      <c r="E882" s="136">
        <f t="shared" si="34"/>
        <v>2022</v>
      </c>
      <c r="F882" s="135">
        <f>_xlfn.XLOOKUP(D373,'3. Input (des)investeringen '!$B$11:$B$80,'3. Input (des)investeringen '!$E$11:$E$80)</f>
        <v>0</v>
      </c>
    </row>
    <row r="883" spans="2:6">
      <c r="B883">
        <v>357</v>
      </c>
      <c r="D883" s="137">
        <f t="shared" si="33"/>
        <v>519332.19948556297</v>
      </c>
      <c r="E883" s="136">
        <f t="shared" si="34"/>
        <v>2022</v>
      </c>
      <c r="F883" s="135">
        <f>_xlfn.XLOOKUP(D374,'3. Input (des)investeringen '!$B$11:$B$80,'3. Input (des)investeringen '!$E$11:$E$80)</f>
        <v>0</v>
      </c>
    </row>
    <row r="884" spans="2:6">
      <c r="B884">
        <v>358</v>
      </c>
      <c r="D884" s="137">
        <f t="shared" si="33"/>
        <v>505021.85753779247</v>
      </c>
      <c r="E884" s="136">
        <f t="shared" si="34"/>
        <v>2022</v>
      </c>
      <c r="F884" s="135">
        <f>_xlfn.XLOOKUP(D375,'3. Input (des)investeringen '!$B$11:$B$80,'3. Input (des)investeringen '!$E$11:$E$80)</f>
        <v>0</v>
      </c>
    </row>
    <row r="885" spans="2:6">
      <c r="B885">
        <v>359</v>
      </c>
      <c r="D885" s="137">
        <f t="shared" si="33"/>
        <v>362464.81670923793</v>
      </c>
      <c r="E885" s="136">
        <f t="shared" si="34"/>
        <v>2022</v>
      </c>
      <c r="F885" s="135">
        <f>_xlfn.XLOOKUP(D376,'3. Input (des)investeringen '!$B$11:$B$80,'3. Input (des)investeringen '!$E$11:$E$80)</f>
        <v>0</v>
      </c>
    </row>
    <row r="886" spans="2:6">
      <c r="B886">
        <v>360</v>
      </c>
      <c r="D886" s="137">
        <f t="shared" si="33"/>
        <v>17338.166812593641</v>
      </c>
      <c r="E886" s="136">
        <f t="shared" si="34"/>
        <v>2022</v>
      </c>
      <c r="F886" s="135">
        <f>_xlfn.XLOOKUP(D377,'3. Input (des)investeringen '!$B$11:$B$80,'3. Input (des)investeringen '!$E$11:$E$80)</f>
        <v>0</v>
      </c>
    </row>
    <row r="887" spans="2:6">
      <c r="B887">
        <v>361</v>
      </c>
      <c r="D887" s="137">
        <f t="shared" si="33"/>
        <v>70506.165110192131</v>
      </c>
      <c r="E887" s="136">
        <f t="shared" si="34"/>
        <v>2022</v>
      </c>
      <c r="F887" s="135">
        <f>_xlfn.XLOOKUP(D378,'3. Input (des)investeringen '!$B$11:$B$80,'3. Input (des)investeringen '!$E$11:$E$80)</f>
        <v>0</v>
      </c>
    </row>
    <row r="888" spans="2:6">
      <c r="B888">
        <v>362</v>
      </c>
      <c r="D888" s="137">
        <f t="shared" si="33"/>
        <v>138478.44947640147</v>
      </c>
      <c r="E888" s="136">
        <f t="shared" si="34"/>
        <v>2022</v>
      </c>
      <c r="F888" s="135">
        <f>_xlfn.XLOOKUP(D379,'3. Input (des)investeringen '!$B$11:$B$80,'3. Input (des)investeringen '!$E$11:$E$80)</f>
        <v>0</v>
      </c>
    </row>
    <row r="889" spans="2:6">
      <c r="B889">
        <v>363</v>
      </c>
      <c r="D889" s="137">
        <f t="shared" si="33"/>
        <v>15682.711488823004</v>
      </c>
      <c r="E889" s="136">
        <f t="shared" si="34"/>
        <v>2022</v>
      </c>
      <c r="F889" s="135">
        <f>_xlfn.XLOOKUP(D380,'3. Input (des)investeringen '!$B$11:$B$80,'3. Input (des)investeringen '!$E$11:$E$80)</f>
        <v>0</v>
      </c>
    </row>
    <row r="890" spans="2:6">
      <c r="B890">
        <v>364</v>
      </c>
      <c r="D890" s="137">
        <f t="shared" si="33"/>
        <v>385836.14338180138</v>
      </c>
      <c r="E890" s="136">
        <f t="shared" si="34"/>
        <v>2022</v>
      </c>
      <c r="F890" s="135">
        <f>_xlfn.XLOOKUP(D381,'3. Input (des)investeringen '!$B$11:$B$80,'3. Input (des)investeringen '!$E$11:$E$80)</f>
        <v>0</v>
      </c>
    </row>
    <row r="891" spans="2:6">
      <c r="B891">
        <v>365</v>
      </c>
      <c r="D891" s="137">
        <f t="shared" si="33"/>
        <v>77193.88157794677</v>
      </c>
      <c r="E891" s="136">
        <f t="shared" si="34"/>
        <v>2022</v>
      </c>
      <c r="F891" s="135">
        <f>_xlfn.XLOOKUP(D382,'3. Input (des)investeringen '!$B$11:$B$80,'3. Input (des)investeringen '!$E$11:$E$80)</f>
        <v>0</v>
      </c>
    </row>
    <row r="892" spans="2:6">
      <c r="B892">
        <v>366</v>
      </c>
      <c r="D892" s="137">
        <f t="shared" si="33"/>
        <v>19862.696379872996</v>
      </c>
      <c r="E892" s="136">
        <f t="shared" si="34"/>
        <v>2022</v>
      </c>
      <c r="F892" s="135">
        <f>_xlfn.XLOOKUP(D383,'3. Input (des)investeringen '!$B$11:$B$80,'3. Input (des)investeringen '!$E$11:$E$80)</f>
        <v>0</v>
      </c>
    </row>
    <row r="893" spans="2:6">
      <c r="B893">
        <v>367</v>
      </c>
      <c r="D893" s="137">
        <f t="shared" si="33"/>
        <v>10229.85170534904</v>
      </c>
      <c r="E893" s="136">
        <f t="shared" si="34"/>
        <v>2022</v>
      </c>
      <c r="F893" s="135">
        <f>_xlfn.XLOOKUP(D384,'3. Input (des)investeringen '!$B$11:$B$80,'3. Input (des)investeringen '!$E$11:$E$80)</f>
        <v>0</v>
      </c>
    </row>
    <row r="894" spans="2:6">
      <c r="B894">
        <v>368</v>
      </c>
      <c r="D894" s="137">
        <f t="shared" si="33"/>
        <v>99628.511605417822</v>
      </c>
      <c r="E894" s="136">
        <f t="shared" si="34"/>
        <v>2022</v>
      </c>
      <c r="F894" s="135">
        <f>_xlfn.XLOOKUP(D385,'3. Input (des)investeringen '!$B$11:$B$80,'3. Input (des)investeringen '!$E$11:$E$80)</f>
        <v>0</v>
      </c>
    </row>
    <row r="895" spans="2:6">
      <c r="B895">
        <v>369</v>
      </c>
      <c r="D895" s="137">
        <f t="shared" si="33"/>
        <v>309186.17603035166</v>
      </c>
      <c r="E895" s="136">
        <f t="shared" si="34"/>
        <v>2022</v>
      </c>
      <c r="F895" s="135">
        <f>_xlfn.XLOOKUP(D386,'3. Input (des)investeringen '!$B$11:$B$80,'3. Input (des)investeringen '!$E$11:$E$80)</f>
        <v>0</v>
      </c>
    </row>
    <row r="896" spans="2:6">
      <c r="B896">
        <v>370</v>
      </c>
      <c r="D896" s="137">
        <f t="shared" si="33"/>
        <v>15157.227938060447</v>
      </c>
      <c r="E896" s="136">
        <f t="shared" si="34"/>
        <v>2022</v>
      </c>
      <c r="F896" s="135">
        <f>_xlfn.XLOOKUP(D387,'3. Input (des)investeringen '!$B$11:$B$80,'3. Input (des)investeringen '!$E$11:$E$80)</f>
        <v>0</v>
      </c>
    </row>
    <row r="897" spans="2:6">
      <c r="B897">
        <v>371</v>
      </c>
      <c r="D897" s="137">
        <f t="shared" si="33"/>
        <v>39512.042797715359</v>
      </c>
      <c r="E897" s="136">
        <f t="shared" si="34"/>
        <v>2022</v>
      </c>
      <c r="F897" s="135">
        <f>_xlfn.XLOOKUP(D388,'3. Input (des)investeringen '!$B$11:$B$80,'3. Input (des)investeringen '!$E$11:$E$80)</f>
        <v>0</v>
      </c>
    </row>
    <row r="898" spans="2:6">
      <c r="B898">
        <v>372</v>
      </c>
      <c r="D898" s="137">
        <f t="shared" si="33"/>
        <v>27643.942446618013</v>
      </c>
      <c r="E898" s="136">
        <f t="shared" si="34"/>
        <v>2022</v>
      </c>
      <c r="F898" s="135">
        <f>_xlfn.XLOOKUP(D389,'3. Input (des)investeringen '!$B$11:$B$80,'3. Input (des)investeringen '!$E$11:$E$80)</f>
        <v>0</v>
      </c>
    </row>
    <row r="899" spans="2:6">
      <c r="B899">
        <v>373</v>
      </c>
      <c r="D899" s="137">
        <f t="shared" si="33"/>
        <v>87900.92410999391</v>
      </c>
      <c r="E899" s="136">
        <f t="shared" si="34"/>
        <v>2022</v>
      </c>
      <c r="F899" s="135">
        <f>_xlfn.XLOOKUP(D390,'3. Input (des)investeringen '!$B$11:$B$80,'3. Input (des)investeringen '!$E$11:$E$80)</f>
        <v>0</v>
      </c>
    </row>
    <row r="900" spans="2:6">
      <c r="B900">
        <v>374</v>
      </c>
      <c r="D900" s="137">
        <f t="shared" si="33"/>
        <v>104111.78172504251</v>
      </c>
      <c r="E900" s="136">
        <f t="shared" si="34"/>
        <v>2022</v>
      </c>
      <c r="F900" s="135">
        <f>_xlfn.XLOOKUP(D391,'3. Input (des)investeringen '!$B$11:$B$80,'3. Input (des)investeringen '!$E$11:$E$80)</f>
        <v>0</v>
      </c>
    </row>
    <row r="901" spans="2:6">
      <c r="B901">
        <v>375</v>
      </c>
      <c r="D901" s="137">
        <f t="shared" si="33"/>
        <v>27205.276684575805</v>
      </c>
      <c r="E901" s="136">
        <f t="shared" si="34"/>
        <v>2022</v>
      </c>
      <c r="F901" s="135">
        <f>_xlfn.XLOOKUP(D392,'3. Input (des)investeringen '!$B$11:$B$80,'3. Input (des)investeringen '!$E$11:$E$80)</f>
        <v>0</v>
      </c>
    </row>
    <row r="902" spans="2:6">
      <c r="B902">
        <v>376</v>
      </c>
      <c r="D902" s="137">
        <f t="shared" si="33"/>
        <v>26002.568135894431</v>
      </c>
      <c r="E902" s="136">
        <f t="shared" si="34"/>
        <v>2022</v>
      </c>
      <c r="F902" s="135">
        <f>_xlfn.XLOOKUP(D393,'3. Input (des)investeringen '!$B$11:$B$80,'3. Input (des)investeringen '!$E$11:$E$80)</f>
        <v>0</v>
      </c>
    </row>
    <row r="903" spans="2:6">
      <c r="B903">
        <v>377</v>
      </c>
      <c r="D903" s="137">
        <f t="shared" si="33"/>
        <v>16624.018660402588</v>
      </c>
      <c r="E903" s="136">
        <f t="shared" si="34"/>
        <v>2022</v>
      </c>
      <c r="F903" s="135">
        <f>_xlfn.XLOOKUP(D394,'3. Input (des)investeringen '!$B$11:$B$80,'3. Input (des)investeringen '!$E$11:$E$80)</f>
        <v>0</v>
      </c>
    </row>
    <row r="904" spans="2:6">
      <c r="B904">
        <v>378</v>
      </c>
      <c r="D904" s="137">
        <f t="shared" si="33"/>
        <v>13413.383324644565</v>
      </c>
      <c r="E904" s="136">
        <f t="shared" si="34"/>
        <v>2022</v>
      </c>
      <c r="F904" s="135">
        <f>_xlfn.XLOOKUP(D395,'3. Input (des)investeringen '!$B$11:$B$80,'3. Input (des)investeringen '!$E$11:$E$80)</f>
        <v>0</v>
      </c>
    </row>
    <row r="905" spans="2:6">
      <c r="B905">
        <v>379</v>
      </c>
      <c r="D905" s="137">
        <f t="shared" si="33"/>
        <v>50682.596958467213</v>
      </c>
      <c r="E905" s="136">
        <f t="shared" si="34"/>
        <v>2022</v>
      </c>
      <c r="F905" s="135">
        <f>_xlfn.XLOOKUP(D396,'3. Input (des)investeringen '!$B$11:$B$80,'3. Input (des)investeringen '!$E$11:$E$80)</f>
        <v>0</v>
      </c>
    </row>
    <row r="906" spans="2:6">
      <c r="B906">
        <v>380</v>
      </c>
      <c r="D906" s="137">
        <f t="shared" si="33"/>
        <v>17898.901808781233</v>
      </c>
      <c r="E906" s="136">
        <f t="shared" si="34"/>
        <v>2022</v>
      </c>
      <c r="F906" s="135">
        <f>_xlfn.XLOOKUP(D397,'3. Input (des)investeringen '!$B$11:$B$80,'3. Input (des)investeringen '!$E$11:$E$80)</f>
        <v>0</v>
      </c>
    </row>
    <row r="907" spans="2:6">
      <c r="B907">
        <v>381</v>
      </c>
      <c r="D907" s="137">
        <f t="shared" si="33"/>
        <v>403437.44663486362</v>
      </c>
      <c r="E907" s="136">
        <f t="shared" si="34"/>
        <v>2022</v>
      </c>
      <c r="F907" s="135">
        <f>_xlfn.XLOOKUP(D398,'3. Input (des)investeringen '!$B$11:$B$80,'3. Input (des)investeringen '!$E$11:$E$80)</f>
        <v>0</v>
      </c>
    </row>
    <row r="908" spans="2:6">
      <c r="B908">
        <v>382</v>
      </c>
      <c r="D908" s="137">
        <f t="shared" si="33"/>
        <v>188217.0689445266</v>
      </c>
      <c r="E908" s="136">
        <f t="shared" si="34"/>
        <v>2022</v>
      </c>
      <c r="F908" s="135">
        <f>_xlfn.XLOOKUP(D399,'3. Input (des)investeringen '!$B$11:$B$80,'3. Input (des)investeringen '!$E$11:$E$80)</f>
        <v>0</v>
      </c>
    </row>
    <row r="909" spans="2:6">
      <c r="B909">
        <v>383</v>
      </c>
      <c r="D909" s="137">
        <f t="shared" si="33"/>
        <v>48823.521113041956</v>
      </c>
      <c r="E909" s="136">
        <f t="shared" si="34"/>
        <v>2022</v>
      </c>
      <c r="F909" s="135">
        <f>_xlfn.XLOOKUP(D400,'3. Input (des)investeringen '!$B$11:$B$80,'3. Input (des)investeringen '!$E$11:$E$80)</f>
        <v>0</v>
      </c>
    </row>
    <row r="910" spans="2:6">
      <c r="B910">
        <v>384</v>
      </c>
      <c r="D910" s="137">
        <f t="shared" si="33"/>
        <v>120450.03732565988</v>
      </c>
      <c r="E910" s="136">
        <f t="shared" si="34"/>
        <v>2022</v>
      </c>
      <c r="F910" s="135">
        <f>_xlfn.XLOOKUP(D401,'3. Input (des)investeringen '!$B$11:$B$80,'3. Input (des)investeringen '!$E$11:$E$80)</f>
        <v>0</v>
      </c>
    </row>
    <row r="911" spans="2:6">
      <c r="B911">
        <v>385</v>
      </c>
      <c r="D911" s="137">
        <f t="shared" si="33"/>
        <v>416421.94666146499</v>
      </c>
      <c r="E911" s="136">
        <f t="shared" si="34"/>
        <v>2022</v>
      </c>
      <c r="F911" s="135">
        <f>_xlfn.XLOOKUP(D402,'3. Input (des)investeringen '!$B$11:$B$80,'3. Input (des)investeringen '!$E$11:$E$80)</f>
        <v>1</v>
      </c>
    </row>
    <row r="912" spans="2:6">
      <c r="B912">
        <v>386</v>
      </c>
      <c r="D912" s="137">
        <f t="shared" si="33"/>
        <v>421406.95898024359</v>
      </c>
      <c r="E912" s="136">
        <f t="shared" si="34"/>
        <v>2022</v>
      </c>
      <c r="F912" s="135">
        <f>_xlfn.XLOOKUP(D403,'3. Input (des)investeringen '!$B$11:$B$80,'3. Input (des)investeringen '!$E$11:$E$80)</f>
        <v>1</v>
      </c>
    </row>
    <row r="913" spans="2:6">
      <c r="B913">
        <v>387</v>
      </c>
      <c r="D913" s="137">
        <f t="shared" si="33"/>
        <v>692157.2316583636</v>
      </c>
      <c r="E913" s="136">
        <f t="shared" si="34"/>
        <v>2022</v>
      </c>
      <c r="F913" s="135">
        <f>_xlfn.XLOOKUP(D404,'3. Input (des)investeringen '!$B$11:$B$80,'3. Input (des)investeringen '!$E$11:$E$80)</f>
        <v>1</v>
      </c>
    </row>
    <row r="914" spans="2:6">
      <c r="B914">
        <v>388</v>
      </c>
      <c r="D914" s="137">
        <f t="shared" si="33"/>
        <v>25209.605468598776</v>
      </c>
      <c r="E914" s="136">
        <f t="shared" si="34"/>
        <v>2022</v>
      </c>
      <c r="F914" s="135">
        <f>_xlfn.XLOOKUP(D405,'3. Input (des)investeringen '!$B$11:$B$80,'3. Input (des)investeringen '!$E$11:$E$80)</f>
        <v>1</v>
      </c>
    </row>
    <row r="915" spans="2:6">
      <c r="B915">
        <v>389</v>
      </c>
      <c r="D915" s="137">
        <f t="shared" si="33"/>
        <v>140714.3745480834</v>
      </c>
      <c r="E915" s="136">
        <f t="shared" si="34"/>
        <v>2022</v>
      </c>
      <c r="F915" s="135">
        <f>_xlfn.XLOOKUP(D406,'3. Input (des)investeringen '!$B$11:$B$80,'3. Input (des)investeringen '!$E$11:$E$80)</f>
        <v>1</v>
      </c>
    </row>
    <row r="916" spans="2:6">
      <c r="B916">
        <v>390</v>
      </c>
      <c r="D916" s="137">
        <f t="shared" si="33"/>
        <v>3286060.4941140958</v>
      </c>
      <c r="E916" s="136">
        <f t="shared" si="34"/>
        <v>2022</v>
      </c>
      <c r="F916" s="135">
        <f>_xlfn.XLOOKUP(D407,'3. Input (des)investeringen '!$B$11:$B$80,'3. Input (des)investeringen '!$E$11:$E$80)</f>
        <v>0</v>
      </c>
    </row>
    <row r="917" spans="2:6">
      <c r="B917">
        <v>391</v>
      </c>
      <c r="D917" s="137">
        <f t="shared" si="33"/>
        <v>2889336.0511362744</v>
      </c>
      <c r="E917" s="136">
        <f t="shared" si="34"/>
        <v>2022</v>
      </c>
      <c r="F917" s="135">
        <f>_xlfn.XLOOKUP(D408,'3. Input (des)investeringen '!$B$11:$B$80,'3. Input (des)investeringen '!$E$11:$E$80)</f>
        <v>0</v>
      </c>
    </row>
    <row r="918" spans="2:6">
      <c r="B918">
        <v>392</v>
      </c>
      <c r="D918" s="137">
        <f t="shared" si="33"/>
        <v>68228.736381040857</v>
      </c>
      <c r="E918" s="136">
        <f t="shared" si="34"/>
        <v>2022</v>
      </c>
      <c r="F918" s="135">
        <f>_xlfn.XLOOKUP(D409,'3. Input (des)investeringen '!$B$11:$B$80,'3. Input (des)investeringen '!$E$11:$E$80)</f>
        <v>0</v>
      </c>
    </row>
    <row r="919" spans="2:6">
      <c r="B919">
        <v>393</v>
      </c>
      <c r="D919" s="137">
        <f t="shared" si="33"/>
        <v>10160.534376059844</v>
      </c>
      <c r="E919" s="136">
        <f t="shared" si="34"/>
        <v>2022</v>
      </c>
      <c r="F919" s="135">
        <f>_xlfn.XLOOKUP(D410,'3. Input (des)investeringen '!$B$11:$B$80,'3. Input (des)investeringen '!$E$11:$E$80)</f>
        <v>1</v>
      </c>
    </row>
    <row r="920" spans="2:6">
      <c r="B920">
        <v>394</v>
      </c>
      <c r="D920" s="137">
        <f t="shared" ref="D920:D929" si="35">F411*INDEX($E$442:$CG$522,E411-1945,G411-1945)</f>
        <v>147761.88545380786</v>
      </c>
      <c r="E920" s="136">
        <f t="shared" ref="E920:E929" si="36">G411</f>
        <v>2022</v>
      </c>
      <c r="F920" s="135">
        <f>_xlfn.XLOOKUP(D411,'3. Input (des)investeringen '!$B$11:$B$80,'3. Input (des)investeringen '!$E$11:$E$80)</f>
        <v>1</v>
      </c>
    </row>
    <row r="921" spans="2:6">
      <c r="B921">
        <v>395</v>
      </c>
      <c r="D921" s="137">
        <f t="shared" si="35"/>
        <v>45540.794182929996</v>
      </c>
      <c r="E921" s="136">
        <f t="shared" si="36"/>
        <v>2022</v>
      </c>
      <c r="F921" s="135">
        <f>_xlfn.XLOOKUP(D412,'3. Input (des)investeringen '!$B$11:$B$80,'3. Input (des)investeringen '!$E$11:$E$80)</f>
        <v>1</v>
      </c>
    </row>
    <row r="922" spans="2:6">
      <c r="B922">
        <v>396</v>
      </c>
      <c r="D922" s="137">
        <f t="shared" si="35"/>
        <v>93894.172378139556</v>
      </c>
      <c r="E922" s="136">
        <f t="shared" si="36"/>
        <v>2022</v>
      </c>
      <c r="F922" s="135">
        <f>_xlfn.XLOOKUP(D413,'3. Input (des)investeringen '!$B$11:$B$80,'3. Input (des)investeringen '!$E$11:$E$80)</f>
        <v>1</v>
      </c>
    </row>
    <row r="923" spans="2:6">
      <c r="B923">
        <v>397</v>
      </c>
      <c r="D923" s="137">
        <f t="shared" si="35"/>
        <v>177718.38388286164</v>
      </c>
      <c r="E923" s="136">
        <f t="shared" si="36"/>
        <v>2022</v>
      </c>
      <c r="F923" s="135">
        <f>_xlfn.XLOOKUP(D414,'3. Input (des)investeringen '!$B$11:$B$80,'3. Input (des)investeringen '!$E$11:$E$80)</f>
        <v>1</v>
      </c>
    </row>
    <row r="924" spans="2:6">
      <c r="B924">
        <v>398</v>
      </c>
      <c r="D924" s="137">
        <f t="shared" si="35"/>
        <v>1294499.6997653714</v>
      </c>
      <c r="E924" s="136">
        <f t="shared" si="36"/>
        <v>2022</v>
      </c>
      <c r="F924" s="135">
        <f>_xlfn.XLOOKUP(D415,'3. Input (des)investeringen '!$B$11:$B$80,'3. Input (des)investeringen '!$E$11:$E$80)</f>
        <v>1</v>
      </c>
    </row>
    <row r="925" spans="2:6">
      <c r="B925">
        <v>399</v>
      </c>
      <c r="D925" s="137">
        <f t="shared" si="35"/>
        <v>2808385.7094326685</v>
      </c>
      <c r="E925" s="136">
        <f t="shared" si="36"/>
        <v>2022</v>
      </c>
      <c r="F925" s="135">
        <f>_xlfn.XLOOKUP(D416,'3. Input (des)investeringen '!$B$11:$B$80,'3. Input (des)investeringen '!$E$11:$E$80)</f>
        <v>1</v>
      </c>
    </row>
    <row r="926" spans="2:6">
      <c r="B926">
        <v>400</v>
      </c>
      <c r="D926" s="137">
        <f t="shared" si="35"/>
        <v>45194.667709534398</v>
      </c>
      <c r="E926" s="136">
        <f t="shared" si="36"/>
        <v>2022</v>
      </c>
      <c r="F926" s="135">
        <f>_xlfn.XLOOKUP(D417,'3. Input (des)investeringen '!$B$11:$B$80,'3. Input (des)investeringen '!$E$11:$E$80)</f>
        <v>1</v>
      </c>
    </row>
    <row r="927" spans="2:6">
      <c r="B927">
        <v>401</v>
      </c>
      <c r="D927" s="137">
        <f t="shared" si="35"/>
        <v>352203.69724490831</v>
      </c>
      <c r="E927" s="136">
        <f t="shared" si="36"/>
        <v>2022</v>
      </c>
      <c r="F927" s="135">
        <f>_xlfn.XLOOKUP(D418,'3. Input (des)investeringen '!$B$11:$B$80,'3. Input (des)investeringen '!$E$11:$E$80)</f>
        <v>1</v>
      </c>
    </row>
    <row r="928" spans="2:6">
      <c r="B928">
        <v>402</v>
      </c>
      <c r="D928" s="137">
        <f t="shared" si="35"/>
        <v>263048.27140793024</v>
      </c>
      <c r="E928" s="136">
        <f t="shared" si="36"/>
        <v>2022</v>
      </c>
      <c r="F928" s="135">
        <f>_xlfn.XLOOKUP(D419,'3. Input (des)investeringen '!$B$11:$B$80,'3. Input (des)investeringen '!$E$11:$E$80)</f>
        <v>1</v>
      </c>
    </row>
    <row r="929" spans="2:6">
      <c r="B929">
        <v>403</v>
      </c>
      <c r="D929" s="137">
        <f t="shared" si="35"/>
        <v>458832.76437743992</v>
      </c>
      <c r="E929" s="136">
        <f t="shared" si="36"/>
        <v>2022</v>
      </c>
      <c r="F929" s="135">
        <f>_xlfn.XLOOKUP(D420,'3. Input (des)investeringen '!$B$11:$B$80,'3. Input (des)investeringen '!$E$11:$E$80)</f>
        <v>1</v>
      </c>
    </row>
    <row r="930" spans="2:6">
      <c r="B930">
        <v>404</v>
      </c>
      <c r="D930" s="137">
        <f t="shared" ref="D930:D941" si="37">F421*INDEX($E$442:$CG$522,E421-1945,G421-1945)</f>
        <v>3568467.7964144056</v>
      </c>
      <c r="E930" s="136">
        <f t="shared" ref="E930:E941" si="38">G421</f>
        <v>2022</v>
      </c>
      <c r="F930" s="135">
        <f>_xlfn.XLOOKUP(D421,'3. Input (des)investeringen '!$B$11:$B$80,'3. Input (des)investeringen '!$E$11:$E$80)</f>
        <v>1</v>
      </c>
    </row>
    <row r="931" spans="2:6">
      <c r="B931">
        <v>405</v>
      </c>
      <c r="D931" s="137">
        <f t="shared" si="37"/>
        <v>26233.757086429297</v>
      </c>
      <c r="E931" s="136">
        <f t="shared" si="38"/>
        <v>2022</v>
      </c>
      <c r="F931" s="135">
        <f>_xlfn.XLOOKUP(D422,'3. Input (des)investeringen '!$B$11:$B$80,'3. Input (des)investeringen '!$E$11:$E$80)</f>
        <v>1</v>
      </c>
    </row>
    <row r="932" spans="2:6">
      <c r="B932">
        <v>406</v>
      </c>
      <c r="D932" s="137">
        <f t="shared" si="37"/>
        <v>452051.40390749951</v>
      </c>
      <c r="E932" s="136">
        <f t="shared" si="38"/>
        <v>2022</v>
      </c>
      <c r="F932" s="135">
        <f>_xlfn.XLOOKUP(D423,'3. Input (des)investeringen '!$B$11:$B$80,'3. Input (des)investeringen '!$E$11:$E$80)</f>
        <v>1</v>
      </c>
    </row>
    <row r="933" spans="2:6">
      <c r="B933">
        <v>407</v>
      </c>
      <c r="D933" s="137">
        <f t="shared" si="37"/>
        <v>57956.278680094474</v>
      </c>
      <c r="E933" s="136">
        <f t="shared" si="38"/>
        <v>2022</v>
      </c>
      <c r="F933" s="135">
        <f>_xlfn.XLOOKUP(D424,'3. Input (des)investeringen '!$B$11:$B$80,'3. Input (des)investeringen '!$E$11:$E$80)</f>
        <v>1</v>
      </c>
    </row>
    <row r="934" spans="2:6">
      <c r="B934">
        <v>408</v>
      </c>
      <c r="D934" s="137" t="e">
        <f t="shared" si="37"/>
        <v>#VALUE!</v>
      </c>
      <c r="E934" s="136">
        <f t="shared" si="38"/>
        <v>0</v>
      </c>
      <c r="F934" s="135" t="e">
        <f>_xlfn.XLOOKUP(D425,'3. Input (des)investeringen '!$B$11:$B$80,'3. Input (des)investeringen '!$E$11:$E$80)</f>
        <v>#N/A</v>
      </c>
    </row>
    <row r="935" spans="2:6">
      <c r="B935">
        <v>409</v>
      </c>
      <c r="D935" s="137" t="e">
        <f t="shared" si="37"/>
        <v>#VALUE!</v>
      </c>
      <c r="E935" s="136">
        <f t="shared" si="38"/>
        <v>0</v>
      </c>
      <c r="F935" s="135" t="e">
        <f>_xlfn.XLOOKUP(D426,'3. Input (des)investeringen '!$B$11:$B$80,'3. Input (des)investeringen '!$E$11:$E$80)</f>
        <v>#N/A</v>
      </c>
    </row>
    <row r="936" spans="2:6">
      <c r="B936">
        <v>410</v>
      </c>
      <c r="D936" s="137" t="e">
        <f t="shared" si="37"/>
        <v>#VALUE!</v>
      </c>
      <c r="E936" s="136">
        <f t="shared" si="38"/>
        <v>0</v>
      </c>
      <c r="F936" s="135" t="e">
        <f>_xlfn.XLOOKUP(D427,'3. Input (des)investeringen '!$B$11:$B$80,'3. Input (des)investeringen '!$E$11:$E$80)</f>
        <v>#N/A</v>
      </c>
    </row>
    <row r="937" spans="2:6">
      <c r="B937">
        <v>411</v>
      </c>
      <c r="D937" s="137" t="e">
        <f t="shared" si="37"/>
        <v>#VALUE!</v>
      </c>
      <c r="E937" s="136">
        <f t="shared" si="38"/>
        <v>0</v>
      </c>
      <c r="F937" s="135" t="e">
        <f>_xlfn.XLOOKUP(D428,'3. Input (des)investeringen '!$B$11:$B$80,'3. Input (des)investeringen '!$E$11:$E$80)</f>
        <v>#N/A</v>
      </c>
    </row>
    <row r="938" spans="2:6">
      <c r="B938">
        <v>412</v>
      </c>
      <c r="D938" s="137" t="e">
        <f t="shared" si="37"/>
        <v>#VALUE!</v>
      </c>
      <c r="E938" s="136">
        <f t="shared" si="38"/>
        <v>0</v>
      </c>
      <c r="F938" s="135" t="e">
        <f>_xlfn.XLOOKUP(D429,'3. Input (des)investeringen '!$B$11:$B$80,'3. Input (des)investeringen '!$E$11:$E$80)</f>
        <v>#N/A</v>
      </c>
    </row>
    <row r="939" spans="2:6">
      <c r="B939">
        <v>413</v>
      </c>
      <c r="D939" s="137" t="e">
        <f t="shared" si="37"/>
        <v>#VALUE!</v>
      </c>
      <c r="E939" s="136">
        <f t="shared" si="38"/>
        <v>0</v>
      </c>
      <c r="F939" s="135" t="e">
        <f>_xlfn.XLOOKUP(D430,'3. Input (des)investeringen '!$B$11:$B$80,'3. Input (des)investeringen '!$E$11:$E$80)</f>
        <v>#N/A</v>
      </c>
    </row>
    <row r="940" spans="2:6">
      <c r="B940">
        <v>414</v>
      </c>
      <c r="D940" s="137" t="e">
        <f t="shared" si="37"/>
        <v>#VALUE!</v>
      </c>
      <c r="E940" s="136">
        <f t="shared" si="38"/>
        <v>0</v>
      </c>
      <c r="F940" s="135" t="e">
        <f>_xlfn.XLOOKUP(D431,'3. Input (des)investeringen '!$B$11:$B$80,'3. Input (des)investeringen '!$E$11:$E$80)</f>
        <v>#N/A</v>
      </c>
    </row>
    <row r="941" spans="2:6">
      <c r="B941">
        <v>415</v>
      </c>
      <c r="D941" s="137" t="e">
        <f t="shared" si="37"/>
        <v>#VALUE!</v>
      </c>
      <c r="E941" s="136">
        <f t="shared" si="38"/>
        <v>0</v>
      </c>
      <c r="F941" s="135" t="e">
        <f>_xlfn.XLOOKUP(D432,'3. Input (des)investeringen '!$B$11:$B$80,'3. Input (des)investeringen '!$E$11:$E$80)</f>
        <v>#N/A</v>
      </c>
    </row>
    <row r="942" spans="2:6">
      <c r="D942" s="137"/>
      <c r="E942" s="264"/>
      <c r="F942" s="135"/>
    </row>
    <row r="943" spans="2:6">
      <c r="D943" s="137"/>
      <c r="E943" s="264"/>
      <c r="F943" s="265"/>
    </row>
    <row r="945" spans="2:10" s="59" customFormat="1">
      <c r="B945" s="59" t="s">
        <v>872</v>
      </c>
      <c r="D945" s="59">
        <v>2020</v>
      </c>
      <c r="E945" s="59">
        <v>2021</v>
      </c>
      <c r="F945" s="59">
        <v>2022</v>
      </c>
      <c r="G945" s="59">
        <v>2023</v>
      </c>
      <c r="H945" s="59">
        <v>2024</v>
      </c>
      <c r="I945" s="59">
        <v>2025</v>
      </c>
      <c r="J945" s="59">
        <v>2026</v>
      </c>
    </row>
    <row r="947" spans="2:10">
      <c r="B947" s="3" t="s">
        <v>873</v>
      </c>
      <c r="D947" s="181">
        <f>SUMIFS($D$527:$D$943,$E$527:$E$943,D$945,$F$527:$F$943,1)</f>
        <v>37758981.056281559</v>
      </c>
      <c r="E947" s="181">
        <f t="shared" ref="E947:F947" si="39">SUMIFS($D$527:$D$943,$E$527:$E$943,E$945,$F$527:$F$943,1)</f>
        <v>38763732.819702536</v>
      </c>
      <c r="F947" s="181">
        <f t="shared" si="39"/>
        <v>22960381.53917243</v>
      </c>
      <c r="G947" s="138"/>
      <c r="H947" s="138"/>
      <c r="I947" s="138"/>
      <c r="J947" s="138"/>
    </row>
    <row r="948" spans="2:10">
      <c r="B948" s="3" t="s">
        <v>874</v>
      </c>
      <c r="D948" s="181">
        <f>SUMIFS($D$527:$D$943,$E$527:$E$943,D$945,$F$527:$F$943,0)</f>
        <v>27912770.687367041</v>
      </c>
      <c r="E948" s="181">
        <f t="shared" ref="E948:F948" si="40">SUMIFS($D$527:$D$943,$E$527:$E$943,E$945,$F$527:$F$943,0)</f>
        <v>152460325.70788145</v>
      </c>
      <c r="F948" s="181">
        <f t="shared" si="40"/>
        <v>18326404.223966755</v>
      </c>
      <c r="G948" s="138"/>
      <c r="H948" s="138"/>
      <c r="I948" s="138"/>
      <c r="J948" s="138"/>
    </row>
  </sheetData>
  <autoFilter ref="D16:G434" xr:uid="{00000000-0001-0000-1000-000000000000}"/>
  <mergeCells count="2">
    <mergeCell ref="B5:N5"/>
    <mergeCell ref="B7:D7"/>
  </mergeCells>
  <phoneticPr fontId="4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P113"/>
  <sheetViews>
    <sheetView showGridLines="0" zoomScale="90" zoomScaleNormal="90" workbookViewId="0">
      <pane ySplit="10" topLeftCell="A11" activePane="bottomLeft" state="frozen"/>
      <selection pane="bottomLeft"/>
    </sheetView>
  </sheetViews>
  <sheetFormatPr defaultColWidth="9.140625" defaultRowHeight="12.75"/>
  <cols>
    <col min="1" max="1" width="2.7109375" style="3" customWidth="1"/>
    <col min="2" max="2" width="78.5703125" style="3" customWidth="1"/>
    <col min="3" max="3" width="2.7109375" style="3" customWidth="1"/>
    <col min="4" max="4" width="17.85546875" style="3" customWidth="1"/>
    <col min="5" max="5" width="2.7109375" style="3" customWidth="1"/>
    <col min="6" max="6" width="13.7109375" style="3" customWidth="1"/>
    <col min="7" max="7" width="2.7109375" style="3" customWidth="1"/>
    <col min="8" max="14" width="15.7109375" style="3" customWidth="1"/>
    <col min="15" max="15" width="2.7109375" style="3" customWidth="1"/>
    <col min="16" max="27" width="13.7109375" style="3" customWidth="1"/>
    <col min="28" max="16384" width="9.140625" style="3"/>
  </cols>
  <sheetData>
    <row r="2" spans="2:16" s="12" customFormat="1" ht="18">
      <c r="B2" s="12" t="s">
        <v>875</v>
      </c>
    </row>
    <row r="4" spans="2:16">
      <c r="B4" s="16" t="s">
        <v>786</v>
      </c>
      <c r="C4" s="2"/>
    </row>
    <row r="5" spans="2:16">
      <c r="B5" s="322" t="s">
        <v>876</v>
      </c>
      <c r="C5" s="327"/>
      <c r="D5" s="327"/>
      <c r="F5" s="13"/>
    </row>
    <row r="6" spans="2:16" ht="14.25" customHeight="1">
      <c r="F6" s="197"/>
    </row>
    <row r="7" spans="2:16">
      <c r="B7" s="330" t="s">
        <v>788</v>
      </c>
      <c r="C7" s="331"/>
      <c r="D7" s="331"/>
      <c r="F7" s="13"/>
    </row>
    <row r="8" spans="2:16" ht="57.75" customHeight="1">
      <c r="B8" s="322" t="s">
        <v>877</v>
      </c>
      <c r="C8" s="322"/>
      <c r="D8" s="322"/>
      <c r="F8" s="13"/>
    </row>
    <row r="9" spans="2:16">
      <c r="F9" s="13"/>
    </row>
    <row r="10" spans="2:16" s="8" customFormat="1">
      <c r="B10" s="8" t="s">
        <v>134</v>
      </c>
      <c r="D10" s="8" t="s">
        <v>175</v>
      </c>
      <c r="F10" s="8" t="s">
        <v>176</v>
      </c>
      <c r="H10" s="52">
        <v>2020</v>
      </c>
      <c r="I10" s="52">
        <v>2021</v>
      </c>
      <c r="J10" s="52">
        <v>2022</v>
      </c>
      <c r="K10" s="52">
        <v>2023</v>
      </c>
      <c r="L10" s="52">
        <v>2024</v>
      </c>
      <c r="M10" s="52">
        <v>2025</v>
      </c>
      <c r="N10" s="52">
        <v>2026</v>
      </c>
      <c r="P10" s="8" t="s">
        <v>178</v>
      </c>
    </row>
    <row r="12" spans="2:16" s="8" customFormat="1">
      <c r="B12" s="8" t="s">
        <v>790</v>
      </c>
    </row>
    <row r="14" spans="2:16">
      <c r="B14" s="2" t="s">
        <v>194</v>
      </c>
    </row>
    <row r="15" spans="2:16">
      <c r="B15" s="3" t="s">
        <v>878</v>
      </c>
      <c r="D15" s="3" t="s">
        <v>199</v>
      </c>
      <c r="H15" s="38">
        <f>'2. Parameters'!K41</f>
        <v>1</v>
      </c>
      <c r="I15" s="38">
        <f>'2. Parameters'!L41</f>
        <v>1.016</v>
      </c>
      <c r="J15" s="38">
        <f>'2. Parameters'!M41</f>
        <v>1.0342880000000001</v>
      </c>
      <c r="K15" s="38">
        <f>'2. Parameters'!N41</f>
        <v>1.0984138560000001</v>
      </c>
      <c r="L15" s="38">
        <f>'2. Parameters'!O41</f>
        <v>1.1862869644800003</v>
      </c>
      <c r="M15" s="38">
        <f>'2. Parameters'!P41</f>
        <v>1.2064538428761602</v>
      </c>
      <c r="N15" s="38">
        <f>'2. Parameters'!Q41</f>
        <v>1.2269635582050549</v>
      </c>
    </row>
    <row r="16" spans="2:16">
      <c r="B16" s="3" t="s">
        <v>879</v>
      </c>
      <c r="D16" s="3" t="s">
        <v>199</v>
      </c>
      <c r="H16" s="10"/>
      <c r="I16" s="38">
        <f>'2. Parameters'!L42</f>
        <v>1</v>
      </c>
      <c r="J16" s="38">
        <f>'2. Parameters'!M42</f>
        <v>1.018</v>
      </c>
      <c r="K16" s="38">
        <f>'2. Parameters'!N42</f>
        <v>1.081116</v>
      </c>
      <c r="L16" s="38">
        <f>'2. Parameters'!O42</f>
        <v>1.1676052800000001</v>
      </c>
      <c r="M16" s="38">
        <f>'2. Parameters'!P42</f>
        <v>1.1874545697600001</v>
      </c>
      <c r="N16" s="38">
        <f>'2. Parameters'!Q42</f>
        <v>1.2076412974459199</v>
      </c>
    </row>
    <row r="17" spans="1:14">
      <c r="B17" s="3" t="s">
        <v>880</v>
      </c>
      <c r="D17" s="3" t="s">
        <v>199</v>
      </c>
      <c r="H17" s="10"/>
      <c r="I17" s="10"/>
      <c r="J17" s="38">
        <f>'2. Parameters'!M43</f>
        <v>1</v>
      </c>
      <c r="K17" s="38">
        <f>'2. Parameters'!N43</f>
        <v>1.0620000000000001</v>
      </c>
      <c r="L17" s="38">
        <f>'2. Parameters'!O43</f>
        <v>1.1469600000000002</v>
      </c>
      <c r="M17" s="38">
        <f>'2. Parameters'!P43</f>
        <v>1.16645832</v>
      </c>
      <c r="N17" s="38">
        <f>'2. Parameters'!Q43</f>
        <v>1.1862881114399999</v>
      </c>
    </row>
    <row r="18" spans="1:14">
      <c r="B18" s="3" t="s">
        <v>881</v>
      </c>
      <c r="D18" s="3" t="s">
        <v>199</v>
      </c>
      <c r="H18" s="10"/>
      <c r="I18" s="10"/>
      <c r="J18" s="10"/>
      <c r="K18" s="38">
        <f>'2. Parameters'!N44</f>
        <v>1</v>
      </c>
      <c r="L18" s="38">
        <f>'2. Parameters'!O44</f>
        <v>1.08</v>
      </c>
      <c r="M18" s="38">
        <f>'2. Parameters'!P44</f>
        <v>1.09836</v>
      </c>
      <c r="N18" s="38">
        <f>'2. Parameters'!Q44</f>
        <v>1.11703212</v>
      </c>
    </row>
    <row r="19" spans="1:14">
      <c r="B19" s="3" t="s">
        <v>882</v>
      </c>
      <c r="D19" s="3" t="s">
        <v>199</v>
      </c>
      <c r="H19" s="10"/>
      <c r="I19" s="10"/>
      <c r="J19" s="10"/>
      <c r="K19" s="10"/>
      <c r="L19" s="38">
        <f>'2. Parameters'!O45</f>
        <v>1</v>
      </c>
      <c r="M19" s="38">
        <f>'2. Parameters'!P45</f>
        <v>1.0169999999999999</v>
      </c>
      <c r="N19" s="38">
        <f>'2. Parameters'!Q45</f>
        <v>1.0342889999999998</v>
      </c>
    </row>
    <row r="20" spans="1:14">
      <c r="B20" s="3" t="s">
        <v>883</v>
      </c>
      <c r="D20" s="3" t="s">
        <v>199</v>
      </c>
      <c r="H20" s="10"/>
      <c r="I20" s="10"/>
      <c r="J20" s="10"/>
      <c r="K20" s="10"/>
      <c r="L20" s="10"/>
      <c r="M20" s="38">
        <f>'2. Parameters'!P46</f>
        <v>1</v>
      </c>
      <c r="N20" s="38">
        <f>'2. Parameters'!Q46</f>
        <v>1.0169999999999999</v>
      </c>
    </row>
    <row r="21" spans="1:14">
      <c r="B21" s="3" t="s">
        <v>884</v>
      </c>
      <c r="H21" s="10"/>
      <c r="I21" s="10"/>
      <c r="J21" s="10"/>
      <c r="K21" s="10"/>
      <c r="L21" s="10"/>
      <c r="M21" s="10"/>
      <c r="N21" s="38">
        <f>'2. Parameters'!Q47</f>
        <v>1</v>
      </c>
    </row>
    <row r="23" spans="1:14">
      <c r="B23" s="2" t="s">
        <v>209</v>
      </c>
    </row>
    <row r="24" spans="1:14">
      <c r="B24" s="3" t="s">
        <v>885</v>
      </c>
      <c r="D24" s="3" t="s">
        <v>213</v>
      </c>
      <c r="H24" s="38">
        <f>'2. Parameters'!K58</f>
        <v>1</v>
      </c>
      <c r="I24" s="38">
        <f>'2. Parameters'!L58</f>
        <v>0.999</v>
      </c>
      <c r="J24" s="38">
        <f>'2. Parameters'!M58</f>
        <v>0.995004</v>
      </c>
      <c r="K24" s="38">
        <f>'2. Parameters'!N58</f>
        <v>0.99102398400000002</v>
      </c>
      <c r="L24" s="38">
        <f>'2. Parameters'!O58</f>
        <v>0.98705988806400002</v>
      </c>
      <c r="M24" s="38">
        <f>'2. Parameters'!P58</f>
        <v>0.98311164851174404</v>
      </c>
      <c r="N24" s="38">
        <f>'2. Parameters'!Q58</f>
        <v>0.97917920191769703</v>
      </c>
    </row>
    <row r="25" spans="1:14">
      <c r="B25" s="3" t="s">
        <v>886</v>
      </c>
      <c r="D25" s="3" t="s">
        <v>213</v>
      </c>
      <c r="H25" s="10"/>
      <c r="I25" s="38">
        <f>'2. Parameters'!L59</f>
        <v>1</v>
      </c>
      <c r="J25" s="38">
        <f>'2. Parameters'!M59</f>
        <v>0.996</v>
      </c>
      <c r="K25" s="38">
        <f>'2. Parameters'!N59</f>
        <v>0.99201600000000001</v>
      </c>
      <c r="L25" s="38">
        <f>'2. Parameters'!O59</f>
        <v>0.98804793599999996</v>
      </c>
      <c r="M25" s="38">
        <f>'2. Parameters'!P59</f>
        <v>0.98409574425599999</v>
      </c>
      <c r="N25" s="38">
        <f>'2. Parameters'!Q59</f>
        <v>0.98015936127897596</v>
      </c>
    </row>
    <row r="26" spans="1:14">
      <c r="B26" s="3" t="s">
        <v>887</v>
      </c>
      <c r="D26" s="3" t="s">
        <v>213</v>
      </c>
      <c r="H26" s="10"/>
      <c r="I26" s="10"/>
      <c r="J26" s="38">
        <f>'2. Parameters'!M60</f>
        <v>1</v>
      </c>
      <c r="K26" s="38">
        <f>'2. Parameters'!N60</f>
        <v>0.996</v>
      </c>
      <c r="L26" s="38">
        <f>'2. Parameters'!O60</f>
        <v>0.99201600000000001</v>
      </c>
      <c r="M26" s="38">
        <f>'2. Parameters'!P60</f>
        <v>0.98804793599999996</v>
      </c>
      <c r="N26" s="38">
        <f>'2. Parameters'!Q60</f>
        <v>0.98409574425599999</v>
      </c>
    </row>
    <row r="27" spans="1:14">
      <c r="B27" s="3" t="s">
        <v>888</v>
      </c>
      <c r="D27" s="3" t="s">
        <v>213</v>
      </c>
      <c r="H27" s="10"/>
      <c r="I27" s="10"/>
      <c r="J27" s="10"/>
      <c r="K27" s="38">
        <f>'2. Parameters'!N61</f>
        <v>1</v>
      </c>
      <c r="L27" s="38">
        <f>'2. Parameters'!O61</f>
        <v>0.996</v>
      </c>
      <c r="M27" s="38">
        <f>'2. Parameters'!P61</f>
        <v>0.99201600000000001</v>
      </c>
      <c r="N27" s="38">
        <f>'2. Parameters'!Q61</f>
        <v>0.98804793599999996</v>
      </c>
    </row>
    <row r="28" spans="1:14">
      <c r="B28" s="3" t="s">
        <v>889</v>
      </c>
      <c r="D28" s="3" t="s">
        <v>213</v>
      </c>
      <c r="H28" s="10"/>
      <c r="I28" s="10"/>
      <c r="J28" s="10"/>
      <c r="K28" s="10"/>
      <c r="L28" s="38">
        <f>'2. Parameters'!O62</f>
        <v>1</v>
      </c>
      <c r="M28" s="38">
        <f>'2. Parameters'!P62</f>
        <v>0.996</v>
      </c>
      <c r="N28" s="38">
        <f>'2. Parameters'!Q62</f>
        <v>0.99201600000000001</v>
      </c>
    </row>
    <row r="29" spans="1:14">
      <c r="B29" s="3" t="s">
        <v>890</v>
      </c>
      <c r="D29" s="3" t="s">
        <v>213</v>
      </c>
      <c r="H29" s="10"/>
      <c r="I29" s="10"/>
      <c r="J29" s="10"/>
      <c r="K29" s="10"/>
      <c r="L29" s="10"/>
      <c r="M29" s="38">
        <f>'2. Parameters'!P63</f>
        <v>1</v>
      </c>
      <c r="N29" s="38">
        <f>'2. Parameters'!Q63</f>
        <v>0.996</v>
      </c>
    </row>
    <row r="30" spans="1:14">
      <c r="B30" s="3" t="s">
        <v>891</v>
      </c>
      <c r="D30" s="3" t="s">
        <v>213</v>
      </c>
      <c r="H30" s="10"/>
      <c r="I30" s="10"/>
      <c r="J30" s="10"/>
      <c r="K30" s="10"/>
      <c r="L30" s="10"/>
      <c r="M30" s="10"/>
      <c r="N30" s="38">
        <f>'2. Parameters'!Q64</f>
        <v>1</v>
      </c>
    </row>
    <row r="31" spans="1:14" s="98" customFormat="1">
      <c r="A31" s="3"/>
      <c r="M31" s="118"/>
      <c r="N31" s="118"/>
    </row>
    <row r="32" spans="1:14">
      <c r="B32" s="16" t="s">
        <v>214</v>
      </c>
    </row>
    <row r="33" spans="2:14">
      <c r="B33" s="32" t="s">
        <v>202</v>
      </c>
      <c r="D33" s="3" t="s">
        <v>792</v>
      </c>
      <c r="H33" s="38">
        <f>'2. Parameters'!K72</f>
        <v>1</v>
      </c>
      <c r="I33" s="38">
        <f>'2. Parameters'!L72</f>
        <v>1.02</v>
      </c>
      <c r="J33" s="38">
        <f>'2. Parameters'!M72</f>
        <v>1.0404</v>
      </c>
      <c r="K33" s="38">
        <f>'2. Parameters'!N72</f>
        <v>1.0612079999999999</v>
      </c>
      <c r="L33" s="38">
        <f>'2. Parameters'!O72</f>
        <v>1.10365632</v>
      </c>
      <c r="M33" s="38">
        <f>'2. Parameters'!P72</f>
        <v>1.1478025728000001</v>
      </c>
      <c r="N33" s="38">
        <f>'2. Parameters'!Q72</f>
        <v>1.1937146757120001</v>
      </c>
    </row>
    <row r="34" spans="2:14">
      <c r="B34" s="32" t="s">
        <v>203</v>
      </c>
      <c r="D34" s="3" t="s">
        <v>792</v>
      </c>
      <c r="H34" s="10"/>
      <c r="I34" s="38">
        <f>'2. Parameters'!L73</f>
        <v>1</v>
      </c>
      <c r="J34" s="38">
        <f>'2. Parameters'!M73</f>
        <v>1.02</v>
      </c>
      <c r="K34" s="38">
        <f>'2. Parameters'!N73</f>
        <v>1.0404</v>
      </c>
      <c r="L34" s="38">
        <f>'2. Parameters'!O73</f>
        <v>1.0820160000000001</v>
      </c>
      <c r="M34" s="38">
        <f>'2. Parameters'!P73</f>
        <v>1.1252966400000002</v>
      </c>
      <c r="N34" s="38">
        <f>'2. Parameters'!Q73</f>
        <v>1.1703085056000002</v>
      </c>
    </row>
    <row r="35" spans="2:14">
      <c r="B35" s="32" t="s">
        <v>204</v>
      </c>
      <c r="D35" s="3" t="s">
        <v>792</v>
      </c>
      <c r="H35" s="10"/>
      <c r="I35" s="10"/>
      <c r="J35" s="38">
        <f>'2. Parameters'!M74</f>
        <v>1</v>
      </c>
      <c r="K35" s="38">
        <f>'2. Parameters'!N74</f>
        <v>1.02</v>
      </c>
      <c r="L35" s="38">
        <f>'2. Parameters'!O74</f>
        <v>1.0608</v>
      </c>
      <c r="M35" s="38">
        <f>'2. Parameters'!P74</f>
        <v>1.103232</v>
      </c>
      <c r="N35" s="38">
        <f>'2. Parameters'!Q74</f>
        <v>1.1473612799999999</v>
      </c>
    </row>
    <row r="36" spans="2:14">
      <c r="B36" s="32" t="s">
        <v>205</v>
      </c>
      <c r="D36" s="3" t="s">
        <v>792</v>
      </c>
      <c r="H36" s="10"/>
      <c r="I36" s="10"/>
      <c r="J36" s="10"/>
      <c r="K36" s="38">
        <f>'2. Parameters'!N75</f>
        <v>1</v>
      </c>
      <c r="L36" s="38">
        <f>'2. Parameters'!O75</f>
        <v>1.04</v>
      </c>
      <c r="M36" s="38">
        <f>'2. Parameters'!P75</f>
        <v>1.0816000000000001</v>
      </c>
      <c r="N36" s="38">
        <f>'2. Parameters'!Q75</f>
        <v>1.1248640000000001</v>
      </c>
    </row>
    <row r="37" spans="2:14">
      <c r="B37" s="32" t="s">
        <v>206</v>
      </c>
      <c r="D37" s="3" t="s">
        <v>792</v>
      </c>
      <c r="H37" s="10"/>
      <c r="I37" s="10"/>
      <c r="J37" s="10"/>
      <c r="K37" s="10"/>
      <c r="L37" s="38">
        <f>'2. Parameters'!O76</f>
        <v>1</v>
      </c>
      <c r="M37" s="38">
        <f>'2. Parameters'!P76</f>
        <v>1.04</v>
      </c>
      <c r="N37" s="38">
        <f>'2. Parameters'!Q76</f>
        <v>1.0816000000000001</v>
      </c>
    </row>
    <row r="38" spans="2:14">
      <c r="B38" s="32" t="s">
        <v>207</v>
      </c>
      <c r="D38" s="3" t="s">
        <v>792</v>
      </c>
      <c r="H38" s="10"/>
      <c r="I38" s="10"/>
      <c r="J38" s="10"/>
      <c r="K38" s="10"/>
      <c r="L38" s="10"/>
      <c r="M38" s="38">
        <f>'2. Parameters'!P77</f>
        <v>1</v>
      </c>
      <c r="N38" s="38">
        <f>'2. Parameters'!Q77</f>
        <v>1.04</v>
      </c>
    </row>
    <row r="39" spans="2:14">
      <c r="B39" s="32" t="s">
        <v>208</v>
      </c>
      <c r="D39" s="3" t="s">
        <v>792</v>
      </c>
      <c r="H39" s="10"/>
      <c r="I39" s="10"/>
      <c r="J39" s="10"/>
      <c r="K39" s="10"/>
      <c r="L39" s="10"/>
      <c r="M39" s="10"/>
      <c r="N39" s="38">
        <f>'2. Parameters'!Q78</f>
        <v>1</v>
      </c>
    </row>
    <row r="41" spans="2:14">
      <c r="B41" s="2" t="s">
        <v>193</v>
      </c>
    </row>
    <row r="42" spans="2:14">
      <c r="B42" s="3" t="s">
        <v>193</v>
      </c>
      <c r="D42" s="3" t="s">
        <v>180</v>
      </c>
      <c r="F42" s="61">
        <f>'2. Parameters'!F30</f>
        <v>0.01</v>
      </c>
    </row>
    <row r="44" spans="2:14">
      <c r="B44" s="2" t="s">
        <v>217</v>
      </c>
    </row>
    <row r="45" spans="2:14">
      <c r="B45" s="3" t="s">
        <v>217</v>
      </c>
      <c r="D45" s="3" t="s">
        <v>180</v>
      </c>
      <c r="F45" s="61">
        <f>'2. Parameters'!F82</f>
        <v>0.93700000000000006</v>
      </c>
    </row>
    <row r="47" spans="2:14">
      <c r="B47" s="2" t="s">
        <v>184</v>
      </c>
    </row>
    <row r="48" spans="2:14">
      <c r="B48" s="3" t="s">
        <v>892</v>
      </c>
      <c r="D48" s="3" t="s">
        <v>180</v>
      </c>
      <c r="H48" s="10"/>
      <c r="I48" s="10"/>
      <c r="J48" s="61">
        <f>'2. Parameters'!M22</f>
        <v>3.1E-2</v>
      </c>
      <c r="K48" s="61">
        <f>'2. Parameters'!N22</f>
        <v>0.03</v>
      </c>
      <c r="L48" s="61">
        <f>'2. Parameters'!O22</f>
        <v>0.03</v>
      </c>
      <c r="M48" s="61">
        <f>'2. Parameters'!P22</f>
        <v>0.03</v>
      </c>
      <c r="N48" s="61">
        <f>'2. Parameters'!Q22</f>
        <v>0.03</v>
      </c>
    </row>
    <row r="49" spans="2:14">
      <c r="B49" s="3" t="s">
        <v>893</v>
      </c>
      <c r="D49" s="3" t="s">
        <v>180</v>
      </c>
      <c r="H49" s="10"/>
      <c r="I49" s="10"/>
      <c r="J49" s="280">
        <f>'2. Parameters'!M26</f>
        <v>0.04</v>
      </c>
      <c r="K49" s="10"/>
      <c r="L49" s="10"/>
      <c r="M49" s="10"/>
      <c r="N49" s="10"/>
    </row>
    <row r="51" spans="2:14" s="8" customFormat="1">
      <c r="B51" s="8" t="s">
        <v>420</v>
      </c>
    </row>
    <row r="53" spans="2:14">
      <c r="B53" s="32" t="s">
        <v>894</v>
      </c>
      <c r="D53" s="3" t="s">
        <v>183</v>
      </c>
      <c r="H53" s="10"/>
      <c r="I53" s="10"/>
      <c r="J53" s="48">
        <f>'4. Input nacalculaties'!N11</f>
        <v>959485384.44049966</v>
      </c>
      <c r="K53" s="10"/>
      <c r="L53" s="10"/>
      <c r="M53" s="10"/>
      <c r="N53" s="10"/>
    </row>
    <row r="54" spans="2:14">
      <c r="B54" t="s">
        <v>777</v>
      </c>
      <c r="D54" s="3" t="s">
        <v>183</v>
      </c>
      <c r="H54" s="10"/>
      <c r="I54" s="10"/>
      <c r="J54" s="205">
        <f>_xlfn.XLOOKUP(J10,Omzet[Jaar],Omzet[Omzetregulering tariefgereguleerd])</f>
        <v>1354081798.3900001</v>
      </c>
      <c r="K54" s="10"/>
      <c r="L54" s="10"/>
      <c r="M54" s="10"/>
      <c r="N54" s="10"/>
    </row>
    <row r="55" spans="2:14">
      <c r="B55" s="3" t="s">
        <v>895</v>
      </c>
      <c r="D55" s="3" t="s">
        <v>183</v>
      </c>
      <c r="H55" s="10"/>
      <c r="I55" s="10"/>
      <c r="J55" s="49">
        <f>J53-J54</f>
        <v>-394596413.94950044</v>
      </c>
      <c r="K55" s="10"/>
      <c r="L55" s="10"/>
      <c r="M55" s="10"/>
      <c r="N55" s="10"/>
    </row>
    <row r="56" spans="2:14">
      <c r="B56" s="3" t="s">
        <v>896</v>
      </c>
      <c r="D56" s="3" t="s">
        <v>183</v>
      </c>
      <c r="H56" s="10"/>
      <c r="I56" s="10"/>
      <c r="J56" s="48">
        <f>J55</f>
        <v>-394596413.94950044</v>
      </c>
      <c r="K56" s="10"/>
      <c r="L56" s="10"/>
      <c r="M56" s="10"/>
      <c r="N56" s="10"/>
    </row>
    <row r="57" spans="2:14">
      <c r="B57" s="3" t="s">
        <v>897</v>
      </c>
      <c r="D57" s="3" t="s">
        <v>183</v>
      </c>
      <c r="H57" s="10"/>
      <c r="I57" s="10"/>
      <c r="J57" s="10"/>
      <c r="K57" s="10"/>
      <c r="L57" s="57">
        <f>J56*INDEX(L$33:L$39,L$10-2021)</f>
        <v>-418587875.91763008</v>
      </c>
      <c r="M57" s="10"/>
      <c r="N57" s="10"/>
    </row>
    <row r="59" spans="2:14" s="8" customFormat="1">
      <c r="B59" s="8" t="s">
        <v>898</v>
      </c>
    </row>
    <row r="61" spans="2:14">
      <c r="B61" s="3" t="s">
        <v>899</v>
      </c>
      <c r="D61" s="3" t="s">
        <v>183</v>
      </c>
      <c r="H61" s="10"/>
      <c r="I61" s="10"/>
      <c r="J61" s="58">
        <f>_xlfn.XLOOKUP('19. Nacalculaties'!J10,Omzet[Jaar],Omzet[Overboek- en terugkoopregeling])</f>
        <v>33326739.559999999</v>
      </c>
      <c r="K61" s="10"/>
      <c r="L61" s="10"/>
      <c r="M61" s="10"/>
      <c r="N61" s="10"/>
    </row>
    <row r="62" spans="2:14">
      <c r="B62" s="3" t="s">
        <v>900</v>
      </c>
      <c r="D62" s="3" t="s">
        <v>183</v>
      </c>
      <c r="H62" s="10"/>
      <c r="I62" s="10"/>
      <c r="J62" s="53">
        <f>-J61*50%</f>
        <v>-16663369.779999999</v>
      </c>
      <c r="K62" s="10"/>
      <c r="L62" s="10"/>
      <c r="M62" s="10"/>
      <c r="N62" s="10"/>
    </row>
    <row r="63" spans="2:14">
      <c r="B63" s="3" t="s">
        <v>896</v>
      </c>
      <c r="D63" s="3" t="s">
        <v>183</v>
      </c>
      <c r="H63" s="10"/>
      <c r="I63" s="10"/>
      <c r="J63" s="58">
        <f>J62</f>
        <v>-16663369.779999999</v>
      </c>
      <c r="K63" s="10"/>
      <c r="L63" s="10"/>
      <c r="M63" s="10"/>
      <c r="N63" s="10"/>
    </row>
    <row r="64" spans="2:14">
      <c r="B64" s="3" t="s">
        <v>897</v>
      </c>
      <c r="D64" s="3" t="s">
        <v>183</v>
      </c>
      <c r="H64" s="10"/>
      <c r="I64" s="10"/>
      <c r="J64" s="10"/>
      <c r="K64" s="10"/>
      <c r="L64" s="57">
        <f>J63*INDEX(L$33:L$39,L$10-2021)</f>
        <v>-17676502.662623998</v>
      </c>
      <c r="M64" s="10"/>
      <c r="N64" s="10"/>
    </row>
    <row r="66" spans="2:14" s="8" customFormat="1">
      <c r="B66" s="8" t="s">
        <v>423</v>
      </c>
    </row>
    <row r="68" spans="2:14">
      <c r="B68" s="3" t="s">
        <v>901</v>
      </c>
      <c r="D68" s="3" t="s">
        <v>183</v>
      </c>
      <c r="H68" s="10"/>
      <c r="I68" s="10"/>
      <c r="J68" s="10"/>
      <c r="K68" s="48">
        <f>'4. Input nacalculaties'!O15</f>
        <v>0</v>
      </c>
      <c r="L68" s="10"/>
      <c r="M68" s="10"/>
      <c r="N68" s="10"/>
    </row>
    <row r="69" spans="2:14">
      <c r="B69" s="3" t="s">
        <v>902</v>
      </c>
      <c r="D69" s="3" t="s">
        <v>183</v>
      </c>
      <c r="H69" s="10"/>
      <c r="I69" s="10"/>
      <c r="J69" s="10"/>
      <c r="K69" s="10"/>
      <c r="L69" s="49">
        <f>K68*L35</f>
        <v>0</v>
      </c>
      <c r="M69" s="10"/>
      <c r="N69" s="10"/>
    </row>
    <row r="70" spans="2:14">
      <c r="B70" s="3" t="s">
        <v>774</v>
      </c>
      <c r="D70" s="3" t="s">
        <v>183</v>
      </c>
      <c r="H70" s="10"/>
      <c r="I70" s="10"/>
      <c r="J70" s="177">
        <f>_xlfn.XLOOKUP('19. Nacalculaties'!J10,Omzet[Jaar],Omzet[Veilinggelden])</f>
        <v>221359938.30000001</v>
      </c>
      <c r="K70" s="10"/>
      <c r="L70" s="10"/>
      <c r="M70" s="10"/>
      <c r="N70" s="10"/>
    </row>
    <row r="71" spans="2:14">
      <c r="B71" s="3" t="s">
        <v>903</v>
      </c>
      <c r="D71" s="3" t="s">
        <v>183</v>
      </c>
      <c r="H71" s="10"/>
      <c r="I71" s="10"/>
      <c r="J71" s="10"/>
      <c r="K71" s="10"/>
      <c r="L71" s="49">
        <f>J70*INDEX(L$33:L$39,L$10-2021)</f>
        <v>234818622.54864001</v>
      </c>
      <c r="M71" s="10"/>
      <c r="N71" s="10"/>
    </row>
    <row r="72" spans="2:14">
      <c r="B72" s="3" t="s">
        <v>904</v>
      </c>
      <c r="D72" s="3" t="s">
        <v>183</v>
      </c>
      <c r="H72" s="10"/>
      <c r="I72" s="10"/>
      <c r="J72" s="10"/>
      <c r="K72" s="10"/>
      <c r="L72" s="49">
        <f>L69+L71</f>
        <v>234818622.54864001</v>
      </c>
      <c r="M72" s="10"/>
      <c r="N72" s="10"/>
    </row>
    <row r="73" spans="2:14">
      <c r="B73" s="3" t="s">
        <v>1075</v>
      </c>
      <c r="D73" s="3" t="s">
        <v>183</v>
      </c>
      <c r="H73" s="10"/>
      <c r="I73" s="10"/>
      <c r="J73" s="10"/>
      <c r="K73" s="10"/>
      <c r="L73" s="48">
        <f>'4. Input nacalculaties'!P17</f>
        <v>234818622.54864001</v>
      </c>
      <c r="M73" s="10"/>
      <c r="N73" s="10"/>
    </row>
    <row r="74" spans="2:14">
      <c r="B74" s="3" t="s">
        <v>428</v>
      </c>
      <c r="D74" s="3" t="s">
        <v>183</v>
      </c>
      <c r="H74" s="10"/>
      <c r="I74" s="10"/>
      <c r="J74" s="10"/>
      <c r="K74" s="10"/>
      <c r="L74" s="57">
        <f>'4. Input nacalculaties'!P18</f>
        <v>0</v>
      </c>
      <c r="M74" s="10"/>
      <c r="N74" s="10"/>
    </row>
    <row r="75" spans="2:14">
      <c r="B75" s="3" t="s">
        <v>905</v>
      </c>
      <c r="D75" s="3" t="s">
        <v>183</v>
      </c>
      <c r="H75" s="10"/>
      <c r="I75" s="10"/>
      <c r="J75" s="10"/>
      <c r="K75" s="10"/>
      <c r="L75" s="49">
        <f>L69+L71-L74</f>
        <v>234818622.54864001</v>
      </c>
      <c r="M75" s="10"/>
      <c r="N75" s="10"/>
    </row>
    <row r="77" spans="2:14" s="8" customFormat="1">
      <c r="B77" s="8" t="s">
        <v>906</v>
      </c>
    </row>
    <row r="79" spans="2:14">
      <c r="B79" s="3" t="s">
        <v>775</v>
      </c>
      <c r="D79" s="3" t="s">
        <v>183</v>
      </c>
      <c r="H79" s="10"/>
      <c r="I79" s="10"/>
      <c r="J79" s="58">
        <f>_xlfn.XLOOKUP(J10,Omzet[Jaar],Omzet[Saldo administratieve onbalans])</f>
        <v>-2234578.129999999</v>
      </c>
      <c r="K79" s="10"/>
      <c r="L79" s="10"/>
      <c r="M79" s="10"/>
      <c r="N79" s="10"/>
    </row>
    <row r="80" spans="2:14">
      <c r="B80" s="3" t="s">
        <v>896</v>
      </c>
      <c r="D80" s="3" t="s">
        <v>183</v>
      </c>
      <c r="H80" s="10"/>
      <c r="I80" s="10"/>
      <c r="J80" s="53">
        <f>-J79</f>
        <v>2234578.129999999</v>
      </c>
      <c r="K80" s="10"/>
      <c r="L80" s="10"/>
      <c r="M80" s="10"/>
      <c r="N80" s="10"/>
    </row>
    <row r="81" spans="2:14">
      <c r="B81" s="3" t="s">
        <v>897</v>
      </c>
      <c r="D81" s="3" t="s">
        <v>183</v>
      </c>
      <c r="H81" s="10"/>
      <c r="I81" s="10"/>
      <c r="J81" s="10"/>
      <c r="K81" s="10"/>
      <c r="L81" s="57">
        <f>J80*INDEX(L$33:L$39,L$10-2021)</f>
        <v>2370440.480303999</v>
      </c>
      <c r="M81" s="10"/>
      <c r="N81" s="10"/>
    </row>
    <row r="83" spans="2:14" s="8" customFormat="1">
      <c r="B83" s="8" t="s">
        <v>1065</v>
      </c>
    </row>
    <row r="85" spans="2:14">
      <c r="B85" s="3" t="s">
        <v>1066</v>
      </c>
      <c r="D85" s="3" t="s">
        <v>183</v>
      </c>
      <c r="H85" s="58">
        <f>'4. Input nacalculaties'!L32</f>
        <v>2227061.457252</v>
      </c>
      <c r="I85" s="10"/>
      <c r="J85" s="10"/>
      <c r="K85" s="10"/>
      <c r="L85" s="10"/>
      <c r="M85" s="10"/>
      <c r="N85" s="10"/>
    </row>
    <row r="86" spans="2:14">
      <c r="B86" s="3" t="s">
        <v>1080</v>
      </c>
      <c r="D86" s="3" t="s">
        <v>183</v>
      </c>
      <c r="H86" s="10"/>
      <c r="I86" s="10"/>
      <c r="J86" s="53">
        <f>H85*J15*J24</f>
        <v>2291915.0394875272</v>
      </c>
      <c r="K86" s="53">
        <f t="shared" ref="K86:N86" si="0">I85*K15*K24</f>
        <v>0</v>
      </c>
      <c r="L86" s="53">
        <f t="shared" si="0"/>
        <v>0</v>
      </c>
      <c r="M86" s="53">
        <f t="shared" si="0"/>
        <v>0</v>
      </c>
      <c r="N86" s="53">
        <f t="shared" si="0"/>
        <v>0</v>
      </c>
    </row>
    <row r="87" spans="2:14">
      <c r="B87" s="3" t="s">
        <v>1079</v>
      </c>
      <c r="D87" s="3" t="s">
        <v>183</v>
      </c>
      <c r="H87" s="10"/>
      <c r="I87" s="10"/>
      <c r="J87" s="177">
        <f>'13. Operationele kosten'!E22+'13. Operationele kosten'!F22</f>
        <v>16104411.169999994</v>
      </c>
      <c r="K87" s="10"/>
      <c r="L87" s="10"/>
      <c r="M87" s="10"/>
      <c r="N87" s="10"/>
    </row>
    <row r="88" spans="2:14">
      <c r="B88" s="3" t="s">
        <v>897</v>
      </c>
      <c r="D88" s="3" t="s">
        <v>183</v>
      </c>
      <c r="H88" s="10"/>
      <c r="I88" s="10"/>
      <c r="J88" s="10"/>
      <c r="K88" s="10"/>
      <c r="L88" s="57">
        <f>(J87-J86)*INDEX(L$33:L$39,L$10-2021)</f>
        <v>14652295.895247623</v>
      </c>
      <c r="M88" s="10"/>
      <c r="N88" s="10"/>
    </row>
    <row r="90" spans="2:14" s="8" customFormat="1">
      <c r="B90" s="8" t="s">
        <v>446</v>
      </c>
    </row>
    <row r="92" spans="2:14">
      <c r="B92" s="3" t="s">
        <v>873</v>
      </c>
      <c r="D92" s="3" t="s">
        <v>183</v>
      </c>
      <c r="H92" s="48">
        <f>'18. Indexatie desinvesteringen'!D947</f>
        <v>37758981.056281559</v>
      </c>
      <c r="I92" s="48">
        <f>'18. Indexatie desinvesteringen'!E947</f>
        <v>38763732.819702536</v>
      </c>
      <c r="J92" s="48">
        <f>'18. Indexatie desinvesteringen'!F947</f>
        <v>22960381.53917243</v>
      </c>
      <c r="K92" s="10"/>
      <c r="L92" s="10"/>
      <c r="M92" s="10"/>
      <c r="N92" s="10"/>
    </row>
    <row r="93" spans="2:14">
      <c r="B93" s="3" t="s">
        <v>874</v>
      </c>
      <c r="D93" s="3" t="s">
        <v>183</v>
      </c>
      <c r="H93" s="48">
        <f>'18. Indexatie desinvesteringen'!D948</f>
        <v>27912770.687367041</v>
      </c>
      <c r="I93" s="48">
        <f>'18. Indexatie desinvesteringen'!E948</f>
        <v>152460325.70788145</v>
      </c>
      <c r="J93" s="48">
        <f>'18. Indexatie desinvesteringen'!F948</f>
        <v>18326404.223966755</v>
      </c>
      <c r="K93" s="10"/>
      <c r="L93" s="10"/>
      <c r="M93" s="10"/>
      <c r="N93" s="10"/>
    </row>
    <row r="95" spans="2:14">
      <c r="B95" s="3" t="s">
        <v>907</v>
      </c>
      <c r="D95" s="3" t="s">
        <v>183</v>
      </c>
      <c r="H95" s="10"/>
      <c r="I95" s="10"/>
      <c r="J95" s="53">
        <f>$F$42*$H92*J$15*J$24*$F$45</f>
        <v>364104.60327161092</v>
      </c>
      <c r="K95" s="53">
        <f>$F$42*$H92*K$15*K$24*$F$45</f>
        <v>385132.37231975299</v>
      </c>
      <c r="L95" s="53">
        <f>$F$42*$H92*L$15*L$24*$F$45</f>
        <v>414279.19025691197</v>
      </c>
      <c r="M95" s="105"/>
      <c r="N95" s="105"/>
    </row>
    <row r="96" spans="2:14">
      <c r="B96" s="3" t="s">
        <v>908</v>
      </c>
      <c r="D96" s="3" t="s">
        <v>183</v>
      </c>
      <c r="H96" s="10"/>
      <c r="I96" s="10"/>
      <c r="J96" s="53">
        <f>$F$42*$H93*J$15*J$24</f>
        <v>287256.10029227083</v>
      </c>
      <c r="K96" s="53">
        <f>$F$42*$H93*K$15*K$24</f>
        <v>303845.71459635004</v>
      </c>
      <c r="L96" s="53">
        <f>$F$42*$H93*L$15*L$24</f>
        <v>326840.75827700185</v>
      </c>
      <c r="M96" s="105"/>
      <c r="N96" s="105"/>
    </row>
    <row r="97" spans="2:16">
      <c r="B97" s="3" t="s">
        <v>909</v>
      </c>
      <c r="D97" s="3" t="s">
        <v>183</v>
      </c>
      <c r="H97" s="10"/>
      <c r="I97" s="10"/>
      <c r="J97" s="53">
        <f>$F$42*$I92*J$16*J$25*$F$45</f>
        <v>368275.05142719188</v>
      </c>
      <c r="K97" s="53">
        <f>$F$42*$I92*K$16*K$25*$F$45</f>
        <v>389543.67219721508</v>
      </c>
      <c r="L97" s="53">
        <f>$F$42*$I92*L$16*L$25*$F$45</f>
        <v>419024.33730910026</v>
      </c>
      <c r="M97" s="105"/>
      <c r="N97" s="105"/>
    </row>
    <row r="98" spans="2:16">
      <c r="B98" s="3" t="s">
        <v>910</v>
      </c>
      <c r="D98" s="3" t="s">
        <v>183</v>
      </c>
      <c r="H98" s="10"/>
      <c r="I98" s="10"/>
      <c r="J98" s="53">
        <f>$F$42*$I93*J$16*J$25</f>
        <v>1545837.9312434085</v>
      </c>
      <c r="K98" s="53">
        <f>$F$42*$I93*K$16*K$25</f>
        <v>1635113.1634485775</v>
      </c>
      <c r="L98" s="53">
        <f>$F$42*$I93*L$16*L$25</f>
        <v>1758858.5276583661</v>
      </c>
      <c r="M98" s="105"/>
      <c r="N98" s="105"/>
    </row>
    <row r="99" spans="2:16">
      <c r="B99" s="3" t="s">
        <v>911</v>
      </c>
      <c r="D99" s="3" t="s">
        <v>183</v>
      </c>
      <c r="H99" s="10"/>
      <c r="I99" s="10"/>
      <c r="J99" s="53">
        <f>$F$42*$J92*J$17*J$26*$F$45</f>
        <v>215138.77502204568</v>
      </c>
      <c r="K99" s="53">
        <f>$F$42*$J92*K$17*K$26*$F$45</f>
        <v>227563.46955711886</v>
      </c>
      <c r="L99" s="53">
        <f>$F$42*$J92*L$17*L$26*$F$45</f>
        <v>244785.47293320167</v>
      </c>
      <c r="M99" s="105"/>
      <c r="N99" s="105"/>
    </row>
    <row r="100" spans="2:16">
      <c r="B100" s="3" t="s">
        <v>912</v>
      </c>
      <c r="D100" s="3" t="s">
        <v>183</v>
      </c>
      <c r="H100" s="10"/>
      <c r="I100" s="10"/>
      <c r="J100" s="53">
        <f>$F$42*$J93*J$17*J$26</f>
        <v>183264.04223966756</v>
      </c>
      <c r="K100" s="53">
        <f>$F$42*$J93*K$17*K$26</f>
        <v>193847.90720709285</v>
      </c>
      <c r="L100" s="53">
        <f>$F$42*$J93*L$17*L$26</f>
        <v>208518.31682452565</v>
      </c>
      <c r="M100" s="105"/>
      <c r="N100" s="105"/>
    </row>
    <row r="102" spans="2:16">
      <c r="B102" s="3" t="s">
        <v>913</v>
      </c>
      <c r="D102" s="3" t="s">
        <v>183</v>
      </c>
      <c r="H102" s="10"/>
      <c r="I102" s="10"/>
      <c r="J102" s="53">
        <f>-SUM(J95:J96)</f>
        <v>-651360.70356388181</v>
      </c>
      <c r="K102" s="53">
        <f>-SUM(K95:K98)</f>
        <v>-2713634.9225618956</v>
      </c>
      <c r="L102" s="57">
        <f>-(SUM(L95:L100)+SUM(J97:J100)*L35+SUM(K99:K100)*L36)</f>
        <v>-6263691.195662085</v>
      </c>
      <c r="M102" s="10"/>
      <c r="N102" s="10"/>
      <c r="P102" s="3" t="s">
        <v>1081</v>
      </c>
    </row>
    <row r="103" spans="2:16">
      <c r="D103" s="2"/>
    </row>
    <row r="104" spans="2:16" s="8" customFormat="1">
      <c r="B104" s="8" t="s">
        <v>914</v>
      </c>
    </row>
    <row r="106" spans="2:16">
      <c r="B106" s="3" t="s">
        <v>430</v>
      </c>
      <c r="D106" s="3" t="s">
        <v>183</v>
      </c>
      <c r="H106" s="10"/>
      <c r="I106" s="10"/>
      <c r="J106" s="58">
        <f>'4. Input nacalculaties'!N22</f>
        <v>5268139756.0391312</v>
      </c>
      <c r="K106" s="58">
        <f>'4. Input nacalculaties'!O22</f>
        <v>5115634665.0918875</v>
      </c>
      <c r="L106" s="58">
        <f>'4. Input nacalculaties'!P22</f>
        <v>4980890118.9719696</v>
      </c>
      <c r="M106" s="58">
        <f>'4. Input nacalculaties'!Q22</f>
        <v>4857675740.1304922</v>
      </c>
      <c r="N106" s="58">
        <f>'4. Input nacalculaties'!R22</f>
        <v>4748752834.5466137</v>
      </c>
    </row>
    <row r="107" spans="2:16">
      <c r="B107" s="3" t="s">
        <v>432</v>
      </c>
      <c r="D107" s="3" t="s">
        <v>183</v>
      </c>
      <c r="H107" s="10"/>
      <c r="I107" s="10"/>
      <c r="J107" s="58">
        <f>'4. Input nacalculaties'!N23</f>
        <v>1236767462.5833061</v>
      </c>
      <c r="K107" s="58">
        <f>'4. Input nacalculaties'!O23</f>
        <v>1207881645.0947828</v>
      </c>
      <c r="L107" s="58">
        <f>'4. Input nacalculaties'!P23</f>
        <v>1182417569.8607492</v>
      </c>
      <c r="M107" s="58">
        <f>'4. Input nacalculaties'!Q23</f>
        <v>1160937568.2311876</v>
      </c>
      <c r="N107" s="58">
        <f>'4. Input nacalculaties'!R23</f>
        <v>1143786642.7114766</v>
      </c>
    </row>
    <row r="108" spans="2:16">
      <c r="B108" s="3" t="s">
        <v>915</v>
      </c>
      <c r="D108" s="3" t="s">
        <v>183</v>
      </c>
      <c r="H108" s="10"/>
      <c r="I108" s="10"/>
      <c r="J108" s="58">
        <f>SUMIF('16. Nacalculatie bijschatten'!$K$61:$K$158,1,'16. Nacalculatie bijschatten'!AN61:AN158)</f>
        <v>389119307.62836421</v>
      </c>
      <c r="K108" s="58">
        <f>SUMIF('16. Nacalculatie bijschatten'!$K$61:$K$158,1,'16. Nacalculatie bijschatten'!AO61:AO158)</f>
        <v>374180930.33939129</v>
      </c>
      <c r="L108" s="58">
        <f>SUMIF('16. Nacalculatie bijschatten'!$K$61:$K$158,1,'16. Nacalculatie bijschatten'!AP61:AP158)</f>
        <v>359984549.55979508</v>
      </c>
      <c r="M108" s="58">
        <f>SUMIF('16. Nacalculatie bijschatten'!$K$61:$K$158,1,'16. Nacalculatie bijschatten'!AQ61:AQ158)</f>
        <v>346477890.64172226</v>
      </c>
      <c r="N108" s="58">
        <f>SUMIF('16. Nacalculatie bijschatten'!$K$61:$K$158,1,'16. Nacalculatie bijschatten'!AR61:AR158)</f>
        <v>333413073.31059253</v>
      </c>
    </row>
    <row r="109" spans="2:16">
      <c r="B109" s="3" t="s">
        <v>916</v>
      </c>
      <c r="D109" s="3" t="s">
        <v>183</v>
      </c>
      <c r="H109" s="10"/>
      <c r="I109" s="10"/>
      <c r="J109" s="58">
        <f>SUMIF('16. Nacalculatie bijschatten'!$K$61:$K$158,0,'16. Nacalculatie bijschatten'!AN61:AN158)</f>
        <v>131264919.36930761</v>
      </c>
      <c r="K109" s="58">
        <f>SUMIF('16. Nacalculatie bijschatten'!$K$61:$K$158,0,'16. Nacalculatie bijschatten'!AO61:AO158)</f>
        <v>124044203.88097931</v>
      </c>
      <c r="L109" s="58">
        <f>SUMIF('16. Nacalculatie bijschatten'!$K$61:$K$158,0,'16. Nacalculatie bijschatten'!AP61:AP158)</f>
        <v>117239256.17113258</v>
      </c>
      <c r="M109" s="58">
        <f>SUMIF('16. Nacalculatie bijschatten'!$K$61:$K$158,0,'16. Nacalculatie bijschatten'!AQ61:AQ158)</f>
        <v>110820325.87364064</v>
      </c>
      <c r="N109" s="58">
        <f>SUMIF('16. Nacalculatie bijschatten'!$K$61:$K$158,0,'16. Nacalculatie bijschatten'!AR61:AR158)</f>
        <v>104657052.32871376</v>
      </c>
    </row>
    <row r="110" spans="2:16">
      <c r="B110" s="3" t="s">
        <v>917</v>
      </c>
      <c r="D110" s="3" t="s">
        <v>183</v>
      </c>
      <c r="H110" s="10"/>
      <c r="I110" s="10"/>
      <c r="J110" s="58">
        <f>SUM('16. Nacalculatie bijschatten'!AN183:AN238)</f>
        <v>236911307.25524643</v>
      </c>
      <c r="K110" s="58">
        <f>SUM('16. Nacalculatie bijschatten'!AO183:AO238)</f>
        <v>229450386.14823213</v>
      </c>
      <c r="L110" s="58">
        <f>SUM('16. Nacalculatie bijschatten'!AP183:AP238)</f>
        <v>222241367.11664259</v>
      </c>
      <c r="M110" s="58">
        <f>SUM('16. Nacalculatie bijschatten'!AQ183:AQ238)</f>
        <v>215274303.76931643</v>
      </c>
      <c r="N110" s="58">
        <f>SUM('16. Nacalculatie bijschatten'!AR183:AR238)</f>
        <v>208539660.46585491</v>
      </c>
      <c r="O110" s="97">
        <f>SUM('16. Nacalculatie bijschatten'!AS183:AS238)</f>
        <v>0</v>
      </c>
    </row>
    <row r="111" spans="2:16">
      <c r="B111" s="3" t="s">
        <v>918</v>
      </c>
      <c r="D111" s="3" t="s">
        <v>183</v>
      </c>
      <c r="H111" s="10"/>
      <c r="I111" s="10"/>
      <c r="J111" s="58">
        <f>SUMIF('15. WUI &amp; ombouwtaak'!$J60:'15. WUI &amp; ombouwtaak'!$J65,"WUI",'15. WUI &amp; ombouwtaak'!AP60:'15. WUI &amp; ombouwtaak'!AP65)</f>
        <v>0</v>
      </c>
      <c r="K111" s="58">
        <f>SUMIF('15. WUI &amp; ombouwtaak'!$J60:'15. WUI &amp; ombouwtaak'!$J65,"WUI",'15. WUI &amp; ombouwtaak'!AQ60:'15. WUI &amp; ombouwtaak'!AQ65)</f>
        <v>0</v>
      </c>
      <c r="L111" s="58">
        <f>SUMIF('15. WUI &amp; ombouwtaak'!$J60:'15. WUI &amp; ombouwtaak'!$J65,"WUI",'15. WUI &amp; ombouwtaak'!AR60:'15. WUI &amp; ombouwtaak'!AR65)</f>
        <v>0</v>
      </c>
      <c r="M111" s="58">
        <f>SUMIF('15. WUI &amp; ombouwtaak'!$J60:'15. WUI &amp; ombouwtaak'!$J65,"WUI",'15. WUI &amp; ombouwtaak'!AS60:'15. WUI &amp; ombouwtaak'!AS65)</f>
        <v>0</v>
      </c>
      <c r="N111" s="58">
        <f>SUMIF('15. WUI &amp; ombouwtaak'!$J60:'15. WUI &amp; ombouwtaak'!$J65,"WUI",'15. WUI &amp; ombouwtaak'!AT60:'15. WUI &amp; ombouwtaak'!AT65)</f>
        <v>0</v>
      </c>
    </row>
    <row r="112" spans="2:16">
      <c r="B112" s="3" t="s">
        <v>919</v>
      </c>
      <c r="D112" s="3" t="s">
        <v>183</v>
      </c>
      <c r="H112" s="10"/>
      <c r="I112" s="10"/>
      <c r="J112" s="58">
        <f>SUMIF('15. WUI &amp; ombouwtaak'!$K60:'15. WUI &amp; ombouwtaak'!$K65,"Ja",'15. WUI &amp; ombouwtaak'!AP60:'15. WUI &amp; ombouwtaak'!AP65)</f>
        <v>12131017.225396641</v>
      </c>
      <c r="K112" s="58">
        <f>SUMIF('15. WUI &amp; ombouwtaak'!$K60:'15. WUI &amp; ombouwtaak'!$K65,"Ja",'15. WUI &amp; ombouwtaak'!AQ60:'15. WUI &amp; ombouwtaak'!AQ65)</f>
        <v>11724471.029694667</v>
      </c>
      <c r="L112" s="58">
        <f>SUMIF('15. WUI &amp; ombouwtaak'!$K60:'15. WUI &amp; ombouwtaak'!$K65,"Ja",'15. WUI &amp; ombouwtaak'!AR60:'15. WUI &amp; ombouwtaak'!AR65)</f>
        <v>11331812.673751615</v>
      </c>
      <c r="M112" s="58">
        <f>SUMIF('15. WUI &amp; ombouwtaak'!$K60:'15. WUI &amp; ombouwtaak'!$K65,"Ja",'15. WUI &amp; ombouwtaak'!AS60:'15. WUI &amp; ombouwtaak'!AS65)</f>
        <v>10952494.032867387</v>
      </c>
      <c r="N112" s="58">
        <f>SUMIF('15. WUI &amp; ombouwtaak'!$K60:'15. WUI &amp; ombouwtaak'!$K65,"Ja",'15. WUI &amp; ombouwtaak'!AT60:'15. WUI &amp; ombouwtaak'!AT65)</f>
        <v>10585989.513992541</v>
      </c>
    </row>
    <row r="113" spans="2:14">
      <c r="B113" s="3" t="s">
        <v>897</v>
      </c>
      <c r="D113" s="3" t="s">
        <v>183</v>
      </c>
      <c r="H113" s="10"/>
      <c r="I113" s="10"/>
      <c r="J113" s="10"/>
      <c r="K113" s="10"/>
      <c r="L113" s="57">
        <f>((J106-J108)*$F$45+J107-J109+J110+J111+J112)*(J49-J48)*L35</f>
        <v>56578492.792342328</v>
      </c>
      <c r="M113" s="10"/>
      <c r="N113" s="10"/>
    </row>
  </sheetData>
  <mergeCells count="3">
    <mergeCell ref="B5:D5"/>
    <mergeCell ref="B7:D7"/>
    <mergeCell ref="B8:D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90" zoomScaleNormal="90" workbookViewId="0">
      <pane xSplit="4" ySplit="8" topLeftCell="E9" activePane="bottomRight" state="frozen"/>
      <selection pane="topRight"/>
      <selection pane="bottomLeft"/>
      <selection pane="bottomRight"/>
    </sheetView>
  </sheetViews>
  <sheetFormatPr defaultColWidth="9.140625" defaultRowHeight="12.75"/>
  <cols>
    <col min="1" max="1" width="2.7109375" style="217" customWidth="1"/>
    <col min="2" max="2" width="84.42578125" style="3" customWidth="1"/>
    <col min="3" max="3" width="2.7109375" style="3" customWidth="1"/>
    <col min="4" max="4" width="15.140625" style="3" bestFit="1" customWidth="1"/>
    <col min="5" max="5" width="2.7109375" style="3" customWidth="1"/>
    <col min="6" max="6" width="21.5703125" style="3" customWidth="1"/>
    <col min="7" max="7" width="2.7109375" style="3" customWidth="1"/>
    <col min="8" max="8" width="22.42578125" style="3" customWidth="1"/>
    <col min="9" max="9" width="18.5703125" style="3" bestFit="1" customWidth="1"/>
    <col min="10" max="10" width="16.5703125" style="3" bestFit="1" customWidth="1"/>
    <col min="11" max="17" width="14.7109375" style="3" customWidth="1"/>
    <col min="18" max="18" width="2.5703125" style="3" customWidth="1"/>
    <col min="19" max="23" width="13.7109375" style="217" customWidth="1"/>
    <col min="24" max="24" width="2.5703125" style="217" customWidth="1"/>
    <col min="25" max="29" width="13.7109375" style="217" customWidth="1"/>
    <col min="30" max="30" width="2.5703125" style="217" customWidth="1"/>
    <col min="31" max="31" width="14.7109375" style="217" customWidth="1"/>
    <col min="32" max="35" width="14.7109375" style="3" customWidth="1"/>
    <col min="36" max="36" width="2.5703125" style="3" customWidth="1"/>
    <col min="37" max="41" width="14.7109375" style="3" customWidth="1"/>
    <col min="42" max="16384" width="9.140625" style="3"/>
  </cols>
  <sheetData>
    <row r="2" spans="1:31" s="12" customFormat="1" ht="18">
      <c r="B2" s="12" t="s">
        <v>920</v>
      </c>
    </row>
    <row r="3" spans="1:31">
      <c r="A3" s="3"/>
    </row>
    <row r="4" spans="1:31">
      <c r="A4" s="3"/>
      <c r="B4" s="16" t="s">
        <v>173</v>
      </c>
      <c r="C4" s="2"/>
    </row>
    <row r="5" spans="1:31" ht="57.75" customHeight="1">
      <c r="A5" s="3"/>
      <c r="B5" s="322" t="s">
        <v>921</v>
      </c>
      <c r="C5" s="322"/>
      <c r="D5" s="322"/>
      <c r="F5" s="13"/>
    </row>
    <row r="6" spans="1:31">
      <c r="A6" s="3"/>
    </row>
    <row r="7" spans="1:31">
      <c r="A7" s="3"/>
      <c r="B7" s="17" t="s">
        <v>471</v>
      </c>
    </row>
    <row r="8" spans="1:31" ht="30" customHeight="1">
      <c r="A8" s="3"/>
      <c r="B8" s="322" t="s">
        <v>922</v>
      </c>
      <c r="C8" s="322"/>
      <c r="D8" s="322"/>
    </row>
    <row r="10" spans="1:31" s="8" customFormat="1" ht="12.75" customHeight="1">
      <c r="B10" s="8" t="s">
        <v>134</v>
      </c>
    </row>
    <row r="12" spans="1:31" s="8" customFormat="1" ht="12.75" customHeight="1">
      <c r="B12" s="8" t="s">
        <v>923</v>
      </c>
      <c r="D12" s="8" t="s">
        <v>175</v>
      </c>
      <c r="F12" s="8" t="s">
        <v>176</v>
      </c>
      <c r="H12" s="52">
        <v>2022</v>
      </c>
      <c r="I12" s="52">
        <v>2023</v>
      </c>
      <c r="J12" s="52">
        <v>2024</v>
      </c>
      <c r="K12" s="52">
        <v>2025</v>
      </c>
      <c r="L12" s="52">
        <v>2026</v>
      </c>
      <c r="N12" s="8" t="s">
        <v>178</v>
      </c>
    </row>
    <row r="13" spans="1:31">
      <c r="B13" s="2"/>
      <c r="C13" s="5"/>
      <c r="D13" s="5"/>
      <c r="E13" s="13"/>
      <c r="F13" s="13"/>
      <c r="G13" s="13"/>
      <c r="O13" s="217"/>
      <c r="P13" s="217"/>
      <c r="Q13" s="217"/>
      <c r="R13" s="217"/>
      <c r="AB13" s="3"/>
      <c r="AC13" s="3"/>
      <c r="AD13" s="3"/>
      <c r="AE13" s="3"/>
    </row>
    <row r="14" spans="1:31">
      <c r="A14" s="239"/>
      <c r="B14" s="16" t="s">
        <v>185</v>
      </c>
      <c r="C14" s="5"/>
      <c r="D14" s="5"/>
      <c r="E14" s="13"/>
      <c r="F14" s="13"/>
      <c r="G14" s="13"/>
      <c r="O14" s="239"/>
      <c r="P14" s="239"/>
      <c r="Q14" s="239"/>
      <c r="R14" s="239"/>
      <c r="S14" s="239"/>
      <c r="T14" s="239"/>
      <c r="U14" s="239"/>
      <c r="V14" s="239"/>
      <c r="W14" s="239"/>
      <c r="X14" s="239"/>
      <c r="Y14" s="239"/>
      <c r="Z14" s="239"/>
      <c r="AA14" s="239"/>
      <c r="AB14" s="3"/>
      <c r="AC14" s="3"/>
      <c r="AD14" s="3"/>
      <c r="AE14" s="3"/>
    </row>
    <row r="15" spans="1:31">
      <c r="A15" s="3"/>
      <c r="B15" s="241" t="s">
        <v>924</v>
      </c>
      <c r="D15" s="3" t="s">
        <v>180</v>
      </c>
      <c r="F15" s="242"/>
      <c r="H15" s="255">
        <f>'2. Parameters'!M26</f>
        <v>0.04</v>
      </c>
      <c r="I15" s="228">
        <f>'2. Parameters'!N23</f>
        <v>0.03</v>
      </c>
      <c r="J15" s="228">
        <f>'2. Parameters'!O23</f>
        <v>0.03</v>
      </c>
      <c r="K15" s="228">
        <f>'2. Parameters'!P23</f>
        <v>0.03</v>
      </c>
      <c r="L15" s="228">
        <f>'2. Parameters'!Q23</f>
        <v>0.03</v>
      </c>
      <c r="N15" s="322"/>
      <c r="O15" s="322"/>
      <c r="P15" s="322"/>
      <c r="Q15" s="322"/>
      <c r="R15" s="322"/>
      <c r="S15" s="322"/>
      <c r="T15" s="322"/>
      <c r="U15" s="3"/>
      <c r="V15" s="3"/>
      <c r="W15" s="3"/>
      <c r="X15" s="3"/>
      <c r="Y15" s="3"/>
      <c r="Z15" s="3"/>
      <c r="AA15" s="3"/>
      <c r="AB15" s="3"/>
      <c r="AC15" s="3"/>
      <c r="AD15" s="3"/>
      <c r="AE15" s="3"/>
    </row>
    <row r="16" spans="1:31">
      <c r="A16" s="239"/>
      <c r="B16" s="2"/>
      <c r="C16" s="5"/>
      <c r="D16" s="5"/>
      <c r="E16" s="13"/>
      <c r="F16" s="13"/>
      <c r="G16" s="13"/>
      <c r="O16" s="239"/>
      <c r="P16" s="239"/>
      <c r="Q16" s="239"/>
      <c r="R16" s="239"/>
      <c r="S16" s="239"/>
      <c r="T16" s="239"/>
      <c r="U16" s="239"/>
      <c r="V16" s="239"/>
      <c r="W16" s="239"/>
      <c r="X16" s="239"/>
      <c r="Y16" s="239"/>
      <c r="Z16" s="239"/>
      <c r="AA16" s="239"/>
      <c r="AB16" s="3"/>
      <c r="AC16" s="3"/>
      <c r="AD16" s="3"/>
      <c r="AE16" s="3"/>
    </row>
    <row r="17" spans="1:27" s="3" customFormat="1">
      <c r="B17" s="2" t="s">
        <v>215</v>
      </c>
      <c r="H17" s="240"/>
      <c r="I17" s="240"/>
      <c r="J17" s="240"/>
      <c r="K17" s="240"/>
      <c r="L17" s="96"/>
    </row>
    <row r="18" spans="1:27" s="3" customFormat="1">
      <c r="B18" s="32" t="s">
        <v>204</v>
      </c>
      <c r="D18" s="3" t="s">
        <v>216</v>
      </c>
      <c r="H18" s="229">
        <f>'2. Parameters'!M74</f>
        <v>1</v>
      </c>
      <c r="I18" s="229">
        <f>'2. Parameters'!N74</f>
        <v>1.02</v>
      </c>
      <c r="J18" s="229">
        <f>'2. Parameters'!O74</f>
        <v>1.0608</v>
      </c>
      <c r="K18" s="229">
        <f>'2. Parameters'!P74</f>
        <v>1.103232</v>
      </c>
      <c r="L18" s="229">
        <f>'2. Parameters'!Q74</f>
        <v>1.1473612799999999</v>
      </c>
    </row>
    <row r="19" spans="1:27" s="3" customFormat="1">
      <c r="B19" s="32" t="s">
        <v>205</v>
      </c>
      <c r="D19" s="3" t="s">
        <v>216</v>
      </c>
      <c r="H19" s="230"/>
      <c r="I19" s="229">
        <f>'2. Parameters'!N75</f>
        <v>1</v>
      </c>
      <c r="J19" s="229">
        <f>'2. Parameters'!O75</f>
        <v>1.04</v>
      </c>
      <c r="K19" s="229">
        <f>'2. Parameters'!P75</f>
        <v>1.0816000000000001</v>
      </c>
      <c r="L19" s="229">
        <f>'2. Parameters'!Q75</f>
        <v>1.1248640000000001</v>
      </c>
    </row>
    <row r="20" spans="1:27" s="3" customFormat="1">
      <c r="B20" s="32" t="s">
        <v>206</v>
      </c>
      <c r="D20" s="3" t="s">
        <v>216</v>
      </c>
      <c r="H20" s="230"/>
      <c r="I20" s="230"/>
      <c r="J20" s="229">
        <f>'2. Parameters'!O76</f>
        <v>1</v>
      </c>
      <c r="K20" s="229">
        <f>'2. Parameters'!P76</f>
        <v>1.04</v>
      </c>
      <c r="L20" s="229">
        <f>'2. Parameters'!Q76</f>
        <v>1.0816000000000001</v>
      </c>
    </row>
    <row r="21" spans="1:27" s="3" customFormat="1">
      <c r="B21" s="32" t="s">
        <v>207</v>
      </c>
      <c r="D21" s="3" t="s">
        <v>216</v>
      </c>
      <c r="H21" s="230"/>
      <c r="I21" s="230"/>
      <c r="J21" s="230"/>
      <c r="K21" s="229">
        <f>'2. Parameters'!P77</f>
        <v>1</v>
      </c>
      <c r="L21" s="229">
        <f>'2. Parameters'!Q77</f>
        <v>1.04</v>
      </c>
    </row>
    <row r="22" spans="1:27" s="3" customFormat="1">
      <c r="B22" s="32" t="s">
        <v>208</v>
      </c>
      <c r="D22" s="3" t="s">
        <v>216</v>
      </c>
      <c r="H22" s="230"/>
      <c r="I22" s="230"/>
      <c r="J22" s="230"/>
      <c r="K22" s="230"/>
      <c r="L22" s="229">
        <f>'2. Parameters'!Q78</f>
        <v>1</v>
      </c>
    </row>
    <row r="23" spans="1:27" s="3" customFormat="1">
      <c r="H23" s="240"/>
      <c r="I23" s="240"/>
      <c r="J23" s="240"/>
      <c r="K23" s="240"/>
      <c r="L23" s="96"/>
    </row>
    <row r="24" spans="1:27" s="3" customFormat="1">
      <c r="B24" s="2" t="s">
        <v>218</v>
      </c>
      <c r="H24" s="240"/>
      <c r="I24" s="240"/>
      <c r="J24" s="240"/>
      <c r="K24" s="240"/>
      <c r="L24" s="96"/>
    </row>
    <row r="25" spans="1:27" s="3" customFormat="1">
      <c r="B25" s="3" t="s">
        <v>218</v>
      </c>
      <c r="D25" s="3" t="s">
        <v>180</v>
      </c>
      <c r="F25" s="231">
        <f>'2. Parameters'!F86</f>
        <v>1.3</v>
      </c>
      <c r="H25" s="240"/>
      <c r="I25" s="240"/>
      <c r="J25" s="240"/>
      <c r="K25" s="240"/>
      <c r="L25" s="96"/>
    </row>
    <row r="26" spans="1:27" s="3" customFormat="1">
      <c r="H26" s="240"/>
      <c r="I26" s="240"/>
      <c r="J26" s="240"/>
      <c r="K26" s="240"/>
      <c r="L26" s="96"/>
    </row>
    <row r="27" spans="1:27" s="3" customFormat="1">
      <c r="B27" s="2" t="s">
        <v>925</v>
      </c>
      <c r="H27" s="240"/>
      <c r="I27" s="240"/>
      <c r="J27" s="240"/>
      <c r="K27" s="240"/>
      <c r="L27" s="96"/>
    </row>
    <row r="28" spans="1:27" s="3" customFormat="1">
      <c r="B28" s="3" t="s">
        <v>925</v>
      </c>
      <c r="D28" s="3" t="s">
        <v>180</v>
      </c>
      <c r="F28" s="86">
        <f>'2. Parameters'!F90</f>
        <v>0.1</v>
      </c>
      <c r="H28" s="240"/>
      <c r="I28" s="240"/>
      <c r="J28" s="240"/>
      <c r="K28" s="240"/>
      <c r="L28" s="96"/>
    </row>
    <row r="29" spans="1:27" s="3" customFormat="1">
      <c r="H29" s="240"/>
      <c r="I29" s="240"/>
      <c r="J29" s="240"/>
      <c r="K29" s="240"/>
      <c r="L29" s="96"/>
    </row>
    <row r="30" spans="1:27" s="3" customFormat="1">
      <c r="A30" s="239"/>
      <c r="B30" s="2" t="s">
        <v>466</v>
      </c>
      <c r="O30" s="239"/>
      <c r="P30" s="239"/>
      <c r="Q30" s="239"/>
      <c r="R30" s="239"/>
      <c r="S30" s="239"/>
      <c r="T30" s="239"/>
      <c r="U30" s="239"/>
      <c r="V30" s="239"/>
      <c r="W30" s="239"/>
      <c r="X30" s="239"/>
      <c r="Y30" s="239"/>
      <c r="Z30" s="239"/>
      <c r="AA30" s="239"/>
    </row>
    <row r="31" spans="1:27" s="3" customFormat="1">
      <c r="A31" s="239"/>
      <c r="B31" s="3" t="s">
        <v>466</v>
      </c>
      <c r="D31" s="3" t="s">
        <v>183</v>
      </c>
      <c r="H31" s="232">
        <f>'6. Input incidentele corr. WQA'!L21</f>
        <v>323752.474602776</v>
      </c>
      <c r="O31" s="239"/>
      <c r="P31" s="239"/>
      <c r="Q31" s="239"/>
      <c r="R31" s="239"/>
      <c r="S31" s="239"/>
      <c r="T31" s="239"/>
      <c r="U31" s="239"/>
      <c r="V31" s="239"/>
      <c r="W31" s="239"/>
      <c r="X31" s="239"/>
      <c r="Y31" s="239"/>
      <c r="Z31" s="239"/>
      <c r="AA31" s="239"/>
    </row>
    <row r="32" spans="1:27" s="3" customFormat="1">
      <c r="A32" s="239"/>
      <c r="O32" s="239"/>
      <c r="P32" s="239"/>
      <c r="Q32" s="239"/>
      <c r="R32" s="239"/>
      <c r="S32" s="239"/>
      <c r="T32" s="239"/>
      <c r="U32" s="239"/>
      <c r="V32" s="239"/>
      <c r="W32" s="239"/>
      <c r="X32" s="239"/>
      <c r="Y32" s="239"/>
      <c r="Z32" s="239"/>
      <c r="AA32" s="239"/>
    </row>
    <row r="33" spans="1:41">
      <c r="A33" s="239"/>
      <c r="B33" s="2" t="s">
        <v>468</v>
      </c>
      <c r="O33" s="239"/>
      <c r="P33" s="239"/>
      <c r="Q33" s="239"/>
      <c r="R33" s="239"/>
      <c r="S33" s="239"/>
      <c r="T33" s="239"/>
      <c r="U33" s="239"/>
      <c r="V33" s="239"/>
      <c r="W33" s="239"/>
      <c r="X33" s="239"/>
      <c r="Y33" s="239"/>
      <c r="Z33" s="239"/>
      <c r="AA33" s="239"/>
      <c r="AB33" s="3"/>
      <c r="AC33" s="3"/>
      <c r="AD33" s="3"/>
      <c r="AE33" s="3"/>
    </row>
    <row r="34" spans="1:41">
      <c r="A34" s="239"/>
      <c r="B34" s="3" t="s">
        <v>468</v>
      </c>
      <c r="D34" s="3" t="s">
        <v>183</v>
      </c>
      <c r="H34" s="232">
        <f>'6. Input incidentele corr. WQA'!L24</f>
        <v>3395116.47</v>
      </c>
      <c r="O34" s="239"/>
      <c r="P34" s="239"/>
      <c r="Q34" s="239"/>
      <c r="R34" s="239"/>
      <c r="S34" s="239"/>
      <c r="T34" s="239"/>
      <c r="U34" s="239"/>
      <c r="V34" s="239"/>
      <c r="W34" s="239"/>
      <c r="X34" s="239"/>
      <c r="Y34" s="239"/>
      <c r="Z34" s="239"/>
      <c r="AA34" s="239"/>
      <c r="AB34" s="3"/>
      <c r="AC34" s="3"/>
      <c r="AD34" s="3"/>
      <c r="AE34" s="3"/>
    </row>
    <row r="35" spans="1:41" ht="13.5" customHeight="1">
      <c r="A35" s="239"/>
      <c r="S35" s="239"/>
      <c r="T35" s="239"/>
      <c r="U35" s="239"/>
      <c r="V35" s="239"/>
      <c r="W35" s="239"/>
      <c r="X35" s="239"/>
      <c r="Y35" s="239"/>
      <c r="Z35" s="239"/>
      <c r="AA35" s="239"/>
      <c r="AB35" s="239"/>
      <c r="AC35" s="239"/>
      <c r="AD35" s="239"/>
      <c r="AE35" s="239"/>
    </row>
    <row r="36" spans="1:41" s="39" customFormat="1" ht="12.75" customHeight="1">
      <c r="A36" s="106"/>
      <c r="B36" s="39" t="s">
        <v>926</v>
      </c>
      <c r="M36" s="39" t="s">
        <v>804</v>
      </c>
      <c r="S36" s="39" t="s">
        <v>927</v>
      </c>
      <c r="Y36" s="39" t="s">
        <v>806</v>
      </c>
      <c r="AE36" s="39" t="s">
        <v>807</v>
      </c>
      <c r="AK36" s="39" t="s">
        <v>808</v>
      </c>
    </row>
    <row r="37" spans="1:41" s="40" customFormat="1" ht="12.75" customHeight="1">
      <c r="A37" s="107"/>
      <c r="F37" s="40" t="s">
        <v>332</v>
      </c>
      <c r="H37" s="40" t="s">
        <v>256</v>
      </c>
      <c r="I37" s="40" t="s">
        <v>452</v>
      </c>
      <c r="K37" s="109" t="s">
        <v>928</v>
      </c>
      <c r="L37" s="109"/>
      <c r="M37" s="51">
        <v>2022</v>
      </c>
      <c r="N37" s="51">
        <v>2023</v>
      </c>
      <c r="O37" s="51">
        <v>2024</v>
      </c>
      <c r="P37" s="51">
        <v>2025</v>
      </c>
      <c r="Q37" s="51">
        <v>2026</v>
      </c>
      <c r="R37" s="45"/>
      <c r="S37" s="51">
        <v>2022</v>
      </c>
      <c r="T37" s="51">
        <v>2023</v>
      </c>
      <c r="U37" s="51">
        <v>2024</v>
      </c>
      <c r="V37" s="51">
        <v>2025</v>
      </c>
      <c r="W37" s="51">
        <v>2026</v>
      </c>
      <c r="X37" s="45"/>
      <c r="Y37" s="51">
        <v>2022</v>
      </c>
      <c r="Z37" s="51">
        <v>2023</v>
      </c>
      <c r="AA37" s="51">
        <v>2024</v>
      </c>
      <c r="AB37" s="51">
        <v>2025</v>
      </c>
      <c r="AC37" s="51">
        <v>2026</v>
      </c>
      <c r="AD37" s="45"/>
      <c r="AE37" s="51">
        <v>2022</v>
      </c>
      <c r="AF37" s="51">
        <v>2023</v>
      </c>
      <c r="AG37" s="51">
        <v>2024</v>
      </c>
      <c r="AH37" s="51">
        <v>2025</v>
      </c>
      <c r="AI37" s="51">
        <v>2026</v>
      </c>
      <c r="AJ37" s="45"/>
      <c r="AK37" s="51">
        <v>2022</v>
      </c>
      <c r="AL37" s="51">
        <v>2023</v>
      </c>
      <c r="AM37" s="51">
        <v>2024</v>
      </c>
      <c r="AN37" s="51">
        <v>2025</v>
      </c>
      <c r="AO37" s="51">
        <v>2026</v>
      </c>
    </row>
    <row r="38" spans="1:41" ht="13.5" customHeight="1">
      <c r="A38" s="239"/>
      <c r="S38" s="239"/>
      <c r="T38" s="239"/>
      <c r="U38" s="239"/>
      <c r="V38" s="239"/>
      <c r="W38" s="239"/>
      <c r="X38" s="239"/>
      <c r="Y38" s="239"/>
      <c r="Z38" s="239"/>
      <c r="AA38" s="239"/>
      <c r="AB38" s="239"/>
      <c r="AC38" s="239"/>
      <c r="AD38" s="239"/>
      <c r="AE38" s="239"/>
    </row>
    <row r="39" spans="1:41">
      <c r="A39" s="239"/>
      <c r="B39" s="3" t="s">
        <v>458</v>
      </c>
      <c r="F39" s="43">
        <f>'6. Input incidentele corr. WQA'!F12</f>
        <v>2011</v>
      </c>
      <c r="H39" s="43">
        <f>'6. Input incidentele corr. WQA'!H12</f>
        <v>30</v>
      </c>
      <c r="I39" s="48">
        <f>'6. Input incidentele corr. WQA'!J12</f>
        <v>17376205.576952007</v>
      </c>
      <c r="K39" s="44">
        <f>H39-2022+F39+0.5</f>
        <v>19.5</v>
      </c>
      <c r="M39" s="233">
        <f t="shared" ref="M39:Q43" si="0">IF($F39+$H39&lt;M$37,0,VDB($I39*(1-$F$28),0,$K39,MAX(0,M$37-2022),MIN($K39,M$37-2021),$F$25,FALSE))</f>
        <v>1042572.3346171203</v>
      </c>
      <c r="N39" s="233">
        <f t="shared" si="0"/>
        <v>973067.51230931235</v>
      </c>
      <c r="O39" s="233">
        <f t="shared" si="0"/>
        <v>908196.34482202481</v>
      </c>
      <c r="P39" s="233">
        <f t="shared" si="0"/>
        <v>847649.92183388979</v>
      </c>
      <c r="Q39" s="233">
        <f t="shared" si="0"/>
        <v>791139.92704496381</v>
      </c>
      <c r="S39" s="233">
        <f t="shared" ref="S39:W43" si="1">IF($F39+$H39&lt;S$37,0,VDB($I39*$F$28,0,$K39,MAX(0,S$37-2022),MIN($K39,S$37-2021),1,FALSE))</f>
        <v>89108.746548471827</v>
      </c>
      <c r="T39" s="233">
        <f t="shared" si="1"/>
        <v>89108.746548471827</v>
      </c>
      <c r="U39" s="233">
        <f t="shared" si="1"/>
        <v>89108.746548471827</v>
      </c>
      <c r="V39" s="233">
        <f t="shared" si="1"/>
        <v>89108.746548471827</v>
      </c>
      <c r="W39" s="233">
        <f t="shared" si="1"/>
        <v>89108.746548471827</v>
      </c>
      <c r="X39" s="239"/>
      <c r="Y39" s="233">
        <f>M39+S39</f>
        <v>1131681.0811655922</v>
      </c>
      <c r="Z39" s="233">
        <f t="shared" ref="Z39:AC43" si="2">N39+T39</f>
        <v>1062176.2588577841</v>
      </c>
      <c r="AA39" s="233">
        <f t="shared" si="2"/>
        <v>997305.09137049667</v>
      </c>
      <c r="AB39" s="233">
        <f t="shared" si="2"/>
        <v>936758.66838236165</v>
      </c>
      <c r="AC39" s="233">
        <f t="shared" si="2"/>
        <v>880248.67359343567</v>
      </c>
      <c r="AD39" s="239"/>
      <c r="AE39" s="233">
        <f t="shared" ref="AE39:AI43" si="3">IF($F39+$H39&lt;M$37&lt;=H$12,0,
IF(AE$37=2022,I39-Y39,AD39-Y39))</f>
        <v>16244524.495786414</v>
      </c>
      <c r="AF39" s="233">
        <f t="shared" si="3"/>
        <v>15182348.236928629</v>
      </c>
      <c r="AG39" s="233">
        <f t="shared" si="3"/>
        <v>14185043.145558132</v>
      </c>
      <c r="AH39" s="233">
        <f t="shared" si="3"/>
        <v>13248284.47717577</v>
      </c>
      <c r="AI39" s="233">
        <f t="shared" si="3"/>
        <v>12368035.803582335</v>
      </c>
      <c r="AK39" s="233">
        <f t="shared" ref="AK39:AO43" si="4">Y39+AE39*H$15</f>
        <v>1781462.0609970489</v>
      </c>
      <c r="AL39" s="233">
        <f t="shared" si="4"/>
        <v>1517646.7059656428</v>
      </c>
      <c r="AM39" s="233">
        <f t="shared" si="4"/>
        <v>1422856.3857372405</v>
      </c>
      <c r="AN39" s="233">
        <f t="shared" si="4"/>
        <v>1334207.2026976347</v>
      </c>
      <c r="AO39" s="233">
        <f t="shared" si="4"/>
        <v>1251289.7477009057</v>
      </c>
    </row>
    <row r="40" spans="1:41">
      <c r="A40" s="239"/>
      <c r="B40" s="3" t="s">
        <v>460</v>
      </c>
      <c r="F40" s="43">
        <f>'6. Input incidentele corr. WQA'!F13</f>
        <v>2012</v>
      </c>
      <c r="H40" s="43">
        <f>'6. Input incidentele corr. WQA'!H13</f>
        <v>30</v>
      </c>
      <c r="I40" s="48">
        <f>'6. Input incidentele corr. WQA'!J13</f>
        <v>1104502.0714844635</v>
      </c>
      <c r="K40" s="44">
        <f t="shared" ref="K40:K43" si="5">H40-2022+F40+0.5</f>
        <v>20.5</v>
      </c>
      <c r="M40" s="233">
        <f t="shared" si="0"/>
        <v>63037.435299357188</v>
      </c>
      <c r="N40" s="233">
        <f t="shared" si="0"/>
        <v>59039.939402324781</v>
      </c>
      <c r="O40" s="233">
        <f t="shared" si="0"/>
        <v>55295.943245104187</v>
      </c>
      <c r="P40" s="233">
        <f t="shared" si="0"/>
        <v>51789.371234439044</v>
      </c>
      <c r="Q40" s="233">
        <f t="shared" si="0"/>
        <v>48505.167204938029</v>
      </c>
      <c r="S40" s="233">
        <f t="shared" si="1"/>
        <v>5387.8149828510413</v>
      </c>
      <c r="T40" s="233">
        <f t="shared" si="1"/>
        <v>5387.8149828510423</v>
      </c>
      <c r="U40" s="233">
        <f t="shared" si="1"/>
        <v>5387.8149828510423</v>
      </c>
      <c r="V40" s="233">
        <f t="shared" si="1"/>
        <v>5387.8149828510423</v>
      </c>
      <c r="W40" s="233">
        <f t="shared" si="1"/>
        <v>5387.8149828510423</v>
      </c>
      <c r="X40" s="239"/>
      <c r="Y40" s="233">
        <f t="shared" ref="Y40:Y43" si="6">M40+S40</f>
        <v>68425.250282208232</v>
      </c>
      <c r="Z40" s="233">
        <f t="shared" si="2"/>
        <v>64427.754385175824</v>
      </c>
      <c r="AA40" s="233">
        <f t="shared" si="2"/>
        <v>60683.75822795523</v>
      </c>
      <c r="AB40" s="233">
        <f t="shared" si="2"/>
        <v>57177.186217290087</v>
      </c>
      <c r="AC40" s="233">
        <f t="shared" si="2"/>
        <v>53892.982187789072</v>
      </c>
      <c r="AD40" s="239"/>
      <c r="AE40" s="233">
        <f t="shared" si="3"/>
        <v>1036076.8212022553</v>
      </c>
      <c r="AF40" s="233">
        <f t="shared" si="3"/>
        <v>971649.06681707944</v>
      </c>
      <c r="AG40" s="233">
        <f t="shared" si="3"/>
        <v>910965.30858912424</v>
      </c>
      <c r="AH40" s="233">
        <f t="shared" si="3"/>
        <v>853788.12237183412</v>
      </c>
      <c r="AI40" s="233">
        <f t="shared" si="3"/>
        <v>799895.14018404507</v>
      </c>
      <c r="AK40" s="233">
        <f t="shared" si="4"/>
        <v>109868.32313029843</v>
      </c>
      <c r="AL40" s="233">
        <f t="shared" si="4"/>
        <v>93577.226389688207</v>
      </c>
      <c r="AM40" s="233">
        <f t="shared" si="4"/>
        <v>88012.717485628964</v>
      </c>
      <c r="AN40" s="233">
        <f t="shared" si="4"/>
        <v>82790.829888445107</v>
      </c>
      <c r="AO40" s="233">
        <f t="shared" si="4"/>
        <v>77889.836393310427</v>
      </c>
    </row>
    <row r="41" spans="1:41">
      <c r="A41" s="239"/>
      <c r="B41" s="3" t="s">
        <v>461</v>
      </c>
      <c r="F41" s="43">
        <f>'6. Input incidentele corr. WQA'!F14</f>
        <v>2013</v>
      </c>
      <c r="H41" s="43">
        <f>'6. Input incidentele corr. WQA'!H14</f>
        <v>30</v>
      </c>
      <c r="I41" s="48">
        <f>'6. Input incidentele corr. WQA'!J14</f>
        <v>271685.95797538623</v>
      </c>
      <c r="K41" s="44">
        <f t="shared" si="5"/>
        <v>21.5</v>
      </c>
      <c r="M41" s="233">
        <f t="shared" si="0"/>
        <v>14784.770736334973</v>
      </c>
      <c r="N41" s="233">
        <f t="shared" si="0"/>
        <v>13890.80785460309</v>
      </c>
      <c r="O41" s="233">
        <f t="shared" si="0"/>
        <v>13050.898542464298</v>
      </c>
      <c r="P41" s="233">
        <f t="shared" si="0"/>
        <v>12261.774444547853</v>
      </c>
      <c r="Q41" s="233">
        <f t="shared" si="0"/>
        <v>11520.364826970539</v>
      </c>
      <c r="S41" s="233">
        <f t="shared" si="1"/>
        <v>1263.6556184901688</v>
      </c>
      <c r="T41" s="233">
        <f t="shared" si="1"/>
        <v>1263.6556184901688</v>
      </c>
      <c r="U41" s="233">
        <f t="shared" si="1"/>
        <v>1263.6556184901688</v>
      </c>
      <c r="V41" s="233">
        <f t="shared" si="1"/>
        <v>1263.6556184901688</v>
      </c>
      <c r="W41" s="233">
        <f t="shared" si="1"/>
        <v>1263.6556184901688</v>
      </c>
      <c r="X41" s="239"/>
      <c r="Y41" s="233">
        <f t="shared" si="6"/>
        <v>16048.426354825142</v>
      </c>
      <c r="Z41" s="233">
        <f t="shared" si="2"/>
        <v>15154.463473093259</v>
      </c>
      <c r="AA41" s="233">
        <f t="shared" si="2"/>
        <v>14314.554160954467</v>
      </c>
      <c r="AB41" s="233">
        <f t="shared" si="2"/>
        <v>13525.430063038022</v>
      </c>
      <c r="AC41" s="233">
        <f t="shared" si="2"/>
        <v>12784.020445460708</v>
      </c>
      <c r="AD41" s="239"/>
      <c r="AE41" s="233">
        <f t="shared" si="3"/>
        <v>255637.53162056109</v>
      </c>
      <c r="AF41" s="233">
        <f t="shared" si="3"/>
        <v>240483.06814746783</v>
      </c>
      <c r="AG41" s="233">
        <f t="shared" si="3"/>
        <v>226168.51398651337</v>
      </c>
      <c r="AH41" s="233">
        <f t="shared" si="3"/>
        <v>212643.08392347535</v>
      </c>
      <c r="AI41" s="233">
        <f t="shared" si="3"/>
        <v>199859.06347801464</v>
      </c>
      <c r="AK41" s="233">
        <f t="shared" si="4"/>
        <v>26273.927619647584</v>
      </c>
      <c r="AL41" s="233">
        <f t="shared" si="4"/>
        <v>22368.955517517294</v>
      </c>
      <c r="AM41" s="233">
        <f t="shared" si="4"/>
        <v>21099.60958054987</v>
      </c>
      <c r="AN41" s="233">
        <f t="shared" si="4"/>
        <v>19904.722580742284</v>
      </c>
      <c r="AO41" s="233">
        <f t="shared" si="4"/>
        <v>18779.792349801148</v>
      </c>
    </row>
    <row r="42" spans="1:41">
      <c r="A42" s="239"/>
      <c r="B42" s="3" t="s">
        <v>462</v>
      </c>
      <c r="F42" s="43">
        <f>'6. Input incidentele corr. WQA'!F15</f>
        <v>2014</v>
      </c>
      <c r="H42" s="43">
        <f>'6. Input incidentele corr. WQA'!H15</f>
        <v>30</v>
      </c>
      <c r="I42" s="48">
        <f>'6. Input incidentele corr. WQA'!J15</f>
        <v>137435.09908722798</v>
      </c>
      <c r="K42" s="44">
        <f t="shared" si="5"/>
        <v>22.5</v>
      </c>
      <c r="M42" s="233">
        <f t="shared" si="0"/>
        <v>7146.6251525358557</v>
      </c>
      <c r="N42" s="233">
        <f t="shared" si="0"/>
        <v>6733.7090326115613</v>
      </c>
      <c r="O42" s="233">
        <f t="shared" si="0"/>
        <v>6344.6502885051159</v>
      </c>
      <c r="P42" s="233">
        <f t="shared" si="0"/>
        <v>5978.0704940581536</v>
      </c>
      <c r="Q42" s="233">
        <f t="shared" si="0"/>
        <v>5632.6708655125722</v>
      </c>
      <c r="S42" s="233">
        <f t="shared" si="1"/>
        <v>610.82266260990218</v>
      </c>
      <c r="T42" s="233">
        <f t="shared" si="1"/>
        <v>610.82266260990218</v>
      </c>
      <c r="U42" s="233">
        <f t="shared" si="1"/>
        <v>610.82266260990218</v>
      </c>
      <c r="V42" s="233">
        <f t="shared" si="1"/>
        <v>610.82266260990218</v>
      </c>
      <c r="W42" s="233">
        <f t="shared" si="1"/>
        <v>610.82266260990218</v>
      </c>
      <c r="X42" s="239"/>
      <c r="Y42" s="233">
        <f t="shared" si="6"/>
        <v>7757.4478151457579</v>
      </c>
      <c r="Z42" s="233">
        <f t="shared" si="2"/>
        <v>7344.5316952214635</v>
      </c>
      <c r="AA42" s="233">
        <f t="shared" si="2"/>
        <v>6955.4729511150181</v>
      </c>
      <c r="AB42" s="233">
        <f t="shared" si="2"/>
        <v>6588.8931566680558</v>
      </c>
      <c r="AC42" s="233">
        <f t="shared" si="2"/>
        <v>6243.4935281224743</v>
      </c>
      <c r="AD42" s="239"/>
      <c r="AE42" s="233">
        <f t="shared" si="3"/>
        <v>129677.65127208222</v>
      </c>
      <c r="AF42" s="233">
        <f t="shared" si="3"/>
        <v>122333.11957686076</v>
      </c>
      <c r="AG42" s="233">
        <f t="shared" si="3"/>
        <v>115377.64662574574</v>
      </c>
      <c r="AH42" s="233">
        <f t="shared" si="3"/>
        <v>108788.75346907768</v>
      </c>
      <c r="AI42" s="233">
        <f t="shared" si="3"/>
        <v>102545.25994095521</v>
      </c>
      <c r="AK42" s="233">
        <f t="shared" si="4"/>
        <v>12944.553866029048</v>
      </c>
      <c r="AL42" s="233">
        <f t="shared" si="4"/>
        <v>11014.525282527286</v>
      </c>
      <c r="AM42" s="233">
        <f t="shared" si="4"/>
        <v>10416.80234988739</v>
      </c>
      <c r="AN42" s="233">
        <f t="shared" si="4"/>
        <v>9852.5557607403862</v>
      </c>
      <c r="AO42" s="233">
        <f t="shared" si="4"/>
        <v>9319.8513263511304</v>
      </c>
    </row>
    <row r="43" spans="1:41">
      <c r="A43" s="239"/>
      <c r="B43" s="3" t="s">
        <v>463</v>
      </c>
      <c r="F43" s="43">
        <f>'6. Input incidentele corr. WQA'!F16</f>
        <v>2015</v>
      </c>
      <c r="H43" s="43">
        <f>'6. Input incidentele corr. WQA'!H16</f>
        <v>30</v>
      </c>
      <c r="I43" s="48">
        <f>'6. Input incidentele corr. WQA'!J16</f>
        <v>2218.4673824688466</v>
      </c>
      <c r="K43" s="44">
        <f t="shared" si="5"/>
        <v>23.5</v>
      </c>
      <c r="M43" s="233">
        <f t="shared" si="0"/>
        <v>110.45135478674685</v>
      </c>
      <c r="N43" s="233">
        <f t="shared" si="0"/>
        <v>104.34127984109702</v>
      </c>
      <c r="O43" s="233">
        <f t="shared" si="0"/>
        <v>98.569209041376752</v>
      </c>
      <c r="P43" s="233">
        <f t="shared" si="0"/>
        <v>93.116444285896335</v>
      </c>
      <c r="Q43" s="233">
        <f t="shared" si="0"/>
        <v>87.965321836038243</v>
      </c>
      <c r="S43" s="233">
        <f t="shared" si="1"/>
        <v>9.4402867339099874</v>
      </c>
      <c r="T43" s="233">
        <f t="shared" si="1"/>
        <v>9.4402867339099874</v>
      </c>
      <c r="U43" s="233">
        <f t="shared" si="1"/>
        <v>9.4402867339099874</v>
      </c>
      <c r="V43" s="233">
        <f t="shared" si="1"/>
        <v>9.4402867339099874</v>
      </c>
      <c r="W43" s="233">
        <f t="shared" si="1"/>
        <v>9.4402867339099874</v>
      </c>
      <c r="X43" s="239"/>
      <c r="Y43" s="233">
        <f t="shared" si="6"/>
        <v>119.89164152065683</v>
      </c>
      <c r="Z43" s="233">
        <f t="shared" si="2"/>
        <v>113.78156657500701</v>
      </c>
      <c r="AA43" s="233">
        <f t="shared" si="2"/>
        <v>108.00949577528674</v>
      </c>
      <c r="AB43" s="233">
        <f t="shared" si="2"/>
        <v>102.55673101980632</v>
      </c>
      <c r="AC43" s="233">
        <f t="shared" si="2"/>
        <v>97.405608569948228</v>
      </c>
      <c r="AD43" s="239"/>
      <c r="AE43" s="233">
        <f t="shared" si="3"/>
        <v>2098.5757409481898</v>
      </c>
      <c r="AF43" s="233">
        <f t="shared" si="3"/>
        <v>1984.7941743731828</v>
      </c>
      <c r="AG43" s="233">
        <f t="shared" si="3"/>
        <v>1876.7846785978961</v>
      </c>
      <c r="AH43" s="233">
        <f t="shared" si="3"/>
        <v>1774.2279475780897</v>
      </c>
      <c r="AI43" s="233">
        <f t="shared" si="3"/>
        <v>1676.8223390081414</v>
      </c>
      <c r="AK43" s="233">
        <f t="shared" si="4"/>
        <v>203.83467115858443</v>
      </c>
      <c r="AL43" s="233">
        <f t="shared" si="4"/>
        <v>173.3253918062025</v>
      </c>
      <c r="AM43" s="233">
        <f t="shared" si="4"/>
        <v>164.31303613322362</v>
      </c>
      <c r="AN43" s="233">
        <f t="shared" si="4"/>
        <v>155.78356944714901</v>
      </c>
      <c r="AO43" s="233">
        <f t="shared" si="4"/>
        <v>147.71027874019248</v>
      </c>
    </row>
    <row r="44" spans="1:41">
      <c r="A44" s="239"/>
      <c r="L44" s="243"/>
      <c r="M44" s="243"/>
      <c r="N44" s="243"/>
      <c r="O44" s="243"/>
      <c r="P44" s="243"/>
      <c r="S44" s="239"/>
      <c r="T44" s="239"/>
      <c r="U44" s="239"/>
      <c r="V44" s="239"/>
      <c r="W44" s="239"/>
      <c r="X44" s="239"/>
      <c r="Y44" s="239"/>
      <c r="Z44" s="239"/>
      <c r="AA44" s="239"/>
      <c r="AB44" s="239"/>
      <c r="AC44" s="239"/>
      <c r="AD44" s="239"/>
      <c r="AE44" s="239"/>
    </row>
    <row r="45" spans="1:41" s="234" customFormat="1">
      <c r="B45" s="234" t="s">
        <v>929</v>
      </c>
      <c r="F45" s="234" t="s">
        <v>176</v>
      </c>
      <c r="H45" s="235">
        <v>2022</v>
      </c>
      <c r="I45" s="235">
        <v>2023</v>
      </c>
      <c r="J45" s="235">
        <v>2024</v>
      </c>
      <c r="K45" s="235">
        <v>2025</v>
      </c>
      <c r="L45" s="235">
        <v>2026</v>
      </c>
      <c r="O45" s="236"/>
      <c r="P45" s="236"/>
      <c r="Q45" s="236"/>
      <c r="R45" s="236"/>
      <c r="S45" s="236"/>
      <c r="T45" s="236"/>
      <c r="U45" s="236"/>
      <c r="V45" s="236"/>
      <c r="W45" s="236"/>
      <c r="X45" s="236"/>
      <c r="Y45" s="236"/>
      <c r="Z45" s="236"/>
      <c r="AA45" s="236"/>
    </row>
    <row r="46" spans="1:41">
      <c r="A46" s="239"/>
      <c r="B46" s="2"/>
      <c r="H46" s="244"/>
      <c r="I46" s="244"/>
      <c r="J46" s="244"/>
      <c r="K46" s="244"/>
      <c r="L46" s="244"/>
      <c r="O46" s="239"/>
      <c r="P46" s="239"/>
      <c r="Q46" s="239"/>
      <c r="R46" s="239"/>
      <c r="S46" s="239"/>
      <c r="T46" s="239"/>
      <c r="U46" s="239"/>
      <c r="V46" s="239"/>
      <c r="W46" s="239"/>
      <c r="X46" s="239"/>
      <c r="Y46" s="239"/>
      <c r="Z46" s="239"/>
      <c r="AA46" s="239"/>
      <c r="AB46" s="3"/>
      <c r="AC46" s="3"/>
      <c r="AD46" s="3"/>
      <c r="AE46" s="3"/>
    </row>
    <row r="47" spans="1:41">
      <c r="A47" s="239"/>
      <c r="B47" s="3" t="s">
        <v>808</v>
      </c>
      <c r="D47" s="3" t="s">
        <v>183</v>
      </c>
      <c r="H47" s="233">
        <f>SUM(AK39:AK43)</f>
        <v>1930752.7002841826</v>
      </c>
      <c r="I47" s="233">
        <f t="shared" ref="I47:L47" si="7">SUM(AL39:AL43)</f>
        <v>1644780.7385471819</v>
      </c>
      <c r="J47" s="233">
        <f t="shared" si="7"/>
        <v>1542549.8281894401</v>
      </c>
      <c r="K47" s="233">
        <f t="shared" si="7"/>
        <v>1446911.0944970096</v>
      </c>
      <c r="L47" s="233">
        <f t="shared" si="7"/>
        <v>1357426.9380491085</v>
      </c>
      <c r="O47" s="239"/>
      <c r="P47" s="239"/>
      <c r="Q47" s="239"/>
      <c r="R47" s="239"/>
      <c r="S47" s="239"/>
      <c r="T47" s="239"/>
      <c r="U47" s="239"/>
      <c r="V47" s="239"/>
      <c r="W47" s="239"/>
      <c r="X47" s="239"/>
      <c r="Y47" s="239"/>
      <c r="Z47" s="239"/>
      <c r="AA47" s="239"/>
      <c r="AB47" s="3"/>
      <c r="AC47" s="3"/>
      <c r="AD47" s="3"/>
      <c r="AE47" s="3"/>
    </row>
    <row r="48" spans="1:41">
      <c r="A48" s="239"/>
      <c r="O48" s="239"/>
      <c r="P48" s="239"/>
      <c r="Q48" s="239"/>
      <c r="R48" s="239"/>
      <c r="S48" s="239"/>
      <c r="T48" s="239"/>
      <c r="U48" s="239"/>
      <c r="V48" s="239"/>
      <c r="W48" s="239"/>
      <c r="X48" s="239"/>
      <c r="Y48" s="239"/>
      <c r="Z48" s="239"/>
      <c r="AA48" s="239"/>
      <c r="AB48" s="3"/>
      <c r="AC48" s="3"/>
      <c r="AD48" s="3"/>
      <c r="AE48" s="3"/>
    </row>
    <row r="49" spans="1:31" s="8" customFormat="1" ht="12.75" customHeight="1">
      <c r="B49" s="8" t="s">
        <v>930</v>
      </c>
      <c r="D49" s="8" t="s">
        <v>175</v>
      </c>
      <c r="F49" s="8" t="s">
        <v>176</v>
      </c>
      <c r="H49" s="52">
        <v>2022</v>
      </c>
      <c r="I49" s="52">
        <v>2023</v>
      </c>
      <c r="J49" s="52">
        <v>2024</v>
      </c>
      <c r="K49" s="52">
        <v>2025</v>
      </c>
      <c r="L49" s="52">
        <v>2026</v>
      </c>
      <c r="N49" s="8" t="s">
        <v>178</v>
      </c>
    </row>
    <row r="50" spans="1:31">
      <c r="A50" s="239"/>
      <c r="O50" s="239"/>
      <c r="P50" s="239"/>
      <c r="Q50" s="239"/>
      <c r="R50" s="239"/>
      <c r="S50" s="239"/>
      <c r="T50" s="239"/>
      <c r="U50" s="239"/>
      <c r="V50" s="239"/>
      <c r="W50" s="239"/>
      <c r="X50" s="239"/>
      <c r="Y50" s="239"/>
      <c r="Z50" s="239"/>
      <c r="AA50" s="239"/>
      <c r="AB50" s="3"/>
      <c r="AC50" s="3"/>
      <c r="AD50" s="3"/>
      <c r="AE50" s="3"/>
    </row>
    <row r="51" spans="1:31">
      <c r="A51" s="3"/>
      <c r="B51" s="2" t="s">
        <v>931</v>
      </c>
      <c r="H51" s="245"/>
      <c r="I51" s="245"/>
      <c r="J51" s="245"/>
      <c r="K51" s="245"/>
      <c r="L51" s="245"/>
      <c r="S51" s="3"/>
      <c r="T51" s="3"/>
      <c r="U51" s="3"/>
      <c r="V51" s="3"/>
      <c r="W51" s="3"/>
      <c r="X51" s="3"/>
      <c r="Y51" s="3"/>
      <c r="Z51" s="3"/>
      <c r="AA51" s="3"/>
      <c r="AB51" s="3"/>
      <c r="AC51" s="3"/>
      <c r="AD51" s="3"/>
      <c r="AE51" s="3"/>
    </row>
    <row r="52" spans="1:31">
      <c r="A52" s="3"/>
      <c r="B52" s="3" t="s">
        <v>932</v>
      </c>
      <c r="D52" s="3" t="s">
        <v>183</v>
      </c>
      <c r="H52" s="237">
        <f>H31+H34</f>
        <v>3718868.9446027763</v>
      </c>
      <c r="I52" s="230"/>
      <c r="J52" s="230"/>
      <c r="K52" s="230"/>
      <c r="L52" s="230"/>
      <c r="S52" s="3"/>
      <c r="T52" s="3"/>
      <c r="U52" s="3"/>
      <c r="V52" s="3"/>
      <c r="W52" s="3"/>
      <c r="X52" s="3"/>
      <c r="Y52" s="3"/>
      <c r="Z52" s="3"/>
      <c r="AA52" s="3"/>
      <c r="AB52" s="3"/>
      <c r="AC52" s="3"/>
      <c r="AD52" s="3"/>
      <c r="AE52" s="3"/>
    </row>
    <row r="53" spans="1:31">
      <c r="A53" s="239"/>
      <c r="O53" s="239"/>
      <c r="P53" s="239"/>
      <c r="Q53" s="239"/>
      <c r="R53" s="239"/>
      <c r="S53" s="239"/>
      <c r="T53" s="239"/>
      <c r="U53" s="239"/>
      <c r="V53" s="239"/>
      <c r="W53" s="239"/>
      <c r="X53" s="239"/>
      <c r="Y53" s="239"/>
      <c r="Z53" s="239"/>
      <c r="AA53" s="239"/>
      <c r="AB53" s="3"/>
      <c r="AC53" s="3"/>
      <c r="AD53" s="3"/>
      <c r="AE53" s="3"/>
    </row>
    <row r="54" spans="1:31" s="8" customFormat="1" ht="12.75" customHeight="1">
      <c r="B54" s="8" t="s">
        <v>933</v>
      </c>
      <c r="D54" s="8" t="s">
        <v>175</v>
      </c>
      <c r="F54" s="8" t="s">
        <v>176</v>
      </c>
      <c r="H54" s="52">
        <v>2022</v>
      </c>
      <c r="I54" s="52">
        <v>2023</v>
      </c>
      <c r="J54" s="52">
        <v>2024</v>
      </c>
      <c r="K54" s="52">
        <v>2025</v>
      </c>
      <c r="L54" s="52">
        <v>2026</v>
      </c>
      <c r="N54" s="8" t="s">
        <v>178</v>
      </c>
    </row>
    <row r="55" spans="1:31">
      <c r="A55" s="239"/>
      <c r="O55" s="239"/>
      <c r="P55" s="239"/>
      <c r="Q55" s="239"/>
      <c r="R55" s="239"/>
      <c r="S55" s="239"/>
      <c r="T55" s="239"/>
      <c r="U55" s="239"/>
      <c r="V55" s="239"/>
      <c r="W55" s="239"/>
      <c r="X55" s="239"/>
      <c r="Y55" s="239"/>
      <c r="Z55" s="239"/>
      <c r="AA55" s="239"/>
      <c r="AB55" s="3"/>
      <c r="AC55" s="3"/>
      <c r="AD55" s="3"/>
      <c r="AE55" s="3"/>
    </row>
    <row r="56" spans="1:31">
      <c r="A56" s="239"/>
      <c r="B56" s="2" t="s">
        <v>810</v>
      </c>
      <c r="O56" s="239"/>
      <c r="P56" s="239"/>
      <c r="Q56" s="239"/>
      <c r="R56" s="239"/>
      <c r="S56" s="239"/>
      <c r="T56" s="239"/>
      <c r="U56" s="239"/>
      <c r="V56" s="239"/>
      <c r="W56" s="239"/>
      <c r="X56" s="239"/>
      <c r="Y56" s="239"/>
      <c r="Z56" s="239"/>
      <c r="AA56" s="239"/>
      <c r="AB56" s="3"/>
      <c r="AC56" s="3"/>
      <c r="AD56" s="3"/>
      <c r="AE56" s="3"/>
    </row>
    <row r="57" spans="1:31">
      <c r="A57" s="239"/>
      <c r="B57" s="3" t="s">
        <v>934</v>
      </c>
      <c r="D57" s="3" t="s">
        <v>183</v>
      </c>
      <c r="H57" s="230"/>
      <c r="I57" s="230"/>
      <c r="J57" s="238">
        <f>(H47+H52)*J18</f>
        <v>5993118.6408960866</v>
      </c>
      <c r="K57" s="230"/>
      <c r="L57" s="230"/>
      <c r="O57" s="239"/>
      <c r="P57" s="239"/>
      <c r="Q57" s="239"/>
      <c r="R57" s="239"/>
      <c r="S57" s="239"/>
      <c r="T57" s="239"/>
      <c r="U57" s="239"/>
      <c r="V57" s="239"/>
      <c r="W57" s="239"/>
      <c r="X57" s="239"/>
      <c r="Y57" s="239"/>
      <c r="Z57" s="239"/>
      <c r="AA57" s="239"/>
      <c r="AB57" s="3"/>
      <c r="AC57" s="3"/>
      <c r="AD57" s="3"/>
      <c r="AE57" s="3"/>
    </row>
    <row r="58" spans="1:31">
      <c r="A58" s="239"/>
      <c r="O58" s="239"/>
      <c r="P58" s="239"/>
      <c r="Q58" s="239"/>
      <c r="R58" s="239"/>
      <c r="S58" s="239"/>
      <c r="T58" s="239"/>
      <c r="U58" s="239"/>
      <c r="V58" s="239"/>
      <c r="W58" s="239"/>
      <c r="X58" s="239"/>
      <c r="Y58" s="239"/>
      <c r="Z58" s="239"/>
      <c r="AA58" s="239"/>
      <c r="AB58" s="3"/>
      <c r="AC58" s="3"/>
      <c r="AD58" s="3"/>
      <c r="AE58" s="3"/>
    </row>
    <row r="59" spans="1:31">
      <c r="A59" s="239"/>
      <c r="O59" s="239"/>
      <c r="P59" s="239"/>
      <c r="Q59" s="239"/>
      <c r="R59" s="239"/>
      <c r="S59" s="239"/>
      <c r="T59" s="239"/>
      <c r="U59" s="239"/>
      <c r="V59" s="239"/>
      <c r="W59" s="239"/>
      <c r="X59" s="239"/>
      <c r="Y59" s="239"/>
      <c r="Z59" s="239"/>
      <c r="AA59" s="239"/>
      <c r="AB59" s="3"/>
      <c r="AC59" s="3"/>
      <c r="AD59" s="3"/>
      <c r="AE59" s="3"/>
    </row>
    <row r="60" spans="1:31">
      <c r="A60" s="239"/>
      <c r="O60" s="239"/>
      <c r="P60" s="239"/>
      <c r="Q60" s="239"/>
      <c r="R60" s="239"/>
      <c r="S60" s="239"/>
      <c r="T60" s="239"/>
      <c r="U60" s="239"/>
      <c r="V60" s="239"/>
      <c r="W60" s="239"/>
      <c r="X60" s="239"/>
      <c r="Y60" s="239"/>
      <c r="Z60" s="239"/>
      <c r="AA60" s="239"/>
      <c r="AB60" s="3"/>
      <c r="AC60" s="3"/>
      <c r="AD60" s="3"/>
      <c r="AE60" s="3"/>
    </row>
    <row r="61" spans="1:31">
      <c r="A61" s="239"/>
      <c r="S61" s="239"/>
      <c r="T61" s="239"/>
      <c r="U61" s="239"/>
      <c r="V61" s="239"/>
      <c r="W61" s="239"/>
      <c r="X61" s="239"/>
      <c r="Y61" s="239"/>
      <c r="Z61" s="239"/>
      <c r="AA61" s="239"/>
      <c r="AB61" s="239"/>
      <c r="AC61" s="239"/>
      <c r="AD61" s="239"/>
      <c r="AE61" s="239"/>
    </row>
    <row r="62" spans="1:31">
      <c r="A62" s="239"/>
      <c r="S62" s="239"/>
      <c r="T62" s="239"/>
      <c r="U62" s="239"/>
      <c r="V62" s="239"/>
      <c r="W62" s="239"/>
      <c r="X62" s="239"/>
      <c r="Y62" s="239"/>
      <c r="Z62" s="239"/>
      <c r="AA62" s="239"/>
      <c r="AB62" s="239"/>
      <c r="AC62" s="239"/>
      <c r="AD62" s="239"/>
      <c r="AE62" s="239"/>
    </row>
    <row r="63" spans="1:31">
      <c r="A63" s="239"/>
      <c r="S63" s="239"/>
      <c r="T63" s="239"/>
      <c r="U63" s="239"/>
      <c r="V63" s="239"/>
      <c r="W63" s="239"/>
      <c r="X63" s="239"/>
      <c r="Y63" s="239"/>
      <c r="Z63" s="239"/>
      <c r="AA63" s="239"/>
      <c r="AB63" s="239"/>
      <c r="AC63" s="239"/>
      <c r="AD63" s="239"/>
      <c r="AE63" s="239"/>
    </row>
    <row r="64" spans="1:31">
      <c r="A64" s="239"/>
      <c r="S64" s="239"/>
      <c r="T64" s="239"/>
      <c r="U64" s="239"/>
      <c r="V64" s="239"/>
      <c r="W64" s="239"/>
      <c r="X64" s="239"/>
      <c r="Y64" s="239"/>
      <c r="Z64" s="239"/>
      <c r="AA64" s="239"/>
      <c r="AB64" s="239"/>
      <c r="AC64" s="239"/>
      <c r="AD64" s="239"/>
      <c r="AE64" s="239"/>
    </row>
    <row r="65" spans="1:31">
      <c r="A65" s="239"/>
      <c r="S65" s="239"/>
      <c r="T65" s="239"/>
      <c r="U65" s="239"/>
      <c r="V65" s="239"/>
      <c r="W65" s="239"/>
      <c r="X65" s="239"/>
      <c r="Y65" s="239"/>
      <c r="Z65" s="239"/>
      <c r="AA65" s="239"/>
      <c r="AB65" s="239"/>
      <c r="AC65" s="239"/>
      <c r="AD65" s="239"/>
      <c r="AE65" s="239"/>
    </row>
    <row r="66" spans="1:31">
      <c r="A66" s="239"/>
      <c r="S66" s="239"/>
      <c r="T66" s="239"/>
      <c r="U66" s="239"/>
      <c r="V66" s="239"/>
      <c r="W66" s="239"/>
      <c r="X66" s="239"/>
      <c r="Y66" s="239"/>
      <c r="Z66" s="239"/>
      <c r="AA66" s="239"/>
      <c r="AB66" s="239"/>
      <c r="AC66" s="239"/>
      <c r="AD66" s="239"/>
      <c r="AE66" s="239"/>
    </row>
    <row r="67" spans="1:31">
      <c r="A67" s="239"/>
      <c r="S67" s="239"/>
      <c r="T67" s="239"/>
      <c r="U67" s="239"/>
      <c r="V67" s="239"/>
      <c r="W67" s="239"/>
      <c r="X67" s="239"/>
      <c r="Y67" s="239"/>
      <c r="Z67" s="239"/>
      <c r="AA67" s="239"/>
      <c r="AB67" s="239"/>
      <c r="AC67" s="239"/>
      <c r="AD67" s="239"/>
      <c r="AE67" s="239"/>
    </row>
    <row r="68" spans="1:31">
      <c r="A68" s="239"/>
      <c r="S68" s="239"/>
      <c r="T68" s="239"/>
      <c r="U68" s="239"/>
      <c r="V68" s="239"/>
      <c r="W68" s="239"/>
      <c r="X68" s="239"/>
      <c r="Y68" s="239"/>
      <c r="Z68" s="239"/>
      <c r="AA68" s="239"/>
      <c r="AB68" s="239"/>
      <c r="AC68" s="239"/>
      <c r="AD68" s="239"/>
      <c r="AE68" s="239"/>
    </row>
    <row r="69" spans="1:31">
      <c r="A69" s="239"/>
      <c r="S69" s="239"/>
      <c r="T69" s="239"/>
      <c r="U69" s="239"/>
      <c r="V69" s="239"/>
      <c r="W69" s="239"/>
      <c r="X69" s="239"/>
      <c r="Y69" s="239"/>
      <c r="Z69" s="239"/>
      <c r="AA69" s="239"/>
      <c r="AB69" s="239"/>
      <c r="AC69" s="239"/>
      <c r="AD69" s="239"/>
      <c r="AE69" s="239"/>
    </row>
    <row r="70" spans="1:31">
      <c r="A70" s="239"/>
      <c r="S70" s="239"/>
      <c r="T70" s="239"/>
      <c r="U70" s="239"/>
      <c r="V70" s="239"/>
      <c r="W70" s="239"/>
      <c r="X70" s="239"/>
      <c r="Y70" s="239"/>
      <c r="Z70" s="239"/>
      <c r="AA70" s="239"/>
      <c r="AB70" s="239"/>
      <c r="AC70" s="239"/>
      <c r="AD70" s="239"/>
      <c r="AE70" s="239"/>
    </row>
  </sheetData>
  <mergeCells count="3">
    <mergeCell ref="B5:D5"/>
    <mergeCell ref="B8:D8"/>
    <mergeCell ref="N15:T1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95E3-DCC6-4353-8D0A-419D2B62895D}">
  <sheetPr>
    <tabColor rgb="FFFFFFCC"/>
  </sheetPr>
  <dimension ref="A2:AL79"/>
  <sheetViews>
    <sheetView showGridLines="0" zoomScale="90" zoomScaleNormal="90" workbookViewId="0">
      <pane xSplit="4" ySplit="10" topLeftCell="E11" activePane="bottomRight" state="frozen"/>
      <selection pane="topRight"/>
      <selection pane="bottomLeft"/>
      <selection pane="bottomRight"/>
    </sheetView>
  </sheetViews>
  <sheetFormatPr defaultColWidth="13.7109375" defaultRowHeight="12.75"/>
  <cols>
    <col min="1" max="1" width="2.7109375" style="3" customWidth="1"/>
    <col min="2" max="2" width="66.42578125" style="3" customWidth="1"/>
    <col min="3" max="3" width="2.7109375" style="3" customWidth="1"/>
    <col min="4" max="4" width="54.7109375" style="3" customWidth="1"/>
    <col min="5" max="5" width="2.7109375" style="3" customWidth="1"/>
    <col min="6" max="6" width="15.7109375" style="3" customWidth="1"/>
    <col min="7" max="7" width="2.7109375" style="3" customWidth="1"/>
    <col min="8" max="10" width="20" style="3" customWidth="1"/>
    <col min="11" max="11" width="20" style="3" bestFit="1" customWidth="1"/>
    <col min="12" max="12" width="30.5703125" style="3" bestFit="1" customWidth="1"/>
    <col min="13" max="13" width="20.42578125" style="3" bestFit="1" customWidth="1"/>
    <col min="14" max="14" width="27.42578125" style="3" bestFit="1" customWidth="1"/>
    <col min="15" max="17" width="15.7109375" style="3" customWidth="1"/>
    <col min="18" max="18" width="2.7109375" style="3" customWidth="1"/>
    <col min="19" max="19" width="15.7109375" style="3" customWidth="1"/>
    <col min="20" max="20" width="18" style="3" bestFit="1" customWidth="1"/>
    <col min="21" max="21" width="2.7109375" style="3" customWidth="1"/>
    <col min="22" max="22" width="28.140625" style="3" bestFit="1" customWidth="1"/>
    <col min="23" max="23" width="40.140625" style="3" bestFit="1" customWidth="1"/>
    <col min="24" max="24" width="2.7109375" style="3" customWidth="1"/>
    <col min="25" max="25" width="25" style="3" bestFit="1" customWidth="1"/>
    <col min="26" max="29" width="15.7109375" style="3" customWidth="1"/>
    <col min="30" max="30" width="2.7109375" style="3" customWidth="1"/>
    <col min="31" max="31" width="25" style="3" bestFit="1" customWidth="1"/>
    <col min="32" max="35" width="15.7109375" style="3" customWidth="1"/>
    <col min="36" max="36" width="2.7109375" style="3" customWidth="1"/>
    <col min="37" max="37" width="25" style="3" bestFit="1" customWidth="1"/>
    <col min="38" max="41" width="15.7109375" style="3" customWidth="1"/>
    <col min="42" max="42" width="2.7109375" style="3" customWidth="1"/>
    <col min="43" max="43" width="22.42578125" style="3" bestFit="1" customWidth="1"/>
    <col min="44" max="47" width="15.7109375" style="3" customWidth="1"/>
    <col min="48" max="48" width="2.7109375" style="3" customWidth="1"/>
    <col min="49" max="53" width="15.7109375" style="3" customWidth="1"/>
    <col min="54" max="54" width="2.7109375" style="3" customWidth="1"/>
    <col min="55" max="60" width="13.7109375" style="3"/>
    <col min="61" max="61" width="2.7109375" style="3" customWidth="1"/>
    <col min="62" max="68" width="13.7109375" style="3"/>
    <col min="69" max="69" width="2.7109375" style="3" customWidth="1"/>
    <col min="70" max="76" width="13.7109375" style="3"/>
    <col min="77" max="77" width="2.7109375" style="3" customWidth="1"/>
    <col min="78" max="84" width="13.7109375" style="3"/>
    <col min="85" max="85" width="15.7109375" style="3" customWidth="1"/>
    <col min="86" max="16384" width="13.7109375" style="3"/>
  </cols>
  <sheetData>
    <row r="2" spans="1:38" s="12" customFormat="1" ht="18">
      <c r="B2" s="12" t="s">
        <v>935</v>
      </c>
    </row>
    <row r="4" spans="1:38">
      <c r="B4" s="16" t="s">
        <v>786</v>
      </c>
    </row>
    <row r="5" spans="1:38" ht="44.25" customHeight="1">
      <c r="B5" s="322" t="s">
        <v>936</v>
      </c>
      <c r="C5" s="322"/>
      <c r="D5" s="322"/>
      <c r="F5" s="197"/>
    </row>
    <row r="7" spans="1:38">
      <c r="B7" s="330" t="s">
        <v>788</v>
      </c>
      <c r="C7" s="331"/>
      <c r="D7" s="331"/>
      <c r="F7" s="13"/>
    </row>
    <row r="8" spans="1:38" ht="57.75" customHeight="1">
      <c r="B8" s="322" t="s">
        <v>937</v>
      </c>
      <c r="C8" s="322"/>
      <c r="D8" s="322"/>
      <c r="F8" s="13"/>
    </row>
    <row r="10" spans="1:38" s="8" customFormat="1">
      <c r="B10" s="8" t="s">
        <v>134</v>
      </c>
      <c r="D10" s="8" t="s">
        <v>175</v>
      </c>
      <c r="F10" s="8" t="s">
        <v>176</v>
      </c>
      <c r="H10" s="8">
        <v>2017</v>
      </c>
      <c r="I10" s="8">
        <v>2018</v>
      </c>
      <c r="J10" s="8">
        <v>2019</v>
      </c>
      <c r="K10" s="8">
        <v>2020</v>
      </c>
      <c r="L10" s="8">
        <v>2021</v>
      </c>
      <c r="M10" s="8">
        <v>2022</v>
      </c>
      <c r="N10" s="8">
        <v>2023</v>
      </c>
      <c r="O10" s="8">
        <v>2024</v>
      </c>
      <c r="P10" s="8">
        <v>2025</v>
      </c>
      <c r="Q10" s="8">
        <v>2026</v>
      </c>
      <c r="S10" s="8" t="s">
        <v>938</v>
      </c>
    </row>
    <row r="12" spans="1:38" s="39" customFormat="1">
      <c r="A12" s="106"/>
      <c r="B12" s="39" t="s">
        <v>790</v>
      </c>
    </row>
    <row r="13" spans="1:38" s="40" customFormat="1">
      <c r="A13" s="107"/>
      <c r="H13" s="109"/>
      <c r="I13" s="108"/>
      <c r="J13" s="109"/>
      <c r="K13" s="108"/>
      <c r="L13" s="109"/>
      <c r="M13" s="109"/>
      <c r="N13" s="109"/>
      <c r="O13" s="109"/>
      <c r="P13" s="109"/>
      <c r="Q13" s="109"/>
    </row>
    <row r="14" spans="1:38" s="110" customFormat="1">
      <c r="K14" s="111"/>
      <c r="L14" s="112"/>
      <c r="M14" s="111"/>
      <c r="N14" s="112"/>
      <c r="O14" s="111"/>
      <c r="P14" s="112"/>
      <c r="Q14" s="112"/>
      <c r="T14" s="112"/>
      <c r="V14" s="112"/>
      <c r="W14" s="112"/>
      <c r="Y14" s="112"/>
      <c r="Z14" s="112"/>
      <c r="AE14" s="112"/>
      <c r="AF14" s="112"/>
      <c r="AK14" s="112"/>
      <c r="AL14" s="112"/>
    </row>
    <row r="15" spans="1:38" s="110" customFormat="1">
      <c r="B15" s="110" t="s">
        <v>939</v>
      </c>
      <c r="K15" s="111"/>
      <c r="L15" s="112"/>
      <c r="M15" s="111"/>
      <c r="N15" s="112"/>
      <c r="O15" s="111"/>
      <c r="P15" s="112"/>
      <c r="Q15" s="112"/>
      <c r="T15" s="112"/>
      <c r="V15" s="112"/>
      <c r="W15" s="112"/>
      <c r="Y15" s="112"/>
      <c r="Z15" s="112"/>
      <c r="AE15" s="112"/>
      <c r="AF15" s="112"/>
      <c r="AK15" s="112"/>
      <c r="AL15" s="112"/>
    </row>
    <row r="16" spans="1:38">
      <c r="B16" s="156" t="s">
        <v>940</v>
      </c>
      <c r="D16" s="3" t="s">
        <v>941</v>
      </c>
      <c r="H16" s="48">
        <f>_xlfn.XLOOKUP(H10,GTS_Stikstof[Datum/tijd ],GTS_Stikstof[Stikstof gebruik (m3)])</f>
        <v>1850890428.33167</v>
      </c>
      <c r="I16" s="48">
        <f>_xlfn.XLOOKUP(I10,GTS_Stikstof[Datum/tijd ],GTS_Stikstof[Stikstof gebruik (m3)])</f>
        <v>2529311394.9239049</v>
      </c>
      <c r="J16" s="48">
        <f>_xlfn.XLOOKUP(J10,GTS_Stikstof[Datum/tijd ],GTS_Stikstof[Stikstof gebruik (m3)])</f>
        <v>2727624245.4175649</v>
      </c>
      <c r="K16" s="48">
        <f>_xlfn.XLOOKUP(K10,GTS_Stikstof[Datum/tijd ],GTS_Stikstof[Stikstof gebruik (m3)])</f>
        <v>3412516033.6170282</v>
      </c>
      <c r="L16" s="48">
        <f>_xlfn.XLOOKUP(L10,GTS_Stikstof[Datum/tijd ],GTS_Stikstof[Stikstof gebruik (m3)])</f>
        <v>3546251103.5187502</v>
      </c>
      <c r="M16" s="48">
        <f>_xlfn.XLOOKUP(M10,GTS_Stikstof[Datum/tijd ],GTS_Stikstof[Stikstof gebruik (m3)])</f>
        <v>3355255469.7886958</v>
      </c>
      <c r="N16" s="48"/>
      <c r="O16" s="48"/>
      <c r="P16" s="48"/>
      <c r="Q16" s="48"/>
    </row>
    <row r="17" spans="2:19" s="98" customFormat="1"/>
    <row r="18" spans="2:19" s="98" customFormat="1">
      <c r="B18" s="115" t="s">
        <v>781</v>
      </c>
    </row>
    <row r="19" spans="2:19">
      <c r="B19" s="3" t="s">
        <v>434</v>
      </c>
      <c r="D19" s="3" t="s">
        <v>183</v>
      </c>
      <c r="H19" s="48">
        <f>'4. Input nacalculaties'!I27</f>
        <v>46141700.732850499</v>
      </c>
      <c r="I19" s="48">
        <f>'4. Input nacalculaties'!J27</f>
        <v>60491853.149999999</v>
      </c>
      <c r="J19" s="48">
        <f>'4. Input nacalculaties'!K27</f>
        <v>59941898.980000004</v>
      </c>
      <c r="K19" s="10"/>
      <c r="L19" s="10"/>
      <c r="M19" s="48">
        <f>'13. Operationele kosten'!F20</f>
        <v>255375350.92082277</v>
      </c>
      <c r="N19" s="48"/>
      <c r="O19" s="48"/>
      <c r="P19" s="48"/>
      <c r="Q19" s="48"/>
    </row>
    <row r="20" spans="2:19">
      <c r="B20" s="32" t="s">
        <v>942</v>
      </c>
      <c r="D20" s="3" t="s">
        <v>183</v>
      </c>
      <c r="H20" s="48">
        <f>'4. Input nacalculaties'!I28</f>
        <v>51772596.931449495</v>
      </c>
      <c r="I20" s="48">
        <f>'4. Input nacalculaties'!J28</f>
        <v>57577907.726399995</v>
      </c>
      <c r="J20" s="48">
        <f>'4. Input nacalculaties'!K28</f>
        <v>46608188.220100001</v>
      </c>
      <c r="K20" s="10"/>
      <c r="L20" s="10"/>
      <c r="M20" s="48">
        <f>Operationele_kosten[[#This Row],[TT/BT/AT]]</f>
        <v>117613906.59917724</v>
      </c>
      <c r="N20" s="48"/>
      <c r="O20" s="48"/>
      <c r="P20" s="48"/>
      <c r="Q20" s="48"/>
    </row>
    <row r="21" spans="2:19">
      <c r="B21" s="32" t="s">
        <v>1084</v>
      </c>
      <c r="D21" s="3" t="s">
        <v>183</v>
      </c>
      <c r="H21" s="48">
        <f>'7. Input incidentele correcties'!H40</f>
        <v>1320509.5900000001</v>
      </c>
      <c r="I21" s="48">
        <f>'7. Input incidentele correcties'!I40</f>
        <v>1966066.3200000003</v>
      </c>
      <c r="J21" s="48">
        <f>'7. Input incidentele correcties'!J40</f>
        <v>1575548.13</v>
      </c>
      <c r="K21" s="10"/>
      <c r="L21" s="10"/>
      <c r="M21" s="286">
        <f>'13. Operationele kosten'!F21</f>
        <v>4045629</v>
      </c>
      <c r="N21" s="48"/>
      <c r="O21" s="48"/>
      <c r="P21" s="48"/>
      <c r="Q21" s="48"/>
      <c r="S21" s="3" t="s">
        <v>1085</v>
      </c>
    </row>
    <row r="23" spans="2:19" s="98" customFormat="1">
      <c r="B23" s="115" t="s">
        <v>943</v>
      </c>
    </row>
    <row r="24" spans="2:19" s="98" customFormat="1">
      <c r="B24" s="98" t="s">
        <v>944</v>
      </c>
      <c r="D24" s="98" t="s">
        <v>180</v>
      </c>
      <c r="F24" s="86">
        <f>'2. Parameters'!F98</f>
        <v>0.25</v>
      </c>
    </row>
    <row r="25" spans="2:19">
      <c r="B25" s="3" t="s">
        <v>945</v>
      </c>
      <c r="D25" s="3" t="s">
        <v>180</v>
      </c>
      <c r="F25" s="86">
        <f>'2. Parameters'!F99</f>
        <v>0.2</v>
      </c>
    </row>
    <row r="27" spans="2:19">
      <c r="B27" s="16" t="s">
        <v>214</v>
      </c>
    </row>
    <row r="28" spans="2:19">
      <c r="B28" s="32" t="s">
        <v>202</v>
      </c>
      <c r="D28" s="3" t="s">
        <v>792</v>
      </c>
      <c r="K28" s="38">
        <f>'2. Parameters'!K72</f>
        <v>1</v>
      </c>
      <c r="L28" s="38">
        <f>'2. Parameters'!L72</f>
        <v>1.02</v>
      </c>
      <c r="M28" s="38">
        <f>'2. Parameters'!M72</f>
        <v>1.0404</v>
      </c>
      <c r="N28" s="38">
        <f>'2. Parameters'!N72</f>
        <v>1.0612079999999999</v>
      </c>
      <c r="O28" s="38">
        <f>'2. Parameters'!O72</f>
        <v>1.10365632</v>
      </c>
      <c r="P28" s="38">
        <f>'2. Parameters'!P72</f>
        <v>1.1478025728000001</v>
      </c>
      <c r="Q28" s="38">
        <f>'2. Parameters'!Q72</f>
        <v>1.1937146757120001</v>
      </c>
    </row>
    <row r="29" spans="2:19">
      <c r="B29" s="32" t="s">
        <v>203</v>
      </c>
      <c r="D29" s="3" t="s">
        <v>792</v>
      </c>
      <c r="K29" s="10"/>
      <c r="L29" s="38">
        <f>'2. Parameters'!L73</f>
        <v>1</v>
      </c>
      <c r="M29" s="38">
        <f>'2. Parameters'!M73</f>
        <v>1.02</v>
      </c>
      <c r="N29" s="38">
        <f>'2. Parameters'!N73</f>
        <v>1.0404</v>
      </c>
      <c r="O29" s="38">
        <f>'2. Parameters'!O73</f>
        <v>1.0820160000000001</v>
      </c>
      <c r="P29" s="38">
        <f>'2. Parameters'!P73</f>
        <v>1.1252966400000002</v>
      </c>
      <c r="Q29" s="38">
        <f>'2. Parameters'!Q73</f>
        <v>1.1703085056000002</v>
      </c>
    </row>
    <row r="30" spans="2:19">
      <c r="B30" s="32" t="s">
        <v>204</v>
      </c>
      <c r="D30" s="3" t="s">
        <v>792</v>
      </c>
      <c r="K30" s="10"/>
      <c r="L30" s="10"/>
      <c r="M30" s="38">
        <f>'2. Parameters'!M74</f>
        <v>1</v>
      </c>
      <c r="N30" s="38">
        <f>'2. Parameters'!N74</f>
        <v>1.02</v>
      </c>
      <c r="O30" s="38">
        <f>'2. Parameters'!O74</f>
        <v>1.0608</v>
      </c>
      <c r="P30" s="38">
        <f>'2. Parameters'!P74</f>
        <v>1.103232</v>
      </c>
      <c r="Q30" s="38">
        <f>'2. Parameters'!Q74</f>
        <v>1.1473612799999999</v>
      </c>
    </row>
    <row r="31" spans="2:19">
      <c r="B31" s="32" t="s">
        <v>205</v>
      </c>
      <c r="D31" s="3" t="s">
        <v>792</v>
      </c>
      <c r="K31" s="10"/>
      <c r="L31" s="10"/>
      <c r="M31" s="10"/>
      <c r="N31" s="38">
        <f>'2. Parameters'!N75</f>
        <v>1</v>
      </c>
      <c r="O31" s="38">
        <f>'2. Parameters'!O75</f>
        <v>1.04</v>
      </c>
      <c r="P31" s="38">
        <f>'2. Parameters'!P75</f>
        <v>1.0816000000000001</v>
      </c>
      <c r="Q31" s="38">
        <f>'2. Parameters'!Q75</f>
        <v>1.1248640000000001</v>
      </c>
    </row>
    <row r="32" spans="2:19">
      <c r="B32" s="32" t="s">
        <v>206</v>
      </c>
      <c r="D32" s="3" t="s">
        <v>792</v>
      </c>
      <c r="K32" s="10"/>
      <c r="L32" s="10"/>
      <c r="M32" s="10"/>
      <c r="N32" s="10"/>
      <c r="O32" s="38">
        <f>'2. Parameters'!O76</f>
        <v>1</v>
      </c>
      <c r="P32" s="38">
        <f>'2. Parameters'!P76</f>
        <v>1.04</v>
      </c>
      <c r="Q32" s="38">
        <f>'2. Parameters'!Q76</f>
        <v>1.0816000000000001</v>
      </c>
    </row>
    <row r="33" spans="2:17">
      <c r="B33" s="32" t="s">
        <v>207</v>
      </c>
      <c r="D33" s="3" t="s">
        <v>792</v>
      </c>
      <c r="K33" s="10"/>
      <c r="L33" s="10"/>
      <c r="M33" s="10"/>
      <c r="N33" s="10"/>
      <c r="O33" s="10"/>
      <c r="P33" s="38">
        <f>'2. Parameters'!P77</f>
        <v>1</v>
      </c>
      <c r="Q33" s="38">
        <f>'2. Parameters'!Q77</f>
        <v>1.04</v>
      </c>
    </row>
    <row r="34" spans="2:17">
      <c r="B34" s="32" t="s">
        <v>208</v>
      </c>
      <c r="D34" s="3" t="s">
        <v>792</v>
      </c>
      <c r="K34" s="10"/>
      <c r="L34" s="10"/>
      <c r="M34" s="10"/>
      <c r="N34" s="10"/>
      <c r="O34" s="10"/>
      <c r="P34" s="10"/>
      <c r="Q34" s="38">
        <f>'2. Parameters'!Q78</f>
        <v>1</v>
      </c>
    </row>
    <row r="35" spans="2:17">
      <c r="D35" s="3" t="s">
        <v>792</v>
      </c>
    </row>
    <row r="36" spans="2:17">
      <c r="B36" s="2" t="s">
        <v>194</v>
      </c>
    </row>
    <row r="37" spans="2:17">
      <c r="B37" s="3" t="s">
        <v>946</v>
      </c>
      <c r="D37" s="3" t="s">
        <v>199</v>
      </c>
      <c r="H37" s="38">
        <f>'2. Parameters'!H38</f>
        <v>1</v>
      </c>
      <c r="I37" s="38">
        <f>'2. Parameters'!I38</f>
        <v>1.014</v>
      </c>
      <c r="J37" s="38">
        <f>'2. Parameters'!J38</f>
        <v>1.026168</v>
      </c>
      <c r="K37" s="38">
        <f>'2. Parameters'!K38</f>
        <v>1.052848368</v>
      </c>
      <c r="L37" s="38">
        <f>'2. Parameters'!L38</f>
        <v>1.069693941888</v>
      </c>
      <c r="M37" s="38">
        <f>'2. Parameters'!M38</f>
        <v>1.0889484328419841</v>
      </c>
      <c r="N37" s="38">
        <f>'2. Parameters'!N38</f>
        <v>1.1564632356781872</v>
      </c>
      <c r="O37" s="38">
        <f>'2. Parameters'!O38</f>
        <v>1.2489802945324422</v>
      </c>
      <c r="P37" s="38">
        <f>'2. Parameters'!P38</f>
        <v>1.2702129595394935</v>
      </c>
      <c r="Q37" s="38">
        <f>'2. Parameters'!Q38</f>
        <v>1.2918065798516647</v>
      </c>
    </row>
    <row r="38" spans="2:17">
      <c r="B38" s="3" t="s">
        <v>947</v>
      </c>
      <c r="D38" s="3" t="s">
        <v>199</v>
      </c>
      <c r="H38" s="10"/>
      <c r="I38" s="38">
        <f>'2. Parameters'!I39</f>
        <v>1</v>
      </c>
      <c r="J38" s="38">
        <f>'2. Parameters'!J39</f>
        <v>1.012</v>
      </c>
      <c r="K38" s="38">
        <f>'2. Parameters'!K39</f>
        <v>1.0383120000000001</v>
      </c>
      <c r="L38" s="38">
        <f>'2. Parameters'!L39</f>
        <v>1.0549249920000001</v>
      </c>
      <c r="M38" s="38">
        <f>'2. Parameters'!M39</f>
        <v>1.0739136418560002</v>
      </c>
      <c r="N38" s="38">
        <f>'2. Parameters'!N39</f>
        <v>1.1404962876510722</v>
      </c>
      <c r="O38" s="38">
        <f>'2. Parameters'!O39</f>
        <v>1.2317359906631582</v>
      </c>
      <c r="P38" s="38">
        <f>'2. Parameters'!P39</f>
        <v>1.2526755025044318</v>
      </c>
      <c r="Q38" s="38">
        <f>'2. Parameters'!Q39</f>
        <v>1.273970986047007</v>
      </c>
    </row>
    <row r="39" spans="2:17">
      <c r="B39" s="3" t="s">
        <v>948</v>
      </c>
      <c r="D39" s="3" t="s">
        <v>199</v>
      </c>
      <c r="H39" s="10"/>
      <c r="I39" s="10"/>
      <c r="J39" s="38">
        <f>'2. Parameters'!J40</f>
        <v>1</v>
      </c>
      <c r="K39" s="38">
        <f>'2. Parameters'!K40</f>
        <v>1.026</v>
      </c>
      <c r="L39" s="38">
        <f>'2. Parameters'!L40</f>
        <v>1.042416</v>
      </c>
      <c r="M39" s="38">
        <f>'2. Parameters'!M40</f>
        <v>1.0611794880000001</v>
      </c>
      <c r="N39" s="38">
        <f>'2. Parameters'!N40</f>
        <v>1.1269726162560001</v>
      </c>
      <c r="O39" s="38">
        <f>'2. Parameters'!O40</f>
        <v>1.2171304255564801</v>
      </c>
      <c r="P39" s="38">
        <f>'2. Parameters'!P40</f>
        <v>1.2378216427909401</v>
      </c>
      <c r="Q39" s="38">
        <f>'2. Parameters'!Q40</f>
        <v>1.2588646107183858</v>
      </c>
    </row>
    <row r="40" spans="2:17">
      <c r="B40" s="3" t="s">
        <v>793</v>
      </c>
      <c r="D40" s="3" t="s">
        <v>199</v>
      </c>
      <c r="H40" s="10"/>
      <c r="I40" s="10"/>
      <c r="J40" s="10"/>
      <c r="K40" s="38">
        <f>'2. Parameters'!K41</f>
        <v>1</v>
      </c>
      <c r="L40" s="38">
        <f>'2. Parameters'!L41</f>
        <v>1.016</v>
      </c>
      <c r="M40" s="38">
        <f>'2. Parameters'!M41</f>
        <v>1.0342880000000001</v>
      </c>
      <c r="N40" s="38">
        <f>'2. Parameters'!N41</f>
        <v>1.0984138560000001</v>
      </c>
      <c r="O40" s="38">
        <f>'2. Parameters'!O41</f>
        <v>1.1862869644800003</v>
      </c>
      <c r="P40" s="38">
        <f>'2. Parameters'!P41</f>
        <v>1.2064538428761602</v>
      </c>
      <c r="Q40" s="38">
        <f>'2. Parameters'!Q41</f>
        <v>1.2269635582050549</v>
      </c>
    </row>
    <row r="41" spans="2:17">
      <c r="B41" s="3" t="s">
        <v>794</v>
      </c>
      <c r="D41" s="3" t="s">
        <v>199</v>
      </c>
      <c r="H41" s="10"/>
      <c r="I41" s="10"/>
      <c r="J41" s="10"/>
      <c r="K41" s="10"/>
      <c r="L41" s="38">
        <f>'2. Parameters'!L42</f>
        <v>1</v>
      </c>
      <c r="M41" s="38">
        <f>'2. Parameters'!M42</f>
        <v>1.018</v>
      </c>
      <c r="N41" s="38">
        <f>'2. Parameters'!N42</f>
        <v>1.081116</v>
      </c>
      <c r="O41" s="38">
        <f>'2. Parameters'!O42</f>
        <v>1.1676052800000001</v>
      </c>
      <c r="P41" s="38">
        <f>'2. Parameters'!P42</f>
        <v>1.1874545697600001</v>
      </c>
      <c r="Q41" s="38">
        <f>'2. Parameters'!Q42</f>
        <v>1.2076412974459199</v>
      </c>
    </row>
    <row r="42" spans="2:17">
      <c r="B42" s="3" t="s">
        <v>795</v>
      </c>
      <c r="D42" s="3" t="s">
        <v>199</v>
      </c>
      <c r="H42" s="10"/>
      <c r="I42" s="10"/>
      <c r="J42" s="10"/>
      <c r="K42" s="10"/>
      <c r="L42" s="10"/>
      <c r="M42" s="38">
        <f>'2. Parameters'!M43</f>
        <v>1</v>
      </c>
      <c r="N42" s="38">
        <f>'2. Parameters'!N43</f>
        <v>1.0620000000000001</v>
      </c>
      <c r="O42" s="38">
        <f>'2. Parameters'!O43</f>
        <v>1.1469600000000002</v>
      </c>
      <c r="P42" s="38">
        <f>'2. Parameters'!P43</f>
        <v>1.16645832</v>
      </c>
      <c r="Q42" s="38">
        <f>'2. Parameters'!Q43</f>
        <v>1.1862881114399999</v>
      </c>
    </row>
    <row r="43" spans="2:17">
      <c r="B43" s="3" t="s">
        <v>796</v>
      </c>
      <c r="D43" s="3" t="s">
        <v>199</v>
      </c>
      <c r="H43" s="10"/>
      <c r="I43" s="10"/>
      <c r="J43" s="10"/>
      <c r="K43" s="10"/>
      <c r="L43" s="10"/>
      <c r="M43" s="10"/>
      <c r="N43" s="38">
        <f>'2. Parameters'!N44</f>
        <v>1</v>
      </c>
      <c r="O43" s="38">
        <f>'2. Parameters'!O44</f>
        <v>1.08</v>
      </c>
      <c r="P43" s="38">
        <f>'2. Parameters'!P44</f>
        <v>1.09836</v>
      </c>
      <c r="Q43" s="38">
        <f>'2. Parameters'!Q44</f>
        <v>1.11703212</v>
      </c>
    </row>
    <row r="44" spans="2:17">
      <c r="B44" s="3" t="s">
        <v>797</v>
      </c>
      <c r="D44" s="3" t="s">
        <v>199</v>
      </c>
      <c r="H44" s="10"/>
      <c r="I44" s="10"/>
      <c r="J44" s="10"/>
      <c r="K44" s="10"/>
      <c r="L44" s="10"/>
      <c r="M44" s="10"/>
      <c r="N44" s="10"/>
      <c r="O44" s="38">
        <f>'2. Parameters'!O45</f>
        <v>1</v>
      </c>
      <c r="P44" s="38">
        <f>'2. Parameters'!P45</f>
        <v>1.0169999999999999</v>
      </c>
      <c r="Q44" s="38">
        <f>'2. Parameters'!Q45</f>
        <v>1.0342889999999998</v>
      </c>
    </row>
    <row r="45" spans="2:17">
      <c r="B45" s="3" t="s">
        <v>798</v>
      </c>
      <c r="D45" s="3" t="s">
        <v>199</v>
      </c>
      <c r="H45" s="10"/>
      <c r="I45" s="10"/>
      <c r="J45" s="10"/>
      <c r="K45" s="10"/>
      <c r="L45" s="10"/>
      <c r="M45" s="10"/>
      <c r="N45" s="10"/>
      <c r="O45" s="10"/>
      <c r="P45" s="38">
        <f>'2. Parameters'!P46</f>
        <v>1</v>
      </c>
      <c r="Q45" s="38">
        <f>'2. Parameters'!Q46</f>
        <v>1.0169999999999999</v>
      </c>
    </row>
    <row r="46" spans="2:17">
      <c r="B46" s="3" t="s">
        <v>799</v>
      </c>
      <c r="D46" s="3" t="s">
        <v>199</v>
      </c>
      <c r="H46" s="10"/>
      <c r="I46" s="10"/>
      <c r="J46" s="10"/>
      <c r="K46" s="10"/>
      <c r="L46" s="10"/>
      <c r="M46" s="10"/>
      <c r="N46" s="10"/>
      <c r="O46" s="10"/>
      <c r="P46" s="10"/>
      <c r="Q46" s="38">
        <f>'2. Parameters'!Q47</f>
        <v>1</v>
      </c>
    </row>
    <row r="47" spans="2:17" ht="13.5" customHeight="1"/>
    <row r="48" spans="2:17">
      <c r="B48" s="2" t="s">
        <v>209</v>
      </c>
    </row>
    <row r="49" spans="2:17">
      <c r="B49" s="32" t="s">
        <v>198</v>
      </c>
      <c r="D49" s="3" t="s">
        <v>213</v>
      </c>
      <c r="H49" s="38">
        <f>'2. Parameters'!H55</f>
        <v>1</v>
      </c>
      <c r="I49" s="38">
        <f>'2. Parameters'!I55</f>
        <v>0.999</v>
      </c>
      <c r="J49" s="38">
        <f>'2. Parameters'!J55</f>
        <v>0.99800100000000003</v>
      </c>
      <c r="K49" s="38">
        <f>'2. Parameters'!K55</f>
        <v>0.997002999</v>
      </c>
      <c r="L49" s="38">
        <f>'2. Parameters'!L55</f>
        <v>0.99600599600100004</v>
      </c>
      <c r="M49" s="38">
        <f>'2. Parameters'!M55</f>
        <v>0.99202197201699605</v>
      </c>
      <c r="N49" s="38">
        <f>'2. Parameters'!N55</f>
        <v>0.98805388412892803</v>
      </c>
      <c r="O49" s="38">
        <f>'2. Parameters'!O55</f>
        <v>0.98410166859241233</v>
      </c>
      <c r="P49" s="38">
        <f>'2. Parameters'!P55</f>
        <v>0.98016526191804265</v>
      </c>
      <c r="Q49" s="38">
        <f>'2. Parameters'!Q55</f>
        <v>0.97624460087037046</v>
      </c>
    </row>
    <row r="50" spans="2:17">
      <c r="B50" s="32" t="s">
        <v>200</v>
      </c>
      <c r="D50" s="3" t="s">
        <v>213</v>
      </c>
      <c r="H50" s="10"/>
      <c r="I50" s="38">
        <f>'2. Parameters'!I56</f>
        <v>1</v>
      </c>
      <c r="J50" s="38">
        <f>'2. Parameters'!J56</f>
        <v>0.999</v>
      </c>
      <c r="K50" s="38">
        <f>'2. Parameters'!K56</f>
        <v>0.99800100000000003</v>
      </c>
      <c r="L50" s="38">
        <f>'2. Parameters'!L56</f>
        <v>0.997002999</v>
      </c>
      <c r="M50" s="38">
        <f>'2. Parameters'!M56</f>
        <v>0.99301498700400004</v>
      </c>
      <c r="N50" s="38">
        <f>'2. Parameters'!N56</f>
        <v>0.98904292705598407</v>
      </c>
      <c r="O50" s="38">
        <f>'2. Parameters'!O56</f>
        <v>0.98508675534776013</v>
      </c>
      <c r="P50" s="38">
        <f>'2. Parameters'!P56</f>
        <v>0.98114640832636912</v>
      </c>
      <c r="Q50" s="38">
        <f>'2. Parameters'!Q56</f>
        <v>0.97722182269306368</v>
      </c>
    </row>
    <row r="51" spans="2:17">
      <c r="B51" s="32" t="s">
        <v>201</v>
      </c>
      <c r="D51" s="3" t="s">
        <v>213</v>
      </c>
      <c r="H51" s="10"/>
      <c r="I51" s="10"/>
      <c r="J51" s="38">
        <f>'2. Parameters'!J57</f>
        <v>1</v>
      </c>
      <c r="K51" s="38">
        <f>'2. Parameters'!K57</f>
        <v>0.999</v>
      </c>
      <c r="L51" s="38">
        <f>'2. Parameters'!L57</f>
        <v>0.99800100000000003</v>
      </c>
      <c r="M51" s="38">
        <f>'2. Parameters'!M57</f>
        <v>0.99400899600000003</v>
      </c>
      <c r="N51" s="38">
        <f>'2. Parameters'!N57</f>
        <v>0.99003296001600005</v>
      </c>
      <c r="O51" s="38">
        <f>'2. Parameters'!O57</f>
        <v>0.986072828175936</v>
      </c>
      <c r="P51" s="38">
        <f>'2. Parameters'!P57</f>
        <v>0.9821285368632322</v>
      </c>
      <c r="Q51" s="38">
        <f>'2. Parameters'!Q57</f>
        <v>0.97820002271577933</v>
      </c>
    </row>
    <row r="52" spans="2:17">
      <c r="B52" s="32" t="s">
        <v>202</v>
      </c>
      <c r="D52" s="3" t="s">
        <v>213</v>
      </c>
      <c r="H52" s="10"/>
      <c r="I52" s="10"/>
      <c r="J52" s="10"/>
      <c r="K52" s="38">
        <f>'2. Parameters'!K58</f>
        <v>1</v>
      </c>
      <c r="L52" s="38">
        <f>'2. Parameters'!L58</f>
        <v>0.999</v>
      </c>
      <c r="M52" s="38">
        <f>'2. Parameters'!M58</f>
        <v>0.995004</v>
      </c>
      <c r="N52" s="38">
        <f>'2. Parameters'!N58</f>
        <v>0.99102398400000002</v>
      </c>
      <c r="O52" s="38">
        <f>'2. Parameters'!O58</f>
        <v>0.98705988806400002</v>
      </c>
      <c r="P52" s="38">
        <f>'2. Parameters'!P58</f>
        <v>0.98311164851174404</v>
      </c>
      <c r="Q52" s="38">
        <f>'2. Parameters'!Q58</f>
        <v>0.97917920191769703</v>
      </c>
    </row>
    <row r="53" spans="2:17">
      <c r="B53" s="32" t="s">
        <v>203</v>
      </c>
      <c r="D53" s="3" t="s">
        <v>213</v>
      </c>
      <c r="H53" s="10"/>
      <c r="I53" s="10"/>
      <c r="J53" s="10"/>
      <c r="K53" s="10"/>
      <c r="L53" s="38">
        <f>'2. Parameters'!L59</f>
        <v>1</v>
      </c>
      <c r="M53" s="38">
        <f>'2. Parameters'!M59</f>
        <v>0.996</v>
      </c>
      <c r="N53" s="38">
        <f>'2. Parameters'!N59</f>
        <v>0.99201600000000001</v>
      </c>
      <c r="O53" s="38">
        <f>'2. Parameters'!O59</f>
        <v>0.98804793599999996</v>
      </c>
      <c r="P53" s="38">
        <f>'2. Parameters'!P59</f>
        <v>0.98409574425599999</v>
      </c>
      <c r="Q53" s="38">
        <f>'2. Parameters'!Q59</f>
        <v>0.98015936127897596</v>
      </c>
    </row>
    <row r="54" spans="2:17">
      <c r="B54" s="32" t="s">
        <v>204</v>
      </c>
      <c r="D54" s="3" t="s">
        <v>213</v>
      </c>
      <c r="H54" s="10"/>
      <c r="I54" s="10"/>
      <c r="J54" s="10"/>
      <c r="K54" s="10"/>
      <c r="L54" s="10"/>
      <c r="M54" s="38">
        <f>'2. Parameters'!M60</f>
        <v>1</v>
      </c>
      <c r="N54" s="38">
        <f>'2. Parameters'!N60</f>
        <v>0.996</v>
      </c>
      <c r="O54" s="38">
        <f>'2. Parameters'!O60</f>
        <v>0.99201600000000001</v>
      </c>
      <c r="P54" s="38">
        <f>'2. Parameters'!P60</f>
        <v>0.98804793599999996</v>
      </c>
      <c r="Q54" s="38">
        <f>'2. Parameters'!Q60</f>
        <v>0.98409574425599999</v>
      </c>
    </row>
    <row r="55" spans="2:17">
      <c r="B55" s="32" t="s">
        <v>205</v>
      </c>
      <c r="D55" s="3" t="s">
        <v>213</v>
      </c>
      <c r="H55" s="10"/>
      <c r="I55" s="10"/>
      <c r="J55" s="10"/>
      <c r="K55" s="10"/>
      <c r="L55" s="10"/>
      <c r="M55" s="10"/>
      <c r="N55" s="38">
        <f>'2. Parameters'!N61</f>
        <v>1</v>
      </c>
      <c r="O55" s="38">
        <f>'2. Parameters'!O61</f>
        <v>0.996</v>
      </c>
      <c r="P55" s="38">
        <f>'2. Parameters'!P61</f>
        <v>0.99201600000000001</v>
      </c>
      <c r="Q55" s="38">
        <f>'2. Parameters'!Q61</f>
        <v>0.98804793599999996</v>
      </c>
    </row>
    <row r="56" spans="2:17">
      <c r="B56" s="32" t="s">
        <v>206</v>
      </c>
      <c r="D56" s="3" t="s">
        <v>213</v>
      </c>
      <c r="H56" s="10"/>
      <c r="I56" s="10"/>
      <c r="J56" s="10"/>
      <c r="K56" s="10"/>
      <c r="L56" s="10"/>
      <c r="M56" s="10"/>
      <c r="N56" s="10"/>
      <c r="O56" s="38">
        <f>'2. Parameters'!O62</f>
        <v>1</v>
      </c>
      <c r="P56" s="38">
        <f>'2. Parameters'!P62</f>
        <v>0.996</v>
      </c>
      <c r="Q56" s="38">
        <f>'2. Parameters'!Q62</f>
        <v>0.99201600000000001</v>
      </c>
    </row>
    <row r="57" spans="2:17">
      <c r="B57" s="32" t="s">
        <v>207</v>
      </c>
      <c r="D57" s="3" t="s">
        <v>213</v>
      </c>
      <c r="H57" s="10"/>
      <c r="I57" s="10"/>
      <c r="J57" s="10"/>
      <c r="K57" s="10"/>
      <c r="L57" s="10"/>
      <c r="M57" s="10"/>
      <c r="N57" s="10"/>
      <c r="O57" s="10"/>
      <c r="P57" s="38">
        <f>'2. Parameters'!P63</f>
        <v>1</v>
      </c>
      <c r="Q57" s="38">
        <f>'2. Parameters'!Q63</f>
        <v>0.996</v>
      </c>
    </row>
    <row r="58" spans="2:17" ht="15.75" customHeight="1">
      <c r="B58" s="32" t="s">
        <v>208</v>
      </c>
      <c r="D58" s="3" t="s">
        <v>213</v>
      </c>
      <c r="H58" s="10"/>
      <c r="I58" s="10"/>
      <c r="J58" s="10"/>
      <c r="K58" s="10"/>
      <c r="L58" s="10"/>
      <c r="M58" s="10"/>
      <c r="N58" s="10"/>
      <c r="O58" s="10"/>
      <c r="P58" s="10"/>
      <c r="Q58" s="38">
        <f>'2. Parameters'!Q64</f>
        <v>1</v>
      </c>
    </row>
    <row r="59" spans="2:17" s="54" customFormat="1">
      <c r="K59" s="55"/>
      <c r="L59" s="55"/>
      <c r="M59" s="56"/>
    </row>
    <row r="60" spans="2:17">
      <c r="B60" s="272" t="s">
        <v>475</v>
      </c>
    </row>
    <row r="61" spans="2:17">
      <c r="B61" s="175" t="s">
        <v>475</v>
      </c>
      <c r="D61" s="3" t="s">
        <v>180</v>
      </c>
      <c r="F61" s="186">
        <f>'7. Input incidentele correcties'!F17</f>
        <v>0.77</v>
      </c>
    </row>
    <row r="62" spans="2:17" s="54" customFormat="1">
      <c r="K62" s="55"/>
      <c r="L62" s="55"/>
      <c r="M62" s="56"/>
    </row>
    <row r="63" spans="2:17" s="8" customFormat="1">
      <c r="B63" s="8" t="s">
        <v>949</v>
      </c>
    </row>
    <row r="65" spans="2:19">
      <c r="B65" s="3" t="s">
        <v>950</v>
      </c>
      <c r="D65" s="3" t="s">
        <v>183</v>
      </c>
      <c r="H65" s="125">
        <f>H19/H16</f>
        <v>2.492946099161638E-2</v>
      </c>
      <c r="I65" s="125">
        <f>I19/I16</f>
        <v>2.3916332829323261E-2</v>
      </c>
      <c r="J65" s="125">
        <f>J19/J16</f>
        <v>2.1975863823876392E-2</v>
      </c>
      <c r="K65" s="126"/>
      <c r="L65" s="126"/>
      <c r="M65" s="126"/>
      <c r="N65" s="126"/>
      <c r="O65" s="126"/>
      <c r="P65" s="126"/>
      <c r="Q65" s="126"/>
    </row>
    <row r="66" spans="2:19">
      <c r="B66" s="3" t="s">
        <v>951</v>
      </c>
      <c r="D66" s="3" t="s">
        <v>183</v>
      </c>
      <c r="H66" s="126"/>
      <c r="I66" s="126"/>
      <c r="J66" s="126"/>
      <c r="K66" s="126"/>
      <c r="L66" s="126"/>
      <c r="M66" s="125">
        <f>AVERAGE($H$65*M37*M49,$I$65*M38*M50,$J$65*M39*M51)</f>
        <v>2.5205204983062075E-2</v>
      </c>
      <c r="N66" s="125">
        <f t="shared" ref="N66:Q66" si="0">AVERAGE($H$65*N37*N49,$I$65*N38*N50,$J$65*N39*N51)</f>
        <v>2.6660855981243875E-2</v>
      </c>
      <c r="O66" s="125">
        <f t="shared" si="0"/>
        <v>2.8678549561904413E-2</v>
      </c>
      <c r="P66" s="125">
        <f t="shared" si="0"/>
        <v>2.9049420564838956E-2</v>
      </c>
      <c r="Q66" s="125">
        <f t="shared" si="0"/>
        <v>2.9425087671583455E-2</v>
      </c>
    </row>
    <row r="67" spans="2:19">
      <c r="B67" s="3" t="s">
        <v>952</v>
      </c>
      <c r="D67" s="3" t="s">
        <v>183</v>
      </c>
      <c r="H67" s="10"/>
      <c r="I67" s="10"/>
      <c r="J67" s="10"/>
      <c r="K67" s="10"/>
      <c r="L67" s="10"/>
      <c r="M67" s="49">
        <f>AVERAGE(H19*M37*M49, I19*M38*M50, J19*M39*M51)</f>
        <v>59194119.731775783</v>
      </c>
      <c r="N67" s="10"/>
      <c r="O67" s="10"/>
      <c r="P67" s="10"/>
      <c r="Q67" s="10"/>
    </row>
    <row r="68" spans="2:19">
      <c r="B68" s="3" t="s">
        <v>953</v>
      </c>
      <c r="D68" s="3" t="s">
        <v>183</v>
      </c>
      <c r="H68" s="10"/>
      <c r="I68" s="10"/>
      <c r="J68" s="10"/>
      <c r="K68" s="10"/>
      <c r="L68" s="10"/>
      <c r="M68" s="49">
        <f>M16*M66</f>
        <v>84569901.886564314</v>
      </c>
      <c r="N68" s="10"/>
      <c r="O68" s="10"/>
      <c r="P68" s="10"/>
      <c r="Q68" s="10"/>
    </row>
    <row r="69" spans="2:19">
      <c r="B69" s="3" t="s">
        <v>954</v>
      </c>
      <c r="D69" s="3" t="s">
        <v>183</v>
      </c>
      <c r="H69" s="10"/>
      <c r="I69" s="10"/>
      <c r="J69" s="10"/>
      <c r="K69" s="10"/>
      <c r="L69" s="10"/>
      <c r="M69" s="10"/>
      <c r="N69" s="10"/>
      <c r="O69" s="201">
        <f>(M68-M67)*O30</f>
        <v>26918629.709799673</v>
      </c>
      <c r="P69" s="10"/>
      <c r="Q69" s="10"/>
      <c r="S69" s="3" t="s">
        <v>955</v>
      </c>
    </row>
    <row r="70" spans="2:19">
      <c r="O70" s="97"/>
    </row>
    <row r="71" spans="2:19" s="8" customFormat="1">
      <c r="B71" s="8" t="s">
        <v>956</v>
      </c>
    </row>
    <row r="73" spans="2:19">
      <c r="B73" s="3" t="s">
        <v>957</v>
      </c>
      <c r="D73" s="3" t="s">
        <v>183</v>
      </c>
      <c r="H73" s="126"/>
      <c r="I73" s="126"/>
      <c r="J73" s="126"/>
      <c r="K73" s="126"/>
      <c r="L73" s="126"/>
      <c r="M73" s="49">
        <f>AVERAGE(SUM($H$19:$H$20,$H$21*-$F$61)*M37*M49,SUM($I$19:$I$20,$I$21*-$F$61)*M38*M50,SUM($J$19:$J$20,$J$21*-$F$61)*M39*M51)</f>
        <v>113360968.0593787</v>
      </c>
      <c r="N73" s="10"/>
      <c r="O73" s="10"/>
      <c r="P73" s="10"/>
      <c r="Q73" s="10"/>
    </row>
    <row r="74" spans="2:19">
      <c r="B74" s="3" t="s">
        <v>958</v>
      </c>
      <c r="D74" s="3" t="s">
        <v>183</v>
      </c>
      <c r="H74" s="126"/>
      <c r="I74" s="126"/>
      <c r="J74" s="126"/>
      <c r="K74" s="126"/>
      <c r="L74" s="126"/>
      <c r="M74" s="53">
        <f>M73-(M19+M20+M21*(1-F61))</f>
        <v>-260558784.13062131</v>
      </c>
      <c r="N74" s="126"/>
      <c r="O74" s="126"/>
      <c r="P74" s="126"/>
      <c r="Q74" s="126"/>
    </row>
    <row r="75" spans="2:19">
      <c r="B75" s="3" t="s">
        <v>959</v>
      </c>
      <c r="D75" s="3" t="s">
        <v>183</v>
      </c>
      <c r="H75" s="126"/>
      <c r="I75" s="126"/>
      <c r="J75" s="126"/>
      <c r="K75" s="126"/>
      <c r="L75" s="126"/>
      <c r="M75" s="53">
        <f>F24*M74</f>
        <v>-65139696.032655329</v>
      </c>
      <c r="N75" s="126"/>
      <c r="O75" s="126"/>
      <c r="P75" s="126"/>
      <c r="Q75" s="126"/>
    </row>
    <row r="76" spans="2:19">
      <c r="B76" s="3" t="s">
        <v>960</v>
      </c>
      <c r="D76" s="3" t="s">
        <v>183</v>
      </c>
      <c r="H76" s="126"/>
      <c r="I76" s="126"/>
      <c r="J76" s="126"/>
      <c r="K76" s="126"/>
      <c r="L76" s="126"/>
      <c r="M76" s="53">
        <f>IF(M75&lt;0,-F24*F25*M73,F24*F25*M73)</f>
        <v>-5668048.4029689357</v>
      </c>
      <c r="N76" s="126"/>
      <c r="O76" s="126"/>
      <c r="P76" s="126"/>
      <c r="Q76" s="126"/>
    </row>
    <row r="77" spans="2:19">
      <c r="B77" s="3" t="s">
        <v>961</v>
      </c>
      <c r="D77" s="3" t="s">
        <v>183</v>
      </c>
      <c r="H77" s="126"/>
      <c r="I77" s="126"/>
      <c r="J77" s="126"/>
      <c r="K77" s="126"/>
      <c r="L77" s="126"/>
      <c r="M77" s="53">
        <f>IF(M74&lt;0,MAX(M75,M76),MIN(M75,M76))</f>
        <v>-5668048.4029689357</v>
      </c>
      <c r="N77" s="126"/>
      <c r="O77" s="126"/>
      <c r="P77" s="126"/>
      <c r="Q77" s="126"/>
    </row>
    <row r="78" spans="2:19">
      <c r="B78" s="3" t="s">
        <v>962</v>
      </c>
      <c r="D78" s="3" t="s">
        <v>183</v>
      </c>
      <c r="H78" s="126"/>
      <c r="I78" s="126"/>
      <c r="J78" s="126"/>
      <c r="K78" s="126"/>
      <c r="L78" s="126"/>
      <c r="M78" s="126"/>
      <c r="N78" s="126"/>
      <c r="O78" s="49">
        <f>-(M74-M77)*O30</f>
        <v>270388092.45989364</v>
      </c>
      <c r="P78" s="126"/>
      <c r="Q78" s="126"/>
    </row>
    <row r="79" spans="2:19">
      <c r="M79" s="97"/>
    </row>
  </sheetData>
  <mergeCells count="3">
    <mergeCell ref="B5:D5"/>
    <mergeCell ref="B7:D7"/>
    <mergeCell ref="B8:D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790"/>
  <sheetViews>
    <sheetView showGridLines="0" zoomScale="90" zoomScaleNormal="90" workbookViewId="0">
      <pane xSplit="4" ySplit="10" topLeftCell="E11" activePane="bottomRight" state="frozen"/>
      <selection pane="topRight"/>
      <selection pane="bottomLeft"/>
      <selection pane="bottomRight"/>
    </sheetView>
  </sheetViews>
  <sheetFormatPr defaultColWidth="9.140625" defaultRowHeight="12.75"/>
  <cols>
    <col min="1" max="1" width="2.7109375" style="3" customWidth="1"/>
    <col min="2" max="2" width="57.42578125" style="3" customWidth="1"/>
    <col min="3" max="3" width="2.7109375" style="3" customWidth="1"/>
    <col min="4" max="4" width="15.42578125" style="3" customWidth="1"/>
    <col min="5" max="5" width="2.7109375" style="3" customWidth="1"/>
    <col min="6" max="6" width="32.140625" style="3" bestFit="1" customWidth="1"/>
    <col min="7" max="7" width="35.42578125" style="3" bestFit="1" customWidth="1"/>
    <col min="8" max="8" width="40" style="3" bestFit="1" customWidth="1"/>
    <col min="9" max="9" width="31.5703125" style="3" bestFit="1" customWidth="1"/>
    <col min="10" max="10" width="25.140625" style="3" customWidth="1"/>
    <col min="11" max="11" width="20.42578125" style="3" bestFit="1" customWidth="1"/>
    <col min="12" max="12" width="27.85546875" style="3" bestFit="1" customWidth="1"/>
    <col min="13" max="13" width="22.42578125" style="3" customWidth="1"/>
    <col min="14" max="14" width="20.28515625" style="3" customWidth="1"/>
    <col min="15" max="15" width="16" style="3" customWidth="1"/>
    <col min="16" max="27" width="12.7109375" style="3" customWidth="1"/>
    <col min="28" max="28" width="17.42578125" style="3" bestFit="1" customWidth="1"/>
    <col min="29" max="30" width="12.7109375" style="3" customWidth="1"/>
    <col min="31" max="31" width="18.7109375" style="3" bestFit="1" customWidth="1"/>
    <col min="32" max="52" width="12.7109375" style="3" customWidth="1"/>
    <col min="53" max="16384" width="9.140625" style="3"/>
  </cols>
  <sheetData>
    <row r="2" spans="2:19" s="12" customFormat="1" ht="18">
      <c r="B2" s="12" t="s">
        <v>963</v>
      </c>
    </row>
    <row r="4" spans="2:19">
      <c r="B4" s="16" t="s">
        <v>786</v>
      </c>
      <c r="C4" s="2"/>
    </row>
    <row r="5" spans="2:19" ht="16.5" customHeight="1">
      <c r="B5" s="322" t="s">
        <v>964</v>
      </c>
      <c r="C5" s="322"/>
      <c r="D5" s="322"/>
      <c r="F5" s="13"/>
    </row>
    <row r="6" spans="2:19">
      <c r="B6" s="4"/>
    </row>
    <row r="7" spans="2:19">
      <c r="B7" s="17" t="s">
        <v>471</v>
      </c>
    </row>
    <row r="8" spans="2:19" ht="119.25" customHeight="1">
      <c r="B8" s="322" t="s">
        <v>965</v>
      </c>
      <c r="C8" s="322"/>
      <c r="D8" s="322"/>
    </row>
    <row r="10" spans="2:19" s="8" customFormat="1">
      <c r="B10" s="8" t="s">
        <v>134</v>
      </c>
      <c r="P10" s="52"/>
      <c r="Q10" s="52"/>
      <c r="S10" s="8" t="s">
        <v>178</v>
      </c>
    </row>
    <row r="12" spans="2:19" s="8" customFormat="1">
      <c r="B12" s="8" t="s">
        <v>790</v>
      </c>
      <c r="D12" s="8" t="s">
        <v>175</v>
      </c>
      <c r="F12" s="8" t="s">
        <v>176</v>
      </c>
      <c r="G12" s="8">
        <v>2020</v>
      </c>
      <c r="H12" s="8">
        <v>2021</v>
      </c>
      <c r="I12" s="8">
        <v>2022</v>
      </c>
      <c r="J12" s="8">
        <v>2023</v>
      </c>
      <c r="K12" s="8">
        <v>2024</v>
      </c>
      <c r="L12" s="8">
        <v>2025</v>
      </c>
      <c r="M12" s="8">
        <v>2026</v>
      </c>
    </row>
    <row r="13" spans="2:19">
      <c r="P13" s="97"/>
    </row>
    <row r="14" spans="2:19">
      <c r="B14" s="16" t="s">
        <v>184</v>
      </c>
    </row>
    <row r="15" spans="2:19">
      <c r="B15" s="158" t="s">
        <v>186</v>
      </c>
      <c r="D15" s="3" t="s">
        <v>180</v>
      </c>
      <c r="G15" s="149">
        <f>'2. Parameters'!K20</f>
        <v>3.3000000000000002E-2</v>
      </c>
      <c r="H15" s="149">
        <f>'2. Parameters'!L20</f>
        <v>0.03</v>
      </c>
      <c r="I15" s="10"/>
      <c r="J15" s="10"/>
      <c r="K15" s="10"/>
      <c r="L15" s="10"/>
      <c r="M15" s="10"/>
    </row>
    <row r="16" spans="2:19">
      <c r="B16" s="158" t="s">
        <v>791</v>
      </c>
      <c r="D16" s="3" t="s">
        <v>180</v>
      </c>
      <c r="G16" s="10"/>
      <c r="H16" s="10"/>
      <c r="I16" s="149">
        <f>'2. Parameters'!M22</f>
        <v>3.1E-2</v>
      </c>
      <c r="J16" s="149">
        <f>'2. Parameters'!N22</f>
        <v>0.03</v>
      </c>
      <c r="K16" s="149">
        <f>'2. Parameters'!O22</f>
        <v>0.03</v>
      </c>
      <c r="L16" s="149">
        <f>'2. Parameters'!P22</f>
        <v>0.03</v>
      </c>
      <c r="M16" s="149">
        <f>'2. Parameters'!Q22</f>
        <v>0.03</v>
      </c>
    </row>
    <row r="17" spans="1:20">
      <c r="B17" s="158"/>
    </row>
    <row r="18" spans="1:20">
      <c r="B18" s="2" t="s">
        <v>217</v>
      </c>
    </row>
    <row r="19" spans="1:20">
      <c r="B19" s="3" t="s">
        <v>217</v>
      </c>
      <c r="D19" s="3" t="s">
        <v>180</v>
      </c>
      <c r="F19" s="61">
        <f>'2. Parameters'!F82</f>
        <v>0.93700000000000006</v>
      </c>
      <c r="T19" s="3" t="s">
        <v>117</v>
      </c>
    </row>
    <row r="20" spans="1:20">
      <c r="F20" s="30"/>
    </row>
    <row r="21" spans="1:20">
      <c r="B21" s="2" t="s">
        <v>218</v>
      </c>
      <c r="F21" s="30"/>
    </row>
    <row r="22" spans="1:20">
      <c r="B22" s="3" t="s">
        <v>218</v>
      </c>
      <c r="D22" s="3" t="s">
        <v>180</v>
      </c>
      <c r="F22" s="185">
        <f>'2. Parameters'!F86</f>
        <v>1.3</v>
      </c>
      <c r="T22" s="3" t="s">
        <v>117</v>
      </c>
    </row>
    <row r="23" spans="1:20">
      <c r="F23" s="184"/>
    </row>
    <row r="24" spans="1:20">
      <c r="B24" s="2" t="s">
        <v>219</v>
      </c>
      <c r="F24" s="184"/>
    </row>
    <row r="25" spans="1:20">
      <c r="B25" s="3" t="s">
        <v>219</v>
      </c>
      <c r="D25" s="3" t="s">
        <v>180</v>
      </c>
      <c r="F25" s="86">
        <f>'2. Parameters'!F90</f>
        <v>0.1</v>
      </c>
      <c r="T25" s="3" t="s">
        <v>117</v>
      </c>
    </row>
    <row r="26" spans="1:20">
      <c r="B26" s="16"/>
    </row>
    <row r="27" spans="1:20">
      <c r="B27" s="2" t="s">
        <v>193</v>
      </c>
    </row>
    <row r="28" spans="1:20">
      <c r="B28" s="3" t="s">
        <v>193</v>
      </c>
      <c r="D28" s="3" t="s">
        <v>180</v>
      </c>
      <c r="F28" s="186">
        <f>'2. Parameters'!F30</f>
        <v>0.01</v>
      </c>
    </row>
    <row r="29" spans="1:20" s="98" customFormat="1">
      <c r="A29" s="3"/>
      <c r="F29" s="114"/>
    </row>
    <row r="30" spans="1:20">
      <c r="B30" s="16" t="s">
        <v>214</v>
      </c>
    </row>
    <row r="31" spans="1:20">
      <c r="B31" s="32" t="s">
        <v>202</v>
      </c>
      <c r="D31" s="3" t="s">
        <v>216</v>
      </c>
      <c r="G31" s="38">
        <f>'2. Parameters'!K72</f>
        <v>1</v>
      </c>
      <c r="H31" s="38">
        <f>'2. Parameters'!L72</f>
        <v>1.02</v>
      </c>
      <c r="I31" s="38">
        <f>'2. Parameters'!M72</f>
        <v>1.0404</v>
      </c>
      <c r="J31" s="38">
        <f>'2. Parameters'!N72</f>
        <v>1.0612079999999999</v>
      </c>
      <c r="K31" s="38">
        <f>'2. Parameters'!O72</f>
        <v>1.10365632</v>
      </c>
      <c r="L31" s="38">
        <f>'2. Parameters'!P72</f>
        <v>1.1478025728000001</v>
      </c>
      <c r="M31" s="38">
        <f>'2. Parameters'!Q72</f>
        <v>1.1937146757120001</v>
      </c>
    </row>
    <row r="32" spans="1:20">
      <c r="B32" s="32" t="s">
        <v>203</v>
      </c>
      <c r="D32" s="3" t="s">
        <v>216</v>
      </c>
      <c r="G32" s="10"/>
      <c r="H32" s="38">
        <f>'2. Parameters'!L73</f>
        <v>1</v>
      </c>
      <c r="I32" s="38">
        <f>'2. Parameters'!M73</f>
        <v>1.02</v>
      </c>
      <c r="J32" s="38">
        <f>'2. Parameters'!N73</f>
        <v>1.0404</v>
      </c>
      <c r="K32" s="38">
        <f>'2. Parameters'!O73</f>
        <v>1.0820160000000001</v>
      </c>
      <c r="L32" s="38">
        <f>'2. Parameters'!P73</f>
        <v>1.1252966400000002</v>
      </c>
      <c r="M32" s="38">
        <f>'2. Parameters'!Q73</f>
        <v>1.1703085056000002</v>
      </c>
    </row>
    <row r="33" spans="2:13">
      <c r="B33" s="32" t="s">
        <v>204</v>
      </c>
      <c r="D33" s="3" t="s">
        <v>216</v>
      </c>
      <c r="G33" s="10"/>
      <c r="H33" s="10"/>
      <c r="I33" s="38">
        <f>'2. Parameters'!M74</f>
        <v>1</v>
      </c>
      <c r="J33" s="38">
        <f>'2. Parameters'!N74</f>
        <v>1.02</v>
      </c>
      <c r="K33" s="38">
        <f>'2. Parameters'!O74</f>
        <v>1.0608</v>
      </c>
      <c r="L33" s="38">
        <f>'2. Parameters'!P74</f>
        <v>1.103232</v>
      </c>
      <c r="M33" s="38">
        <f>'2. Parameters'!Q74</f>
        <v>1.1473612799999999</v>
      </c>
    </row>
    <row r="34" spans="2:13">
      <c r="B34" s="32" t="s">
        <v>205</v>
      </c>
      <c r="D34" s="3" t="s">
        <v>216</v>
      </c>
      <c r="G34" s="10"/>
      <c r="H34" s="10"/>
      <c r="I34" s="10"/>
      <c r="J34" s="38">
        <f>'2. Parameters'!N75</f>
        <v>1</v>
      </c>
      <c r="K34" s="38">
        <f>'2. Parameters'!O75</f>
        <v>1.04</v>
      </c>
      <c r="L34" s="38">
        <f>'2. Parameters'!P75</f>
        <v>1.0816000000000001</v>
      </c>
      <c r="M34" s="38">
        <f>'2. Parameters'!Q75</f>
        <v>1.1248640000000001</v>
      </c>
    </row>
    <row r="35" spans="2:13">
      <c r="B35" s="32" t="s">
        <v>206</v>
      </c>
      <c r="D35" s="3" t="s">
        <v>216</v>
      </c>
      <c r="G35" s="10"/>
      <c r="H35" s="10"/>
      <c r="I35" s="10"/>
      <c r="J35" s="10"/>
      <c r="K35" s="38">
        <f>'2. Parameters'!O76</f>
        <v>1</v>
      </c>
      <c r="L35" s="38">
        <f>'2. Parameters'!P76</f>
        <v>1.04</v>
      </c>
      <c r="M35" s="38">
        <f>'2. Parameters'!Q76</f>
        <v>1.0816000000000001</v>
      </c>
    </row>
    <row r="36" spans="2:13">
      <c r="B36" s="32" t="s">
        <v>207</v>
      </c>
      <c r="D36" s="3" t="s">
        <v>216</v>
      </c>
      <c r="G36" s="10"/>
      <c r="H36" s="10"/>
      <c r="I36" s="10"/>
      <c r="J36" s="10"/>
      <c r="K36" s="10"/>
      <c r="L36" s="38">
        <f>'2. Parameters'!P77</f>
        <v>1</v>
      </c>
      <c r="M36" s="38">
        <f>'2. Parameters'!Q77</f>
        <v>1.04</v>
      </c>
    </row>
    <row r="37" spans="2:13">
      <c r="B37" s="32" t="s">
        <v>208</v>
      </c>
      <c r="D37" s="3" t="s">
        <v>216</v>
      </c>
      <c r="G37" s="10"/>
      <c r="H37" s="10"/>
      <c r="I37" s="10"/>
      <c r="J37" s="10"/>
      <c r="K37" s="10"/>
      <c r="L37" s="10"/>
      <c r="M37" s="38">
        <f>'2. Parameters'!Q78</f>
        <v>1</v>
      </c>
    </row>
    <row r="39" spans="2:13" s="8" customFormat="1">
      <c r="B39" s="8" t="s">
        <v>966</v>
      </c>
      <c r="F39" s="8" t="s">
        <v>255</v>
      </c>
      <c r="G39" s="8" t="s">
        <v>488</v>
      </c>
      <c r="H39" s="8" t="s">
        <v>489</v>
      </c>
      <c r="I39" s="8" t="s">
        <v>490</v>
      </c>
      <c r="J39" s="8" t="s">
        <v>256</v>
      </c>
      <c r="K39" s="8" t="s">
        <v>967</v>
      </c>
      <c r="L39" s="8" t="s">
        <v>491</v>
      </c>
      <c r="M39" s="8" t="s">
        <v>968</v>
      </c>
    </row>
    <row r="41" spans="2:13">
      <c r="B41" s="43" t="str">
        <f>'7. Input incidentele correcties'!B46</f>
        <v>Asset 1</v>
      </c>
      <c r="F41" s="43" t="str">
        <f>'7. Input incidentele correcties'!F46</f>
        <v>05 Wegen en terreinvoorzieningen</v>
      </c>
      <c r="G41" s="43">
        <f>'7. Input incidentele correcties'!G46</f>
        <v>1971</v>
      </c>
      <c r="H41" s="48">
        <f>'7. Input incidentele correcties'!H46</f>
        <v>47083.78</v>
      </c>
      <c r="I41" s="43">
        <f>'7. Input incidentele correcties'!I46</f>
        <v>2021</v>
      </c>
      <c r="J41" s="48">
        <f>_xlfn.XLOOKUP(F41,'3. Input (des)investeringen '!$B$11:$B$80,'3. Input (des)investeringen '!$D$11:$D$80)</f>
        <v>10</v>
      </c>
      <c r="K41" s="48">
        <f>_xlfn.XLOOKUP(F41,'3. Input (des)investeringen '!$B$11:$B$80,'3. Input (des)investeringen '!$E$11:$E$80)</f>
        <v>0</v>
      </c>
      <c r="L41" s="48">
        <f>'7. Input incidentele correcties'!J46</f>
        <v>0</v>
      </c>
      <c r="M41" s="48">
        <f>'7. Input incidentele correcties'!K46</f>
        <v>38383584.379999995</v>
      </c>
    </row>
    <row r="42" spans="2:13">
      <c r="B42" s="43" t="str">
        <f>'7. Input incidentele correcties'!B47</f>
        <v>Asset 2</v>
      </c>
      <c r="F42" s="43" t="str">
        <f>'7. Input incidentele correcties'!F47</f>
        <v>06 Utiliteitsgebouwen</v>
      </c>
      <c r="G42" s="43">
        <f>'7. Input incidentele correcties'!G47</f>
        <v>1961</v>
      </c>
      <c r="H42" s="48">
        <f>'7. Input incidentele correcties'!H47</f>
        <v>50334.43</v>
      </c>
      <c r="I42" s="43">
        <f>'7. Input incidentele correcties'!I47</f>
        <v>2021</v>
      </c>
      <c r="J42" s="48">
        <f>_xlfn.XLOOKUP(F42,'3. Input (des)investeringen '!$B$11:$B$80,'3. Input (des)investeringen '!$D$11:$D$80)</f>
        <v>30</v>
      </c>
      <c r="K42" s="48">
        <f>_xlfn.XLOOKUP(F42,'3. Input (des)investeringen '!$B$11:$B$80,'3. Input (des)investeringen '!$E$11:$E$80)</f>
        <v>0</v>
      </c>
      <c r="L42" s="48">
        <f>'7. Input incidentele correcties'!J47</f>
        <v>0</v>
      </c>
      <c r="M42" s="48">
        <f>'7. Input incidentele correcties'!K47</f>
        <v>0</v>
      </c>
    </row>
    <row r="43" spans="2:13">
      <c r="B43" s="43" t="str">
        <f>'7. Input incidentele correcties'!B48</f>
        <v>Asset 3</v>
      </c>
      <c r="F43" s="43" t="str">
        <f>'7. Input incidentele correcties'!F48</f>
        <v>06 Utiliteitsgebouwen</v>
      </c>
      <c r="G43" s="43">
        <f>'7. Input incidentele correcties'!G48</f>
        <v>1972</v>
      </c>
      <c r="H43" s="48">
        <f>'7. Input incidentele correcties'!H48</f>
        <v>2621.49</v>
      </c>
      <c r="I43" s="43">
        <f>'7. Input incidentele correcties'!I48</f>
        <v>2021</v>
      </c>
      <c r="J43" s="48">
        <f>_xlfn.XLOOKUP(F43,'3. Input (des)investeringen '!$B$11:$B$80,'3. Input (des)investeringen '!$D$11:$D$80)</f>
        <v>30</v>
      </c>
      <c r="K43" s="48">
        <f>_xlfn.XLOOKUP(F43,'3. Input (des)investeringen '!$B$11:$B$80,'3. Input (des)investeringen '!$E$11:$E$80)</f>
        <v>0</v>
      </c>
      <c r="L43" s="48">
        <f>'7. Input incidentele correcties'!J48</f>
        <v>0</v>
      </c>
      <c r="M43" s="48">
        <f>'7. Input incidentele correcties'!K48</f>
        <v>0</v>
      </c>
    </row>
    <row r="44" spans="2:13">
      <c r="B44" s="43" t="str">
        <f>'7. Input incidentele correcties'!B49</f>
        <v>Asset 4</v>
      </c>
      <c r="F44" s="43" t="str">
        <f>'7. Input incidentele correcties'!F49</f>
        <v>08 Inrichting gebouwen</v>
      </c>
      <c r="G44" s="43">
        <f>'7. Input incidentele correcties'!G49</f>
        <v>1997</v>
      </c>
      <c r="H44" s="48">
        <f>'7. Input incidentele correcties'!H49</f>
        <v>151227.48000000004</v>
      </c>
      <c r="I44" s="43">
        <f>'7. Input incidentele correcties'!I49</f>
        <v>2021</v>
      </c>
      <c r="J44" s="48">
        <f>_xlfn.XLOOKUP(F44,'3. Input (des)investeringen '!$B$11:$B$80,'3. Input (des)investeringen '!$D$11:$D$80)</f>
        <v>10</v>
      </c>
      <c r="K44" s="48">
        <f>_xlfn.XLOOKUP(F44,'3. Input (des)investeringen '!$B$11:$B$80,'3. Input (des)investeringen '!$E$11:$E$80)</f>
        <v>0</v>
      </c>
      <c r="L44" s="48">
        <f>'7. Input incidentele correcties'!J49</f>
        <v>0</v>
      </c>
      <c r="M44" s="48">
        <f>'7. Input incidentele correcties'!K49</f>
        <v>0</v>
      </c>
    </row>
    <row r="45" spans="2:13">
      <c r="B45" s="43" t="str">
        <f>'7. Input incidentele correcties'!B50</f>
        <v>Asset 5</v>
      </c>
      <c r="F45" s="43" t="str">
        <f>'7. Input incidentele correcties'!F50</f>
        <v>11 Werktuigen</v>
      </c>
      <c r="G45" s="43">
        <f>'7. Input incidentele correcties'!G50</f>
        <v>2009</v>
      </c>
      <c r="H45" s="48">
        <f>'7. Input incidentele correcties'!H50</f>
        <v>1313895.18</v>
      </c>
      <c r="I45" s="43">
        <f>'7. Input incidentele correcties'!I50</f>
        <v>2021</v>
      </c>
      <c r="J45" s="48">
        <f>_xlfn.XLOOKUP(F45,'3. Input (des)investeringen '!$B$11:$B$80,'3. Input (des)investeringen '!$D$11:$D$80)</f>
        <v>10</v>
      </c>
      <c r="K45" s="48">
        <f>_xlfn.XLOOKUP(F45,'3. Input (des)investeringen '!$B$11:$B$80,'3. Input (des)investeringen '!$E$11:$E$80)</f>
        <v>1</v>
      </c>
      <c r="L45" s="48">
        <f>'7. Input incidentele correcties'!J50</f>
        <v>0</v>
      </c>
      <c r="M45" s="48">
        <f>'7. Input incidentele correcties'!K50</f>
        <v>0</v>
      </c>
    </row>
    <row r="46" spans="2:13">
      <c r="B46" s="43" t="str">
        <f>'7. Input incidentele correcties'!B51</f>
        <v>Asset 6</v>
      </c>
      <c r="F46" s="43" t="str">
        <f>'7. Input incidentele correcties'!F51</f>
        <v>37 ICT middelen 1</v>
      </c>
      <c r="G46" s="43">
        <f>'7. Input incidentele correcties'!G51</f>
        <v>2009</v>
      </c>
      <c r="H46" s="48">
        <f>'7. Input incidentele correcties'!H51</f>
        <v>3658553.4539964925</v>
      </c>
      <c r="I46" s="43">
        <f>'7. Input incidentele correcties'!I51</f>
        <v>2021</v>
      </c>
      <c r="J46" s="48">
        <f>_xlfn.XLOOKUP(F46,'3. Input (des)investeringen '!$B$11:$B$80,'3. Input (des)investeringen '!$D$11:$D$80)</f>
        <v>5</v>
      </c>
      <c r="K46" s="48">
        <f>_xlfn.XLOOKUP(F46,'3. Input (des)investeringen '!$B$11:$B$80,'3. Input (des)investeringen '!$E$11:$E$80)</f>
        <v>1</v>
      </c>
      <c r="L46" s="48">
        <f>'7. Input incidentele correcties'!J51</f>
        <v>0</v>
      </c>
      <c r="M46" s="48">
        <f>'7. Input incidentele correcties'!K51</f>
        <v>114985168</v>
      </c>
    </row>
    <row r="47" spans="2:13">
      <c r="B47" s="43" t="str">
        <f>'7. Input incidentele correcties'!B52</f>
        <v>Asset 7</v>
      </c>
      <c r="F47" s="43" t="str">
        <f>'7. Input incidentele correcties'!F52</f>
        <v>37 ICT middelen 1</v>
      </c>
      <c r="G47" s="43">
        <f>'7. Input incidentele correcties'!G52</f>
        <v>2010</v>
      </c>
      <c r="H47" s="48">
        <f>'7. Input incidentele correcties'!H52</f>
        <v>17379179.522018339</v>
      </c>
      <c r="I47" s="43">
        <f>'7. Input incidentele correcties'!I52</f>
        <v>2021</v>
      </c>
      <c r="J47" s="48">
        <f>_xlfn.XLOOKUP(F47,'3. Input (des)investeringen '!$B$11:$B$80,'3. Input (des)investeringen '!$D$11:$D$80)</f>
        <v>5</v>
      </c>
      <c r="K47" s="48">
        <f>_xlfn.XLOOKUP(F47,'3. Input (des)investeringen '!$B$11:$B$80,'3. Input (des)investeringen '!$E$11:$E$80)</f>
        <v>1</v>
      </c>
      <c r="L47" s="48">
        <f>'7. Input incidentele correcties'!J52</f>
        <v>0</v>
      </c>
      <c r="M47" s="48">
        <f>'7. Input incidentele correcties'!K52</f>
        <v>0</v>
      </c>
    </row>
    <row r="48" spans="2:13">
      <c r="B48" s="43" t="str">
        <f>'7. Input incidentele correcties'!B53</f>
        <v>Asset 8</v>
      </c>
      <c r="F48" s="43" t="str">
        <f>'7. Input incidentele correcties'!F53</f>
        <v>10 Gereedschap</v>
      </c>
      <c r="G48" s="43">
        <f>'7. Input incidentele correcties'!G53</f>
        <v>2010</v>
      </c>
      <c r="H48" s="48">
        <f>'7. Input incidentele correcties'!H53</f>
        <v>2369604.1752097155</v>
      </c>
      <c r="I48" s="43">
        <f>'7. Input incidentele correcties'!I53</f>
        <v>2021</v>
      </c>
      <c r="J48" s="48">
        <f>_xlfn.XLOOKUP(F48,'3. Input (des)investeringen '!$B$11:$B$80,'3. Input (des)investeringen '!$D$11:$D$80)</f>
        <v>10</v>
      </c>
      <c r="K48" s="48">
        <f>_xlfn.XLOOKUP(F48,'3. Input (des)investeringen '!$B$11:$B$80,'3. Input (des)investeringen '!$E$11:$E$80)</f>
        <v>1</v>
      </c>
      <c r="L48" s="48">
        <f>'7. Input incidentele correcties'!J53</f>
        <v>0</v>
      </c>
      <c r="M48" s="48">
        <f>'7. Input incidentele correcties'!K53</f>
        <v>0</v>
      </c>
    </row>
    <row r="49" spans="2:13">
      <c r="B49" s="43" t="str">
        <f>'7. Input incidentele correcties'!B54</f>
        <v>Asset 9</v>
      </c>
      <c r="F49" s="43" t="str">
        <f>'7. Input incidentele correcties'!F54</f>
        <v>37 ICT middelen 1 (transparency)</v>
      </c>
      <c r="G49" s="43">
        <f>'7. Input incidentele correcties'!G54</f>
        <v>2010</v>
      </c>
      <c r="H49" s="48">
        <f>'7. Input incidentele correcties'!H54</f>
        <v>137063.35897796138</v>
      </c>
      <c r="I49" s="43">
        <f>'7. Input incidentele correcties'!I54</f>
        <v>2021</v>
      </c>
      <c r="J49" s="48">
        <f>_xlfn.XLOOKUP(F49,'3. Input (des)investeringen '!$B$11:$B$80,'3. Input (des)investeringen '!$D$11:$D$80)</f>
        <v>5</v>
      </c>
      <c r="K49" s="48">
        <f>_xlfn.XLOOKUP(F49,'3. Input (des)investeringen '!$B$11:$B$80,'3. Input (des)investeringen '!$E$11:$E$80)</f>
        <v>0</v>
      </c>
      <c r="L49" s="48">
        <f>'7. Input incidentele correcties'!J54</f>
        <v>0</v>
      </c>
      <c r="M49" s="48">
        <f>'7. Input incidentele correcties'!K54</f>
        <v>0</v>
      </c>
    </row>
    <row r="50" spans="2:13">
      <c r="B50" s="43" t="str">
        <f>'7. Input incidentele correcties'!B55</f>
        <v>Asset 10</v>
      </c>
      <c r="F50" s="43" t="str">
        <f>'7. Input incidentele correcties'!F55</f>
        <v>11 Werktuigen (gaschromatografen en comptabele meters)</v>
      </c>
      <c r="G50" s="43">
        <f>'7. Input incidentele correcties'!G55</f>
        <v>2011</v>
      </c>
      <c r="H50" s="48">
        <f>'7. Input incidentele correcties'!H55</f>
        <v>852201.48356837523</v>
      </c>
      <c r="I50" s="43">
        <f>'7. Input incidentele correcties'!I55</f>
        <v>2021</v>
      </c>
      <c r="J50" s="48">
        <f>_xlfn.XLOOKUP(F50,'3. Input (des)investeringen '!$B$11:$B$80,'3. Input (des)investeringen '!$D$11:$D$80)</f>
        <v>10</v>
      </c>
      <c r="K50" s="48">
        <f>_xlfn.XLOOKUP(F50,'3. Input (des)investeringen '!$B$11:$B$80,'3. Input (des)investeringen '!$E$11:$E$80)</f>
        <v>0</v>
      </c>
      <c r="L50" s="48">
        <f>'7. Input incidentele correcties'!J55</f>
        <v>0</v>
      </c>
      <c r="M50" s="48">
        <f>'7. Input incidentele correcties'!K55</f>
        <v>0</v>
      </c>
    </row>
    <row r="51" spans="2:13">
      <c r="B51" s="43" t="str">
        <f>'7. Input incidentele correcties'!B56</f>
        <v>Asset 11</v>
      </c>
      <c r="F51" s="43" t="str">
        <f>'7. Input incidentele correcties'!F56</f>
        <v>20 Kantoorgebouwen</v>
      </c>
      <c r="G51" s="43">
        <f>'7. Input incidentele correcties'!G56</f>
        <v>2011</v>
      </c>
      <c r="H51" s="48">
        <f>'7. Input incidentele correcties'!H56</f>
        <v>3100554.2541983742</v>
      </c>
      <c r="I51" s="43">
        <f>'7. Input incidentele correcties'!I56</f>
        <v>2021</v>
      </c>
      <c r="J51" s="48">
        <f>_xlfn.XLOOKUP(F51,'3. Input (des)investeringen '!$B$11:$B$80,'3. Input (des)investeringen '!$D$11:$D$80)</f>
        <v>30</v>
      </c>
      <c r="K51" s="48">
        <f>_xlfn.XLOOKUP(F51,'3. Input (des)investeringen '!$B$11:$B$80,'3. Input (des)investeringen '!$E$11:$E$80)</f>
        <v>0</v>
      </c>
      <c r="L51" s="48">
        <f>'7. Input incidentele correcties'!J56</f>
        <v>2372891.9585730941</v>
      </c>
      <c r="M51" s="48">
        <f>'7. Input incidentele correcties'!K56</f>
        <v>56326732</v>
      </c>
    </row>
    <row r="52" spans="2:13">
      <c r="B52" s="43" t="str">
        <f>'7. Input incidentele correcties'!B57</f>
        <v>Asset 12</v>
      </c>
      <c r="F52" s="43" t="str">
        <f>'7. Input incidentele correcties'!F57</f>
        <v>37 ICT middelen 1</v>
      </c>
      <c r="G52" s="43">
        <f>'7. Input incidentele correcties'!G57</f>
        <v>2011</v>
      </c>
      <c r="H52" s="48">
        <f>'7. Input incidentele correcties'!H57</f>
        <v>30115806.268534236</v>
      </c>
      <c r="I52" s="43">
        <f>'7. Input incidentele correcties'!I57</f>
        <v>2021</v>
      </c>
      <c r="J52" s="48">
        <f>_xlfn.XLOOKUP(F52,'3. Input (des)investeringen '!$B$11:$B$80,'3. Input (des)investeringen '!$D$11:$D$80)</f>
        <v>5</v>
      </c>
      <c r="K52" s="48">
        <f>_xlfn.XLOOKUP(F52,'3. Input (des)investeringen '!$B$11:$B$80,'3. Input (des)investeringen '!$E$11:$E$80)</f>
        <v>1</v>
      </c>
      <c r="L52" s="48">
        <f>'7. Input incidentele correcties'!J57</f>
        <v>0</v>
      </c>
      <c r="M52" s="48">
        <f>'7. Input incidentele correcties'!K57</f>
        <v>0</v>
      </c>
    </row>
    <row r="53" spans="2:13">
      <c r="B53" s="43" t="str">
        <f>'7. Input incidentele correcties'!B58</f>
        <v>Asset 13</v>
      </c>
      <c r="F53" s="43" t="str">
        <f>'7. Input incidentele correcties'!F58</f>
        <v>06 Utiliteitsgebouwen</v>
      </c>
      <c r="G53" s="43">
        <f>'7. Input incidentele correcties'!G58</f>
        <v>2011</v>
      </c>
      <c r="H53" s="48">
        <f>'7. Input incidentele correcties'!H58</f>
        <v>2437521.6070272112</v>
      </c>
      <c r="I53" s="43">
        <f>'7. Input incidentele correcties'!I58</f>
        <v>2021</v>
      </c>
      <c r="J53" s="48">
        <f>_xlfn.XLOOKUP(F53,'3. Input (des)investeringen '!$B$11:$B$80,'3. Input (des)investeringen '!$D$11:$D$80)</f>
        <v>30</v>
      </c>
      <c r="K53" s="48">
        <f>_xlfn.XLOOKUP(F53,'3. Input (des)investeringen '!$B$11:$B$80,'3. Input (des)investeringen '!$E$11:$E$80)</f>
        <v>0</v>
      </c>
      <c r="L53" s="48">
        <f>'7. Input incidentele correcties'!J58</f>
        <v>1865464.9930189459</v>
      </c>
      <c r="M53" s="48">
        <f>'7. Input incidentele correcties'!K58</f>
        <v>0</v>
      </c>
    </row>
    <row r="54" spans="2:13">
      <c r="B54" s="43" t="str">
        <f>'7. Input incidentele correcties'!B59</f>
        <v>Asset 14</v>
      </c>
      <c r="F54" s="43" t="str">
        <f>'7. Input incidentele correcties'!F59</f>
        <v>10 Gereedschap</v>
      </c>
      <c r="G54" s="43">
        <f>'7. Input incidentele correcties'!G59</f>
        <v>2011</v>
      </c>
      <c r="H54" s="48">
        <f>'7. Input incidentele correcties'!H59</f>
        <v>322323.48030063207</v>
      </c>
      <c r="I54" s="43">
        <f>'7. Input incidentele correcties'!I59</f>
        <v>2021</v>
      </c>
      <c r="J54" s="48">
        <f>_xlfn.XLOOKUP(F54,'3. Input (des)investeringen '!$B$11:$B$80,'3. Input (des)investeringen '!$D$11:$D$80)</f>
        <v>10</v>
      </c>
      <c r="K54" s="48">
        <f>_xlfn.XLOOKUP(F54,'3. Input (des)investeringen '!$B$11:$B$80,'3. Input (des)investeringen '!$E$11:$E$80)</f>
        <v>1</v>
      </c>
      <c r="L54" s="48">
        <f>'7. Input incidentele correcties'!J59</f>
        <v>0</v>
      </c>
      <c r="M54" s="48">
        <f>'7. Input incidentele correcties'!K59</f>
        <v>0</v>
      </c>
    </row>
    <row r="55" spans="2:13">
      <c r="B55" s="43" t="str">
        <f>'7. Input incidentele correcties'!B60</f>
        <v>Asset 15</v>
      </c>
      <c r="F55" s="43" t="str">
        <f>'7. Input incidentele correcties'!F60</f>
        <v>14 Overig rollend materieel</v>
      </c>
      <c r="G55" s="43">
        <f>'7. Input incidentele correcties'!G60</f>
        <v>2011</v>
      </c>
      <c r="H55" s="48">
        <f>'7. Input incidentele correcties'!H60</f>
        <v>4126005.7948834877</v>
      </c>
      <c r="I55" s="43">
        <f>'7. Input incidentele correcties'!I60</f>
        <v>2021</v>
      </c>
      <c r="J55" s="48">
        <f>_xlfn.XLOOKUP(F55,'3. Input (des)investeringen '!$B$11:$B$80,'3. Input (des)investeringen '!$D$11:$D$80)</f>
        <v>10</v>
      </c>
      <c r="K55" s="48">
        <f>_xlfn.XLOOKUP(F55,'3. Input (des)investeringen '!$B$11:$B$80,'3. Input (des)investeringen '!$E$11:$E$80)</f>
        <v>1</v>
      </c>
      <c r="L55" s="48">
        <f>'7. Input incidentele correcties'!J60</f>
        <v>0</v>
      </c>
      <c r="M55" s="48">
        <f>'7. Input incidentele correcties'!K60</f>
        <v>0</v>
      </c>
    </row>
    <row r="56" spans="2:13">
      <c r="B56" s="43" t="str">
        <f>'7. Input incidentele correcties'!B61</f>
        <v>Asset 16</v>
      </c>
      <c r="F56" s="43" t="str">
        <f>'7. Input incidentele correcties'!F61</f>
        <v>37 ICT middelen 1</v>
      </c>
      <c r="G56" s="43">
        <f>'7. Input incidentele correcties'!G61</f>
        <v>2012</v>
      </c>
      <c r="H56" s="48">
        <f>'7. Input incidentele correcties'!H61</f>
        <v>22695798.709637098</v>
      </c>
      <c r="I56" s="43">
        <f>'7. Input incidentele correcties'!I61</f>
        <v>2021</v>
      </c>
      <c r="J56" s="48">
        <f>_xlfn.XLOOKUP(F56,'3. Input (des)investeringen '!$B$11:$B$80,'3. Input (des)investeringen '!$D$11:$D$80)</f>
        <v>5</v>
      </c>
      <c r="K56" s="48">
        <f>_xlfn.XLOOKUP(F56,'3. Input (des)investeringen '!$B$11:$B$80,'3. Input (des)investeringen '!$E$11:$E$80)</f>
        <v>1</v>
      </c>
      <c r="L56" s="48">
        <f>'7. Input incidentele correcties'!J61</f>
        <v>0</v>
      </c>
      <c r="M56" s="48">
        <f>'7. Input incidentele correcties'!K61</f>
        <v>0</v>
      </c>
    </row>
    <row r="57" spans="2:13">
      <c r="B57" s="43" t="str">
        <f>'7. Input incidentele correcties'!B62</f>
        <v>Asset 17</v>
      </c>
      <c r="F57" s="43" t="str">
        <f>'7. Input incidentele correcties'!F62</f>
        <v>37 ICT middelen 1</v>
      </c>
      <c r="G57" s="43">
        <f>'7. Input incidentele correcties'!G62</f>
        <v>2013</v>
      </c>
      <c r="H57" s="48">
        <f>'7. Input incidentele correcties'!H62</f>
        <v>18719949.80436749</v>
      </c>
      <c r="I57" s="43">
        <f>'7. Input incidentele correcties'!I62</f>
        <v>2021</v>
      </c>
      <c r="J57" s="48">
        <f>_xlfn.XLOOKUP(F57,'3. Input (des)investeringen '!$B$11:$B$80,'3. Input (des)investeringen '!$D$11:$D$80)</f>
        <v>5</v>
      </c>
      <c r="K57" s="48">
        <f>_xlfn.XLOOKUP(F57,'3. Input (des)investeringen '!$B$11:$B$80,'3. Input (des)investeringen '!$E$11:$E$80)</f>
        <v>1</v>
      </c>
      <c r="L57" s="48">
        <f>'7. Input incidentele correcties'!J62</f>
        <v>0</v>
      </c>
      <c r="M57" s="48">
        <f>'7. Input incidentele correcties'!K62</f>
        <v>0</v>
      </c>
    </row>
    <row r="58" spans="2:13">
      <c r="B58" s="43" t="str">
        <f>'7. Input incidentele correcties'!B63</f>
        <v>Asset 18</v>
      </c>
      <c r="F58" s="43" t="str">
        <f>'7. Input incidentele correcties'!F63</f>
        <v>14 Overig rollend materieel</v>
      </c>
      <c r="G58" s="43">
        <f>'7. Input incidentele correcties'!G63</f>
        <v>2013</v>
      </c>
      <c r="H58" s="48">
        <f>'7. Input incidentele correcties'!H63</f>
        <v>14233.766853302437</v>
      </c>
      <c r="I58" s="43">
        <f>'7. Input incidentele correcties'!I63</f>
        <v>2021</v>
      </c>
      <c r="J58" s="48">
        <f>_xlfn.XLOOKUP(F58,'3. Input (des)investeringen '!$B$11:$B$80,'3. Input (des)investeringen '!$D$11:$D$80)</f>
        <v>10</v>
      </c>
      <c r="K58" s="48">
        <f>_xlfn.XLOOKUP(F58,'3. Input (des)investeringen '!$B$11:$B$80,'3. Input (des)investeringen '!$E$11:$E$80)</f>
        <v>1</v>
      </c>
      <c r="L58" s="48">
        <f>'7. Input incidentele correcties'!J63</f>
        <v>2395.0433871794298</v>
      </c>
      <c r="M58" s="48">
        <f>'7. Input incidentele correcties'!K63</f>
        <v>0</v>
      </c>
    </row>
    <row r="59" spans="2:13">
      <c r="B59" s="43" t="str">
        <f>'7. Input incidentele correcties'!B64</f>
        <v>Asset 19</v>
      </c>
      <c r="F59" s="43" t="str">
        <f>'7. Input incidentele correcties'!F64</f>
        <v>10 Gereedschap</v>
      </c>
      <c r="G59" s="43">
        <f>'7. Input incidentele correcties'!G64</f>
        <v>2013</v>
      </c>
      <c r="H59" s="48">
        <f>'7. Input incidentele correcties'!H64</f>
        <v>717715.3058753697</v>
      </c>
      <c r="I59" s="43">
        <f>'7. Input incidentele correcties'!I64</f>
        <v>2021</v>
      </c>
      <c r="J59" s="48">
        <f>_xlfn.XLOOKUP(F59,'3. Input (des)investeringen '!$B$11:$B$80,'3. Input (des)investeringen '!$D$11:$D$80)</f>
        <v>10</v>
      </c>
      <c r="K59" s="48">
        <f>_xlfn.XLOOKUP(F59,'3. Input (des)investeringen '!$B$11:$B$80,'3. Input (des)investeringen '!$E$11:$E$80)</f>
        <v>1</v>
      </c>
      <c r="L59" s="48">
        <f>'7. Input incidentele correcties'!J64</f>
        <v>120766.29573396736</v>
      </c>
      <c r="M59" s="48">
        <f>'7. Input incidentele correcties'!K64</f>
        <v>0</v>
      </c>
    </row>
    <row r="60" spans="2:13">
      <c r="B60" s="43" t="str">
        <f>'7. Input incidentele correcties'!B65</f>
        <v>Asset 20</v>
      </c>
      <c r="F60" s="43" t="str">
        <f>'7. Input incidentele correcties'!F65</f>
        <v>37 ICT middelen 1</v>
      </c>
      <c r="G60" s="43">
        <f>'7. Input incidentele correcties'!G65</f>
        <v>2014</v>
      </c>
      <c r="H60" s="48">
        <f>'7. Input incidentele correcties'!H65</f>
        <v>29278944.009914741</v>
      </c>
      <c r="I60" s="43">
        <f>'7. Input incidentele correcties'!I65</f>
        <v>2021</v>
      </c>
      <c r="J60" s="48">
        <f>_xlfn.XLOOKUP(F60,'3. Input (des)investeringen '!$B$11:$B$80,'3. Input (des)investeringen '!$D$11:$D$80)</f>
        <v>5</v>
      </c>
      <c r="K60" s="48">
        <f>_xlfn.XLOOKUP(F60,'3. Input (des)investeringen '!$B$11:$B$80,'3. Input (des)investeringen '!$E$11:$E$80)</f>
        <v>1</v>
      </c>
      <c r="L60" s="48">
        <f>'7. Input incidentele correcties'!J65</f>
        <v>0</v>
      </c>
      <c r="M60" s="48">
        <f>'7. Input incidentele correcties'!K65</f>
        <v>0</v>
      </c>
    </row>
    <row r="61" spans="2:13">
      <c r="B61" s="43" t="str">
        <f>'7. Input incidentele correcties'!B66</f>
        <v>Asset 21</v>
      </c>
      <c r="F61" s="43" t="str">
        <f>'7. Input incidentele correcties'!F66</f>
        <v>38 ICT middelen 2</v>
      </c>
      <c r="G61" s="43">
        <f>'7. Input incidentele correcties'!G66</f>
        <v>2014</v>
      </c>
      <c r="H61" s="48">
        <f>'7. Input incidentele correcties'!H66</f>
        <v>149619.99545874962</v>
      </c>
      <c r="I61" s="43">
        <f>'7. Input incidentele correcties'!I66</f>
        <v>2021</v>
      </c>
      <c r="J61" s="48">
        <f>_xlfn.XLOOKUP(F61,'3. Input (des)investeringen '!$B$11:$B$80,'3. Input (des)investeringen '!$D$11:$D$80)</f>
        <v>10</v>
      </c>
      <c r="K61" s="48">
        <f>_xlfn.XLOOKUP(F61,'3. Input (des)investeringen '!$B$11:$B$80,'3. Input (des)investeringen '!$E$11:$E$80)</f>
        <v>1</v>
      </c>
      <c r="L61" s="48">
        <f>'7. Input incidentele correcties'!J66</f>
        <v>40816.786477904512</v>
      </c>
      <c r="M61" s="48">
        <f>'7. Input incidentele correcties'!K66</f>
        <v>0</v>
      </c>
    </row>
    <row r="62" spans="2:13">
      <c r="B62" s="43" t="str">
        <f>'7. Input incidentele correcties'!B67</f>
        <v>Asset 22</v>
      </c>
      <c r="F62" s="43" t="str">
        <f>'7. Input incidentele correcties'!F67</f>
        <v>37 ICT middelen 1 (transparency)</v>
      </c>
      <c r="G62" s="43">
        <f>'7. Input incidentele correcties'!G67</f>
        <v>2014</v>
      </c>
      <c r="H62" s="48">
        <f>'7. Input incidentele correcties'!H67</f>
        <v>180341</v>
      </c>
      <c r="I62" s="43">
        <f>'7. Input incidentele correcties'!I67</f>
        <v>2021</v>
      </c>
      <c r="J62" s="48">
        <f>_xlfn.XLOOKUP(F62,'3. Input (des)investeringen '!$B$11:$B$80,'3. Input (des)investeringen '!$D$11:$D$80)</f>
        <v>5</v>
      </c>
      <c r="K62" s="48">
        <f>_xlfn.XLOOKUP(F62,'3. Input (des)investeringen '!$B$11:$B$80,'3. Input (des)investeringen '!$E$11:$E$80)</f>
        <v>0</v>
      </c>
      <c r="L62" s="48">
        <f>'7. Input incidentele correcties'!J67</f>
        <v>0</v>
      </c>
      <c r="M62" s="48">
        <f>'7. Input incidentele correcties'!K67</f>
        <v>0</v>
      </c>
    </row>
    <row r="63" spans="2:13">
      <c r="B63" s="43" t="str">
        <f>'7. Input incidentele correcties'!B68</f>
        <v>Asset 23</v>
      </c>
      <c r="F63" s="43" t="str">
        <f>'7. Input incidentele correcties'!F68</f>
        <v>37 ICT middelen 1</v>
      </c>
      <c r="G63" s="43">
        <f>'7. Input incidentele correcties'!G68</f>
        <v>2015</v>
      </c>
      <c r="H63" s="48">
        <f>'7. Input incidentele correcties'!H68</f>
        <v>16219637.049707994</v>
      </c>
      <c r="I63" s="43">
        <f>'7. Input incidentele correcties'!I68</f>
        <v>2021</v>
      </c>
      <c r="J63" s="48">
        <f>_xlfn.XLOOKUP(F63,'3. Input (des)investeringen '!$B$11:$B$80,'3. Input (des)investeringen '!$D$11:$D$80)</f>
        <v>5</v>
      </c>
      <c r="K63" s="48">
        <f>_xlfn.XLOOKUP(F63,'3. Input (des)investeringen '!$B$11:$B$80,'3. Input (des)investeringen '!$E$11:$E$80)</f>
        <v>1</v>
      </c>
      <c r="L63" s="48">
        <f>'7. Input incidentele correcties'!J68</f>
        <v>0</v>
      </c>
      <c r="M63" s="48">
        <f>'7. Input incidentele correcties'!K68</f>
        <v>0</v>
      </c>
    </row>
    <row r="64" spans="2:13">
      <c r="B64" s="43" t="str">
        <f>'7. Input incidentele correcties'!B69</f>
        <v>Asset 24</v>
      </c>
      <c r="F64" s="43" t="str">
        <f>'7. Input incidentele correcties'!F69</f>
        <v>14 Overig rollend materieel</v>
      </c>
      <c r="G64" s="43">
        <f>'7. Input incidentele correcties'!G69</f>
        <v>2015</v>
      </c>
      <c r="H64" s="48">
        <f>'7. Input incidentele correcties'!H69</f>
        <v>9111235.8707030155</v>
      </c>
      <c r="I64" s="43">
        <f>'7. Input incidentele correcties'!I69</f>
        <v>2021</v>
      </c>
      <c r="J64" s="48">
        <f>_xlfn.XLOOKUP(F64,'3. Input (des)investeringen '!$B$11:$B$80,'3. Input (des)investeringen '!$D$11:$D$80)</f>
        <v>10</v>
      </c>
      <c r="K64" s="48">
        <f>_xlfn.XLOOKUP(F64,'3. Input (des)investeringen '!$B$11:$B$80,'3. Input (des)investeringen '!$E$11:$E$80)</f>
        <v>1</v>
      </c>
      <c r="L64" s="48">
        <f>'7. Input incidentele correcties'!J69</f>
        <v>3445348.23215965</v>
      </c>
      <c r="M64" s="48">
        <f>'7. Input incidentele correcties'!K69</f>
        <v>0</v>
      </c>
    </row>
    <row r="65" spans="2:13">
      <c r="B65" s="43" t="str">
        <f>'7. Input incidentele correcties'!B70</f>
        <v>Asset 25</v>
      </c>
      <c r="F65" s="43" t="str">
        <f>'7. Input incidentele correcties'!F70</f>
        <v>10 Gereedschap</v>
      </c>
      <c r="G65" s="43">
        <f>'7. Input incidentele correcties'!G70</f>
        <v>2015</v>
      </c>
      <c r="H65" s="48">
        <f>'7. Input incidentele correcties'!H70</f>
        <v>1215996.3265953835</v>
      </c>
      <c r="I65" s="43">
        <f>'7. Input incidentele correcties'!I70</f>
        <v>2021</v>
      </c>
      <c r="J65" s="48">
        <f>_xlfn.XLOOKUP(F65,'3. Input (des)investeringen '!$B$11:$B$80,'3. Input (des)investeringen '!$D$11:$D$80)</f>
        <v>10</v>
      </c>
      <c r="K65" s="48">
        <f>_xlfn.XLOOKUP(F65,'3. Input (des)investeringen '!$B$11:$B$80,'3. Input (des)investeringen '!$E$11:$E$80)</f>
        <v>1</v>
      </c>
      <c r="L65" s="48">
        <f>'7. Input incidentele correcties'!J70</f>
        <v>459820.25420057232</v>
      </c>
      <c r="M65" s="48">
        <f>'7. Input incidentele correcties'!K70</f>
        <v>0</v>
      </c>
    </row>
    <row r="66" spans="2:13">
      <c r="B66" s="43" t="str">
        <f>'7. Input incidentele correcties'!B71</f>
        <v>Asset 26</v>
      </c>
      <c r="F66" s="43" t="str">
        <f>'7. Input incidentele correcties'!F71</f>
        <v>13 Aanhangwagens (gaschromatografen en comptabele meters)</v>
      </c>
      <c r="G66" s="43">
        <f>'7. Input incidentele correcties'!G71</f>
        <v>2015</v>
      </c>
      <c r="H66" s="48">
        <f>'7. Input incidentele correcties'!H71</f>
        <v>7968.6502792695001</v>
      </c>
      <c r="I66" s="43">
        <f>'7. Input incidentele correcties'!I71</f>
        <v>2021</v>
      </c>
      <c r="J66" s="48">
        <f>_xlfn.XLOOKUP(F66,'3. Input (des)investeringen '!$B$11:$B$80,'3. Input (des)investeringen '!$D$11:$D$80)</f>
        <v>10</v>
      </c>
      <c r="K66" s="48">
        <f>_xlfn.XLOOKUP(F66,'3. Input (des)investeringen '!$B$11:$B$80,'3. Input (des)investeringen '!$E$11:$E$80)</f>
        <v>0</v>
      </c>
      <c r="L66" s="48">
        <f>'7. Input incidentele correcties'!J71</f>
        <v>3013.2877188110033</v>
      </c>
      <c r="M66" s="48">
        <f>'7. Input incidentele correcties'!K71</f>
        <v>0</v>
      </c>
    </row>
    <row r="67" spans="2:13">
      <c r="B67" s="43" t="str">
        <f>'7. Input incidentele correcties'!B72</f>
        <v>Asset 27</v>
      </c>
      <c r="F67" s="43" t="str">
        <f>'7. Input incidentele correcties'!F72</f>
        <v>37 ICT middelen 1</v>
      </c>
      <c r="G67" s="43">
        <f>'7. Input incidentele correcties'!G72</f>
        <v>2016</v>
      </c>
      <c r="H67" s="48">
        <f>'7. Input incidentele correcties'!H72</f>
        <v>15289349.60564645</v>
      </c>
      <c r="I67" s="43">
        <f>'7. Input incidentele correcties'!I72</f>
        <v>2021</v>
      </c>
      <c r="J67" s="48">
        <f>_xlfn.XLOOKUP(F67,'3. Input (des)investeringen '!$B$11:$B$80,'3. Input (des)investeringen '!$D$11:$D$80)</f>
        <v>5</v>
      </c>
      <c r="K67" s="48">
        <f>_xlfn.XLOOKUP(F67,'3. Input (des)investeringen '!$B$11:$B$80,'3. Input (des)investeringen '!$E$11:$E$80)</f>
        <v>1</v>
      </c>
      <c r="L67" s="48">
        <f>'7. Input incidentele correcties'!J72</f>
        <v>0</v>
      </c>
      <c r="M67" s="48">
        <f>'7. Input incidentele correcties'!K72</f>
        <v>0</v>
      </c>
    </row>
    <row r="68" spans="2:13">
      <c r="B68" s="43" t="str">
        <f>'7. Input incidentele correcties'!B73</f>
        <v>Asset 28</v>
      </c>
      <c r="F68" s="43" t="str">
        <f>'7. Input incidentele correcties'!F73</f>
        <v>11 Werktuigen</v>
      </c>
      <c r="G68" s="43">
        <f>'7. Input incidentele correcties'!G73</f>
        <v>2016</v>
      </c>
      <c r="H68" s="48">
        <f>'7. Input incidentele correcties'!H73</f>
        <v>1481397.6896878041</v>
      </c>
      <c r="I68" s="43">
        <f>'7. Input incidentele correcties'!I73</f>
        <v>2021</v>
      </c>
      <c r="J68" s="48">
        <f>_xlfn.XLOOKUP(F68,'3. Input (des)investeringen '!$B$11:$B$80,'3. Input (des)investeringen '!$D$11:$D$80)</f>
        <v>10</v>
      </c>
      <c r="K68" s="48">
        <f>_xlfn.XLOOKUP(F68,'3. Input (des)investeringen '!$B$11:$B$80,'3. Input (des)investeringen '!$E$11:$E$80)</f>
        <v>1</v>
      </c>
      <c r="L68" s="48">
        <f>'7. Input incidentele correcties'!J73</f>
        <v>714515.13830443297</v>
      </c>
      <c r="M68" s="48">
        <f>'7. Input incidentele correcties'!K73</f>
        <v>0</v>
      </c>
    </row>
    <row r="69" spans="2:13">
      <c r="B69" s="43" t="str">
        <f>'7. Input incidentele correcties'!B74</f>
        <v>Asset 29</v>
      </c>
      <c r="F69" s="43" t="str">
        <f>'7. Input incidentele correcties'!F74</f>
        <v>14 Overig rollend materieel</v>
      </c>
      <c r="G69" s="43">
        <f>'7. Input incidentele correcties'!G74</f>
        <v>2016</v>
      </c>
      <c r="H69" s="48">
        <f>'7. Input incidentele correcties'!H74</f>
        <v>5338260.5379699524</v>
      </c>
      <c r="I69" s="43">
        <f>'7. Input incidentele correcties'!I74</f>
        <v>2021</v>
      </c>
      <c r="J69" s="48">
        <f>_xlfn.XLOOKUP(F69,'3. Input (des)investeringen '!$B$11:$B$80,'3. Input (des)investeringen '!$D$11:$D$80)</f>
        <v>10</v>
      </c>
      <c r="K69" s="48">
        <f>_xlfn.XLOOKUP(F69,'3. Input (des)investeringen '!$B$11:$B$80,'3. Input (des)investeringen '!$E$11:$E$80)</f>
        <v>1</v>
      </c>
      <c r="L69" s="48">
        <f>'7. Input incidentele correcties'!J74</f>
        <v>2574776.5054207225</v>
      </c>
      <c r="M69" s="48">
        <f>'7. Input incidentele correcties'!K74</f>
        <v>0</v>
      </c>
    </row>
    <row r="70" spans="2:13">
      <c r="B70" s="43" t="str">
        <f>'7. Input incidentele correcties'!B75</f>
        <v>Asset 30</v>
      </c>
      <c r="F70" s="43" t="str">
        <f>'7. Input incidentele correcties'!F75</f>
        <v>37 ICT middelen 1</v>
      </c>
      <c r="G70" s="43">
        <f>'7. Input incidentele correcties'!G75</f>
        <v>2017</v>
      </c>
      <c r="H70" s="48">
        <f>'7. Input incidentele correcties'!H75</f>
        <v>17348227.126304951</v>
      </c>
      <c r="I70" s="43">
        <f>'7. Input incidentele correcties'!I75</f>
        <v>2021</v>
      </c>
      <c r="J70" s="48">
        <f>_xlfn.XLOOKUP(F70,'3. Input (des)investeringen '!$B$11:$B$80,'3. Input (des)investeringen '!$D$11:$D$80)</f>
        <v>5</v>
      </c>
      <c r="K70" s="48">
        <f>_xlfn.XLOOKUP(F70,'3. Input (des)investeringen '!$B$11:$B$80,'3. Input (des)investeringen '!$E$11:$E$80)</f>
        <v>1</v>
      </c>
      <c r="L70" s="48">
        <f>'7. Input incidentele correcties'!J75</f>
        <v>1855729.3459505453</v>
      </c>
      <c r="M70" s="48">
        <f>'7. Input incidentele correcties'!K75</f>
        <v>0</v>
      </c>
    </row>
    <row r="71" spans="2:13">
      <c r="B71" s="43" t="str">
        <f>'7. Input incidentele correcties'!B76</f>
        <v>Asset 31</v>
      </c>
      <c r="F71" s="43" t="str">
        <f>'7. Input incidentele correcties'!F76</f>
        <v>05 Wegen en terreinvoorzieningen</v>
      </c>
      <c r="G71" s="43">
        <f>'7. Input incidentele correcties'!G76</f>
        <v>2012</v>
      </c>
      <c r="H71" s="48">
        <f>'7. Input incidentele correcties'!H76</f>
        <v>56189.23</v>
      </c>
      <c r="I71" s="43">
        <f>'7. Input incidentele correcties'!I76</f>
        <v>2021</v>
      </c>
      <c r="J71" s="48">
        <f>_xlfn.XLOOKUP(F71,'3. Input (des)investeringen '!$B$11:$B$80,'3. Input (des)investeringen '!$D$11:$D$80)</f>
        <v>10</v>
      </c>
      <c r="K71" s="48">
        <f>_xlfn.XLOOKUP(F71,'3. Input (des)investeringen '!$B$11:$B$80,'3. Input (des)investeringen '!$E$11:$E$80)</f>
        <v>0</v>
      </c>
      <c r="L71" s="48">
        <f>'7. Input incidentele correcties'!J76</f>
        <v>3224.0442736663617</v>
      </c>
      <c r="M71" s="48">
        <f>'7. Input incidentele correcties'!K76</f>
        <v>0</v>
      </c>
    </row>
    <row r="72" spans="2:13">
      <c r="B72" s="43" t="str">
        <f>'7. Input incidentele correcties'!B77</f>
        <v>Asset 32</v>
      </c>
      <c r="F72" s="43" t="str">
        <f>'7. Input incidentele correcties'!F77</f>
        <v>37 ICT middelen 1</v>
      </c>
      <c r="G72" s="43">
        <f>'7. Input incidentele correcties'!G77</f>
        <v>2018</v>
      </c>
      <c r="H72" s="48">
        <f>'7. Input incidentele correcties'!H77</f>
        <v>20811887.293785572</v>
      </c>
      <c r="I72" s="43">
        <f>'7. Input incidentele correcties'!I77</f>
        <v>2021</v>
      </c>
      <c r="J72" s="48">
        <f>_xlfn.XLOOKUP(F72,'3. Input (des)investeringen '!$B$11:$B$80,'3. Input (des)investeringen '!$D$11:$D$80)</f>
        <v>5</v>
      </c>
      <c r="K72" s="48">
        <f>_xlfn.XLOOKUP(F72,'3. Input (des)investeringen '!$B$11:$B$80,'3. Input (des)investeringen '!$E$11:$E$80)</f>
        <v>1</v>
      </c>
      <c r="L72" s="48">
        <f>'7. Input incidentele correcties'!J77</f>
        <v>6586494.0110704908</v>
      </c>
      <c r="M72" s="48">
        <f>'7. Input incidentele correcties'!K77</f>
        <v>0</v>
      </c>
    </row>
    <row r="73" spans="2:13">
      <c r="B73" s="43" t="str">
        <f>'7. Input incidentele correcties'!B78</f>
        <v>Asset 33</v>
      </c>
      <c r="F73" s="43" t="str">
        <f>'7. Input incidentele correcties'!F78</f>
        <v>37 ICT middelen 1</v>
      </c>
      <c r="G73" s="43">
        <f>'7. Input incidentele correcties'!G78</f>
        <v>2005</v>
      </c>
      <c r="H73" s="48">
        <f>'7. Input incidentele correcties'!H78</f>
        <v>3284081.86</v>
      </c>
      <c r="I73" s="43">
        <f>'7. Input incidentele correcties'!I78</f>
        <v>2021</v>
      </c>
      <c r="J73" s="48">
        <f>_xlfn.XLOOKUP(F73,'3. Input (des)investeringen '!$B$11:$B$80,'3. Input (des)investeringen '!$D$11:$D$80)</f>
        <v>5</v>
      </c>
      <c r="K73" s="48">
        <f>_xlfn.XLOOKUP(F73,'3. Input (des)investeringen '!$B$11:$B$80,'3. Input (des)investeringen '!$E$11:$E$80)</f>
        <v>1</v>
      </c>
      <c r="L73" s="48">
        <f>'7. Input incidentele correcties'!J78</f>
        <v>0</v>
      </c>
      <c r="M73" s="48">
        <f>'7. Input incidentele correcties'!K78</f>
        <v>0</v>
      </c>
    </row>
    <row r="74" spans="2:13">
      <c r="B74" s="43" t="str">
        <f>'7. Input incidentele correcties'!B79</f>
        <v>Asset 34</v>
      </c>
      <c r="F74" s="43" t="str">
        <f>'7. Input incidentele correcties'!F79</f>
        <v>14 Overig rollend materieel</v>
      </c>
      <c r="G74" s="43">
        <f>'7. Input incidentele correcties'!G79</f>
        <v>2005</v>
      </c>
      <c r="H74" s="48">
        <f>'7. Input incidentele correcties'!H79</f>
        <v>1438517.3199999998</v>
      </c>
      <c r="I74" s="43">
        <f>'7. Input incidentele correcties'!I79</f>
        <v>2021</v>
      </c>
      <c r="J74" s="48">
        <f>_xlfn.XLOOKUP(F74,'3. Input (des)investeringen '!$B$11:$B$80,'3. Input (des)investeringen '!$D$11:$D$80)</f>
        <v>10</v>
      </c>
      <c r="K74" s="48">
        <f>_xlfn.XLOOKUP(F74,'3. Input (des)investeringen '!$B$11:$B$80,'3. Input (des)investeringen '!$E$11:$E$80)</f>
        <v>1</v>
      </c>
      <c r="L74" s="48">
        <f>'7. Input incidentele correcties'!J79</f>
        <v>0</v>
      </c>
      <c r="M74" s="48">
        <f>'7. Input incidentele correcties'!K79</f>
        <v>0</v>
      </c>
    </row>
    <row r="75" spans="2:13">
      <c r="B75" s="43" t="str">
        <f>'7. Input incidentele correcties'!B80</f>
        <v>Asset 35</v>
      </c>
      <c r="F75" s="43" t="str">
        <f>'7. Input incidentele correcties'!F80</f>
        <v>11 Werktuigen</v>
      </c>
      <c r="G75" s="43">
        <f>'7. Input incidentele correcties'!G80</f>
        <v>2005</v>
      </c>
      <c r="H75" s="48">
        <f>'7. Input incidentele correcties'!H80</f>
        <v>499809.02999999997</v>
      </c>
      <c r="I75" s="43">
        <f>'7. Input incidentele correcties'!I80</f>
        <v>2021</v>
      </c>
      <c r="J75" s="48">
        <f>_xlfn.XLOOKUP(F75,'3. Input (des)investeringen '!$B$11:$B$80,'3. Input (des)investeringen '!$D$11:$D$80)</f>
        <v>10</v>
      </c>
      <c r="K75" s="48">
        <f>_xlfn.XLOOKUP(F75,'3. Input (des)investeringen '!$B$11:$B$80,'3. Input (des)investeringen '!$E$11:$E$80)</f>
        <v>1</v>
      </c>
      <c r="L75" s="48">
        <f>'7. Input incidentele correcties'!J80</f>
        <v>0</v>
      </c>
      <c r="M75" s="48">
        <f>'7. Input incidentele correcties'!K80</f>
        <v>0</v>
      </c>
    </row>
    <row r="76" spans="2:13">
      <c r="B76" s="43" t="str">
        <f>'7. Input incidentele correcties'!B81</f>
        <v>Asset 36</v>
      </c>
      <c r="F76" s="43" t="str">
        <f>'7. Input incidentele correcties'!F81</f>
        <v>14 Overig rollend materieel (odorisatie)</v>
      </c>
      <c r="G76" s="43">
        <f>'7. Input incidentele correcties'!G81</f>
        <v>2005</v>
      </c>
      <c r="H76" s="48">
        <f>'7. Input incidentele correcties'!H81</f>
        <v>245809.3</v>
      </c>
      <c r="I76" s="43">
        <f>'7. Input incidentele correcties'!I81</f>
        <v>2021</v>
      </c>
      <c r="J76" s="48">
        <f>_xlfn.XLOOKUP(F76,'3. Input (des)investeringen '!$B$11:$B$80,'3. Input (des)investeringen '!$D$11:$D$80)</f>
        <v>10</v>
      </c>
      <c r="K76" s="48">
        <f>_xlfn.XLOOKUP(F76,'3. Input (des)investeringen '!$B$11:$B$80,'3. Input (des)investeringen '!$E$11:$E$80)</f>
        <v>0</v>
      </c>
      <c r="L76" s="48">
        <f>'7. Input incidentele correcties'!J81</f>
        <v>0</v>
      </c>
      <c r="M76" s="48">
        <f>'7. Input incidentele correcties'!K81</f>
        <v>0</v>
      </c>
    </row>
    <row r="77" spans="2:13">
      <c r="B77" s="43" t="str">
        <f>'7. Input incidentele correcties'!B82</f>
        <v>Asset 37</v>
      </c>
      <c r="F77" s="43" t="str">
        <f>'7. Input incidentele correcties'!F82</f>
        <v>10 Gereedschap</v>
      </c>
      <c r="G77" s="43">
        <f>'7. Input incidentele correcties'!G82</f>
        <v>2005</v>
      </c>
      <c r="H77" s="48">
        <f>'7. Input incidentele correcties'!H82</f>
        <v>58217.59</v>
      </c>
      <c r="I77" s="43">
        <f>'7. Input incidentele correcties'!I82</f>
        <v>2021</v>
      </c>
      <c r="J77" s="48">
        <f>_xlfn.XLOOKUP(F77,'3. Input (des)investeringen '!$B$11:$B$80,'3. Input (des)investeringen '!$D$11:$D$80)</f>
        <v>10</v>
      </c>
      <c r="K77" s="48">
        <f>_xlfn.XLOOKUP(F77,'3. Input (des)investeringen '!$B$11:$B$80,'3. Input (des)investeringen '!$E$11:$E$80)</f>
        <v>1</v>
      </c>
      <c r="L77" s="48">
        <f>'7. Input incidentele correcties'!J82</f>
        <v>0</v>
      </c>
      <c r="M77" s="48">
        <f>'7. Input incidentele correcties'!K82</f>
        <v>0</v>
      </c>
    </row>
    <row r="78" spans="2:13">
      <c r="B78" s="43" t="str">
        <f>'7. Input incidentele correcties'!B83</f>
        <v>Asset 38</v>
      </c>
      <c r="F78" s="43" t="str">
        <f>'7. Input incidentele correcties'!F83</f>
        <v>37 ICT middelen 1</v>
      </c>
      <c r="G78" s="43">
        <f>'7. Input incidentele correcties'!G83</f>
        <v>2006</v>
      </c>
      <c r="H78" s="48">
        <f>'7. Input incidentele correcties'!H83</f>
        <v>4639319.7116944697</v>
      </c>
      <c r="I78" s="43">
        <f>'7. Input incidentele correcties'!I83</f>
        <v>2021</v>
      </c>
      <c r="J78" s="48">
        <f>_xlfn.XLOOKUP(F78,'3. Input (des)investeringen '!$B$11:$B$80,'3. Input (des)investeringen '!$D$11:$D$80)</f>
        <v>5</v>
      </c>
      <c r="K78" s="48">
        <f>_xlfn.XLOOKUP(F78,'3. Input (des)investeringen '!$B$11:$B$80,'3. Input (des)investeringen '!$E$11:$E$80)</f>
        <v>1</v>
      </c>
      <c r="L78" s="48">
        <f>'7. Input incidentele correcties'!J83</f>
        <v>0</v>
      </c>
      <c r="M78" s="48">
        <f>'7. Input incidentele correcties'!K83</f>
        <v>0</v>
      </c>
    </row>
    <row r="79" spans="2:13">
      <c r="B79" s="43" t="str">
        <f>'7. Input incidentele correcties'!B84</f>
        <v>Asset 39</v>
      </c>
      <c r="F79" s="43" t="str">
        <f>'7. Input incidentele correcties'!F84</f>
        <v>08 Inrichting gebouwen</v>
      </c>
      <c r="G79" s="43">
        <f>'7. Input incidentele correcties'!G84</f>
        <v>2006</v>
      </c>
      <c r="H79" s="48">
        <f>'7. Input incidentele correcties'!H84</f>
        <v>68586.959999999992</v>
      </c>
      <c r="I79" s="43">
        <f>'7. Input incidentele correcties'!I84</f>
        <v>2021</v>
      </c>
      <c r="J79" s="48">
        <f>_xlfn.XLOOKUP(F79,'3. Input (des)investeringen '!$B$11:$B$80,'3. Input (des)investeringen '!$D$11:$D$80)</f>
        <v>10</v>
      </c>
      <c r="K79" s="48">
        <f>_xlfn.XLOOKUP(F79,'3. Input (des)investeringen '!$B$11:$B$80,'3. Input (des)investeringen '!$E$11:$E$80)</f>
        <v>0</v>
      </c>
      <c r="L79" s="48">
        <f>'7. Input incidentele correcties'!J84</f>
        <v>0</v>
      </c>
      <c r="M79" s="48">
        <f>'7. Input incidentele correcties'!K84</f>
        <v>0</v>
      </c>
    </row>
    <row r="80" spans="2:13">
      <c r="B80" s="43" t="str">
        <f>'7. Input incidentele correcties'!B85</f>
        <v>Asset 40</v>
      </c>
      <c r="F80" s="43" t="str">
        <f>'7. Input incidentele correcties'!F85</f>
        <v>20 Kantoorgebouwen</v>
      </c>
      <c r="G80" s="43">
        <f>'7. Input incidentele correcties'!G85</f>
        <v>2006</v>
      </c>
      <c r="H80" s="48">
        <f>'7. Input incidentele correcties'!H85</f>
        <v>104600</v>
      </c>
      <c r="I80" s="43">
        <f>'7. Input incidentele correcties'!I85</f>
        <v>2021</v>
      </c>
      <c r="J80" s="48">
        <f>_xlfn.XLOOKUP(F80,'3. Input (des)investeringen '!$B$11:$B$80,'3. Input (des)investeringen '!$D$11:$D$80)</f>
        <v>30</v>
      </c>
      <c r="K80" s="48">
        <f>_xlfn.XLOOKUP(F80,'3. Input (des)investeringen '!$B$11:$B$80,'3. Input (des)investeringen '!$E$11:$E$80)</f>
        <v>0</v>
      </c>
      <c r="L80" s="48">
        <f>'7. Input incidentele correcties'!J85</f>
        <v>64112.024048213396</v>
      </c>
      <c r="M80" s="48">
        <f>'7. Input incidentele correcties'!K85</f>
        <v>0</v>
      </c>
    </row>
    <row r="81" spans="2:13">
      <c r="B81" s="43" t="str">
        <f>'7. Input incidentele correcties'!B86</f>
        <v>Asset 41</v>
      </c>
      <c r="F81" s="43" t="str">
        <f>'7. Input incidentele correcties'!F86</f>
        <v>09 Bedrijfsinventaris</v>
      </c>
      <c r="G81" s="43">
        <f>'7. Input incidentele correcties'!G86</f>
        <v>2006</v>
      </c>
      <c r="H81" s="48">
        <f>'7. Input incidentele correcties'!H86</f>
        <v>243251.93</v>
      </c>
      <c r="I81" s="43">
        <f>'7. Input incidentele correcties'!I86</f>
        <v>2021</v>
      </c>
      <c r="J81" s="48">
        <f>_xlfn.XLOOKUP(F81,'3. Input (des)investeringen '!$B$11:$B$80,'3. Input (des)investeringen '!$D$11:$D$80)</f>
        <v>10</v>
      </c>
      <c r="K81" s="48">
        <f>_xlfn.XLOOKUP(F81,'3. Input (des)investeringen '!$B$11:$B$80,'3. Input (des)investeringen '!$E$11:$E$80)</f>
        <v>1</v>
      </c>
      <c r="L81" s="48">
        <f>'7. Input incidentele correcties'!J86</f>
        <v>0</v>
      </c>
      <c r="M81" s="48">
        <f>'7. Input incidentele correcties'!K86</f>
        <v>0</v>
      </c>
    </row>
    <row r="82" spans="2:13">
      <c r="B82" s="43" t="str">
        <f>'7. Input incidentele correcties'!B87</f>
        <v>Asset 42</v>
      </c>
      <c r="F82" s="43" t="str">
        <f>'7. Input incidentele correcties'!F87</f>
        <v>10 Gereedschap</v>
      </c>
      <c r="G82" s="43">
        <f>'7. Input incidentele correcties'!G87</f>
        <v>2006</v>
      </c>
      <c r="H82" s="48">
        <f>'7. Input incidentele correcties'!H87</f>
        <v>585474.13</v>
      </c>
      <c r="I82" s="43">
        <f>'7. Input incidentele correcties'!I87</f>
        <v>2021</v>
      </c>
      <c r="J82" s="48">
        <f>_xlfn.XLOOKUP(F82,'3. Input (des)investeringen '!$B$11:$B$80,'3. Input (des)investeringen '!$D$11:$D$80)</f>
        <v>10</v>
      </c>
      <c r="K82" s="48">
        <f>_xlfn.XLOOKUP(F82,'3. Input (des)investeringen '!$B$11:$B$80,'3. Input (des)investeringen '!$E$11:$E$80)</f>
        <v>1</v>
      </c>
      <c r="L82" s="48">
        <f>'7. Input incidentele correcties'!J87</f>
        <v>0</v>
      </c>
      <c r="M82" s="48">
        <f>'7. Input incidentele correcties'!K87</f>
        <v>0</v>
      </c>
    </row>
    <row r="83" spans="2:13">
      <c r="B83" s="43" t="str">
        <f>'7. Input incidentele correcties'!B88</f>
        <v>Asset 43</v>
      </c>
      <c r="F83" s="43" t="str">
        <f>'7. Input incidentele correcties'!F88</f>
        <v>08 Inrichting gebouwen</v>
      </c>
      <c r="G83" s="43">
        <f>'7. Input incidentele correcties'!G88</f>
        <v>2007</v>
      </c>
      <c r="H83" s="48">
        <f>'7. Input incidentele correcties'!H88</f>
        <v>332079.90999999997</v>
      </c>
      <c r="I83" s="43">
        <f>'7. Input incidentele correcties'!I88</f>
        <v>2021</v>
      </c>
      <c r="J83" s="48">
        <f>_xlfn.XLOOKUP(F83,'3. Input (des)investeringen '!$B$11:$B$80,'3. Input (des)investeringen '!$D$11:$D$80)</f>
        <v>10</v>
      </c>
      <c r="K83" s="48">
        <f>_xlfn.XLOOKUP(F83,'3. Input (des)investeringen '!$B$11:$B$80,'3. Input (des)investeringen '!$E$11:$E$80)</f>
        <v>0</v>
      </c>
      <c r="L83" s="48">
        <f>'7. Input incidentele correcties'!J88</f>
        <v>0</v>
      </c>
      <c r="M83" s="48">
        <f>'7. Input incidentele correcties'!K88</f>
        <v>0</v>
      </c>
    </row>
    <row r="84" spans="2:13">
      <c r="B84" s="43" t="str">
        <f>'7. Input incidentele correcties'!B89</f>
        <v>Asset 44</v>
      </c>
      <c r="F84" s="43" t="str">
        <f>'7. Input incidentele correcties'!F89</f>
        <v>20 Kantoorgebouwen</v>
      </c>
      <c r="G84" s="43">
        <f>'7. Input incidentele correcties'!G89</f>
        <v>2007</v>
      </c>
      <c r="H84" s="48">
        <f>'7. Input incidentele correcties'!H89</f>
        <v>163550.16999999998</v>
      </c>
      <c r="I84" s="43">
        <f>'7. Input incidentele correcties'!I89</f>
        <v>2021</v>
      </c>
      <c r="J84" s="48">
        <f>_xlfn.XLOOKUP(F84,'3. Input (des)investeringen '!$B$11:$B$80,'3. Input (des)investeringen '!$D$11:$D$80)</f>
        <v>30</v>
      </c>
      <c r="K84" s="48">
        <f>_xlfn.XLOOKUP(F84,'3. Input (des)investeringen '!$B$11:$B$80,'3. Input (des)investeringen '!$E$11:$E$80)</f>
        <v>0</v>
      </c>
      <c r="L84" s="48">
        <f>'7. Input incidentele correcties'!J89</f>
        <v>105677.9899746046</v>
      </c>
      <c r="M84" s="48">
        <f>'7. Input incidentele correcties'!K89</f>
        <v>0</v>
      </c>
    </row>
    <row r="85" spans="2:13">
      <c r="B85" s="43" t="str">
        <f>'7. Input incidentele correcties'!B90</f>
        <v>Asset 45</v>
      </c>
      <c r="F85" s="43" t="str">
        <f>'7. Input incidentele correcties'!F90</f>
        <v>37 ICT middelen 1</v>
      </c>
      <c r="G85" s="43">
        <f>'7. Input incidentele correcties'!G90</f>
        <v>2007</v>
      </c>
      <c r="H85" s="48">
        <f>'7. Input incidentele correcties'!H90</f>
        <v>21517730.71653875</v>
      </c>
      <c r="I85" s="43">
        <f>'7. Input incidentele correcties'!I90</f>
        <v>2021</v>
      </c>
      <c r="J85" s="48">
        <f>_xlfn.XLOOKUP(F85,'3. Input (des)investeringen '!$B$11:$B$80,'3. Input (des)investeringen '!$D$11:$D$80)</f>
        <v>5</v>
      </c>
      <c r="K85" s="48">
        <f>_xlfn.XLOOKUP(F85,'3. Input (des)investeringen '!$B$11:$B$80,'3. Input (des)investeringen '!$E$11:$E$80)</f>
        <v>1</v>
      </c>
      <c r="L85" s="48">
        <f>'7. Input incidentele correcties'!J90</f>
        <v>0</v>
      </c>
      <c r="M85" s="48">
        <f>'7. Input incidentele correcties'!K90</f>
        <v>0</v>
      </c>
    </row>
    <row r="86" spans="2:13">
      <c r="B86" s="43" t="str">
        <f>'7. Input incidentele correcties'!B91</f>
        <v>Asset 46</v>
      </c>
      <c r="F86" s="43" t="str">
        <f>'7. Input incidentele correcties'!F91</f>
        <v>10 Gereedschap</v>
      </c>
      <c r="G86" s="43">
        <f>'7. Input incidentele correcties'!G91</f>
        <v>2007</v>
      </c>
      <c r="H86" s="48">
        <f>'7. Input incidentele correcties'!H91</f>
        <v>611283.49</v>
      </c>
      <c r="I86" s="43">
        <f>'7. Input incidentele correcties'!I91</f>
        <v>2021</v>
      </c>
      <c r="J86" s="48">
        <f>_xlfn.XLOOKUP(F86,'3. Input (des)investeringen '!$B$11:$B$80,'3. Input (des)investeringen '!$D$11:$D$80)</f>
        <v>10</v>
      </c>
      <c r="K86" s="48">
        <f>_xlfn.XLOOKUP(F86,'3. Input (des)investeringen '!$B$11:$B$80,'3. Input (des)investeringen '!$E$11:$E$80)</f>
        <v>1</v>
      </c>
      <c r="L86" s="48">
        <f>'7. Input incidentele correcties'!J91</f>
        <v>0</v>
      </c>
      <c r="M86" s="48">
        <f>'7. Input incidentele correcties'!K91</f>
        <v>0</v>
      </c>
    </row>
    <row r="87" spans="2:13">
      <c r="B87" s="43" t="str">
        <f>'7. Input incidentele correcties'!B92</f>
        <v>Asset 47</v>
      </c>
      <c r="F87" s="43" t="str">
        <f>'7. Input incidentele correcties'!F92</f>
        <v>09 Bedrijfsinventaris</v>
      </c>
      <c r="G87" s="43">
        <f>'7. Input incidentele correcties'!G92</f>
        <v>2007</v>
      </c>
      <c r="H87" s="48">
        <f>'7. Input incidentele correcties'!H92</f>
        <v>87193.72</v>
      </c>
      <c r="I87" s="43">
        <f>'7. Input incidentele correcties'!I92</f>
        <v>2021</v>
      </c>
      <c r="J87" s="48">
        <f>_xlfn.XLOOKUP(F87,'3. Input (des)investeringen '!$B$11:$B$80,'3. Input (des)investeringen '!$D$11:$D$80)</f>
        <v>10</v>
      </c>
      <c r="K87" s="48">
        <f>_xlfn.XLOOKUP(F87,'3. Input (des)investeringen '!$B$11:$B$80,'3. Input (des)investeringen '!$E$11:$E$80)</f>
        <v>1</v>
      </c>
      <c r="L87" s="48">
        <f>'7. Input incidentele correcties'!J92</f>
        <v>0</v>
      </c>
      <c r="M87" s="48">
        <f>'7. Input incidentele correcties'!K92</f>
        <v>0</v>
      </c>
    </row>
    <row r="88" spans="2:13">
      <c r="B88" s="43" t="str">
        <f>'7. Input incidentele correcties'!B93</f>
        <v>Asset 48</v>
      </c>
      <c r="F88" s="43" t="str">
        <f>'7. Input incidentele correcties'!F93</f>
        <v>13 Aanhangwagens</v>
      </c>
      <c r="G88" s="43">
        <f>'7. Input incidentele correcties'!G93</f>
        <v>2007</v>
      </c>
      <c r="H88" s="48">
        <f>'7. Input incidentele correcties'!H93</f>
        <v>25760.58</v>
      </c>
      <c r="I88" s="43">
        <f>'7. Input incidentele correcties'!I93</f>
        <v>2021</v>
      </c>
      <c r="J88" s="48">
        <f>_xlfn.XLOOKUP(F88,'3. Input (des)investeringen '!$B$11:$B$80,'3. Input (des)investeringen '!$D$11:$D$80)</f>
        <v>10</v>
      </c>
      <c r="K88" s="48">
        <f>_xlfn.XLOOKUP(F88,'3. Input (des)investeringen '!$B$11:$B$80,'3. Input (des)investeringen '!$E$11:$E$80)</f>
        <v>1</v>
      </c>
      <c r="L88" s="48">
        <f>'7. Input incidentele correcties'!J93</f>
        <v>0</v>
      </c>
      <c r="M88" s="48">
        <f>'7. Input incidentele correcties'!K93</f>
        <v>0</v>
      </c>
    </row>
    <row r="89" spans="2:13">
      <c r="B89" s="43" t="str">
        <f>'7. Input incidentele correcties'!B94</f>
        <v>Asset 49</v>
      </c>
      <c r="F89" s="43" t="str">
        <f>'7. Input incidentele correcties'!F94</f>
        <v>37 ICT middelen 1 (gaschromatografen en comptabele meting)</v>
      </c>
      <c r="G89" s="43">
        <f>'7. Input incidentele correcties'!G94</f>
        <v>2007</v>
      </c>
      <c r="H89" s="48">
        <f>'7. Input incidentele correcties'!H94</f>
        <v>140047.50693888956</v>
      </c>
      <c r="I89" s="43">
        <f>'7. Input incidentele correcties'!I94</f>
        <v>2021</v>
      </c>
      <c r="J89" s="48">
        <f>_xlfn.XLOOKUP(F89,'3. Input (des)investeringen '!$B$11:$B$80,'3. Input (des)investeringen '!$D$11:$D$80)</f>
        <v>5</v>
      </c>
      <c r="K89" s="48">
        <f>_xlfn.XLOOKUP(F89,'3. Input (des)investeringen '!$B$11:$B$80,'3. Input (des)investeringen '!$E$11:$E$80)</f>
        <v>0</v>
      </c>
      <c r="L89" s="48">
        <f>'7. Input incidentele correcties'!J94</f>
        <v>0</v>
      </c>
      <c r="M89" s="48">
        <f>'7. Input incidentele correcties'!K94</f>
        <v>0</v>
      </c>
    </row>
    <row r="90" spans="2:13">
      <c r="B90" s="43" t="str">
        <f>'7. Input incidentele correcties'!B95</f>
        <v>Asset 50</v>
      </c>
      <c r="F90" s="43" t="str">
        <f>'7. Input incidentele correcties'!F95</f>
        <v>37 ICT middelen 1</v>
      </c>
      <c r="G90" s="43">
        <f>'7. Input incidentele correcties'!G95</f>
        <v>2008</v>
      </c>
      <c r="H90" s="48">
        <f>'7. Input incidentele correcties'!H95</f>
        <v>1405801.5634173665</v>
      </c>
      <c r="I90" s="43">
        <f>'7. Input incidentele correcties'!I95</f>
        <v>2021</v>
      </c>
      <c r="J90" s="48">
        <f>_xlfn.XLOOKUP(F90,'3. Input (des)investeringen '!$B$11:$B$80,'3. Input (des)investeringen '!$D$11:$D$80)</f>
        <v>5</v>
      </c>
      <c r="K90" s="48">
        <f>_xlfn.XLOOKUP(F90,'3. Input (des)investeringen '!$B$11:$B$80,'3. Input (des)investeringen '!$E$11:$E$80)</f>
        <v>1</v>
      </c>
      <c r="L90" s="48">
        <f>'7. Input incidentele correcties'!J95</f>
        <v>0</v>
      </c>
      <c r="M90" s="48">
        <f>'7. Input incidentele correcties'!K95</f>
        <v>0</v>
      </c>
    </row>
    <row r="91" spans="2:13">
      <c r="B91" s="43" t="str">
        <f>'7. Input incidentele correcties'!B96</f>
        <v>Asset 51</v>
      </c>
      <c r="F91" s="43" t="str">
        <f>'7. Input incidentele correcties'!F96</f>
        <v>13 Aanhangwagens</v>
      </c>
      <c r="G91" s="43">
        <f>'7. Input incidentele correcties'!G96</f>
        <v>2008</v>
      </c>
      <c r="H91" s="48">
        <f>'7. Input incidentele correcties'!H96</f>
        <v>6485.6</v>
      </c>
      <c r="I91" s="43">
        <f>'7. Input incidentele correcties'!I96</f>
        <v>2021</v>
      </c>
      <c r="J91" s="48">
        <f>_xlfn.XLOOKUP(F91,'3. Input (des)investeringen '!$B$11:$B$80,'3. Input (des)investeringen '!$D$11:$D$80)</f>
        <v>10</v>
      </c>
      <c r="K91" s="48">
        <f>_xlfn.XLOOKUP(F91,'3. Input (des)investeringen '!$B$11:$B$80,'3. Input (des)investeringen '!$E$11:$E$80)</f>
        <v>1</v>
      </c>
      <c r="L91" s="48">
        <f>'7. Input incidentele correcties'!J96</f>
        <v>0</v>
      </c>
      <c r="M91" s="48">
        <f>'7. Input incidentele correcties'!K96</f>
        <v>0</v>
      </c>
    </row>
    <row r="92" spans="2:13">
      <c r="B92" s="43" t="str">
        <f>'7. Input incidentele correcties'!B97</f>
        <v>Asset 52</v>
      </c>
      <c r="F92" s="43" t="str">
        <f>'7. Input incidentele correcties'!F97</f>
        <v>04 Terreinen</v>
      </c>
      <c r="G92" s="43">
        <f>'7. Input incidentele correcties'!G97</f>
        <v>1956</v>
      </c>
      <c r="H92" s="48">
        <f>'7. Input incidentele correcties'!H97</f>
        <v>32433.599999999999</v>
      </c>
      <c r="I92" s="43">
        <f>'7. Input incidentele correcties'!I97</f>
        <v>2021</v>
      </c>
      <c r="J92" s="48">
        <f>_xlfn.XLOOKUP(F92,'3. Input (des)investeringen '!$B$11:$B$80,'3. Input (des)investeringen '!$D$11:$D$80)</f>
        <v>0</v>
      </c>
      <c r="K92" s="48">
        <f>_xlfn.XLOOKUP(F92,'3. Input (des)investeringen '!$B$11:$B$80,'3. Input (des)investeringen '!$E$11:$E$80)</f>
        <v>0</v>
      </c>
      <c r="L92" s="48">
        <f>'7. Input incidentele correcties'!J97</f>
        <v>275057.7098199001</v>
      </c>
      <c r="M92" s="48">
        <f>'7. Input incidentele correcties'!K97</f>
        <v>0</v>
      </c>
    </row>
    <row r="93" spans="2:13">
      <c r="B93" s="43" t="str">
        <f>'7. Input incidentele correcties'!B98</f>
        <v>Asset 53</v>
      </c>
      <c r="F93" s="43" t="str">
        <f>'7. Input incidentele correcties'!F98</f>
        <v>04 Terreinen</v>
      </c>
      <c r="G93" s="43">
        <f>'7. Input incidentele correcties'!G98</f>
        <v>1968</v>
      </c>
      <c r="H93" s="48">
        <f>'7. Input incidentele correcties'!H98</f>
        <v>219516.18</v>
      </c>
      <c r="I93" s="43">
        <f>'7. Input incidentele correcties'!I98</f>
        <v>2021</v>
      </c>
      <c r="J93" s="48">
        <f>_xlfn.XLOOKUP(F93,'3. Input (des)investeringen '!$B$11:$B$80,'3. Input (des)investeringen '!$D$11:$D$80)</f>
        <v>0</v>
      </c>
      <c r="K93" s="48">
        <f>_xlfn.XLOOKUP(F93,'3. Input (des)investeringen '!$B$11:$B$80,'3. Input (des)investeringen '!$E$11:$E$80)</f>
        <v>0</v>
      </c>
      <c r="L93" s="48">
        <f>'7. Input incidentele correcties'!J98</f>
        <v>1219692.8562955547</v>
      </c>
      <c r="M93" s="48">
        <f>'7. Input incidentele correcties'!K98</f>
        <v>0</v>
      </c>
    </row>
    <row r="94" spans="2:13">
      <c r="B94" s="43" t="str">
        <f>'7. Input incidentele correcties'!B99</f>
        <v>Asset 54</v>
      </c>
      <c r="F94" s="43" t="str">
        <f>'7. Input incidentele correcties'!F99</f>
        <v>04 Terreinen</v>
      </c>
      <c r="G94" s="43">
        <f>'7. Input incidentele correcties'!G99</f>
        <v>1972</v>
      </c>
      <c r="H94" s="48">
        <f>'7. Input incidentele correcties'!H99</f>
        <v>411128.51</v>
      </c>
      <c r="I94" s="43">
        <f>'7. Input incidentele correcties'!I99</f>
        <v>2021</v>
      </c>
      <c r="J94" s="48">
        <f>_xlfn.XLOOKUP(F94,'3. Input (des)investeringen '!$B$11:$B$80,'3. Input (des)investeringen '!$D$11:$D$80)</f>
        <v>0</v>
      </c>
      <c r="K94" s="48">
        <f>_xlfn.XLOOKUP(F94,'3. Input (des)investeringen '!$B$11:$B$80,'3. Input (des)investeringen '!$E$11:$E$80)</f>
        <v>0</v>
      </c>
      <c r="L94" s="48">
        <f>'7. Input incidentele correcties'!J99</f>
        <v>1824024.3386379536</v>
      </c>
      <c r="M94" s="48">
        <f>'7. Input incidentele correcties'!K99</f>
        <v>0</v>
      </c>
    </row>
    <row r="95" spans="2:13">
      <c r="B95" s="43" t="str">
        <f>'7. Input incidentele correcties'!B100</f>
        <v>Asset 55</v>
      </c>
      <c r="F95" s="43" t="str">
        <f>'7. Input incidentele correcties'!F100</f>
        <v>05 Wegen en terreinvoorzieningen</v>
      </c>
      <c r="G95" s="43">
        <f>'7. Input incidentele correcties'!G100</f>
        <v>1970</v>
      </c>
      <c r="H95" s="48">
        <f>'7. Input incidentele correcties'!H100</f>
        <v>65342.54</v>
      </c>
      <c r="I95" s="43">
        <f>'7. Input incidentele correcties'!I100</f>
        <v>2021</v>
      </c>
      <c r="J95" s="48">
        <f>_xlfn.XLOOKUP(F95,'3. Input (des)investeringen '!$B$11:$B$80,'3. Input (des)investeringen '!$D$11:$D$80)</f>
        <v>10</v>
      </c>
      <c r="K95" s="48">
        <f>_xlfn.XLOOKUP(F95,'3. Input (des)investeringen '!$B$11:$B$80,'3. Input (des)investeringen '!$E$11:$E$80)</f>
        <v>0</v>
      </c>
      <c r="L95" s="48">
        <f>'7. Input incidentele correcties'!J100</f>
        <v>0</v>
      </c>
      <c r="M95" s="48">
        <f>'7. Input incidentele correcties'!K100</f>
        <v>0</v>
      </c>
    </row>
    <row r="96" spans="2:13">
      <c r="B96" s="43" t="str">
        <f>'7. Input incidentele correcties'!B101</f>
        <v>Asset 56</v>
      </c>
      <c r="F96" s="43" t="str">
        <f>'7. Input incidentele correcties'!F101</f>
        <v>06 Utiliteitsgebouwen</v>
      </c>
      <c r="G96" s="43">
        <f>'7. Input incidentele correcties'!G101</f>
        <v>1980</v>
      </c>
      <c r="H96" s="48">
        <f>'7. Input incidentele correcties'!H101</f>
        <v>1188787.02</v>
      </c>
      <c r="I96" s="43">
        <f>'7. Input incidentele correcties'!I101</f>
        <v>2021</v>
      </c>
      <c r="J96" s="48">
        <f>_xlfn.XLOOKUP(F96,'3. Input (des)investeringen '!$B$11:$B$80,'3. Input (des)investeringen '!$D$11:$D$80)</f>
        <v>30</v>
      </c>
      <c r="K96" s="48">
        <f>_xlfn.XLOOKUP(F96,'3. Input (des)investeringen '!$B$11:$B$80,'3. Input (des)investeringen '!$E$11:$E$80)</f>
        <v>0</v>
      </c>
      <c r="L96" s="48">
        <f>'7. Input incidentele correcties'!J101</f>
        <v>0</v>
      </c>
      <c r="M96" s="48">
        <f>'7. Input incidentele correcties'!K101</f>
        <v>0</v>
      </c>
    </row>
    <row r="97" spans="2:13">
      <c r="B97" s="43" t="str">
        <f>'7. Input incidentele correcties'!B102</f>
        <v>Asset 57</v>
      </c>
      <c r="F97" s="43" t="str">
        <f>'7. Input incidentele correcties'!F102</f>
        <v>06 Utiliteitsgebouwen</v>
      </c>
      <c r="G97" s="43">
        <f>'7. Input incidentele correcties'!G102</f>
        <v>1971</v>
      </c>
      <c r="H97" s="48">
        <f>'7. Input incidentele correcties'!H102</f>
        <v>1287617.6299999999</v>
      </c>
      <c r="I97" s="43">
        <f>'7. Input incidentele correcties'!I102</f>
        <v>2021</v>
      </c>
      <c r="J97" s="48">
        <f>_xlfn.XLOOKUP(F97,'3. Input (des)investeringen '!$B$11:$B$80,'3. Input (des)investeringen '!$D$11:$D$80)</f>
        <v>30</v>
      </c>
      <c r="K97" s="48">
        <f>_xlfn.XLOOKUP(F97,'3. Input (des)investeringen '!$B$11:$B$80,'3. Input (des)investeringen '!$E$11:$E$80)</f>
        <v>0</v>
      </c>
      <c r="L97" s="48">
        <f>'7. Input incidentele correcties'!J102</f>
        <v>0</v>
      </c>
      <c r="M97" s="48">
        <f>'7. Input incidentele correcties'!K102</f>
        <v>0</v>
      </c>
    </row>
    <row r="98" spans="2:13">
      <c r="B98" s="43" t="str">
        <f>'7. Input incidentele correcties'!B103</f>
        <v>Asset 58</v>
      </c>
      <c r="F98" s="43" t="str">
        <f>'7. Input incidentele correcties'!F103</f>
        <v>06 Utiliteitsgebouwen</v>
      </c>
      <c r="G98" s="43">
        <f>'7. Input incidentele correcties'!G103</f>
        <v>1986</v>
      </c>
      <c r="H98" s="48">
        <f>'7. Input incidentele correcties'!H103</f>
        <v>986052.31</v>
      </c>
      <c r="I98" s="43">
        <f>'7. Input incidentele correcties'!I103</f>
        <v>2021</v>
      </c>
      <c r="J98" s="48">
        <f>_xlfn.XLOOKUP(F98,'3. Input (des)investeringen '!$B$11:$B$80,'3. Input (des)investeringen '!$D$11:$D$80)</f>
        <v>30</v>
      </c>
      <c r="K98" s="48">
        <f>_xlfn.XLOOKUP(F98,'3. Input (des)investeringen '!$B$11:$B$80,'3. Input (des)investeringen '!$E$11:$E$80)</f>
        <v>0</v>
      </c>
      <c r="L98" s="48">
        <f>'7. Input incidentele correcties'!J103</f>
        <v>0</v>
      </c>
      <c r="M98" s="48">
        <f>'7. Input incidentele correcties'!K103</f>
        <v>0</v>
      </c>
    </row>
    <row r="99" spans="2:13">
      <c r="B99" s="43" t="str">
        <f>'7. Input incidentele correcties'!B104</f>
        <v>Asset 59</v>
      </c>
      <c r="F99" s="43" t="str">
        <f>'7. Input incidentele correcties'!F104</f>
        <v>06 Utiliteitsgebouwen</v>
      </c>
      <c r="G99" s="43">
        <f>'7. Input incidentele correcties'!G104</f>
        <v>1988</v>
      </c>
      <c r="H99" s="48">
        <f>'7. Input incidentele correcties'!H104</f>
        <v>45049.48</v>
      </c>
      <c r="I99" s="43">
        <f>'7. Input incidentele correcties'!I104</f>
        <v>2021</v>
      </c>
      <c r="J99" s="48">
        <f>_xlfn.XLOOKUP(F99,'3. Input (des)investeringen '!$B$11:$B$80,'3. Input (des)investeringen '!$D$11:$D$80)</f>
        <v>30</v>
      </c>
      <c r="K99" s="48">
        <f>_xlfn.XLOOKUP(F99,'3. Input (des)investeringen '!$B$11:$B$80,'3. Input (des)investeringen '!$E$11:$E$80)</f>
        <v>0</v>
      </c>
      <c r="L99" s="48">
        <f>'7. Input incidentele correcties'!J104</f>
        <v>0</v>
      </c>
      <c r="M99" s="48">
        <f>'7. Input incidentele correcties'!K104</f>
        <v>0</v>
      </c>
    </row>
    <row r="100" spans="2:13">
      <c r="B100" s="43" t="str">
        <f>'7. Input incidentele correcties'!B105</f>
        <v>Asset 60</v>
      </c>
      <c r="F100" s="43" t="str">
        <f>'7. Input incidentele correcties'!F105</f>
        <v>04 Terreinen</v>
      </c>
      <c r="G100" s="43">
        <f>'7. Input incidentele correcties'!G105</f>
        <v>1969</v>
      </c>
      <c r="H100" s="48">
        <f>'7. Input incidentele correcties'!H105</f>
        <v>35732.019999999997</v>
      </c>
      <c r="I100" s="43">
        <f>'7. Input incidentele correcties'!I105</f>
        <v>2021</v>
      </c>
      <c r="J100" s="48">
        <f>_xlfn.XLOOKUP(F100,'3. Input (des)investeringen '!$B$11:$B$80,'3. Input (des)investeringen '!$D$11:$D$80)</f>
        <v>0</v>
      </c>
      <c r="K100" s="48">
        <f>_xlfn.XLOOKUP(F100,'3. Input (des)investeringen '!$B$11:$B$80,'3. Input (des)investeringen '!$E$11:$E$80)</f>
        <v>0</v>
      </c>
      <c r="L100" s="48">
        <f>'7. Input incidentele correcties'!J105</f>
        <v>192194.60406110552</v>
      </c>
      <c r="M100" s="48">
        <f>'7. Input incidentele correcties'!K105</f>
        <v>0</v>
      </c>
    </row>
    <row r="101" spans="2:13">
      <c r="B101" s="43" t="str">
        <f>'7. Input incidentele correcties'!B106</f>
        <v>Asset 61</v>
      </c>
      <c r="F101" s="43" t="str">
        <f>'7. Input incidentele correcties'!F106</f>
        <v>06 Utiliteitsgebouwen</v>
      </c>
      <c r="G101" s="43">
        <f>'7. Input incidentele correcties'!G106</f>
        <v>1993</v>
      </c>
      <c r="H101" s="48">
        <f>'7. Input incidentele correcties'!H106</f>
        <v>4915025</v>
      </c>
      <c r="I101" s="43">
        <f>'7. Input incidentele correcties'!I106</f>
        <v>2021</v>
      </c>
      <c r="J101" s="48">
        <f>_xlfn.XLOOKUP(F101,'3. Input (des)investeringen '!$B$11:$B$80,'3. Input (des)investeringen '!$D$11:$D$80)</f>
        <v>30</v>
      </c>
      <c r="K101" s="48">
        <f>_xlfn.XLOOKUP(F101,'3. Input (des)investeringen '!$B$11:$B$80,'3. Input (des)investeringen '!$E$11:$E$80)</f>
        <v>0</v>
      </c>
      <c r="L101" s="48">
        <f>'7. Input incidentele correcties'!J106</f>
        <v>420683.7813984917</v>
      </c>
      <c r="M101" s="48">
        <f>'7. Input incidentele correcties'!K106</f>
        <v>0</v>
      </c>
    </row>
    <row r="102" spans="2:13">
      <c r="B102" s="43" t="str">
        <f>'7. Input incidentele correcties'!B107</f>
        <v>Asset 62</v>
      </c>
      <c r="F102" s="43" t="str">
        <f>'7. Input incidentele correcties'!F107</f>
        <v>04 Terreinen</v>
      </c>
      <c r="G102" s="43">
        <f>'7. Input incidentele correcties'!G107</f>
        <v>1990</v>
      </c>
      <c r="H102" s="48">
        <f>'7. Input incidentele correcties'!H107</f>
        <v>4936129.59</v>
      </c>
      <c r="I102" s="43">
        <f>'7. Input incidentele correcties'!I107</f>
        <v>2021</v>
      </c>
      <c r="J102" s="48">
        <f>_xlfn.XLOOKUP(F102,'3. Input (des)investeringen '!$B$11:$B$80,'3. Input (des)investeringen '!$D$11:$D$80)</f>
        <v>0</v>
      </c>
      <c r="K102" s="48">
        <f>_xlfn.XLOOKUP(F102,'3. Input (des)investeringen '!$B$11:$B$80,'3. Input (des)investeringen '!$E$11:$E$80)</f>
        <v>0</v>
      </c>
      <c r="L102" s="48">
        <f>'7. Input incidentele correcties'!J107</f>
        <v>9367389.4688880406</v>
      </c>
      <c r="M102" s="48">
        <f>'7. Input incidentele correcties'!K107</f>
        <v>0</v>
      </c>
    </row>
    <row r="103" spans="2:13">
      <c r="B103" s="43" t="str">
        <f>'7. Input incidentele correcties'!B108</f>
        <v>Asset 63</v>
      </c>
      <c r="F103" s="43" t="str">
        <f>'7. Input incidentele correcties'!F108</f>
        <v>09 Bedrijfsinventaris</v>
      </c>
      <c r="G103" s="43">
        <f>'7. Input incidentele correcties'!G108</f>
        <v>1994</v>
      </c>
      <c r="H103" s="48">
        <f>'7. Input incidentele correcties'!H108</f>
        <v>5646696.2199999997</v>
      </c>
      <c r="I103" s="43">
        <f>'7. Input incidentele correcties'!I108</f>
        <v>2021</v>
      </c>
      <c r="J103" s="48">
        <f>_xlfn.XLOOKUP(F103,'3. Input (des)investeringen '!$B$11:$B$80,'3. Input (des)investeringen '!$D$11:$D$80)</f>
        <v>10</v>
      </c>
      <c r="K103" s="48">
        <f>_xlfn.XLOOKUP(F103,'3. Input (des)investeringen '!$B$11:$B$80,'3. Input (des)investeringen '!$E$11:$E$80)</f>
        <v>1</v>
      </c>
      <c r="L103" s="48">
        <f>'7. Input incidentele correcties'!J108</f>
        <v>0</v>
      </c>
      <c r="M103" s="48">
        <f>'7. Input incidentele correcties'!K108</f>
        <v>0</v>
      </c>
    </row>
    <row r="104" spans="2:13">
      <c r="B104" s="43" t="str">
        <f>'7. Input incidentele correcties'!B109</f>
        <v>Asset 64</v>
      </c>
      <c r="F104" s="43" t="str">
        <f>'7. Input incidentele correcties'!F109</f>
        <v>06 Utiliteitsgebouwen</v>
      </c>
      <c r="G104" s="43">
        <f>'7. Input incidentele correcties'!G109</f>
        <v>1994</v>
      </c>
      <c r="H104" s="48">
        <f>'7. Input incidentele correcties'!H109</f>
        <v>326095.09000000003</v>
      </c>
      <c r="I104" s="43">
        <f>'7. Input incidentele correcties'!I109</f>
        <v>2021</v>
      </c>
      <c r="J104" s="48">
        <f>_xlfn.XLOOKUP(F104,'3. Input (des)investeringen '!$B$11:$B$80,'3. Input (des)investeringen '!$D$11:$D$80)</f>
        <v>30</v>
      </c>
      <c r="K104" s="48">
        <f>_xlfn.XLOOKUP(F104,'3. Input (des)investeringen '!$B$11:$B$80,'3. Input (des)investeringen '!$E$11:$E$80)</f>
        <v>0</v>
      </c>
      <c r="L104" s="48">
        <f>'7. Input incidentele correcties'!J109</f>
        <v>45606.0937185246</v>
      </c>
      <c r="M104" s="48">
        <f>'7. Input incidentele correcties'!K109</f>
        <v>0</v>
      </c>
    </row>
    <row r="105" spans="2:13">
      <c r="B105" s="43" t="str">
        <f>'7. Input incidentele correcties'!B110</f>
        <v>Asset 65</v>
      </c>
      <c r="F105" s="43" t="str">
        <f>'7. Input incidentele correcties'!F110</f>
        <v>05 Wegen en terreinvoorzieningen</v>
      </c>
      <c r="G105" s="43">
        <f>'7. Input incidentele correcties'!G110</f>
        <v>1993</v>
      </c>
      <c r="H105" s="48">
        <f>'7. Input incidentele correcties'!H110</f>
        <v>174007.47</v>
      </c>
      <c r="I105" s="43">
        <f>'7. Input incidentele correcties'!I110</f>
        <v>2021</v>
      </c>
      <c r="J105" s="48">
        <f>_xlfn.XLOOKUP(F105,'3. Input (des)investeringen '!$B$11:$B$80,'3. Input (des)investeringen '!$D$11:$D$80)</f>
        <v>10</v>
      </c>
      <c r="K105" s="48">
        <f>_xlfn.XLOOKUP(F105,'3. Input (des)investeringen '!$B$11:$B$80,'3. Input (des)investeringen '!$E$11:$E$80)</f>
        <v>0</v>
      </c>
      <c r="L105" s="48">
        <f>'7. Input incidentele correcties'!J110</f>
        <v>0</v>
      </c>
      <c r="M105" s="48">
        <f>'7. Input incidentele correcties'!K110</f>
        <v>0</v>
      </c>
    </row>
    <row r="106" spans="2:13">
      <c r="B106" s="43" t="str">
        <f>'7. Input incidentele correcties'!B111</f>
        <v>Asset 66</v>
      </c>
      <c r="F106" s="43" t="str">
        <f>'7. Input incidentele correcties'!F111</f>
        <v>20 Kantoorgebouwen</v>
      </c>
      <c r="G106" s="43">
        <f>'7. Input incidentele correcties'!G111</f>
        <v>1991</v>
      </c>
      <c r="H106" s="48">
        <f>'7. Input incidentele correcties'!H111</f>
        <v>475302.12</v>
      </c>
      <c r="I106" s="43">
        <f>'7. Input incidentele correcties'!I111</f>
        <v>2021</v>
      </c>
      <c r="J106" s="48">
        <f>_xlfn.XLOOKUP(F106,'3. Input (des)investeringen '!$B$11:$B$80,'3. Input (des)investeringen '!$D$11:$D$80)</f>
        <v>30</v>
      </c>
      <c r="K106" s="48">
        <f>_xlfn.XLOOKUP(F106,'3. Input (des)investeringen '!$B$11:$B$80,'3. Input (des)investeringen '!$E$11:$E$80)</f>
        <v>0</v>
      </c>
      <c r="L106" s="48">
        <f>'7. Input incidentele correcties'!J111</f>
        <v>0</v>
      </c>
      <c r="M106" s="48">
        <f>'7. Input incidentele correcties'!K111</f>
        <v>0</v>
      </c>
    </row>
    <row r="107" spans="2:13">
      <c r="B107" s="43" t="str">
        <f>'7. Input incidentele correcties'!B112</f>
        <v>Asset 67</v>
      </c>
      <c r="F107" s="43" t="str">
        <f>'7. Input incidentele correcties'!F112</f>
        <v>08 Inrichting gebouwen</v>
      </c>
      <c r="G107" s="43">
        <f>'7. Input incidentele correcties'!G112</f>
        <v>1995</v>
      </c>
      <c r="H107" s="48">
        <f>'7. Input incidentele correcties'!H112</f>
        <v>365539.92999999993</v>
      </c>
      <c r="I107" s="43">
        <f>'7. Input incidentele correcties'!I112</f>
        <v>2021</v>
      </c>
      <c r="J107" s="48">
        <f>_xlfn.XLOOKUP(F107,'3. Input (des)investeringen '!$B$11:$B$80,'3. Input (des)investeringen '!$D$11:$D$80)</f>
        <v>10</v>
      </c>
      <c r="K107" s="48">
        <f>_xlfn.XLOOKUP(F107,'3. Input (des)investeringen '!$B$11:$B$80,'3. Input (des)investeringen '!$E$11:$E$80)</f>
        <v>0</v>
      </c>
      <c r="L107" s="48">
        <f>'7. Input incidentele correcties'!J112</f>
        <v>0</v>
      </c>
      <c r="M107" s="48">
        <f>'7. Input incidentele correcties'!K112</f>
        <v>0</v>
      </c>
    </row>
    <row r="108" spans="2:13">
      <c r="B108" s="43" t="str">
        <f>'7. Input incidentele correcties'!B113</f>
        <v>Asset 68</v>
      </c>
      <c r="F108" s="43" t="str">
        <f>'7. Input incidentele correcties'!F113</f>
        <v>08 Inrichting gebouwen</v>
      </c>
      <c r="G108" s="43">
        <f>'7. Input incidentele correcties'!G113</f>
        <v>1994</v>
      </c>
      <c r="H108" s="48">
        <f>'7. Input incidentele correcties'!H113</f>
        <v>6615395.4499999993</v>
      </c>
      <c r="I108" s="43">
        <f>'7. Input incidentele correcties'!I113</f>
        <v>2021</v>
      </c>
      <c r="J108" s="48">
        <f>_xlfn.XLOOKUP(F108,'3. Input (des)investeringen '!$B$11:$B$80,'3. Input (des)investeringen '!$D$11:$D$80)</f>
        <v>10</v>
      </c>
      <c r="K108" s="48">
        <f>_xlfn.XLOOKUP(F108,'3. Input (des)investeringen '!$B$11:$B$80,'3. Input (des)investeringen '!$E$11:$E$80)</f>
        <v>0</v>
      </c>
      <c r="L108" s="48">
        <f>'7. Input incidentele correcties'!J113</f>
        <v>0</v>
      </c>
      <c r="M108" s="48">
        <f>'7. Input incidentele correcties'!K113</f>
        <v>0</v>
      </c>
    </row>
    <row r="109" spans="2:13">
      <c r="B109" s="43" t="str">
        <f>'7. Input incidentele correcties'!B114</f>
        <v>Asset 69</v>
      </c>
      <c r="F109" s="43" t="str">
        <f>'7. Input incidentele correcties'!F114</f>
        <v>20 Kantoorgebouwen</v>
      </c>
      <c r="G109" s="43">
        <f>'7. Input incidentele correcties'!G114</f>
        <v>1998</v>
      </c>
      <c r="H109" s="48">
        <f>'7. Input incidentele correcties'!H114</f>
        <v>789493.11</v>
      </c>
      <c r="I109" s="43">
        <f>'7. Input incidentele correcties'!I114</f>
        <v>2021</v>
      </c>
      <c r="J109" s="48">
        <f>_xlfn.XLOOKUP(F109,'3. Input (des)investeringen '!$B$11:$B$80,'3. Input (des)investeringen '!$D$11:$D$80)</f>
        <v>30</v>
      </c>
      <c r="K109" s="48">
        <f>_xlfn.XLOOKUP(F109,'3. Input (des)investeringen '!$B$11:$B$80,'3. Input (des)investeringen '!$E$11:$E$80)</f>
        <v>0</v>
      </c>
      <c r="L109" s="48">
        <f>'7. Input incidentele correcties'!J114</f>
        <v>263672.8175889462</v>
      </c>
      <c r="M109" s="48">
        <f>'7. Input incidentele correcties'!K114</f>
        <v>0</v>
      </c>
    </row>
    <row r="110" spans="2:13">
      <c r="B110" s="43" t="str">
        <f>'7. Input incidentele correcties'!B115</f>
        <v>Asset 70</v>
      </c>
      <c r="F110" s="43" t="str">
        <f>'7. Input incidentele correcties'!F115</f>
        <v>20 Kantoorgebouwen</v>
      </c>
      <c r="G110" s="43">
        <f>'7. Input incidentele correcties'!G115</f>
        <v>1995</v>
      </c>
      <c r="H110" s="48">
        <f>'7. Input incidentele correcties'!H115</f>
        <v>93310335.520000011</v>
      </c>
      <c r="I110" s="43">
        <f>'7. Input incidentele correcties'!I115</f>
        <v>2021</v>
      </c>
      <c r="J110" s="48">
        <f>_xlfn.XLOOKUP(F110,'3. Input (des)investeringen '!$B$11:$B$80,'3. Input (des)investeringen '!$D$11:$D$80)</f>
        <v>30</v>
      </c>
      <c r="K110" s="48">
        <f>_xlfn.XLOOKUP(F110,'3. Input (des)investeringen '!$B$11:$B$80,'3. Input (des)investeringen '!$E$11:$E$80)</f>
        <v>0</v>
      </c>
      <c r="L110" s="48">
        <f>'7. Input incidentele correcties'!J115</f>
        <v>17806929.596040629</v>
      </c>
      <c r="M110" s="48">
        <f>'7. Input incidentele correcties'!K115</f>
        <v>0</v>
      </c>
    </row>
    <row r="111" spans="2:13">
      <c r="B111" s="43" t="str">
        <f>'7. Input incidentele correcties'!B116</f>
        <v>Asset 71</v>
      </c>
      <c r="F111" s="43" t="str">
        <f>'7. Input incidentele correcties'!F116</f>
        <v>09 Bedrijfsinventaris</v>
      </c>
      <c r="G111" s="43">
        <f>'7. Input incidentele correcties'!G116</f>
        <v>1997</v>
      </c>
      <c r="H111" s="48">
        <f>'7. Input incidentele correcties'!H116</f>
        <v>3767.74</v>
      </c>
      <c r="I111" s="43">
        <f>'7. Input incidentele correcties'!I116</f>
        <v>2021</v>
      </c>
      <c r="J111" s="48">
        <f>_xlfn.XLOOKUP(F111,'3. Input (des)investeringen '!$B$11:$B$80,'3. Input (des)investeringen '!$D$11:$D$80)</f>
        <v>10</v>
      </c>
      <c r="K111" s="48">
        <f>_xlfn.XLOOKUP(F111,'3. Input (des)investeringen '!$B$11:$B$80,'3. Input (des)investeringen '!$E$11:$E$80)</f>
        <v>1</v>
      </c>
      <c r="L111" s="48">
        <f>'7. Input incidentele correcties'!J116</f>
        <v>0</v>
      </c>
      <c r="M111" s="48">
        <f>'7. Input incidentele correcties'!K116</f>
        <v>0</v>
      </c>
    </row>
    <row r="112" spans="2:13">
      <c r="B112" s="43" t="str">
        <f>'7. Input incidentele correcties'!B117</f>
        <v>Asset 72</v>
      </c>
      <c r="F112" s="43" t="str">
        <f>'7. Input incidentele correcties'!F117</f>
        <v>08 Inrichting gebouwen</v>
      </c>
      <c r="G112" s="43">
        <f>'7. Input incidentele correcties'!G117</f>
        <v>2002</v>
      </c>
      <c r="H112" s="48">
        <f>'7. Input incidentele correcties'!H117</f>
        <v>257167.26</v>
      </c>
      <c r="I112" s="43">
        <f>'7. Input incidentele correcties'!I117</f>
        <v>2021</v>
      </c>
      <c r="J112" s="48">
        <f>_xlfn.XLOOKUP(F112,'3. Input (des)investeringen '!$B$11:$B$80,'3. Input (des)investeringen '!$D$11:$D$80)</f>
        <v>10</v>
      </c>
      <c r="K112" s="48">
        <f>_xlfn.XLOOKUP(F112,'3. Input (des)investeringen '!$B$11:$B$80,'3. Input (des)investeringen '!$E$11:$E$80)</f>
        <v>0</v>
      </c>
      <c r="L112" s="48">
        <f>'7. Input incidentele correcties'!J117</f>
        <v>0</v>
      </c>
      <c r="M112" s="48">
        <f>'7. Input incidentele correcties'!K117</f>
        <v>0</v>
      </c>
    </row>
    <row r="113" spans="2:13">
      <c r="B113" s="43" t="str">
        <f>'7. Input incidentele correcties'!B118</f>
        <v>Asset 73</v>
      </c>
      <c r="F113" s="43" t="str">
        <f>'7. Input incidentele correcties'!F118</f>
        <v>20 Kantoorgebouwen</v>
      </c>
      <c r="G113" s="43">
        <f>'7. Input incidentele correcties'!G118</f>
        <v>1997</v>
      </c>
      <c r="H113" s="48">
        <f>'7. Input incidentele correcties'!H118</f>
        <v>9956.39</v>
      </c>
      <c r="I113" s="43">
        <f>'7. Input incidentele correcties'!I118</f>
        <v>2021</v>
      </c>
      <c r="J113" s="48">
        <f>_xlfn.XLOOKUP(F113,'3. Input (des)investeringen '!$B$11:$B$80,'3. Input (des)investeringen '!$D$11:$D$80)</f>
        <v>30</v>
      </c>
      <c r="K113" s="48">
        <f>_xlfn.XLOOKUP(F113,'3. Input (des)investeringen '!$B$11:$B$80,'3. Input (des)investeringen '!$E$11:$E$80)</f>
        <v>0</v>
      </c>
      <c r="L113" s="48">
        <f>'7. Input incidentele correcties'!J118</f>
        <v>2886.7927731398736</v>
      </c>
      <c r="M113" s="48">
        <f>'7. Input incidentele correcties'!K118</f>
        <v>0</v>
      </c>
    </row>
    <row r="114" spans="2:13">
      <c r="B114" s="43" t="str">
        <f>'7. Input incidentele correcties'!B119</f>
        <v>Asset 74</v>
      </c>
      <c r="F114" s="43" t="str">
        <f>'7. Input incidentele correcties'!F119</f>
        <v>09 Bedrijfsinventaris</v>
      </c>
      <c r="G114" s="43">
        <f>'7. Input incidentele correcties'!G119</f>
        <v>2002</v>
      </c>
      <c r="H114" s="48">
        <f>'7. Input incidentele correcties'!H119</f>
        <v>259859.76</v>
      </c>
      <c r="I114" s="43">
        <f>'7. Input incidentele correcties'!I119</f>
        <v>2021</v>
      </c>
      <c r="J114" s="48">
        <f>_xlfn.XLOOKUP(F114,'3. Input (des)investeringen '!$B$11:$B$80,'3. Input (des)investeringen '!$D$11:$D$80)</f>
        <v>10</v>
      </c>
      <c r="K114" s="48">
        <f>_xlfn.XLOOKUP(F114,'3. Input (des)investeringen '!$B$11:$B$80,'3. Input (des)investeringen '!$E$11:$E$80)</f>
        <v>1</v>
      </c>
      <c r="L114" s="48">
        <f>'7. Input incidentele correcties'!J119</f>
        <v>0</v>
      </c>
      <c r="M114" s="48">
        <f>'7. Input incidentele correcties'!K119</f>
        <v>0</v>
      </c>
    </row>
    <row r="115" spans="2:13">
      <c r="B115" s="43" t="str">
        <f>'7. Input incidentele correcties'!B120</f>
        <v>Asset 75</v>
      </c>
      <c r="F115" s="43" t="str">
        <f>'7. Input incidentele correcties'!F120</f>
        <v>37 ICT middelen 1</v>
      </c>
      <c r="G115" s="43">
        <f>'7. Input incidentele correcties'!G120</f>
        <v>1998</v>
      </c>
      <c r="H115" s="48">
        <f>'7. Input incidentele correcties'!H120</f>
        <v>194674.43</v>
      </c>
      <c r="I115" s="43">
        <f>'7. Input incidentele correcties'!I120</f>
        <v>2021</v>
      </c>
      <c r="J115" s="48">
        <f>_xlfn.XLOOKUP(F115,'3. Input (des)investeringen '!$B$11:$B$80,'3. Input (des)investeringen '!$D$11:$D$80)</f>
        <v>5</v>
      </c>
      <c r="K115" s="48">
        <f>_xlfn.XLOOKUP(F115,'3. Input (des)investeringen '!$B$11:$B$80,'3. Input (des)investeringen '!$E$11:$E$80)</f>
        <v>1</v>
      </c>
      <c r="L115" s="48">
        <f>'7. Input incidentele correcties'!J120</f>
        <v>0</v>
      </c>
      <c r="M115" s="48">
        <f>'7. Input incidentele correcties'!K120</f>
        <v>0</v>
      </c>
    </row>
    <row r="116" spans="2:13">
      <c r="B116" s="43" t="str">
        <f>'7. Input incidentele correcties'!B121</f>
        <v>Asset 76</v>
      </c>
      <c r="F116" s="43" t="str">
        <f>'7. Input incidentele correcties'!F121</f>
        <v>13 Aanhangwagens</v>
      </c>
      <c r="G116" s="43">
        <f>'7. Input incidentele correcties'!G121</f>
        <v>2000</v>
      </c>
      <c r="H116" s="48">
        <f>'7. Input incidentele correcties'!H121</f>
        <v>5437.76</v>
      </c>
      <c r="I116" s="43">
        <f>'7. Input incidentele correcties'!I121</f>
        <v>2021</v>
      </c>
      <c r="J116" s="48">
        <f>_xlfn.XLOOKUP(F116,'3. Input (des)investeringen '!$B$11:$B$80,'3. Input (des)investeringen '!$D$11:$D$80)</f>
        <v>10</v>
      </c>
      <c r="K116" s="48">
        <f>_xlfn.XLOOKUP(F116,'3. Input (des)investeringen '!$B$11:$B$80,'3. Input (des)investeringen '!$E$11:$E$80)</f>
        <v>1</v>
      </c>
      <c r="L116" s="48">
        <f>'7. Input incidentele correcties'!J121</f>
        <v>0</v>
      </c>
      <c r="M116" s="48">
        <f>'7. Input incidentele correcties'!K121</f>
        <v>0</v>
      </c>
    </row>
    <row r="117" spans="2:13">
      <c r="B117" s="43" t="str">
        <f>'7. Input incidentele correcties'!B122</f>
        <v>Asset 77</v>
      </c>
      <c r="F117" s="43" t="str">
        <f>'7. Input incidentele correcties'!F122</f>
        <v>09 Bedrijfsinventaris</v>
      </c>
      <c r="G117" s="43">
        <f>'7. Input incidentele correcties'!G122</f>
        <v>1998</v>
      </c>
      <c r="H117" s="48">
        <f>'7. Input incidentele correcties'!H122</f>
        <v>159402.09</v>
      </c>
      <c r="I117" s="43">
        <f>'7. Input incidentele correcties'!I122</f>
        <v>2021</v>
      </c>
      <c r="J117" s="48">
        <f>_xlfn.XLOOKUP(F117,'3. Input (des)investeringen '!$B$11:$B$80,'3. Input (des)investeringen '!$D$11:$D$80)</f>
        <v>10</v>
      </c>
      <c r="K117" s="48">
        <f>_xlfn.XLOOKUP(F117,'3. Input (des)investeringen '!$B$11:$B$80,'3. Input (des)investeringen '!$E$11:$E$80)</f>
        <v>1</v>
      </c>
      <c r="L117" s="48">
        <f>'7. Input incidentele correcties'!J122</f>
        <v>0</v>
      </c>
      <c r="M117" s="48">
        <f>'7. Input incidentele correcties'!K122</f>
        <v>0</v>
      </c>
    </row>
    <row r="118" spans="2:13">
      <c r="B118" s="43" t="str">
        <f>'7. Input incidentele correcties'!B123</f>
        <v>Asset 78</v>
      </c>
      <c r="F118" s="43" t="str">
        <f>'7. Input incidentele correcties'!F123</f>
        <v>08 Inrichting gebouwen</v>
      </c>
      <c r="G118" s="43">
        <f>'7. Input incidentele correcties'!G123</f>
        <v>1998</v>
      </c>
      <c r="H118" s="48">
        <f>'7. Input incidentele correcties'!H123</f>
        <v>120568.99000000002</v>
      </c>
      <c r="I118" s="43">
        <f>'7. Input incidentele correcties'!I123</f>
        <v>2021</v>
      </c>
      <c r="J118" s="48">
        <f>_xlfn.XLOOKUP(F118,'3. Input (des)investeringen '!$B$11:$B$80,'3. Input (des)investeringen '!$D$11:$D$80)</f>
        <v>10</v>
      </c>
      <c r="K118" s="48">
        <f>_xlfn.XLOOKUP(F118,'3. Input (des)investeringen '!$B$11:$B$80,'3. Input (des)investeringen '!$E$11:$E$80)</f>
        <v>0</v>
      </c>
      <c r="L118" s="48">
        <f>'7. Input incidentele correcties'!J123</f>
        <v>0</v>
      </c>
      <c r="M118" s="48">
        <f>'7. Input incidentele correcties'!K123</f>
        <v>0</v>
      </c>
    </row>
    <row r="119" spans="2:13">
      <c r="B119" s="43" t="str">
        <f>'7. Input incidentele correcties'!B124</f>
        <v>Asset 79</v>
      </c>
      <c r="F119" s="43" t="str">
        <f>'7. Input incidentele correcties'!F124</f>
        <v>37 ICT middelen 1</v>
      </c>
      <c r="G119" s="43">
        <f>'7. Input incidentele correcties'!G124</f>
        <v>2002</v>
      </c>
      <c r="H119" s="48">
        <f>'7. Input incidentele correcties'!H124</f>
        <v>342396.39</v>
      </c>
      <c r="I119" s="43">
        <f>'7. Input incidentele correcties'!I124</f>
        <v>2021</v>
      </c>
      <c r="J119" s="48">
        <f>_xlfn.XLOOKUP(F119,'3. Input (des)investeringen '!$B$11:$B$80,'3. Input (des)investeringen '!$D$11:$D$80)</f>
        <v>5</v>
      </c>
      <c r="K119" s="48">
        <f>_xlfn.XLOOKUP(F119,'3. Input (des)investeringen '!$B$11:$B$80,'3. Input (des)investeringen '!$E$11:$E$80)</f>
        <v>1</v>
      </c>
      <c r="L119" s="48">
        <f>'7. Input incidentele correcties'!J124</f>
        <v>0</v>
      </c>
      <c r="M119" s="48">
        <f>'7. Input incidentele correcties'!K124</f>
        <v>0</v>
      </c>
    </row>
    <row r="120" spans="2:13">
      <c r="B120" s="43" t="str">
        <f>'7. Input incidentele correcties'!B125</f>
        <v>Asset 80</v>
      </c>
      <c r="F120" s="43" t="str">
        <f>'7. Input incidentele correcties'!F125</f>
        <v>37 ICT middelen 1 (gaschromatografen en comptabele meting)</v>
      </c>
      <c r="G120" s="43">
        <f>'7. Input incidentele correcties'!G125</f>
        <v>2000</v>
      </c>
      <c r="H120" s="48">
        <f>'7. Input incidentele correcties'!H125</f>
        <v>717051.87</v>
      </c>
      <c r="I120" s="43">
        <f>'7. Input incidentele correcties'!I125</f>
        <v>2021</v>
      </c>
      <c r="J120" s="48">
        <f>_xlfn.XLOOKUP(F120,'3. Input (des)investeringen '!$B$11:$B$80,'3. Input (des)investeringen '!$D$11:$D$80)</f>
        <v>5</v>
      </c>
      <c r="K120" s="48">
        <f>_xlfn.XLOOKUP(F120,'3. Input (des)investeringen '!$B$11:$B$80,'3. Input (des)investeringen '!$E$11:$E$80)</f>
        <v>0</v>
      </c>
      <c r="L120" s="48">
        <f>'7. Input incidentele correcties'!J125</f>
        <v>0</v>
      </c>
      <c r="M120" s="48">
        <f>'7. Input incidentele correcties'!K125</f>
        <v>0</v>
      </c>
    </row>
    <row r="121" spans="2:13">
      <c r="B121" s="43" t="str">
        <f>'7. Input incidentele correcties'!B126</f>
        <v>Asset 81</v>
      </c>
      <c r="F121" s="43" t="str">
        <f>'7. Input incidentele correcties'!F126</f>
        <v>09 Bedrijfsinventaris</v>
      </c>
      <c r="G121" s="43">
        <f>'7. Input incidentele correcties'!G126</f>
        <v>1999</v>
      </c>
      <c r="H121" s="48">
        <f>'7. Input incidentele correcties'!H126</f>
        <v>64305.72</v>
      </c>
      <c r="I121" s="43">
        <f>'7. Input incidentele correcties'!I126</f>
        <v>2021</v>
      </c>
      <c r="J121" s="48">
        <f>_xlfn.XLOOKUP(F121,'3. Input (des)investeringen '!$B$11:$B$80,'3. Input (des)investeringen '!$D$11:$D$80)</f>
        <v>10</v>
      </c>
      <c r="K121" s="48">
        <f>_xlfn.XLOOKUP(F121,'3. Input (des)investeringen '!$B$11:$B$80,'3. Input (des)investeringen '!$E$11:$E$80)</f>
        <v>1</v>
      </c>
      <c r="L121" s="48">
        <f>'7. Input incidentele correcties'!J126</f>
        <v>0</v>
      </c>
      <c r="M121" s="48">
        <f>'7. Input incidentele correcties'!K126</f>
        <v>0</v>
      </c>
    </row>
    <row r="122" spans="2:13">
      <c r="B122" s="43" t="str">
        <f>'7. Input incidentele correcties'!B127</f>
        <v>Asset 82</v>
      </c>
      <c r="F122" s="43" t="str">
        <f>'7. Input incidentele correcties'!F127</f>
        <v>08 Inrichting gebouwen</v>
      </c>
      <c r="G122" s="43">
        <f>'7. Input incidentele correcties'!G127</f>
        <v>1999</v>
      </c>
      <c r="H122" s="48">
        <f>'7. Input incidentele correcties'!H127</f>
        <v>41263.56</v>
      </c>
      <c r="I122" s="43">
        <f>'7. Input incidentele correcties'!I127</f>
        <v>2021</v>
      </c>
      <c r="J122" s="48">
        <f>_xlfn.XLOOKUP(F122,'3. Input (des)investeringen '!$B$11:$B$80,'3. Input (des)investeringen '!$D$11:$D$80)</f>
        <v>10</v>
      </c>
      <c r="K122" s="48">
        <f>_xlfn.XLOOKUP(F122,'3. Input (des)investeringen '!$B$11:$B$80,'3. Input (des)investeringen '!$E$11:$E$80)</f>
        <v>0</v>
      </c>
      <c r="L122" s="48">
        <f>'7. Input incidentele correcties'!J127</f>
        <v>0</v>
      </c>
      <c r="M122" s="48">
        <f>'7. Input incidentele correcties'!K127</f>
        <v>0</v>
      </c>
    </row>
    <row r="123" spans="2:13">
      <c r="B123" s="43" t="str">
        <f>'7. Input incidentele correcties'!B128</f>
        <v>Asset 83</v>
      </c>
      <c r="F123" s="43" t="str">
        <f>'7. Input incidentele correcties'!F128</f>
        <v>09 Bedrijfsinventaris</v>
      </c>
      <c r="G123" s="43">
        <f>'7. Input incidentele correcties'!G128</f>
        <v>2000</v>
      </c>
      <c r="H123" s="48">
        <f>'7. Input incidentele correcties'!H128</f>
        <v>5312.4</v>
      </c>
      <c r="I123" s="43">
        <f>'7. Input incidentele correcties'!I128</f>
        <v>2021</v>
      </c>
      <c r="J123" s="48">
        <f>_xlfn.XLOOKUP(F123,'3. Input (des)investeringen '!$B$11:$B$80,'3. Input (des)investeringen '!$D$11:$D$80)</f>
        <v>10</v>
      </c>
      <c r="K123" s="48">
        <f>_xlfn.XLOOKUP(F123,'3. Input (des)investeringen '!$B$11:$B$80,'3. Input (des)investeringen '!$E$11:$E$80)</f>
        <v>1</v>
      </c>
      <c r="L123" s="48">
        <f>'7. Input incidentele correcties'!J128</f>
        <v>0</v>
      </c>
      <c r="M123" s="48">
        <f>'7. Input incidentele correcties'!K128</f>
        <v>0</v>
      </c>
    </row>
    <row r="124" spans="2:13">
      <c r="B124" s="43" t="str">
        <f>'7. Input incidentele correcties'!B129</f>
        <v>Asset 84</v>
      </c>
      <c r="F124" s="43" t="str">
        <f>'7. Input incidentele correcties'!F129</f>
        <v>37 ICT middelen 1</v>
      </c>
      <c r="G124" s="43">
        <f>'7. Input incidentele correcties'!G129</f>
        <v>2001</v>
      </c>
      <c r="H124" s="48">
        <f>'7. Input incidentele correcties'!H129</f>
        <v>1754908.7700000003</v>
      </c>
      <c r="I124" s="43">
        <f>'7. Input incidentele correcties'!I129</f>
        <v>2021</v>
      </c>
      <c r="J124" s="48">
        <f>_xlfn.XLOOKUP(F124,'3. Input (des)investeringen '!$B$11:$B$80,'3. Input (des)investeringen '!$D$11:$D$80)</f>
        <v>5</v>
      </c>
      <c r="K124" s="48">
        <f>_xlfn.XLOOKUP(F124,'3. Input (des)investeringen '!$B$11:$B$80,'3. Input (des)investeringen '!$E$11:$E$80)</f>
        <v>1</v>
      </c>
      <c r="L124" s="48">
        <f>'7. Input incidentele correcties'!J129</f>
        <v>0</v>
      </c>
      <c r="M124" s="48">
        <f>'7. Input incidentele correcties'!K129</f>
        <v>0</v>
      </c>
    </row>
    <row r="125" spans="2:13">
      <c r="B125" s="43" t="str">
        <f>'7. Input incidentele correcties'!B130</f>
        <v>Asset 85</v>
      </c>
      <c r="F125" s="43" t="str">
        <f>'7. Input incidentele correcties'!F130</f>
        <v>11 Werktuigen</v>
      </c>
      <c r="G125" s="43">
        <f>'7. Input incidentele correcties'!G130</f>
        <v>2000</v>
      </c>
      <c r="H125" s="48">
        <f>'7. Input incidentele correcties'!H130</f>
        <v>86461.709999999992</v>
      </c>
      <c r="I125" s="43">
        <f>'7. Input incidentele correcties'!I130</f>
        <v>2021</v>
      </c>
      <c r="J125" s="48">
        <f>_xlfn.XLOOKUP(F125,'3. Input (des)investeringen '!$B$11:$B$80,'3. Input (des)investeringen '!$D$11:$D$80)</f>
        <v>10</v>
      </c>
      <c r="K125" s="48">
        <f>_xlfn.XLOOKUP(F125,'3. Input (des)investeringen '!$B$11:$B$80,'3. Input (des)investeringen '!$E$11:$E$80)</f>
        <v>1</v>
      </c>
      <c r="L125" s="48">
        <f>'7. Input incidentele correcties'!J130</f>
        <v>0</v>
      </c>
      <c r="M125" s="48">
        <f>'7. Input incidentele correcties'!K130</f>
        <v>0</v>
      </c>
    </row>
    <row r="126" spans="2:13">
      <c r="B126" s="43" t="str">
        <f>'7. Input incidentele correcties'!B131</f>
        <v>Asset 86</v>
      </c>
      <c r="F126" s="43" t="str">
        <f>'7. Input incidentele correcties'!F131</f>
        <v>13 Aanhangwagens</v>
      </c>
      <c r="G126" s="43">
        <f>'7. Input incidentele correcties'!G131</f>
        <v>1998</v>
      </c>
      <c r="H126" s="48">
        <f>'7. Input incidentele correcties'!H131</f>
        <v>3630.24</v>
      </c>
      <c r="I126" s="43">
        <f>'7. Input incidentele correcties'!I131</f>
        <v>2021</v>
      </c>
      <c r="J126" s="48">
        <f>_xlfn.XLOOKUP(F126,'3. Input (des)investeringen '!$B$11:$B$80,'3. Input (des)investeringen '!$D$11:$D$80)</f>
        <v>10</v>
      </c>
      <c r="K126" s="48">
        <f>_xlfn.XLOOKUP(F126,'3. Input (des)investeringen '!$B$11:$B$80,'3. Input (des)investeringen '!$E$11:$E$80)</f>
        <v>1</v>
      </c>
      <c r="L126" s="48">
        <f>'7. Input incidentele correcties'!J131</f>
        <v>0</v>
      </c>
      <c r="M126" s="48">
        <f>'7. Input incidentele correcties'!K131</f>
        <v>0</v>
      </c>
    </row>
    <row r="127" spans="2:13">
      <c r="B127" s="43" t="str">
        <f>'7. Input incidentele correcties'!B132</f>
        <v>Asset 87</v>
      </c>
      <c r="F127" s="43" t="str">
        <f>'7. Input incidentele correcties'!F132</f>
        <v>37 ICT middelen 1</v>
      </c>
      <c r="G127" s="43">
        <f>'7. Input incidentele correcties'!G132</f>
        <v>2000</v>
      </c>
      <c r="H127" s="48">
        <f>'7. Input incidentele correcties'!H132</f>
        <v>63690.75</v>
      </c>
      <c r="I127" s="43">
        <f>'7. Input incidentele correcties'!I132</f>
        <v>2021</v>
      </c>
      <c r="J127" s="48">
        <f>_xlfn.XLOOKUP(F127,'3. Input (des)investeringen '!$B$11:$B$80,'3. Input (des)investeringen '!$D$11:$D$80)</f>
        <v>5</v>
      </c>
      <c r="K127" s="48">
        <f>_xlfn.XLOOKUP(F127,'3. Input (des)investeringen '!$B$11:$B$80,'3. Input (des)investeringen '!$E$11:$E$80)</f>
        <v>1</v>
      </c>
      <c r="L127" s="48">
        <f>'7. Input incidentele correcties'!J132</f>
        <v>0</v>
      </c>
      <c r="M127" s="48">
        <f>'7. Input incidentele correcties'!K132</f>
        <v>0</v>
      </c>
    </row>
    <row r="128" spans="2:13">
      <c r="B128" s="43" t="str">
        <f>'7. Input incidentele correcties'!B133</f>
        <v>Asset 88</v>
      </c>
      <c r="F128" s="43" t="str">
        <f>'7. Input incidentele correcties'!F133</f>
        <v>08 Inrichting gebouwen</v>
      </c>
      <c r="G128" s="43">
        <f>'7. Input incidentele correcties'!G133</f>
        <v>2000</v>
      </c>
      <c r="H128" s="48">
        <f>'7. Input incidentele correcties'!H133</f>
        <v>53314.77</v>
      </c>
      <c r="I128" s="43">
        <f>'7. Input incidentele correcties'!I133</f>
        <v>2021</v>
      </c>
      <c r="J128" s="48">
        <f>_xlfn.XLOOKUP(F128,'3. Input (des)investeringen '!$B$11:$B$80,'3. Input (des)investeringen '!$D$11:$D$80)</f>
        <v>10</v>
      </c>
      <c r="K128" s="48">
        <f>_xlfn.XLOOKUP(F128,'3. Input (des)investeringen '!$B$11:$B$80,'3. Input (des)investeringen '!$E$11:$E$80)</f>
        <v>0</v>
      </c>
      <c r="L128" s="48">
        <f>'7. Input incidentele correcties'!J133</f>
        <v>0</v>
      </c>
      <c r="M128" s="48">
        <f>'7. Input incidentele correcties'!K133</f>
        <v>0</v>
      </c>
    </row>
    <row r="129" spans="2:13">
      <c r="B129" s="43" t="str">
        <f>'7. Input incidentele correcties'!B134</f>
        <v>Asset 89</v>
      </c>
      <c r="F129" s="43" t="str">
        <f>'7. Input incidentele correcties'!F134</f>
        <v>14 Overig rollend materieel</v>
      </c>
      <c r="G129" s="43">
        <f>'7. Input incidentele correcties'!G134</f>
        <v>2000</v>
      </c>
      <c r="H129" s="48">
        <f>'7. Input incidentele correcties'!H134</f>
        <v>36334.86</v>
      </c>
      <c r="I129" s="43">
        <f>'7. Input incidentele correcties'!I134</f>
        <v>2021</v>
      </c>
      <c r="J129" s="48">
        <f>_xlfn.XLOOKUP(F129,'3. Input (des)investeringen '!$B$11:$B$80,'3. Input (des)investeringen '!$D$11:$D$80)</f>
        <v>10</v>
      </c>
      <c r="K129" s="48">
        <f>_xlfn.XLOOKUP(F129,'3. Input (des)investeringen '!$B$11:$B$80,'3. Input (des)investeringen '!$E$11:$E$80)</f>
        <v>1</v>
      </c>
      <c r="L129" s="48">
        <f>'7. Input incidentele correcties'!J134</f>
        <v>0</v>
      </c>
      <c r="M129" s="48">
        <f>'7. Input incidentele correcties'!K134</f>
        <v>0</v>
      </c>
    </row>
    <row r="130" spans="2:13">
      <c r="B130" s="43" t="str">
        <f>'7. Input incidentele correcties'!B135</f>
        <v>Asset 90</v>
      </c>
      <c r="F130" s="43" t="str">
        <f>'7. Input incidentele correcties'!F135</f>
        <v>06 Utiliteitsgebouwen</v>
      </c>
      <c r="G130" s="43">
        <f>'7. Input incidentele correcties'!G135</f>
        <v>2000</v>
      </c>
      <c r="H130" s="48">
        <f>'7. Input incidentele correcties'!H135</f>
        <v>61022.52</v>
      </c>
      <c r="I130" s="43">
        <f>'7. Input incidentele correcties'!I135</f>
        <v>2021</v>
      </c>
      <c r="J130" s="48">
        <f>_xlfn.XLOOKUP(F130,'3. Input (des)investeringen '!$B$11:$B$80,'3. Input (des)investeringen '!$D$11:$D$80)</f>
        <v>30</v>
      </c>
      <c r="K130" s="48">
        <f>_xlfn.XLOOKUP(F130,'3. Input (des)investeringen '!$B$11:$B$80,'3. Input (des)investeringen '!$E$11:$E$80)</f>
        <v>0</v>
      </c>
      <c r="L130" s="48">
        <f>'7. Input incidentele correcties'!J135</f>
        <v>25541.383007029126</v>
      </c>
      <c r="M130" s="48">
        <f>'7. Input incidentele correcties'!K135</f>
        <v>0</v>
      </c>
    </row>
    <row r="131" spans="2:13">
      <c r="B131" s="43" t="str">
        <f>'7. Input incidentele correcties'!B136</f>
        <v>Asset 91</v>
      </c>
      <c r="F131" s="43" t="str">
        <f>'7. Input incidentele correcties'!F136</f>
        <v>11 Werktuigen</v>
      </c>
      <c r="G131" s="43">
        <f>'7. Input incidentele correcties'!G136</f>
        <v>2001</v>
      </c>
      <c r="H131" s="48">
        <f>'7. Input incidentele correcties'!H136</f>
        <v>11928.48</v>
      </c>
      <c r="I131" s="43">
        <f>'7. Input incidentele correcties'!I136</f>
        <v>2021</v>
      </c>
      <c r="J131" s="48">
        <f>_xlfn.XLOOKUP(F131,'3. Input (des)investeringen '!$B$11:$B$80,'3. Input (des)investeringen '!$D$11:$D$80)</f>
        <v>10</v>
      </c>
      <c r="K131" s="48">
        <f>_xlfn.XLOOKUP(F131,'3. Input (des)investeringen '!$B$11:$B$80,'3. Input (des)investeringen '!$E$11:$E$80)</f>
        <v>1</v>
      </c>
      <c r="L131" s="48">
        <f>'7. Input incidentele correcties'!J136</f>
        <v>0</v>
      </c>
      <c r="M131" s="48">
        <f>'7. Input incidentele correcties'!K136</f>
        <v>0</v>
      </c>
    </row>
    <row r="132" spans="2:13">
      <c r="B132" s="43" t="str">
        <f>'7. Input incidentele correcties'!B137</f>
        <v>Asset 92</v>
      </c>
      <c r="F132" s="43" t="str">
        <f>'7. Input incidentele correcties'!F137</f>
        <v>14 Overig rollend materieel</v>
      </c>
      <c r="G132" s="43">
        <f>'7. Input incidentele correcties'!G137</f>
        <v>2001</v>
      </c>
      <c r="H132" s="48">
        <f>'7. Input incidentele correcties'!H137</f>
        <v>70639.289999999994</v>
      </c>
      <c r="I132" s="43">
        <f>'7. Input incidentele correcties'!I137</f>
        <v>2021</v>
      </c>
      <c r="J132" s="48">
        <f>_xlfn.XLOOKUP(F132,'3. Input (des)investeringen '!$B$11:$B$80,'3. Input (des)investeringen '!$D$11:$D$80)</f>
        <v>10</v>
      </c>
      <c r="K132" s="48">
        <f>_xlfn.XLOOKUP(F132,'3. Input (des)investeringen '!$B$11:$B$80,'3. Input (des)investeringen '!$E$11:$E$80)</f>
        <v>1</v>
      </c>
      <c r="L132" s="48">
        <f>'7. Input incidentele correcties'!J137</f>
        <v>0</v>
      </c>
      <c r="M132" s="48">
        <f>'7. Input incidentele correcties'!K137</f>
        <v>0</v>
      </c>
    </row>
    <row r="133" spans="2:13">
      <c r="B133" s="43" t="str">
        <f>'7. Input incidentele correcties'!B138</f>
        <v>Asset 93</v>
      </c>
      <c r="F133" s="43" t="str">
        <f>'7. Input incidentele correcties'!F138</f>
        <v>09 Bedrijfsinventaris</v>
      </c>
      <c r="G133" s="43">
        <f>'7. Input incidentele correcties'!G138</f>
        <v>2001</v>
      </c>
      <c r="H133" s="48">
        <f>'7. Input incidentele correcties'!H138</f>
        <v>55051.729999999996</v>
      </c>
      <c r="I133" s="43">
        <f>'7. Input incidentele correcties'!I138</f>
        <v>2021</v>
      </c>
      <c r="J133" s="48">
        <f>_xlfn.XLOOKUP(F133,'3. Input (des)investeringen '!$B$11:$B$80,'3. Input (des)investeringen '!$D$11:$D$80)</f>
        <v>10</v>
      </c>
      <c r="K133" s="48">
        <f>_xlfn.XLOOKUP(F133,'3. Input (des)investeringen '!$B$11:$B$80,'3. Input (des)investeringen '!$E$11:$E$80)</f>
        <v>1</v>
      </c>
      <c r="L133" s="48">
        <f>'7. Input incidentele correcties'!J138</f>
        <v>0</v>
      </c>
      <c r="M133" s="48">
        <f>'7. Input incidentele correcties'!K138</f>
        <v>0</v>
      </c>
    </row>
    <row r="134" spans="2:13">
      <c r="B134" s="43" t="str">
        <f>'7. Input incidentele correcties'!B139</f>
        <v>Asset 94</v>
      </c>
      <c r="F134" s="43" t="str">
        <f>'7. Input incidentele correcties'!F139</f>
        <v>10 Gereedschap</v>
      </c>
      <c r="G134" s="43">
        <f>'7. Input incidentele correcties'!G139</f>
        <v>2002</v>
      </c>
      <c r="H134" s="48">
        <f>'7. Input incidentele correcties'!H139</f>
        <v>26546</v>
      </c>
      <c r="I134" s="43">
        <f>'7. Input incidentele correcties'!I139</f>
        <v>2021</v>
      </c>
      <c r="J134" s="48">
        <f>_xlfn.XLOOKUP(F134,'3. Input (des)investeringen '!$B$11:$B$80,'3. Input (des)investeringen '!$D$11:$D$80)</f>
        <v>10</v>
      </c>
      <c r="K134" s="48">
        <f>_xlfn.XLOOKUP(F134,'3. Input (des)investeringen '!$B$11:$B$80,'3. Input (des)investeringen '!$E$11:$E$80)</f>
        <v>1</v>
      </c>
      <c r="L134" s="48">
        <f>'7. Input incidentele correcties'!J139</f>
        <v>0</v>
      </c>
      <c r="M134" s="48">
        <f>'7. Input incidentele correcties'!K139</f>
        <v>0</v>
      </c>
    </row>
    <row r="135" spans="2:13">
      <c r="B135" s="43" t="str">
        <f>'7. Input incidentele correcties'!B140</f>
        <v>Asset 95</v>
      </c>
      <c r="F135" s="43" t="str">
        <f>'7. Input incidentele correcties'!F140</f>
        <v>03 Verremeting</v>
      </c>
      <c r="G135" s="43">
        <f>'7. Input incidentele correcties'!G140</f>
        <v>2001</v>
      </c>
      <c r="H135" s="48">
        <f>'7. Input incidentele correcties'!H140</f>
        <v>16968.61</v>
      </c>
      <c r="I135" s="43">
        <f>'7. Input incidentele correcties'!I140</f>
        <v>2021</v>
      </c>
      <c r="J135" s="48">
        <f>_xlfn.XLOOKUP(F135,'3. Input (des)investeringen '!$B$11:$B$80,'3. Input (des)investeringen '!$D$11:$D$80)</f>
        <v>5</v>
      </c>
      <c r="K135" s="48">
        <f>_xlfn.XLOOKUP(F135,'3. Input (des)investeringen '!$B$11:$B$80,'3. Input (des)investeringen '!$E$11:$E$80)</f>
        <v>1</v>
      </c>
      <c r="L135" s="48">
        <f>'7. Input incidentele correcties'!J140</f>
        <v>0</v>
      </c>
      <c r="M135" s="48">
        <f>'7. Input incidentele correcties'!K140</f>
        <v>0</v>
      </c>
    </row>
    <row r="136" spans="2:13">
      <c r="B136" s="43" t="str">
        <f>'7. Input incidentele correcties'!B141</f>
        <v>Asset 96</v>
      </c>
      <c r="F136" s="43" t="str">
        <f>'7. Input incidentele correcties'!F141</f>
        <v>08 Inrichting gebouwen</v>
      </c>
      <c r="G136" s="43">
        <f>'7. Input incidentele correcties'!G141</f>
        <v>2001</v>
      </c>
      <c r="H136" s="48">
        <f>'7. Input incidentele correcties'!H141</f>
        <v>7752.83</v>
      </c>
      <c r="I136" s="43">
        <f>'7. Input incidentele correcties'!I141</f>
        <v>2021</v>
      </c>
      <c r="J136" s="48">
        <f>_xlfn.XLOOKUP(F136,'3. Input (des)investeringen '!$B$11:$B$80,'3. Input (des)investeringen '!$D$11:$D$80)</f>
        <v>10</v>
      </c>
      <c r="K136" s="48">
        <f>_xlfn.XLOOKUP(F136,'3. Input (des)investeringen '!$B$11:$B$80,'3. Input (des)investeringen '!$E$11:$E$80)</f>
        <v>0</v>
      </c>
      <c r="L136" s="48">
        <f>'7. Input incidentele correcties'!J141</f>
        <v>0</v>
      </c>
      <c r="M136" s="48">
        <f>'7. Input incidentele correcties'!K141</f>
        <v>0</v>
      </c>
    </row>
    <row r="137" spans="2:13">
      <c r="B137" s="43" t="str">
        <f>'7. Input incidentele correcties'!B142</f>
        <v>Asset 97</v>
      </c>
      <c r="F137" s="43" t="str">
        <f>'7. Input incidentele correcties'!F142</f>
        <v>37 ICT middelen 1 (gaschromatografen en comptabele meting)</v>
      </c>
      <c r="G137" s="43">
        <f>'7. Input incidentele correcties'!G142</f>
        <v>2001</v>
      </c>
      <c r="H137" s="48">
        <f>'7. Input incidentele correcties'!H142</f>
        <v>757040.92</v>
      </c>
      <c r="I137" s="43">
        <f>'7. Input incidentele correcties'!I142</f>
        <v>2021</v>
      </c>
      <c r="J137" s="48">
        <f>_xlfn.XLOOKUP(F137,'3. Input (des)investeringen '!$B$11:$B$80,'3. Input (des)investeringen '!$D$11:$D$80)</f>
        <v>5</v>
      </c>
      <c r="K137" s="48">
        <f>_xlfn.XLOOKUP(F137,'3. Input (des)investeringen '!$B$11:$B$80,'3. Input (des)investeringen '!$E$11:$E$80)</f>
        <v>0</v>
      </c>
      <c r="L137" s="48">
        <f>'7. Input incidentele correcties'!J142</f>
        <v>0</v>
      </c>
      <c r="M137" s="48">
        <f>'7. Input incidentele correcties'!K142</f>
        <v>0</v>
      </c>
    </row>
    <row r="138" spans="2:13">
      <c r="B138" s="43" t="str">
        <f>'7. Input incidentele correcties'!B143</f>
        <v>Asset 98</v>
      </c>
      <c r="F138" s="43" t="str">
        <f>'7. Input incidentele correcties'!F143</f>
        <v>13 Aanhangwagens</v>
      </c>
      <c r="G138" s="43">
        <f>'7. Input incidentele correcties'!G143</f>
        <v>2001</v>
      </c>
      <c r="H138" s="48">
        <f>'7. Input incidentele correcties'!H143</f>
        <v>2746.92</v>
      </c>
      <c r="I138" s="43">
        <f>'7. Input incidentele correcties'!I143</f>
        <v>2021</v>
      </c>
      <c r="J138" s="48">
        <f>_xlfn.XLOOKUP(F138,'3. Input (des)investeringen '!$B$11:$B$80,'3. Input (des)investeringen '!$D$11:$D$80)</f>
        <v>10</v>
      </c>
      <c r="K138" s="48">
        <f>_xlfn.XLOOKUP(F138,'3. Input (des)investeringen '!$B$11:$B$80,'3. Input (des)investeringen '!$E$11:$E$80)</f>
        <v>1</v>
      </c>
      <c r="L138" s="48">
        <f>'7. Input incidentele correcties'!J143</f>
        <v>0</v>
      </c>
      <c r="M138" s="48">
        <f>'7. Input incidentele correcties'!K143</f>
        <v>0</v>
      </c>
    </row>
    <row r="139" spans="2:13">
      <c r="B139" s="43" t="str">
        <f>'7. Input incidentele correcties'!B144</f>
        <v>Asset 99</v>
      </c>
      <c r="F139" s="43" t="str">
        <f>'7. Input incidentele correcties'!F144</f>
        <v>11 Werktuigen</v>
      </c>
      <c r="G139" s="43">
        <f>'7. Input incidentele correcties'!G144</f>
        <v>2002</v>
      </c>
      <c r="H139" s="48">
        <f>'7. Input incidentele correcties'!H144</f>
        <v>108571.05</v>
      </c>
      <c r="I139" s="43">
        <f>'7. Input incidentele correcties'!I144</f>
        <v>2021</v>
      </c>
      <c r="J139" s="48">
        <f>_xlfn.XLOOKUP(F139,'3. Input (des)investeringen '!$B$11:$B$80,'3. Input (des)investeringen '!$D$11:$D$80)</f>
        <v>10</v>
      </c>
      <c r="K139" s="48">
        <f>_xlfn.XLOOKUP(F139,'3. Input (des)investeringen '!$B$11:$B$80,'3. Input (des)investeringen '!$E$11:$E$80)</f>
        <v>1</v>
      </c>
      <c r="L139" s="48">
        <f>'7. Input incidentele correcties'!J144</f>
        <v>0</v>
      </c>
      <c r="M139" s="48">
        <f>'7. Input incidentele correcties'!K144</f>
        <v>0</v>
      </c>
    </row>
    <row r="140" spans="2:13">
      <c r="B140" s="43" t="str">
        <f>'7. Input incidentele correcties'!B145</f>
        <v>Asset 100</v>
      </c>
      <c r="F140" s="43" t="str">
        <f>'7. Input incidentele correcties'!F145</f>
        <v>37 ICT middelen 1 (gaschromatografen en comptabele meting)</v>
      </c>
      <c r="G140" s="43">
        <f>'7. Input incidentele correcties'!G145</f>
        <v>2002</v>
      </c>
      <c r="H140" s="48">
        <f>'7. Input incidentele correcties'!H145</f>
        <v>27589.78</v>
      </c>
      <c r="I140" s="43">
        <f>'7. Input incidentele correcties'!I145</f>
        <v>2021</v>
      </c>
      <c r="J140" s="48">
        <f>_xlfn.XLOOKUP(F140,'3. Input (des)investeringen '!$B$11:$B$80,'3. Input (des)investeringen '!$D$11:$D$80)</f>
        <v>5</v>
      </c>
      <c r="K140" s="48">
        <f>_xlfn.XLOOKUP(F140,'3. Input (des)investeringen '!$B$11:$B$80,'3. Input (des)investeringen '!$E$11:$E$80)</f>
        <v>0</v>
      </c>
      <c r="L140" s="48">
        <f>'7. Input incidentele correcties'!J145</f>
        <v>0</v>
      </c>
      <c r="M140" s="48">
        <f>'7. Input incidentele correcties'!K145</f>
        <v>0</v>
      </c>
    </row>
    <row r="141" spans="2:13">
      <c r="B141" s="43" t="str">
        <f>'7. Input incidentele correcties'!B146</f>
        <v>Asset 101</v>
      </c>
      <c r="F141" s="43" t="str">
        <f>'7. Input incidentele correcties'!F146</f>
        <v>14 Overig rollend materieel</v>
      </c>
      <c r="G141" s="43">
        <f>'7. Input incidentele correcties'!G146</f>
        <v>2002</v>
      </c>
      <c r="H141" s="48">
        <f>'7. Input incidentele correcties'!H146</f>
        <v>7905</v>
      </c>
      <c r="I141" s="43">
        <f>'7. Input incidentele correcties'!I146</f>
        <v>2021</v>
      </c>
      <c r="J141" s="48">
        <f>_xlfn.XLOOKUP(F141,'3. Input (des)investeringen '!$B$11:$B$80,'3. Input (des)investeringen '!$D$11:$D$80)</f>
        <v>10</v>
      </c>
      <c r="K141" s="48">
        <f>_xlfn.XLOOKUP(F141,'3. Input (des)investeringen '!$B$11:$B$80,'3. Input (des)investeringen '!$E$11:$E$80)</f>
        <v>1</v>
      </c>
      <c r="L141" s="48">
        <f>'7. Input incidentele correcties'!J146</f>
        <v>0</v>
      </c>
      <c r="M141" s="48">
        <f>'7. Input incidentele correcties'!K146</f>
        <v>0</v>
      </c>
    </row>
    <row r="142" spans="2:13">
      <c r="B142" s="43" t="str">
        <f>'7. Input incidentele correcties'!B147</f>
        <v>Asset 102</v>
      </c>
      <c r="F142" s="43" t="str">
        <f>'7. Input incidentele correcties'!F147</f>
        <v>13 Aanhangwagens</v>
      </c>
      <c r="G142" s="43">
        <f>'7. Input incidentele correcties'!G147</f>
        <v>2002</v>
      </c>
      <c r="H142" s="48">
        <f>'7. Input incidentele correcties'!H147</f>
        <v>1243</v>
      </c>
      <c r="I142" s="43">
        <f>'7. Input incidentele correcties'!I147</f>
        <v>2021</v>
      </c>
      <c r="J142" s="48">
        <f>_xlfn.XLOOKUP(F142,'3. Input (des)investeringen '!$B$11:$B$80,'3. Input (des)investeringen '!$D$11:$D$80)</f>
        <v>10</v>
      </c>
      <c r="K142" s="48">
        <f>_xlfn.XLOOKUP(F142,'3. Input (des)investeringen '!$B$11:$B$80,'3. Input (des)investeringen '!$E$11:$E$80)</f>
        <v>1</v>
      </c>
      <c r="L142" s="48">
        <f>'7. Input incidentele correcties'!J147</f>
        <v>0</v>
      </c>
      <c r="M142" s="48">
        <f>'7. Input incidentele correcties'!K147</f>
        <v>0</v>
      </c>
    </row>
    <row r="143" spans="2:13">
      <c r="B143" s="43" t="str">
        <f>'7. Input incidentele correcties'!B148</f>
        <v>Asset 103</v>
      </c>
      <c r="F143" s="43" t="str">
        <f>'7. Input incidentele correcties'!F148</f>
        <v>06 Utiliteitsgebouwen</v>
      </c>
      <c r="G143" s="43">
        <f>'7. Input incidentele correcties'!G148</f>
        <v>2002</v>
      </c>
      <c r="H143" s="48">
        <f>'7. Input incidentele correcties'!H148</f>
        <v>68637.27</v>
      </c>
      <c r="I143" s="43">
        <f>'7. Input incidentele correcties'!I148</f>
        <v>2021</v>
      </c>
      <c r="J143" s="48">
        <f>_xlfn.XLOOKUP(F143,'3. Input (des)investeringen '!$B$11:$B$80,'3. Input (des)investeringen '!$D$11:$D$80)</f>
        <v>30</v>
      </c>
      <c r="K143" s="48">
        <f>_xlfn.XLOOKUP(F143,'3. Input (des)investeringen '!$B$11:$B$80,'3. Input (des)investeringen '!$E$11:$E$80)</f>
        <v>0</v>
      </c>
      <c r="L143" s="48">
        <f>'7. Input incidentele correcties'!J148</f>
        <v>33068.469795601901</v>
      </c>
      <c r="M143" s="48">
        <f>'7. Input incidentele correcties'!K148</f>
        <v>0</v>
      </c>
    </row>
    <row r="144" spans="2:13">
      <c r="B144" s="43" t="str">
        <f>'7. Input incidentele correcties'!B149</f>
        <v>Asset 104</v>
      </c>
      <c r="F144" s="43" t="str">
        <f>'7. Input incidentele correcties'!F149</f>
        <v>09 Bedrijfsinventaris</v>
      </c>
      <c r="G144" s="43">
        <f>'7. Input incidentele correcties'!G149</f>
        <v>2003</v>
      </c>
      <c r="H144" s="48">
        <f>'7. Input incidentele correcties'!H149</f>
        <v>108222.26</v>
      </c>
      <c r="I144" s="43">
        <f>'7. Input incidentele correcties'!I149</f>
        <v>2021</v>
      </c>
      <c r="J144" s="48">
        <f>_xlfn.XLOOKUP(F144,'3. Input (des)investeringen '!$B$11:$B$80,'3. Input (des)investeringen '!$D$11:$D$80)</f>
        <v>10</v>
      </c>
      <c r="K144" s="48">
        <f>_xlfn.XLOOKUP(F144,'3. Input (des)investeringen '!$B$11:$B$80,'3. Input (des)investeringen '!$E$11:$E$80)</f>
        <v>1</v>
      </c>
      <c r="L144" s="48">
        <f>'7. Input incidentele correcties'!J149</f>
        <v>0</v>
      </c>
      <c r="M144" s="48">
        <f>'7. Input incidentele correcties'!K149</f>
        <v>0</v>
      </c>
    </row>
    <row r="145" spans="2:13">
      <c r="B145" s="43" t="str">
        <f>'7. Input incidentele correcties'!B150</f>
        <v>Asset 105</v>
      </c>
      <c r="F145" s="43" t="str">
        <f>'7. Input incidentele correcties'!F150</f>
        <v>11 Werktuigen</v>
      </c>
      <c r="G145" s="43">
        <f>'7. Input incidentele correcties'!G150</f>
        <v>2003</v>
      </c>
      <c r="H145" s="48">
        <f>'7. Input incidentele correcties'!H150</f>
        <v>135681.9</v>
      </c>
      <c r="I145" s="43">
        <f>'7. Input incidentele correcties'!I150</f>
        <v>2021</v>
      </c>
      <c r="J145" s="48">
        <f>_xlfn.XLOOKUP(F145,'3. Input (des)investeringen '!$B$11:$B$80,'3. Input (des)investeringen '!$D$11:$D$80)</f>
        <v>10</v>
      </c>
      <c r="K145" s="48">
        <f>_xlfn.XLOOKUP(F145,'3. Input (des)investeringen '!$B$11:$B$80,'3. Input (des)investeringen '!$E$11:$E$80)</f>
        <v>1</v>
      </c>
      <c r="L145" s="48">
        <f>'7. Input incidentele correcties'!J150</f>
        <v>0</v>
      </c>
      <c r="M145" s="48">
        <f>'7. Input incidentele correcties'!K150</f>
        <v>0</v>
      </c>
    </row>
    <row r="146" spans="2:13">
      <c r="B146" s="43" t="str">
        <f>'7. Input incidentele correcties'!B151</f>
        <v>Asset 106</v>
      </c>
      <c r="F146" s="43" t="str">
        <f>'7. Input incidentele correcties'!F151</f>
        <v>37 ICT middelen 1</v>
      </c>
      <c r="G146" s="43">
        <f>'7. Input incidentele correcties'!G151</f>
        <v>2003</v>
      </c>
      <c r="H146" s="48">
        <f>'7. Input incidentele correcties'!H151</f>
        <v>869353.66999999993</v>
      </c>
      <c r="I146" s="43">
        <f>'7. Input incidentele correcties'!I151</f>
        <v>2021</v>
      </c>
      <c r="J146" s="48">
        <f>_xlfn.XLOOKUP(F146,'3. Input (des)investeringen '!$B$11:$B$80,'3. Input (des)investeringen '!$D$11:$D$80)</f>
        <v>5</v>
      </c>
      <c r="K146" s="48">
        <f>_xlfn.XLOOKUP(F146,'3. Input (des)investeringen '!$B$11:$B$80,'3. Input (des)investeringen '!$E$11:$E$80)</f>
        <v>1</v>
      </c>
      <c r="L146" s="48">
        <f>'7. Input incidentele correcties'!J151</f>
        <v>0</v>
      </c>
      <c r="M146" s="48">
        <f>'7. Input incidentele correcties'!K151</f>
        <v>0</v>
      </c>
    </row>
    <row r="147" spans="2:13">
      <c r="B147" s="43" t="str">
        <f>'7. Input incidentele correcties'!B152</f>
        <v>Asset 107</v>
      </c>
      <c r="F147" s="43" t="str">
        <f>'7. Input incidentele correcties'!F152</f>
        <v>37 ICT middelen 1 (gaschromatografen en comptabele meting)</v>
      </c>
      <c r="G147" s="43">
        <f>'7. Input incidentele correcties'!G152</f>
        <v>2003</v>
      </c>
      <c r="H147" s="48">
        <f>'7. Input incidentele correcties'!H152</f>
        <v>1210667.97</v>
      </c>
      <c r="I147" s="43">
        <f>'7. Input incidentele correcties'!I152</f>
        <v>2021</v>
      </c>
      <c r="J147" s="48">
        <f>_xlfn.XLOOKUP(F147,'3. Input (des)investeringen '!$B$11:$B$80,'3. Input (des)investeringen '!$D$11:$D$80)</f>
        <v>5</v>
      </c>
      <c r="K147" s="48">
        <f>_xlfn.XLOOKUP(F147,'3. Input (des)investeringen '!$B$11:$B$80,'3. Input (des)investeringen '!$E$11:$E$80)</f>
        <v>0</v>
      </c>
      <c r="L147" s="48">
        <f>'7. Input incidentele correcties'!J152</f>
        <v>0</v>
      </c>
      <c r="M147" s="48">
        <f>'7. Input incidentele correcties'!K152</f>
        <v>0</v>
      </c>
    </row>
    <row r="148" spans="2:13">
      <c r="B148" s="43" t="str">
        <f>'7. Input incidentele correcties'!B153</f>
        <v>Asset 108</v>
      </c>
      <c r="F148" s="43" t="str">
        <f>'7. Input incidentele correcties'!F153</f>
        <v>10 Gereedschap</v>
      </c>
      <c r="G148" s="43">
        <f>'7. Input incidentele correcties'!G153</f>
        <v>2003</v>
      </c>
      <c r="H148" s="48">
        <f>'7. Input incidentele correcties'!H153</f>
        <v>62325</v>
      </c>
      <c r="I148" s="43">
        <f>'7. Input incidentele correcties'!I153</f>
        <v>2021</v>
      </c>
      <c r="J148" s="48">
        <f>_xlfn.XLOOKUP(F148,'3. Input (des)investeringen '!$B$11:$B$80,'3. Input (des)investeringen '!$D$11:$D$80)</f>
        <v>10</v>
      </c>
      <c r="K148" s="48">
        <f>_xlfn.XLOOKUP(F148,'3. Input (des)investeringen '!$B$11:$B$80,'3. Input (des)investeringen '!$E$11:$E$80)</f>
        <v>1</v>
      </c>
      <c r="L148" s="48">
        <f>'7. Input incidentele correcties'!J153</f>
        <v>0</v>
      </c>
      <c r="M148" s="48">
        <f>'7. Input incidentele correcties'!K153</f>
        <v>0</v>
      </c>
    </row>
    <row r="149" spans="2:13">
      <c r="B149" s="43" t="str">
        <f>'7. Input incidentele correcties'!B154</f>
        <v>Asset 109</v>
      </c>
      <c r="F149" s="43" t="str">
        <f>'7. Input incidentele correcties'!F154</f>
        <v>06 Utiliteitsgebouwen</v>
      </c>
      <c r="G149" s="43">
        <f>'7. Input incidentele correcties'!G154</f>
        <v>2003</v>
      </c>
      <c r="H149" s="48">
        <f>'7. Input incidentele correcties'!H154</f>
        <v>206366.74</v>
      </c>
      <c r="I149" s="43">
        <f>'7. Input incidentele correcties'!I154</f>
        <v>2021</v>
      </c>
      <c r="J149" s="48">
        <f>_xlfn.XLOOKUP(F149,'3. Input (des)investeringen '!$B$11:$B$80,'3. Input (des)investeringen '!$D$11:$D$80)</f>
        <v>30</v>
      </c>
      <c r="K149" s="48">
        <f>_xlfn.XLOOKUP(F149,'3. Input (des)investeringen '!$B$11:$B$80,'3. Input (des)investeringen '!$E$11:$E$80)</f>
        <v>0</v>
      </c>
      <c r="L149" s="48">
        <f>'7. Input incidentele correcties'!J154</f>
        <v>105414.90479883776</v>
      </c>
      <c r="M149" s="48">
        <f>'7. Input incidentele correcties'!K154</f>
        <v>0</v>
      </c>
    </row>
    <row r="150" spans="2:13">
      <c r="B150" s="43" t="str">
        <f>'7. Input incidentele correcties'!B155</f>
        <v>Asset 110</v>
      </c>
      <c r="F150" s="43" t="str">
        <f>'7. Input incidentele correcties'!F155</f>
        <v>13 Aanhangwagens</v>
      </c>
      <c r="G150" s="43">
        <f>'7. Input incidentele correcties'!G155</f>
        <v>2003</v>
      </c>
      <c r="H150" s="48">
        <f>'7. Input incidentele correcties'!H155</f>
        <v>1830.54</v>
      </c>
      <c r="I150" s="43">
        <f>'7. Input incidentele correcties'!I155</f>
        <v>2021</v>
      </c>
      <c r="J150" s="48">
        <f>_xlfn.XLOOKUP(F150,'3. Input (des)investeringen '!$B$11:$B$80,'3. Input (des)investeringen '!$D$11:$D$80)</f>
        <v>10</v>
      </c>
      <c r="K150" s="48">
        <f>_xlfn.XLOOKUP(F150,'3. Input (des)investeringen '!$B$11:$B$80,'3. Input (des)investeringen '!$E$11:$E$80)</f>
        <v>1</v>
      </c>
      <c r="L150" s="48">
        <f>'7. Input incidentele correcties'!J155</f>
        <v>0</v>
      </c>
      <c r="M150" s="48">
        <f>'7. Input incidentele correcties'!K155</f>
        <v>0</v>
      </c>
    </row>
    <row r="151" spans="2:13">
      <c r="B151" s="43" t="str">
        <f>'7. Input incidentele correcties'!B156</f>
        <v>Asset 111</v>
      </c>
      <c r="F151" s="43" t="str">
        <f>'7. Input incidentele correcties'!F156</f>
        <v>37 ICT middelen 1</v>
      </c>
      <c r="G151" s="43">
        <f>'7. Input incidentele correcties'!G156</f>
        <v>2004</v>
      </c>
      <c r="H151" s="48">
        <f>'7. Input incidentele correcties'!H156</f>
        <v>2583848.4300000002</v>
      </c>
      <c r="I151" s="43">
        <f>'7. Input incidentele correcties'!I156</f>
        <v>2021</v>
      </c>
      <c r="J151" s="48">
        <f>_xlfn.XLOOKUP(F151,'3. Input (des)investeringen '!$B$11:$B$80,'3. Input (des)investeringen '!$D$11:$D$80)</f>
        <v>5</v>
      </c>
      <c r="K151" s="48">
        <f>_xlfn.XLOOKUP(F151,'3. Input (des)investeringen '!$B$11:$B$80,'3. Input (des)investeringen '!$E$11:$E$80)</f>
        <v>1</v>
      </c>
      <c r="L151" s="48">
        <f>'7. Input incidentele correcties'!J156</f>
        <v>0</v>
      </c>
      <c r="M151" s="48">
        <f>'7. Input incidentele correcties'!K156</f>
        <v>0</v>
      </c>
    </row>
    <row r="152" spans="2:13">
      <c r="B152" s="43" t="str">
        <f>'7. Input incidentele correcties'!B157</f>
        <v>Asset 112</v>
      </c>
      <c r="F152" s="43" t="str">
        <f>'7. Input incidentele correcties'!F157</f>
        <v>37 ICT middelen 1 (gaschromatografen en comptabele meting)</v>
      </c>
      <c r="G152" s="43">
        <f>'7. Input incidentele correcties'!G157</f>
        <v>2004</v>
      </c>
      <c r="H152" s="48">
        <f>'7. Input incidentele correcties'!H157</f>
        <v>263122.5</v>
      </c>
      <c r="I152" s="43">
        <f>'7. Input incidentele correcties'!I157</f>
        <v>2021</v>
      </c>
      <c r="J152" s="48">
        <f>_xlfn.XLOOKUP(F152,'3. Input (des)investeringen '!$B$11:$B$80,'3. Input (des)investeringen '!$D$11:$D$80)</f>
        <v>5</v>
      </c>
      <c r="K152" s="48">
        <f>_xlfn.XLOOKUP(F152,'3. Input (des)investeringen '!$B$11:$B$80,'3. Input (des)investeringen '!$E$11:$E$80)</f>
        <v>0</v>
      </c>
      <c r="L152" s="48">
        <f>'7. Input incidentele correcties'!J157</f>
        <v>0</v>
      </c>
      <c r="M152" s="48">
        <f>'7. Input incidentele correcties'!K157</f>
        <v>0</v>
      </c>
    </row>
    <row r="153" spans="2:13">
      <c r="B153" s="43" t="str">
        <f>'7. Input incidentele correcties'!B158</f>
        <v>Asset 113</v>
      </c>
      <c r="F153" s="43" t="str">
        <f>'7. Input incidentele correcties'!F158</f>
        <v>09 Bedrijfsinventaris</v>
      </c>
      <c r="G153" s="43">
        <f>'7. Input incidentele correcties'!G158</f>
        <v>2004</v>
      </c>
      <c r="H153" s="48">
        <f>'7. Input incidentele correcties'!H158</f>
        <v>142655</v>
      </c>
      <c r="I153" s="43">
        <f>'7. Input incidentele correcties'!I158</f>
        <v>2021</v>
      </c>
      <c r="J153" s="48">
        <f>_xlfn.XLOOKUP(F153,'3. Input (des)investeringen '!$B$11:$B$80,'3. Input (des)investeringen '!$D$11:$D$80)</f>
        <v>10</v>
      </c>
      <c r="K153" s="48">
        <f>_xlfn.XLOOKUP(F153,'3. Input (des)investeringen '!$B$11:$B$80,'3. Input (des)investeringen '!$E$11:$E$80)</f>
        <v>1</v>
      </c>
      <c r="L153" s="48">
        <f>'7. Input incidentele correcties'!J158</f>
        <v>0</v>
      </c>
      <c r="M153" s="48">
        <f>'7. Input incidentele correcties'!K158</f>
        <v>0</v>
      </c>
    </row>
    <row r="154" spans="2:13">
      <c r="B154" s="43" t="str">
        <f>'7. Input incidentele correcties'!B159</f>
        <v>Asset 114</v>
      </c>
      <c r="F154" s="43" t="str">
        <f>'7. Input incidentele correcties'!F159</f>
        <v>11 Werktuigen</v>
      </c>
      <c r="G154" s="43">
        <f>'7. Input incidentele correcties'!G159</f>
        <v>2004</v>
      </c>
      <c r="H154" s="48">
        <f>'7. Input incidentele correcties'!H159</f>
        <v>77020.09</v>
      </c>
      <c r="I154" s="43">
        <f>'7. Input incidentele correcties'!I159</f>
        <v>2021</v>
      </c>
      <c r="J154" s="48">
        <f>_xlfn.XLOOKUP(F154,'3. Input (des)investeringen '!$B$11:$B$80,'3. Input (des)investeringen '!$D$11:$D$80)</f>
        <v>10</v>
      </c>
      <c r="K154" s="48">
        <f>_xlfn.XLOOKUP(F154,'3. Input (des)investeringen '!$B$11:$B$80,'3. Input (des)investeringen '!$E$11:$E$80)</f>
        <v>1</v>
      </c>
      <c r="L154" s="48">
        <f>'7. Input incidentele correcties'!J159</f>
        <v>0</v>
      </c>
      <c r="M154" s="48">
        <f>'7. Input incidentele correcties'!K159</f>
        <v>0</v>
      </c>
    </row>
    <row r="155" spans="2:13">
      <c r="B155" s="43" t="str">
        <f>'7. Input incidentele correcties'!B160</f>
        <v>Asset 115</v>
      </c>
      <c r="F155" s="43" t="str">
        <f>'7. Input incidentele correcties'!F160</f>
        <v>14 Overig rollend materieel</v>
      </c>
      <c r="G155" s="43">
        <f>'7. Input incidentele correcties'!G160</f>
        <v>2004</v>
      </c>
      <c r="H155" s="48">
        <f>'7. Input incidentele correcties'!H160</f>
        <v>195332.07</v>
      </c>
      <c r="I155" s="43">
        <f>'7. Input incidentele correcties'!I160</f>
        <v>2021</v>
      </c>
      <c r="J155" s="48">
        <f>_xlfn.XLOOKUP(F155,'3. Input (des)investeringen '!$B$11:$B$80,'3. Input (des)investeringen '!$D$11:$D$80)</f>
        <v>10</v>
      </c>
      <c r="K155" s="48">
        <f>_xlfn.XLOOKUP(F155,'3. Input (des)investeringen '!$B$11:$B$80,'3. Input (des)investeringen '!$E$11:$E$80)</f>
        <v>1</v>
      </c>
      <c r="L155" s="48">
        <f>'7. Input incidentele correcties'!J160</f>
        <v>0</v>
      </c>
      <c r="M155" s="48">
        <f>'7. Input incidentele correcties'!K160</f>
        <v>0</v>
      </c>
    </row>
    <row r="156" spans="2:13">
      <c r="B156" s="43" t="str">
        <f>'7. Input incidentele correcties'!B161</f>
        <v>Asset 116</v>
      </c>
      <c r="F156" s="43" t="str">
        <f>'7. Input incidentele correcties'!F161</f>
        <v>13 Aanhangwagens</v>
      </c>
      <c r="G156" s="43">
        <f>'7. Input incidentele correcties'!G161</f>
        <v>2004</v>
      </c>
      <c r="H156" s="48">
        <f>'7. Input incidentele correcties'!H161</f>
        <v>1265</v>
      </c>
      <c r="I156" s="43">
        <f>'7. Input incidentele correcties'!I161</f>
        <v>2021</v>
      </c>
      <c r="J156" s="48">
        <f>_xlfn.XLOOKUP(F156,'3. Input (des)investeringen '!$B$11:$B$80,'3. Input (des)investeringen '!$D$11:$D$80)</f>
        <v>10</v>
      </c>
      <c r="K156" s="48">
        <f>_xlfn.XLOOKUP(F156,'3. Input (des)investeringen '!$B$11:$B$80,'3. Input (des)investeringen '!$E$11:$E$80)</f>
        <v>1</v>
      </c>
      <c r="L156" s="48">
        <f>'7. Input incidentele correcties'!J161</f>
        <v>0</v>
      </c>
      <c r="M156" s="48">
        <f>'7. Input incidentele correcties'!K161</f>
        <v>0</v>
      </c>
    </row>
    <row r="157" spans="2:13">
      <c r="B157" s="43" t="str">
        <f>'7. Input incidentele correcties'!B162</f>
        <v>Asset 117</v>
      </c>
      <c r="F157" s="43" t="str">
        <f>'7. Input incidentele correcties'!F162</f>
        <v>08 Inrichting gebouwen</v>
      </c>
      <c r="G157" s="43">
        <f>'7. Input incidentele correcties'!G162</f>
        <v>2004</v>
      </c>
      <c r="H157" s="48">
        <f>'7. Input incidentele correcties'!H162</f>
        <v>62865.23</v>
      </c>
      <c r="I157" s="43">
        <f>'7. Input incidentele correcties'!I162</f>
        <v>2021</v>
      </c>
      <c r="J157" s="48">
        <f>_xlfn.XLOOKUP(F157,'3. Input (des)investeringen '!$B$11:$B$80,'3. Input (des)investeringen '!$D$11:$D$80)</f>
        <v>10</v>
      </c>
      <c r="K157" s="48">
        <f>_xlfn.XLOOKUP(F157,'3. Input (des)investeringen '!$B$11:$B$80,'3. Input (des)investeringen '!$E$11:$E$80)</f>
        <v>0</v>
      </c>
      <c r="L157" s="48">
        <f>'7. Input incidentele correcties'!J162</f>
        <v>0</v>
      </c>
      <c r="M157" s="48">
        <f>'7. Input incidentele correcties'!K162</f>
        <v>0</v>
      </c>
    </row>
    <row r="158" spans="2:13">
      <c r="B158" s="43" t="str">
        <f>'7. Input incidentele correcties'!B163</f>
        <v>Asset 118</v>
      </c>
      <c r="F158" s="43" t="str">
        <f>'7. Input incidentele correcties'!F163</f>
        <v>12 Motorvoertuigen</v>
      </c>
      <c r="G158" s="43">
        <f>'7. Input incidentele correcties'!G163</f>
        <v>2004</v>
      </c>
      <c r="H158" s="48">
        <f>'7. Input incidentele correcties'!H163</f>
        <v>47369.03</v>
      </c>
      <c r="I158" s="43">
        <f>'7. Input incidentele correcties'!I163</f>
        <v>2021</v>
      </c>
      <c r="J158" s="48">
        <f>_xlfn.XLOOKUP(F158,'3. Input (des)investeringen '!$B$11:$B$80,'3. Input (des)investeringen '!$D$11:$D$80)</f>
        <v>10</v>
      </c>
      <c r="K158" s="48">
        <f>_xlfn.XLOOKUP(F158,'3. Input (des)investeringen '!$B$11:$B$80,'3. Input (des)investeringen '!$E$11:$E$80)</f>
        <v>1</v>
      </c>
      <c r="L158" s="48">
        <f>'7. Input incidentele correcties'!J163</f>
        <v>0</v>
      </c>
      <c r="M158" s="48">
        <f>'7. Input incidentele correcties'!K163</f>
        <v>0</v>
      </c>
    </row>
    <row r="159" spans="2:13">
      <c r="B159" s="43" t="str">
        <f>'7. Input incidentele correcties'!B164</f>
        <v>Asset 119</v>
      </c>
      <c r="F159" s="43" t="str">
        <f>'7. Input incidentele correcties'!F164</f>
        <v>06 Utiliteitsgebouwen</v>
      </c>
      <c r="G159" s="43">
        <f>'7. Input incidentele correcties'!G164</f>
        <v>2005</v>
      </c>
      <c r="H159" s="48">
        <f>'7. Input incidentele correcties'!H164</f>
        <v>13716.41</v>
      </c>
      <c r="I159" s="43">
        <f>'7. Input incidentele correcties'!I164</f>
        <v>2021</v>
      </c>
      <c r="J159" s="48">
        <f>_xlfn.XLOOKUP(F159,'3. Input (des)investeringen '!$B$11:$B$80,'3. Input (des)investeringen '!$D$11:$D$80)</f>
        <v>30</v>
      </c>
      <c r="K159" s="48">
        <f>_xlfn.XLOOKUP(F159,'3. Input (des)investeringen '!$B$11:$B$80,'3. Input (des)investeringen '!$E$11:$E$80)</f>
        <v>0</v>
      </c>
      <c r="L159" s="48">
        <f>'7. Input incidentele correcties'!J164</f>
        <v>7968.2289834864932</v>
      </c>
      <c r="M159" s="48">
        <f>'7. Input incidentele correcties'!K164</f>
        <v>0</v>
      </c>
    </row>
    <row r="160" spans="2:13">
      <c r="B160" s="43" t="str">
        <f>'7. Input incidentele correcties'!B165</f>
        <v>Asset 120</v>
      </c>
      <c r="F160" s="43" t="str">
        <f>'7. Input incidentele correcties'!F165</f>
        <v>13 Aanhangwagens</v>
      </c>
      <c r="G160" s="43">
        <f>'7. Input incidentele correcties'!G165</f>
        <v>2005</v>
      </c>
      <c r="H160" s="48">
        <f>'7. Input incidentele correcties'!H165</f>
        <v>5690.5</v>
      </c>
      <c r="I160" s="43">
        <f>'7. Input incidentele correcties'!I165</f>
        <v>2021</v>
      </c>
      <c r="J160" s="48">
        <f>_xlfn.XLOOKUP(F160,'3. Input (des)investeringen '!$B$11:$B$80,'3. Input (des)investeringen '!$D$11:$D$80)</f>
        <v>10</v>
      </c>
      <c r="K160" s="48">
        <f>_xlfn.XLOOKUP(F160,'3. Input (des)investeringen '!$B$11:$B$80,'3. Input (des)investeringen '!$E$11:$E$80)</f>
        <v>1</v>
      </c>
      <c r="L160" s="48">
        <f>'7. Input incidentele correcties'!J165</f>
        <v>0</v>
      </c>
      <c r="M160" s="48">
        <f>'7. Input incidentele correcties'!K165</f>
        <v>0</v>
      </c>
    </row>
    <row r="161" spans="2:13">
      <c r="B161" s="43" t="str">
        <f>'7. Input incidentele correcties'!B166</f>
        <v>Asset 121</v>
      </c>
      <c r="F161" s="43" t="str">
        <f>'7. Input incidentele correcties'!F166</f>
        <v>08 Inrichting gebouwen</v>
      </c>
      <c r="G161" s="43">
        <f>'7. Input incidentele correcties'!G166</f>
        <v>2005</v>
      </c>
      <c r="H161" s="48">
        <f>'7. Input incidentele correcties'!H166</f>
        <v>149702.98000000001</v>
      </c>
      <c r="I161" s="43">
        <f>'7. Input incidentele correcties'!I166</f>
        <v>2021</v>
      </c>
      <c r="J161" s="48">
        <f>_xlfn.XLOOKUP(F161,'3. Input (des)investeringen '!$B$11:$B$80,'3. Input (des)investeringen '!$D$11:$D$80)</f>
        <v>10</v>
      </c>
      <c r="K161" s="48">
        <f>_xlfn.XLOOKUP(F161,'3. Input (des)investeringen '!$B$11:$B$80,'3. Input (des)investeringen '!$E$11:$E$80)</f>
        <v>0</v>
      </c>
      <c r="L161" s="48">
        <f>'7. Input incidentele correcties'!J166</f>
        <v>0</v>
      </c>
      <c r="M161" s="48">
        <f>'7. Input incidentele correcties'!K166</f>
        <v>0</v>
      </c>
    </row>
    <row r="162" spans="2:13">
      <c r="B162" s="43" t="str">
        <f>'7. Input incidentele correcties'!B167</f>
        <v>Asset 122</v>
      </c>
      <c r="F162" s="43" t="str">
        <f>'7. Input incidentele correcties'!F167</f>
        <v>12 Motorvoertuigen</v>
      </c>
      <c r="G162" s="43">
        <f>'7. Input incidentele correcties'!G167</f>
        <v>2005</v>
      </c>
      <c r="H162" s="48">
        <f>'7. Input incidentele correcties'!H167</f>
        <v>144500</v>
      </c>
      <c r="I162" s="43">
        <f>'7. Input incidentele correcties'!I167</f>
        <v>2021</v>
      </c>
      <c r="J162" s="48">
        <f>_xlfn.XLOOKUP(F162,'3. Input (des)investeringen '!$B$11:$B$80,'3. Input (des)investeringen '!$D$11:$D$80)</f>
        <v>10</v>
      </c>
      <c r="K162" s="48">
        <f>_xlfn.XLOOKUP(F162,'3. Input (des)investeringen '!$B$11:$B$80,'3. Input (des)investeringen '!$E$11:$E$80)</f>
        <v>1</v>
      </c>
      <c r="L162" s="48">
        <f>'7. Input incidentele correcties'!J167</f>
        <v>0</v>
      </c>
      <c r="M162" s="48">
        <f>'7. Input incidentele correcties'!K167</f>
        <v>0</v>
      </c>
    </row>
    <row r="163" spans="2:13">
      <c r="B163" s="43" t="str">
        <f>'7. Input incidentele correcties'!B168</f>
        <v>Asset 123</v>
      </c>
      <c r="F163" s="43" t="str">
        <f>'7. Input incidentele correcties'!F168</f>
        <v>09 Bedrijfsinventaris</v>
      </c>
      <c r="G163" s="43">
        <f>'7. Input incidentele correcties'!G168</f>
        <v>2005</v>
      </c>
      <c r="H163" s="48">
        <f>'7. Input incidentele correcties'!H168</f>
        <v>22500</v>
      </c>
      <c r="I163" s="43">
        <f>'7. Input incidentele correcties'!I168</f>
        <v>2021</v>
      </c>
      <c r="J163" s="48">
        <f>_xlfn.XLOOKUP(F163,'3. Input (des)investeringen '!$B$11:$B$80,'3. Input (des)investeringen '!$D$11:$D$80)</f>
        <v>10</v>
      </c>
      <c r="K163" s="48">
        <f>_xlfn.XLOOKUP(F163,'3. Input (des)investeringen '!$B$11:$B$80,'3. Input (des)investeringen '!$E$11:$E$80)</f>
        <v>1</v>
      </c>
      <c r="L163" s="48">
        <f>'7. Input incidentele correcties'!J168</f>
        <v>0</v>
      </c>
      <c r="M163" s="48">
        <f>'7. Input incidentele correcties'!K168</f>
        <v>0</v>
      </c>
    </row>
    <row r="164" spans="2:13">
      <c r="B164" s="43" t="str">
        <f>'7. Input incidentele correcties'!B169</f>
        <v>Asset 124</v>
      </c>
      <c r="F164" s="43" t="str">
        <f>'7. Input incidentele correcties'!F169</f>
        <v>14 Overig rollend materieel</v>
      </c>
      <c r="G164" s="43">
        <f>'7. Input incidentele correcties'!G169</f>
        <v>2006</v>
      </c>
      <c r="H164" s="48">
        <f>'7. Input incidentele correcties'!H169</f>
        <v>23374</v>
      </c>
      <c r="I164" s="43">
        <f>'7. Input incidentele correcties'!I169</f>
        <v>2021</v>
      </c>
      <c r="J164" s="48">
        <f>_xlfn.XLOOKUP(F164,'3. Input (des)investeringen '!$B$11:$B$80,'3. Input (des)investeringen '!$D$11:$D$80)</f>
        <v>10</v>
      </c>
      <c r="K164" s="48">
        <f>_xlfn.XLOOKUP(F164,'3. Input (des)investeringen '!$B$11:$B$80,'3. Input (des)investeringen '!$E$11:$E$80)</f>
        <v>1</v>
      </c>
      <c r="L164" s="48">
        <f>'7. Input incidentele correcties'!J169</f>
        <v>0</v>
      </c>
      <c r="M164" s="48">
        <f>'7. Input incidentele correcties'!K169</f>
        <v>0</v>
      </c>
    </row>
    <row r="165" spans="2:13">
      <c r="B165" s="43" t="str">
        <f>'7. Input incidentele correcties'!B170</f>
        <v>Asset 125</v>
      </c>
      <c r="F165" s="43" t="str">
        <f>'7. Input incidentele correcties'!F170</f>
        <v>06 Utiliteitsgebouwen</v>
      </c>
      <c r="G165" s="43">
        <f>'7. Input incidentele correcties'!G170</f>
        <v>2006</v>
      </c>
      <c r="H165" s="48">
        <f>'7. Input incidentele correcties'!H170</f>
        <v>216791.4</v>
      </c>
      <c r="I165" s="43">
        <f>'7. Input incidentele correcties'!I170</f>
        <v>2021</v>
      </c>
      <c r="J165" s="48">
        <f>_xlfn.XLOOKUP(F165,'3. Input (des)investeringen '!$B$11:$B$80,'3. Input (des)investeringen '!$D$11:$D$80)</f>
        <v>30</v>
      </c>
      <c r="K165" s="48">
        <f>_xlfn.XLOOKUP(F165,'3. Input (des)investeringen '!$B$11:$B$80,'3. Input (des)investeringen '!$E$11:$E$80)</f>
        <v>0</v>
      </c>
      <c r="L165" s="48">
        <f>'7. Input incidentele correcties'!J170</f>
        <v>132877.0119526372</v>
      </c>
      <c r="M165" s="48">
        <f>'7. Input incidentele correcties'!K170</f>
        <v>0</v>
      </c>
    </row>
    <row r="166" spans="2:13">
      <c r="B166" s="43" t="str">
        <f>'7. Input incidentele correcties'!B171</f>
        <v>Asset 126</v>
      </c>
      <c r="F166" s="43" t="str">
        <f>'7. Input incidentele correcties'!F171</f>
        <v>11 Werktuigen</v>
      </c>
      <c r="G166" s="43">
        <f>'7. Input incidentele correcties'!G171</f>
        <v>2006</v>
      </c>
      <c r="H166" s="48">
        <f>'7. Input incidentele correcties'!H171</f>
        <v>39984.959999999999</v>
      </c>
      <c r="I166" s="43">
        <f>'7. Input incidentele correcties'!I171</f>
        <v>2021</v>
      </c>
      <c r="J166" s="48">
        <f>_xlfn.XLOOKUP(F166,'3. Input (des)investeringen '!$B$11:$B$80,'3. Input (des)investeringen '!$D$11:$D$80)</f>
        <v>10</v>
      </c>
      <c r="K166" s="48">
        <f>_xlfn.XLOOKUP(F166,'3. Input (des)investeringen '!$B$11:$B$80,'3. Input (des)investeringen '!$E$11:$E$80)</f>
        <v>1</v>
      </c>
      <c r="L166" s="48">
        <f>'7. Input incidentele correcties'!J171</f>
        <v>0</v>
      </c>
      <c r="M166" s="48">
        <f>'7. Input incidentele correcties'!K171</f>
        <v>0</v>
      </c>
    </row>
    <row r="167" spans="2:13">
      <c r="B167" s="43" t="str">
        <f>'7. Input incidentele correcties'!B172</f>
        <v>Asset 127</v>
      </c>
      <c r="F167" s="43" t="str">
        <f>'7. Input incidentele correcties'!F172</f>
        <v>06 Utiliteitsgebouwen</v>
      </c>
      <c r="G167" s="43">
        <f>'7. Input incidentele correcties'!G172</f>
        <v>2007</v>
      </c>
      <c r="H167" s="48">
        <f>'7. Input incidentele correcties'!H172</f>
        <v>25858.771191949236</v>
      </c>
      <c r="I167" s="43">
        <f>'7. Input incidentele correcties'!I172</f>
        <v>2021</v>
      </c>
      <c r="J167" s="48">
        <f>_xlfn.XLOOKUP(F167,'3. Input (des)investeringen '!$B$11:$B$80,'3. Input (des)investeringen '!$D$11:$D$80)</f>
        <v>30</v>
      </c>
      <c r="K167" s="48">
        <f>_xlfn.XLOOKUP(F167,'3. Input (des)investeringen '!$B$11:$B$80,'3. Input (des)investeringen '!$E$11:$E$80)</f>
        <v>0</v>
      </c>
      <c r="L167" s="48">
        <f>'7. Input incidentele correcties'!J172</f>
        <v>16708.652536273155</v>
      </c>
      <c r="M167" s="48">
        <f>'7. Input incidentele correcties'!K172</f>
        <v>0</v>
      </c>
    </row>
    <row r="168" spans="2:13">
      <c r="B168" s="43" t="str">
        <f>'7. Input incidentele correcties'!B173</f>
        <v>Asset 128</v>
      </c>
      <c r="F168" s="43" t="str">
        <f>'7. Input incidentele correcties'!F173</f>
        <v>11 Werktuigen</v>
      </c>
      <c r="G168" s="43">
        <f>'7. Input incidentele correcties'!G173</f>
        <v>2007</v>
      </c>
      <c r="H168" s="48">
        <f>'7. Input incidentele correcties'!H173</f>
        <v>1088351.8199999998</v>
      </c>
      <c r="I168" s="43">
        <f>'7. Input incidentele correcties'!I173</f>
        <v>2021</v>
      </c>
      <c r="J168" s="48">
        <f>_xlfn.XLOOKUP(F168,'3. Input (des)investeringen '!$B$11:$B$80,'3. Input (des)investeringen '!$D$11:$D$80)</f>
        <v>10</v>
      </c>
      <c r="K168" s="48">
        <f>_xlfn.XLOOKUP(F168,'3. Input (des)investeringen '!$B$11:$B$80,'3. Input (des)investeringen '!$E$11:$E$80)</f>
        <v>1</v>
      </c>
      <c r="L168" s="48">
        <f>'7. Input incidentele correcties'!J173</f>
        <v>0</v>
      </c>
      <c r="M168" s="48">
        <f>'7. Input incidentele correcties'!K173</f>
        <v>0</v>
      </c>
    </row>
    <row r="169" spans="2:13">
      <c r="B169" s="43" t="str">
        <f>'7. Input incidentele correcties'!B174</f>
        <v>Asset 129</v>
      </c>
      <c r="F169" s="43" t="str">
        <f>'7. Input incidentele correcties'!F174</f>
        <v>14 Overig rollend materieel</v>
      </c>
      <c r="G169" s="43">
        <f>'7. Input incidentele correcties'!G174</f>
        <v>2007</v>
      </c>
      <c r="H169" s="48">
        <f>'7. Input incidentele correcties'!H174</f>
        <v>661943.85</v>
      </c>
      <c r="I169" s="43">
        <f>'7. Input incidentele correcties'!I174</f>
        <v>2021</v>
      </c>
      <c r="J169" s="48">
        <f>_xlfn.XLOOKUP(F169,'3. Input (des)investeringen '!$B$11:$B$80,'3. Input (des)investeringen '!$D$11:$D$80)</f>
        <v>10</v>
      </c>
      <c r="K169" s="48">
        <f>_xlfn.XLOOKUP(F169,'3. Input (des)investeringen '!$B$11:$B$80,'3. Input (des)investeringen '!$E$11:$E$80)</f>
        <v>1</v>
      </c>
      <c r="L169" s="48">
        <f>'7. Input incidentele correcties'!J174</f>
        <v>0</v>
      </c>
      <c r="M169" s="48">
        <f>'7. Input incidentele correcties'!K174</f>
        <v>0</v>
      </c>
    </row>
    <row r="170" spans="2:13">
      <c r="B170" s="43" t="str">
        <f>'7. Input incidentele correcties'!B175</f>
        <v>Asset 130</v>
      </c>
      <c r="F170" s="43" t="str">
        <f>'7. Input incidentele correcties'!F175</f>
        <v>12 Motorvoertuigen</v>
      </c>
      <c r="G170" s="43">
        <f>'7. Input incidentele correcties'!G175</f>
        <v>2007</v>
      </c>
      <c r="H170" s="48">
        <f>'7. Input incidentele correcties'!H175</f>
        <v>154091.65000000002</v>
      </c>
      <c r="I170" s="43">
        <f>'7. Input incidentele correcties'!I175</f>
        <v>2021</v>
      </c>
      <c r="J170" s="48">
        <f>_xlfn.XLOOKUP(F170,'3. Input (des)investeringen '!$B$11:$B$80,'3. Input (des)investeringen '!$D$11:$D$80)</f>
        <v>10</v>
      </c>
      <c r="K170" s="48">
        <f>_xlfn.XLOOKUP(F170,'3. Input (des)investeringen '!$B$11:$B$80,'3. Input (des)investeringen '!$E$11:$E$80)</f>
        <v>1</v>
      </c>
      <c r="L170" s="48">
        <f>'7. Input incidentele correcties'!J175</f>
        <v>0</v>
      </c>
      <c r="M170" s="48">
        <f>'7. Input incidentele correcties'!K175</f>
        <v>0</v>
      </c>
    </row>
    <row r="171" spans="2:13">
      <c r="B171" s="43" t="str">
        <f>'7. Input incidentele correcties'!B176</f>
        <v>Asset 131</v>
      </c>
      <c r="F171" s="43" t="str">
        <f>'7. Input incidentele correcties'!F176</f>
        <v>05 Wegen en terreinvoorzieningen</v>
      </c>
      <c r="G171" s="43">
        <f>'7. Input incidentele correcties'!G176</f>
        <v>2007</v>
      </c>
      <c r="H171" s="48">
        <f>'7. Input incidentele correcties'!H176</f>
        <v>79744.08</v>
      </c>
      <c r="I171" s="43">
        <f>'7. Input incidentele correcties'!I176</f>
        <v>2021</v>
      </c>
      <c r="J171" s="48">
        <f>_xlfn.XLOOKUP(F171,'3. Input (des)investeringen '!$B$11:$B$80,'3. Input (des)investeringen '!$D$11:$D$80)</f>
        <v>10</v>
      </c>
      <c r="K171" s="48">
        <f>_xlfn.XLOOKUP(F171,'3. Input (des)investeringen '!$B$11:$B$80,'3. Input (des)investeringen '!$E$11:$E$80)</f>
        <v>0</v>
      </c>
      <c r="L171" s="48">
        <f>'7. Input incidentele correcties'!J176</f>
        <v>0</v>
      </c>
      <c r="M171" s="48">
        <f>'7. Input incidentele correcties'!K176</f>
        <v>0</v>
      </c>
    </row>
    <row r="172" spans="2:13">
      <c r="B172" s="43" t="str">
        <f>'7. Input incidentele correcties'!B177</f>
        <v>Asset 132</v>
      </c>
      <c r="F172" s="43" t="str">
        <f>'7. Input incidentele correcties'!F177</f>
        <v>20 Kantoorgebouwen</v>
      </c>
      <c r="G172" s="43">
        <f>'7. Input incidentele correcties'!G177</f>
        <v>2008</v>
      </c>
      <c r="H172" s="48">
        <f>'7. Input incidentele correcties'!H177</f>
        <v>4978200.5000000009</v>
      </c>
      <c r="I172" s="43">
        <f>'7. Input incidentele correcties'!I177</f>
        <v>2021</v>
      </c>
      <c r="J172" s="48">
        <f>_xlfn.XLOOKUP(F172,'3. Input (des)investeringen '!$B$11:$B$80,'3. Input (des)investeringen '!$D$11:$D$80)</f>
        <v>30</v>
      </c>
      <c r="K172" s="48">
        <f>_xlfn.XLOOKUP(F172,'3. Input (des)investeringen '!$B$11:$B$80,'3. Input (des)investeringen '!$E$11:$E$80)</f>
        <v>0</v>
      </c>
      <c r="L172" s="48">
        <f>'7. Input incidentele correcties'!J177</f>
        <v>3386936.2239016104</v>
      </c>
      <c r="M172" s="48">
        <f>'7. Input incidentele correcties'!K177</f>
        <v>0</v>
      </c>
    </row>
    <row r="173" spans="2:13">
      <c r="B173" s="43" t="str">
        <f>'7. Input incidentele correcties'!B178</f>
        <v>Asset 133</v>
      </c>
      <c r="F173" s="43" t="str">
        <f>'7. Input incidentele correcties'!F178</f>
        <v>06 Utiliteitsgebouwen</v>
      </c>
      <c r="G173" s="43">
        <f>'7. Input incidentele correcties'!G178</f>
        <v>2008</v>
      </c>
      <c r="H173" s="48">
        <f>'7. Input incidentele correcties'!H178</f>
        <v>233293.04544821067</v>
      </c>
      <c r="I173" s="43">
        <f>'7. Input incidentele correcties'!I178</f>
        <v>2021</v>
      </c>
      <c r="J173" s="48">
        <f>_xlfn.XLOOKUP(F173,'3. Input (des)investeringen '!$B$11:$B$80,'3. Input (des)investeringen '!$D$11:$D$80)</f>
        <v>30</v>
      </c>
      <c r="K173" s="48">
        <f>_xlfn.XLOOKUP(F173,'3. Input (des)investeringen '!$B$11:$B$80,'3. Input (des)investeringen '!$E$11:$E$80)</f>
        <v>0</v>
      </c>
      <c r="L173" s="48">
        <f>'7. Input incidentele correcties'!J178</f>
        <v>158721.74421517763</v>
      </c>
      <c r="M173" s="48">
        <f>'7. Input incidentele correcties'!K178</f>
        <v>0</v>
      </c>
    </row>
    <row r="174" spans="2:13">
      <c r="B174" s="43" t="str">
        <f>'7. Input incidentele correcties'!B179</f>
        <v>Asset 134</v>
      </c>
      <c r="F174" s="43" t="str">
        <f>'7. Input incidentele correcties'!F179</f>
        <v>10 Gereedschap</v>
      </c>
      <c r="G174" s="43">
        <f>'7. Input incidentele correcties'!G179</f>
        <v>2008</v>
      </c>
      <c r="H174" s="48">
        <f>'7. Input incidentele correcties'!H179</f>
        <v>178157.88</v>
      </c>
      <c r="I174" s="43">
        <f>'7. Input incidentele correcties'!I179</f>
        <v>2021</v>
      </c>
      <c r="J174" s="48">
        <f>_xlfn.XLOOKUP(F174,'3. Input (des)investeringen '!$B$11:$B$80,'3. Input (des)investeringen '!$D$11:$D$80)</f>
        <v>10</v>
      </c>
      <c r="K174" s="48">
        <f>_xlfn.XLOOKUP(F174,'3. Input (des)investeringen '!$B$11:$B$80,'3. Input (des)investeringen '!$E$11:$E$80)</f>
        <v>1</v>
      </c>
      <c r="L174" s="48">
        <f>'7. Input incidentele correcties'!J179</f>
        <v>0</v>
      </c>
      <c r="M174" s="48">
        <f>'7. Input incidentele correcties'!K179</f>
        <v>0</v>
      </c>
    </row>
    <row r="175" spans="2:13">
      <c r="B175" s="43" t="str">
        <f>'7. Input incidentele correcties'!B180</f>
        <v>Asset 135</v>
      </c>
      <c r="F175" s="43" t="str">
        <f>'7. Input incidentele correcties'!F180</f>
        <v>14 Overig rollend materieel</v>
      </c>
      <c r="G175" s="43">
        <f>'7. Input incidentele correcties'!G180</f>
        <v>2008</v>
      </c>
      <c r="H175" s="48">
        <f>'7. Input incidentele correcties'!H180</f>
        <v>1299449.8500000001</v>
      </c>
      <c r="I175" s="43">
        <f>'7. Input incidentele correcties'!I180</f>
        <v>2021</v>
      </c>
      <c r="J175" s="48">
        <f>_xlfn.XLOOKUP(F175,'3. Input (des)investeringen '!$B$11:$B$80,'3. Input (des)investeringen '!$D$11:$D$80)</f>
        <v>10</v>
      </c>
      <c r="K175" s="48">
        <f>_xlfn.XLOOKUP(F175,'3. Input (des)investeringen '!$B$11:$B$80,'3. Input (des)investeringen '!$E$11:$E$80)</f>
        <v>1</v>
      </c>
      <c r="L175" s="48">
        <f>'7. Input incidentele correcties'!J180</f>
        <v>0</v>
      </c>
      <c r="M175" s="48">
        <f>'7. Input incidentele correcties'!K180</f>
        <v>0</v>
      </c>
    </row>
    <row r="176" spans="2:13">
      <c r="B176" s="43" t="str">
        <f>'7. Input incidentele correcties'!B181</f>
        <v>Asset 136</v>
      </c>
      <c r="F176" s="43" t="str">
        <f>'7. Input incidentele correcties'!F181</f>
        <v>37 ICT middelen 1 (gaschromatografen en comptabele meting)</v>
      </c>
      <c r="G176" s="43">
        <f>'7. Input incidentele correcties'!G181</f>
        <v>2008</v>
      </c>
      <c r="H176" s="48">
        <f>'7. Input incidentele correcties'!H181</f>
        <v>8310.1200000000008</v>
      </c>
      <c r="I176" s="43">
        <f>'7. Input incidentele correcties'!I181</f>
        <v>2021</v>
      </c>
      <c r="J176" s="48">
        <f>_xlfn.XLOOKUP(F176,'3. Input (des)investeringen '!$B$11:$B$80,'3. Input (des)investeringen '!$D$11:$D$80)</f>
        <v>5</v>
      </c>
      <c r="K176" s="48">
        <f>_xlfn.XLOOKUP(F176,'3. Input (des)investeringen '!$B$11:$B$80,'3. Input (des)investeringen '!$E$11:$E$80)</f>
        <v>0</v>
      </c>
      <c r="L176" s="48">
        <f>'7. Input incidentele correcties'!J181</f>
        <v>0</v>
      </c>
      <c r="M176" s="48">
        <f>'7. Input incidentele correcties'!K181</f>
        <v>0</v>
      </c>
    </row>
    <row r="177" spans="2:13">
      <c r="B177" s="43" t="str">
        <f>'7. Input incidentele correcties'!B182</f>
        <v>Asset 137</v>
      </c>
      <c r="F177" s="43" t="str">
        <f>'7. Input incidentele correcties'!F182</f>
        <v>11 Werktuigen</v>
      </c>
      <c r="G177" s="43">
        <f>'7. Input incidentele correcties'!G182</f>
        <v>2008</v>
      </c>
      <c r="H177" s="48">
        <f>'7. Input incidentele correcties'!H182</f>
        <v>427546.18</v>
      </c>
      <c r="I177" s="43">
        <f>'7. Input incidentele correcties'!I182</f>
        <v>2021</v>
      </c>
      <c r="J177" s="48">
        <f>_xlfn.XLOOKUP(F177,'3. Input (des)investeringen '!$B$11:$B$80,'3. Input (des)investeringen '!$D$11:$D$80)</f>
        <v>10</v>
      </c>
      <c r="K177" s="48">
        <f>_xlfn.XLOOKUP(F177,'3. Input (des)investeringen '!$B$11:$B$80,'3. Input (des)investeringen '!$E$11:$E$80)</f>
        <v>1</v>
      </c>
      <c r="L177" s="48">
        <f>'7. Input incidentele correcties'!J182</f>
        <v>0</v>
      </c>
      <c r="M177" s="48">
        <f>'7. Input incidentele correcties'!K182</f>
        <v>0</v>
      </c>
    </row>
    <row r="178" spans="2:13">
      <c r="B178" s="43" t="str">
        <f>'7. Input incidentele correcties'!B183</f>
        <v>Asset 138</v>
      </c>
      <c r="F178" s="43" t="str">
        <f>'7. Input incidentele correcties'!F183</f>
        <v>08 Inrichting gebouwen</v>
      </c>
      <c r="G178" s="43">
        <f>'7. Input incidentele correcties'!G183</f>
        <v>2008</v>
      </c>
      <c r="H178" s="48">
        <f>'7. Input incidentele correcties'!H183</f>
        <v>1194171.3899999999</v>
      </c>
      <c r="I178" s="43">
        <f>'7. Input incidentele correcties'!I183</f>
        <v>2021</v>
      </c>
      <c r="J178" s="48">
        <f>_xlfn.XLOOKUP(F178,'3. Input (des)investeringen '!$B$11:$B$80,'3. Input (des)investeringen '!$D$11:$D$80)</f>
        <v>10</v>
      </c>
      <c r="K178" s="48">
        <f>_xlfn.XLOOKUP(F178,'3. Input (des)investeringen '!$B$11:$B$80,'3. Input (des)investeringen '!$E$11:$E$80)</f>
        <v>0</v>
      </c>
      <c r="L178" s="48">
        <f>'7. Input incidentele correcties'!J183</f>
        <v>0</v>
      </c>
      <c r="M178" s="48">
        <f>'7. Input incidentele correcties'!K183</f>
        <v>0</v>
      </c>
    </row>
    <row r="179" spans="2:13">
      <c r="B179" s="43" t="str">
        <f>'7. Input incidentele correcties'!B184</f>
        <v>Asset 139</v>
      </c>
      <c r="F179" s="43" t="str">
        <f>'7. Input incidentele correcties'!F184</f>
        <v>08 Inrichting gebouwen</v>
      </c>
      <c r="G179" s="43">
        <f>'7. Input incidentele correcties'!G184</f>
        <v>2009</v>
      </c>
      <c r="H179" s="48">
        <f>'7. Input incidentele correcties'!H184</f>
        <v>124506.82</v>
      </c>
      <c r="I179" s="43">
        <f>'7. Input incidentele correcties'!I184</f>
        <v>2021</v>
      </c>
      <c r="J179" s="48">
        <f>_xlfn.XLOOKUP(F179,'3. Input (des)investeringen '!$B$11:$B$80,'3. Input (des)investeringen '!$D$11:$D$80)</f>
        <v>10</v>
      </c>
      <c r="K179" s="48">
        <f>_xlfn.XLOOKUP(F179,'3. Input (des)investeringen '!$B$11:$B$80,'3. Input (des)investeringen '!$E$11:$E$80)</f>
        <v>0</v>
      </c>
      <c r="L179" s="48">
        <f>'7. Input incidentele correcties'!J184</f>
        <v>0</v>
      </c>
      <c r="M179" s="48">
        <f>'7. Input incidentele correcties'!K184</f>
        <v>0</v>
      </c>
    </row>
    <row r="180" spans="2:13">
      <c r="B180" s="43" t="str">
        <f>'7. Input incidentele correcties'!B185</f>
        <v>Asset 140</v>
      </c>
      <c r="F180" s="43" t="str">
        <f>'7. Input incidentele correcties'!F185</f>
        <v>14 Overig rollend materieel</v>
      </c>
      <c r="G180" s="43">
        <f>'7. Input incidentele correcties'!G185</f>
        <v>2009</v>
      </c>
      <c r="H180" s="48">
        <f>'7. Input incidentele correcties'!H185</f>
        <v>285378.59999999998</v>
      </c>
      <c r="I180" s="43">
        <f>'7. Input incidentele correcties'!I185</f>
        <v>2021</v>
      </c>
      <c r="J180" s="48">
        <f>_xlfn.XLOOKUP(F180,'3. Input (des)investeringen '!$B$11:$B$80,'3. Input (des)investeringen '!$D$11:$D$80)</f>
        <v>10</v>
      </c>
      <c r="K180" s="48">
        <f>_xlfn.XLOOKUP(F180,'3. Input (des)investeringen '!$B$11:$B$80,'3. Input (des)investeringen '!$E$11:$E$80)</f>
        <v>1</v>
      </c>
      <c r="L180" s="48">
        <f>'7. Input incidentele correcties'!J185</f>
        <v>0</v>
      </c>
      <c r="M180" s="48">
        <f>'7. Input incidentele correcties'!K185</f>
        <v>0</v>
      </c>
    </row>
    <row r="181" spans="2:13">
      <c r="B181" s="43" t="str">
        <f>'7. Input incidentele correcties'!B186</f>
        <v>Asset 141</v>
      </c>
      <c r="F181" s="43" t="str">
        <f>'7. Input incidentele correcties'!F186</f>
        <v>06 Utiliteitsgebouwen</v>
      </c>
      <c r="G181" s="43">
        <f>'7. Input incidentele correcties'!G186</f>
        <v>2009</v>
      </c>
      <c r="H181" s="48">
        <f>'7. Input incidentele correcties'!H186</f>
        <v>35389.120000000003</v>
      </c>
      <c r="I181" s="43">
        <f>'7. Input incidentele correcties'!I186</f>
        <v>2021</v>
      </c>
      <c r="J181" s="48">
        <f>_xlfn.XLOOKUP(F181,'3. Input (des)investeringen '!$B$11:$B$80,'3. Input (des)investeringen '!$D$11:$D$80)</f>
        <v>30</v>
      </c>
      <c r="K181" s="48">
        <f>_xlfn.XLOOKUP(F181,'3. Input (des)investeringen '!$B$11:$B$80,'3. Input (des)investeringen '!$E$11:$E$80)</f>
        <v>0</v>
      </c>
      <c r="L181" s="48">
        <f>'7. Input incidentele correcties'!J186</f>
        <v>24744.506996892218</v>
      </c>
      <c r="M181" s="48">
        <f>'7. Input incidentele correcties'!K186</f>
        <v>0</v>
      </c>
    </row>
    <row r="182" spans="2:13">
      <c r="B182" s="43" t="str">
        <f>'7. Input incidentele correcties'!B187</f>
        <v>Asset 142</v>
      </c>
      <c r="F182" s="43" t="str">
        <f>'7. Input incidentele correcties'!F187</f>
        <v>09 Bedrijfsinventaris</v>
      </c>
      <c r="G182" s="43">
        <f>'7. Input incidentele correcties'!G187</f>
        <v>2009</v>
      </c>
      <c r="H182" s="48">
        <f>'7. Input incidentele correcties'!H187</f>
        <v>537011.27</v>
      </c>
      <c r="I182" s="43">
        <f>'7. Input incidentele correcties'!I187</f>
        <v>2021</v>
      </c>
      <c r="J182" s="48">
        <f>_xlfn.XLOOKUP(F182,'3. Input (des)investeringen '!$B$11:$B$80,'3. Input (des)investeringen '!$D$11:$D$80)</f>
        <v>10</v>
      </c>
      <c r="K182" s="48">
        <f>_xlfn.XLOOKUP(F182,'3. Input (des)investeringen '!$B$11:$B$80,'3. Input (des)investeringen '!$E$11:$E$80)</f>
        <v>1</v>
      </c>
      <c r="L182" s="48">
        <f>'7. Input incidentele correcties'!J187</f>
        <v>0</v>
      </c>
      <c r="M182" s="48">
        <f>'7. Input incidentele correcties'!K187</f>
        <v>0</v>
      </c>
    </row>
    <row r="183" spans="2:13">
      <c r="B183" s="43" t="str">
        <f>'7. Input incidentele correcties'!B188</f>
        <v>Asset 143</v>
      </c>
      <c r="F183" s="43" t="str">
        <f>'7. Input incidentele correcties'!F188</f>
        <v>20 Kantoorgebouwen</v>
      </c>
      <c r="G183" s="43">
        <f>'7. Input incidentele correcties'!G188</f>
        <v>2009</v>
      </c>
      <c r="H183" s="48">
        <f>'7. Input incidentele correcties'!H188</f>
        <v>2416053.9300000006</v>
      </c>
      <c r="I183" s="43">
        <f>'7. Input incidentele correcties'!I188</f>
        <v>2021</v>
      </c>
      <c r="J183" s="48">
        <f>_xlfn.XLOOKUP(F183,'3. Input (des)investeringen '!$B$11:$B$80,'3. Input (des)investeringen '!$D$11:$D$80)</f>
        <v>30</v>
      </c>
      <c r="K183" s="48">
        <f>_xlfn.XLOOKUP(F183,'3. Input (des)investeringen '!$B$11:$B$80,'3. Input (des)investeringen '!$E$11:$E$80)</f>
        <v>0</v>
      </c>
      <c r="L183" s="48">
        <f>'7. Input incidentele correcties'!J188</f>
        <v>1689334.5575067692</v>
      </c>
      <c r="M183" s="48">
        <f>'7. Input incidentele correcties'!K188</f>
        <v>0</v>
      </c>
    </row>
    <row r="184" spans="2:13">
      <c r="B184" s="43" t="str">
        <f>'7. Input incidentele correcties'!B189</f>
        <v>Asset 144</v>
      </c>
      <c r="F184" s="43" t="str">
        <f>'7. Input incidentele correcties'!F189</f>
        <v>05 Wegen en terreinvoorzieningen</v>
      </c>
      <c r="G184" s="43">
        <f>'7. Input incidentele correcties'!G189</f>
        <v>2009</v>
      </c>
      <c r="H184" s="48">
        <f>'7. Input incidentele correcties'!H189</f>
        <v>97690.9</v>
      </c>
      <c r="I184" s="43">
        <f>'7. Input incidentele correcties'!I189</f>
        <v>2021</v>
      </c>
      <c r="J184" s="48">
        <f>_xlfn.XLOOKUP(F184,'3. Input (des)investeringen '!$B$11:$B$80,'3. Input (des)investeringen '!$D$11:$D$80)</f>
        <v>10</v>
      </c>
      <c r="K184" s="48">
        <f>_xlfn.XLOOKUP(F184,'3. Input (des)investeringen '!$B$11:$B$80,'3. Input (des)investeringen '!$E$11:$E$80)</f>
        <v>0</v>
      </c>
      <c r="L184" s="48">
        <f>'7. Input incidentele correcties'!J189</f>
        <v>0</v>
      </c>
      <c r="M184" s="48">
        <f>'7. Input incidentele correcties'!K189</f>
        <v>0</v>
      </c>
    </row>
    <row r="185" spans="2:13">
      <c r="B185" s="43" t="str">
        <f>'7. Input incidentele correcties'!B190</f>
        <v>Asset 145</v>
      </c>
      <c r="F185" s="43" t="str">
        <f>'7. Input incidentele correcties'!F190</f>
        <v>13 Aanhangwagens</v>
      </c>
      <c r="G185" s="43">
        <f>'7. Input incidentele correcties'!G190</f>
        <v>2009</v>
      </c>
      <c r="H185" s="48">
        <f>'7. Input incidentele correcties'!H190</f>
        <v>655669.05999999994</v>
      </c>
      <c r="I185" s="43">
        <f>'7. Input incidentele correcties'!I190</f>
        <v>2021</v>
      </c>
      <c r="J185" s="48">
        <f>_xlfn.XLOOKUP(F185,'3. Input (des)investeringen '!$B$11:$B$80,'3. Input (des)investeringen '!$D$11:$D$80)</f>
        <v>10</v>
      </c>
      <c r="K185" s="48">
        <f>_xlfn.XLOOKUP(F185,'3. Input (des)investeringen '!$B$11:$B$80,'3. Input (des)investeringen '!$E$11:$E$80)</f>
        <v>1</v>
      </c>
      <c r="L185" s="48">
        <f>'7. Input incidentele correcties'!J190</f>
        <v>0</v>
      </c>
      <c r="M185" s="48">
        <f>'7. Input incidentele correcties'!K190</f>
        <v>0</v>
      </c>
    </row>
    <row r="186" spans="2:13">
      <c r="B186" s="43" t="str">
        <f>'7. Input incidentele correcties'!B191</f>
        <v>Asset 146</v>
      </c>
      <c r="F186" s="43" t="str">
        <f>'7. Input incidentele correcties'!F191</f>
        <v>11 Werktuigen</v>
      </c>
      <c r="G186" s="43">
        <f>'7. Input incidentele correcties'!G191</f>
        <v>2010</v>
      </c>
      <c r="H186" s="48">
        <f>'7. Input incidentele correcties'!H191</f>
        <v>453194.78213502961</v>
      </c>
      <c r="I186" s="43">
        <f>'7. Input incidentele correcties'!I191</f>
        <v>2021</v>
      </c>
      <c r="J186" s="48">
        <f>_xlfn.XLOOKUP(F186,'3. Input (des)investeringen '!$B$11:$B$80,'3. Input (des)investeringen '!$D$11:$D$80)</f>
        <v>10</v>
      </c>
      <c r="K186" s="48">
        <f>_xlfn.XLOOKUP(F186,'3. Input (des)investeringen '!$B$11:$B$80,'3. Input (des)investeringen '!$E$11:$E$80)</f>
        <v>1</v>
      </c>
      <c r="L186" s="48">
        <f>'7. Input incidentele correcties'!J191</f>
        <v>0</v>
      </c>
      <c r="M186" s="48">
        <f>'7. Input incidentele correcties'!K191</f>
        <v>0</v>
      </c>
    </row>
    <row r="187" spans="2:13">
      <c r="B187" s="43" t="str">
        <f>'7. Input incidentele correcties'!B192</f>
        <v>Asset 147</v>
      </c>
      <c r="F187" s="43" t="str">
        <f>'7. Input incidentele correcties'!F192</f>
        <v>14 Overig rollend materieel</v>
      </c>
      <c r="G187" s="43">
        <f>'7. Input incidentele correcties'!G192</f>
        <v>2010</v>
      </c>
      <c r="H187" s="48">
        <f>'7. Input incidentele correcties'!H192</f>
        <v>179634.02000000002</v>
      </c>
      <c r="I187" s="43">
        <f>'7. Input incidentele correcties'!I192</f>
        <v>2021</v>
      </c>
      <c r="J187" s="48">
        <f>_xlfn.XLOOKUP(F187,'3. Input (des)investeringen '!$B$11:$B$80,'3. Input (des)investeringen '!$D$11:$D$80)</f>
        <v>10</v>
      </c>
      <c r="K187" s="48">
        <f>_xlfn.XLOOKUP(F187,'3. Input (des)investeringen '!$B$11:$B$80,'3. Input (des)investeringen '!$E$11:$E$80)</f>
        <v>1</v>
      </c>
      <c r="L187" s="48">
        <f>'7. Input incidentele correcties'!J192</f>
        <v>0</v>
      </c>
      <c r="M187" s="48">
        <f>'7. Input incidentele correcties'!K192</f>
        <v>0</v>
      </c>
    </row>
    <row r="188" spans="2:13">
      <c r="B188" s="43" t="str">
        <f>'7. Input incidentele correcties'!B193</f>
        <v>Asset 148</v>
      </c>
      <c r="F188" s="43" t="str">
        <f>'7. Input incidentele correcties'!F193</f>
        <v>12 Motorvoertuigen</v>
      </c>
      <c r="G188" s="43">
        <f>'7. Input incidentele correcties'!G193</f>
        <v>2011</v>
      </c>
      <c r="H188" s="48">
        <f>'7. Input incidentele correcties'!H193</f>
        <v>293470.62269139342</v>
      </c>
      <c r="I188" s="43">
        <f>'7. Input incidentele correcties'!I193</f>
        <v>2021</v>
      </c>
      <c r="J188" s="48">
        <f>_xlfn.XLOOKUP(F188,'3. Input (des)investeringen '!$B$11:$B$80,'3. Input (des)investeringen '!$D$11:$D$80)</f>
        <v>10</v>
      </c>
      <c r="K188" s="48">
        <f>_xlfn.XLOOKUP(F188,'3. Input (des)investeringen '!$B$11:$B$80,'3. Input (des)investeringen '!$E$11:$E$80)</f>
        <v>1</v>
      </c>
      <c r="L188" s="48">
        <f>'7. Input incidentele correcties'!J193</f>
        <v>0</v>
      </c>
      <c r="M188" s="48">
        <f>'7. Input incidentele correcties'!K193</f>
        <v>0</v>
      </c>
    </row>
    <row r="189" spans="2:13">
      <c r="B189" s="43" t="str">
        <f>'7. Input incidentele correcties'!B194</f>
        <v>Asset 149</v>
      </c>
      <c r="F189" s="43" t="str">
        <f>'7. Input incidentele correcties'!F194</f>
        <v>08 Inrichting gebouwen</v>
      </c>
      <c r="G189" s="43">
        <f>'7. Input incidentele correcties'!G194</f>
        <v>2011</v>
      </c>
      <c r="H189" s="48">
        <f>'7. Input incidentele correcties'!H194</f>
        <v>309147.61872011481</v>
      </c>
      <c r="I189" s="43">
        <f>'7. Input incidentele correcties'!I194</f>
        <v>2021</v>
      </c>
      <c r="J189" s="48">
        <f>_xlfn.XLOOKUP(F189,'3. Input (des)investeringen '!$B$11:$B$80,'3. Input (des)investeringen '!$D$11:$D$80)</f>
        <v>10</v>
      </c>
      <c r="K189" s="48">
        <f>_xlfn.XLOOKUP(F189,'3. Input (des)investeringen '!$B$11:$B$80,'3. Input (des)investeringen '!$E$11:$E$80)</f>
        <v>0</v>
      </c>
      <c r="L189" s="48">
        <f>'7. Input incidentele correcties'!J194</f>
        <v>0</v>
      </c>
      <c r="M189" s="48">
        <f>'7. Input incidentele correcties'!K194</f>
        <v>0</v>
      </c>
    </row>
    <row r="190" spans="2:13">
      <c r="B190" s="43" t="str">
        <f>'7. Input incidentele correcties'!B195</f>
        <v>Asset 150</v>
      </c>
      <c r="F190" s="43" t="str">
        <f>'7. Input incidentele correcties'!F195</f>
        <v>38 ICT middelen 2</v>
      </c>
      <c r="G190" s="43">
        <f>'7. Input incidentele correcties'!G195</f>
        <v>2011</v>
      </c>
      <c r="H190" s="48">
        <f>'7. Input incidentele correcties'!H195</f>
        <v>24343500.983545668</v>
      </c>
      <c r="I190" s="43">
        <f>'7. Input incidentele correcties'!I195</f>
        <v>2021</v>
      </c>
      <c r="J190" s="48">
        <f>_xlfn.XLOOKUP(F190,'3. Input (des)investeringen '!$B$11:$B$80,'3. Input (des)investeringen '!$D$11:$D$80)</f>
        <v>10</v>
      </c>
      <c r="K190" s="48">
        <f>_xlfn.XLOOKUP(F190,'3. Input (des)investeringen '!$B$11:$B$80,'3. Input (des)investeringen '!$E$11:$E$80)</f>
        <v>1</v>
      </c>
      <c r="L190" s="48">
        <f>'7. Input incidentele correcties'!J195</f>
        <v>0</v>
      </c>
      <c r="M190" s="48">
        <f>'7. Input incidentele correcties'!K195</f>
        <v>0</v>
      </c>
    </row>
    <row r="191" spans="2:13">
      <c r="B191" s="43" t="str">
        <f>'7. Input incidentele correcties'!B196</f>
        <v>Asset 151</v>
      </c>
      <c r="F191" s="43" t="str">
        <f>'7. Input incidentele correcties'!F196</f>
        <v>11 Werktuigen</v>
      </c>
      <c r="G191" s="43">
        <f>'7. Input incidentele correcties'!G196</f>
        <v>2011</v>
      </c>
      <c r="H191" s="48">
        <f>'7. Input incidentele correcties'!H196</f>
        <v>345005.47060998465</v>
      </c>
      <c r="I191" s="43">
        <f>'7. Input incidentele correcties'!I196</f>
        <v>2021</v>
      </c>
      <c r="J191" s="48">
        <f>_xlfn.XLOOKUP(F191,'3. Input (des)investeringen '!$B$11:$B$80,'3. Input (des)investeringen '!$D$11:$D$80)</f>
        <v>10</v>
      </c>
      <c r="K191" s="48">
        <f>_xlfn.XLOOKUP(F191,'3. Input (des)investeringen '!$B$11:$B$80,'3. Input (des)investeringen '!$E$11:$E$80)</f>
        <v>1</v>
      </c>
      <c r="L191" s="48">
        <f>'7. Input incidentele correcties'!J196</f>
        <v>0</v>
      </c>
      <c r="M191" s="48">
        <f>'7. Input incidentele correcties'!K196</f>
        <v>0</v>
      </c>
    </row>
    <row r="192" spans="2:13">
      <c r="B192" s="43" t="str">
        <f>'7. Input incidentele correcties'!B197</f>
        <v>Asset 152</v>
      </c>
      <c r="F192" s="43" t="str">
        <f>'7. Input incidentele correcties'!F197</f>
        <v>13 Aanhangwagens</v>
      </c>
      <c r="G192" s="43">
        <f>'7. Input incidentele correcties'!G197</f>
        <v>2011</v>
      </c>
      <c r="H192" s="48">
        <f>'7. Input incidentele correcties'!H197</f>
        <v>10931.96</v>
      </c>
      <c r="I192" s="43">
        <f>'7. Input incidentele correcties'!I197</f>
        <v>2021</v>
      </c>
      <c r="J192" s="48">
        <f>_xlfn.XLOOKUP(F192,'3. Input (des)investeringen '!$B$11:$B$80,'3. Input (des)investeringen '!$D$11:$D$80)</f>
        <v>10</v>
      </c>
      <c r="K192" s="48">
        <f>_xlfn.XLOOKUP(F192,'3. Input (des)investeringen '!$B$11:$B$80,'3. Input (des)investeringen '!$E$11:$E$80)</f>
        <v>1</v>
      </c>
      <c r="L192" s="48">
        <f>'7. Input incidentele correcties'!J197</f>
        <v>0</v>
      </c>
      <c r="M192" s="48">
        <f>'7. Input incidentele correcties'!K197</f>
        <v>0</v>
      </c>
    </row>
    <row r="193" spans="2:13">
      <c r="B193" s="43" t="str">
        <f>'7. Input incidentele correcties'!B198</f>
        <v>Asset 153</v>
      </c>
      <c r="F193" s="43" t="str">
        <f>'7. Input incidentele correcties'!F198</f>
        <v>37 ICT middelen 1 (transparency)</v>
      </c>
      <c r="G193" s="43">
        <f>'7. Input incidentele correcties'!G198</f>
        <v>2012</v>
      </c>
      <c r="H193" s="48">
        <f>'7. Input incidentele correcties'!H198</f>
        <v>817297.73457401327</v>
      </c>
      <c r="I193" s="43">
        <f>'7. Input incidentele correcties'!I198</f>
        <v>2021</v>
      </c>
      <c r="J193" s="48">
        <f>_xlfn.XLOOKUP(F193,'3. Input (des)investeringen '!$B$11:$B$80,'3. Input (des)investeringen '!$D$11:$D$80)</f>
        <v>5</v>
      </c>
      <c r="K193" s="48">
        <f>_xlfn.XLOOKUP(F193,'3. Input (des)investeringen '!$B$11:$B$80,'3. Input (des)investeringen '!$E$11:$E$80)</f>
        <v>0</v>
      </c>
      <c r="L193" s="48">
        <f>'7. Input incidentele correcties'!J198</f>
        <v>0</v>
      </c>
      <c r="M193" s="48">
        <f>'7. Input incidentele correcties'!K198</f>
        <v>0</v>
      </c>
    </row>
    <row r="194" spans="2:13">
      <c r="B194" s="43" t="str">
        <f>'7. Input incidentele correcties'!B199</f>
        <v>Asset 154</v>
      </c>
      <c r="F194" s="43" t="str">
        <f>'7. Input incidentele correcties'!F199</f>
        <v>11 Werktuigen</v>
      </c>
      <c r="G194" s="43">
        <f>'7. Input incidentele correcties'!G199</f>
        <v>2012</v>
      </c>
      <c r="H194" s="48">
        <f>'7. Input incidentele correcties'!H199</f>
        <v>237528.30775638262</v>
      </c>
      <c r="I194" s="43">
        <f>'7. Input incidentele correcties'!I199</f>
        <v>2021</v>
      </c>
      <c r="J194" s="48">
        <f>_xlfn.XLOOKUP(F194,'3. Input (des)investeringen '!$B$11:$B$80,'3. Input (des)investeringen '!$D$11:$D$80)</f>
        <v>10</v>
      </c>
      <c r="K194" s="48">
        <f>_xlfn.XLOOKUP(F194,'3. Input (des)investeringen '!$B$11:$B$80,'3. Input (des)investeringen '!$E$11:$E$80)</f>
        <v>1</v>
      </c>
      <c r="L194" s="48">
        <f>'7. Input incidentele correcties'!J199</f>
        <v>13628.978016883706</v>
      </c>
      <c r="M194" s="48">
        <f>'7. Input incidentele correcties'!K199</f>
        <v>0</v>
      </c>
    </row>
    <row r="195" spans="2:13">
      <c r="B195" s="43" t="str">
        <f>'7. Input incidentele correcties'!B200</f>
        <v>Asset 155</v>
      </c>
      <c r="F195" s="43" t="str">
        <f>'7. Input incidentele correcties'!F200</f>
        <v>13 Aanhangwagens</v>
      </c>
      <c r="G195" s="43">
        <f>'7. Input incidentele correcties'!G200</f>
        <v>2012</v>
      </c>
      <c r="H195" s="48">
        <f>'7. Input incidentele correcties'!H200</f>
        <v>20000</v>
      </c>
      <c r="I195" s="43">
        <f>'7. Input incidentele correcties'!I200</f>
        <v>2021</v>
      </c>
      <c r="J195" s="48">
        <f>_xlfn.XLOOKUP(F195,'3. Input (des)investeringen '!$B$11:$B$80,'3. Input (des)investeringen '!$D$11:$D$80)</f>
        <v>10</v>
      </c>
      <c r="K195" s="48">
        <f>_xlfn.XLOOKUP(F195,'3. Input (des)investeringen '!$B$11:$B$80,'3. Input (des)investeringen '!$E$11:$E$80)</f>
        <v>1</v>
      </c>
      <c r="L195" s="48">
        <f>'7. Input incidentele correcties'!J200</f>
        <v>1147.5666328463135</v>
      </c>
      <c r="M195" s="48">
        <f>'7. Input incidentele correcties'!K200</f>
        <v>0</v>
      </c>
    </row>
    <row r="196" spans="2:13">
      <c r="B196" s="43" t="str">
        <f>'7. Input incidentele correcties'!B201</f>
        <v>Asset 156</v>
      </c>
      <c r="F196" s="43" t="str">
        <f>'7. Input incidentele correcties'!F201</f>
        <v>20 Kantoorgebouwen</v>
      </c>
      <c r="G196" s="43">
        <f>'7. Input incidentele correcties'!G201</f>
        <v>2012</v>
      </c>
      <c r="H196" s="48">
        <f>'7. Input incidentele correcties'!H201</f>
        <v>701380.67501665035</v>
      </c>
      <c r="I196" s="43">
        <f>'7. Input incidentele correcties'!I201</f>
        <v>2021</v>
      </c>
      <c r="J196" s="48">
        <f>_xlfn.XLOOKUP(F196,'3. Input (des)investeringen '!$B$11:$B$80,'3. Input (des)investeringen '!$D$11:$D$80)</f>
        <v>30</v>
      </c>
      <c r="K196" s="48">
        <f>_xlfn.XLOOKUP(F196,'3. Input (des)investeringen '!$B$11:$B$80,'3. Input (des)investeringen '!$E$11:$E$80)</f>
        <v>0</v>
      </c>
      <c r="L196" s="48">
        <f>'7. Input incidentele correcties'!J201</f>
        <v>550002.05737442558</v>
      </c>
      <c r="M196" s="48">
        <f>'7. Input incidentele correcties'!K201</f>
        <v>0</v>
      </c>
    </row>
    <row r="197" spans="2:13">
      <c r="B197" s="43" t="str">
        <f>'7. Input incidentele correcties'!B202</f>
        <v>Asset 157</v>
      </c>
      <c r="F197" s="43" t="str">
        <f>'7. Input incidentele correcties'!F202</f>
        <v>10 Gereedschap</v>
      </c>
      <c r="G197" s="43">
        <f>'7. Input incidentele correcties'!G202</f>
        <v>2012</v>
      </c>
      <c r="H197" s="48">
        <f>'7. Input incidentele correcties'!H202</f>
        <v>102288.01000000001</v>
      </c>
      <c r="I197" s="43">
        <f>'7. Input incidentele correcties'!I202</f>
        <v>2021</v>
      </c>
      <c r="J197" s="48">
        <f>_xlfn.XLOOKUP(F197,'3. Input (des)investeringen '!$B$11:$B$80,'3. Input (des)investeringen '!$D$11:$D$80)</f>
        <v>10</v>
      </c>
      <c r="K197" s="48">
        <f>_xlfn.XLOOKUP(F197,'3. Input (des)investeringen '!$B$11:$B$80,'3. Input (des)investeringen '!$E$11:$E$80)</f>
        <v>1</v>
      </c>
      <c r="L197" s="48">
        <f>'7. Input incidentele correcties'!J202</f>
        <v>5869.1153608124732</v>
      </c>
      <c r="M197" s="48">
        <f>'7. Input incidentele correcties'!K202</f>
        <v>0</v>
      </c>
    </row>
    <row r="198" spans="2:13">
      <c r="B198" s="43" t="str">
        <f>'7. Input incidentele correcties'!B203</f>
        <v>Asset 158</v>
      </c>
      <c r="F198" s="43" t="str">
        <f>'7. Input incidentele correcties'!F203</f>
        <v>09 Bedrijfsinventaris</v>
      </c>
      <c r="G198" s="43">
        <f>'7. Input incidentele correcties'!G203</f>
        <v>2012</v>
      </c>
      <c r="H198" s="48">
        <f>'7. Input incidentele correcties'!H203</f>
        <v>321753.96830222307</v>
      </c>
      <c r="I198" s="43">
        <f>'7. Input incidentele correcties'!I203</f>
        <v>2021</v>
      </c>
      <c r="J198" s="48">
        <f>_xlfn.XLOOKUP(F198,'3. Input (des)investeringen '!$B$11:$B$80,'3. Input (des)investeringen '!$D$11:$D$80)</f>
        <v>10</v>
      </c>
      <c r="K198" s="48">
        <f>_xlfn.XLOOKUP(F198,'3. Input (des)investeringen '!$B$11:$B$80,'3. Input (des)investeringen '!$E$11:$E$80)</f>
        <v>1</v>
      </c>
      <c r="L198" s="48">
        <f>'7. Input incidentele correcties'!J203</f>
        <v>18461.705900476001</v>
      </c>
      <c r="M198" s="48">
        <f>'7. Input incidentele correcties'!K203</f>
        <v>0</v>
      </c>
    </row>
    <row r="199" spans="2:13">
      <c r="B199" s="43" t="str">
        <f>'7. Input incidentele correcties'!B204</f>
        <v>Asset 159</v>
      </c>
      <c r="F199" s="43" t="str">
        <f>'7. Input incidentele correcties'!F204</f>
        <v>14 Overig rollend materieel</v>
      </c>
      <c r="G199" s="43">
        <f>'7. Input incidentele correcties'!G204</f>
        <v>2012</v>
      </c>
      <c r="H199" s="48">
        <f>'7. Input incidentele correcties'!H204</f>
        <v>341738.83030935976</v>
      </c>
      <c r="I199" s="43">
        <f>'7. Input incidentele correcties'!I204</f>
        <v>2021</v>
      </c>
      <c r="J199" s="48">
        <f>_xlfn.XLOOKUP(F199,'3. Input (des)investeringen '!$B$11:$B$80,'3. Input (des)investeringen '!$D$11:$D$80)</f>
        <v>10</v>
      </c>
      <c r="K199" s="48">
        <f>_xlfn.XLOOKUP(F199,'3. Input (des)investeringen '!$B$11:$B$80,'3. Input (des)investeringen '!$E$11:$E$80)</f>
        <v>1</v>
      </c>
      <c r="L199" s="48">
        <f>'7. Input incidentele correcties'!J204</f>
        <v>19608.403940547396</v>
      </c>
      <c r="M199" s="48">
        <f>'7. Input incidentele correcties'!K204</f>
        <v>0</v>
      </c>
    </row>
    <row r="200" spans="2:13">
      <c r="B200" s="43" t="str">
        <f>'7. Input incidentele correcties'!B205</f>
        <v>Asset 160</v>
      </c>
      <c r="F200" s="43" t="str">
        <f>'7. Input incidentele correcties'!F205</f>
        <v>08 Inrichting gebouwen</v>
      </c>
      <c r="G200" s="43">
        <f>'7. Input incidentele correcties'!G205</f>
        <v>2012</v>
      </c>
      <c r="H200" s="48">
        <f>'7. Input incidentele correcties'!H205</f>
        <v>737114.28212566266</v>
      </c>
      <c r="I200" s="43">
        <f>'7. Input incidentele correcties'!I205</f>
        <v>2021</v>
      </c>
      <c r="J200" s="48">
        <f>_xlfn.XLOOKUP(F200,'3. Input (des)investeringen '!$B$11:$B$80,'3. Input (des)investeringen '!$D$11:$D$80)</f>
        <v>10</v>
      </c>
      <c r="K200" s="48">
        <f>_xlfn.XLOOKUP(F200,'3. Input (des)investeringen '!$B$11:$B$80,'3. Input (des)investeringen '!$E$11:$E$80)</f>
        <v>0</v>
      </c>
      <c r="L200" s="48">
        <f>'7. Input incidentele correcties'!J205</f>
        <v>42294.387738093574</v>
      </c>
      <c r="M200" s="48">
        <f>'7. Input incidentele correcties'!K205</f>
        <v>0</v>
      </c>
    </row>
    <row r="201" spans="2:13">
      <c r="B201" s="43" t="str">
        <f>'7. Input incidentele correcties'!B206</f>
        <v>Asset 161</v>
      </c>
      <c r="F201" s="43" t="str">
        <f>'7. Input incidentele correcties'!F206</f>
        <v>11 Werktuigen</v>
      </c>
      <c r="G201" s="43">
        <f>'7. Input incidentele correcties'!G206</f>
        <v>2013</v>
      </c>
      <c r="H201" s="48">
        <f>'7. Input incidentele correcties'!H206</f>
        <v>5005059.40396435</v>
      </c>
      <c r="I201" s="43">
        <f>'7. Input incidentele correcties'!I206</f>
        <v>2021</v>
      </c>
      <c r="J201" s="48">
        <f>_xlfn.XLOOKUP(F201,'3. Input (des)investeringen '!$B$11:$B$80,'3. Input (des)investeringen '!$D$11:$D$80)</f>
        <v>10</v>
      </c>
      <c r="K201" s="48">
        <f>_xlfn.XLOOKUP(F201,'3. Input (des)investeringen '!$B$11:$B$80,'3. Input (des)investeringen '!$E$11:$E$80)</f>
        <v>1</v>
      </c>
      <c r="L201" s="48">
        <f>'7. Input incidentele correcties'!J206</f>
        <v>842175.83099752699</v>
      </c>
      <c r="M201" s="48">
        <f>'7. Input incidentele correcties'!K206</f>
        <v>0</v>
      </c>
    </row>
    <row r="202" spans="2:13">
      <c r="B202" s="43" t="str">
        <f>'7. Input incidentele correcties'!B207</f>
        <v>Asset 162</v>
      </c>
      <c r="F202" s="43" t="str">
        <f>'7. Input incidentele correcties'!F207</f>
        <v>20 Kantoorgebouwen</v>
      </c>
      <c r="G202" s="43">
        <f>'7. Input incidentele correcties'!G207</f>
        <v>2013</v>
      </c>
      <c r="H202" s="48">
        <f>'7. Input incidentele correcties'!H207</f>
        <v>1237826.9064472313</v>
      </c>
      <c r="I202" s="43">
        <f>'7. Input incidentele correcties'!I207</f>
        <v>2021</v>
      </c>
      <c r="J202" s="48">
        <f>_xlfn.XLOOKUP(F202,'3. Input (des)investeringen '!$B$11:$B$80,'3. Input (des)investeringen '!$D$11:$D$80)</f>
        <v>30</v>
      </c>
      <c r="K202" s="48">
        <f>_xlfn.XLOOKUP(F202,'3. Input (des)investeringen '!$B$11:$B$80,'3. Input (des)investeringen '!$E$11:$E$80)</f>
        <v>0</v>
      </c>
      <c r="L202" s="48">
        <f>'7. Input incidentele correcties'!J207</f>
        <v>995129.04477620148</v>
      </c>
      <c r="M202" s="48">
        <f>'7. Input incidentele correcties'!K207</f>
        <v>0</v>
      </c>
    </row>
    <row r="203" spans="2:13">
      <c r="B203" s="43" t="str">
        <f>'7. Input incidentele correcties'!B208</f>
        <v>Asset 163</v>
      </c>
      <c r="F203" s="43" t="str">
        <f>'7. Input incidentele correcties'!F208</f>
        <v>09 Bedrijfsinventaris</v>
      </c>
      <c r="G203" s="43">
        <f>'7. Input incidentele correcties'!G208</f>
        <v>2013</v>
      </c>
      <c r="H203" s="48">
        <f>'7. Input incidentele correcties'!H208</f>
        <v>292655.61609467439</v>
      </c>
      <c r="I203" s="43">
        <f>'7. Input incidentele correcties'!I208</f>
        <v>2021</v>
      </c>
      <c r="J203" s="48">
        <f>_xlfn.XLOOKUP(F203,'3. Input (des)investeringen '!$B$11:$B$80,'3. Input (des)investeringen '!$D$11:$D$80)</f>
        <v>10</v>
      </c>
      <c r="K203" s="48">
        <f>_xlfn.XLOOKUP(F203,'3. Input (des)investeringen '!$B$11:$B$80,'3. Input (des)investeringen '!$E$11:$E$80)</f>
        <v>1</v>
      </c>
      <c r="L203" s="48">
        <f>'7. Input incidentele correcties'!J208</f>
        <v>49243.668613684422</v>
      </c>
      <c r="M203" s="48">
        <f>'7. Input incidentele correcties'!K208</f>
        <v>0</v>
      </c>
    </row>
    <row r="204" spans="2:13">
      <c r="B204" s="43" t="str">
        <f>'7. Input incidentele correcties'!B209</f>
        <v>Asset 164</v>
      </c>
      <c r="F204" s="43" t="str">
        <f>'7. Input incidentele correcties'!F209</f>
        <v>20 Kantoorgebouwen</v>
      </c>
      <c r="G204" s="43">
        <f>'7. Input incidentele correcties'!G209</f>
        <v>2014</v>
      </c>
      <c r="H204" s="48">
        <f>'7. Input incidentele correcties'!H209</f>
        <v>4973944.9463818558</v>
      </c>
      <c r="I204" s="43">
        <f>'7. Input incidentele correcties'!I209</f>
        <v>2021</v>
      </c>
      <c r="J204" s="48">
        <f>_xlfn.XLOOKUP(F204,'3. Input (des)investeringen '!$B$11:$B$80,'3. Input (des)investeringen '!$D$11:$D$80)</f>
        <v>30</v>
      </c>
      <c r="K204" s="48">
        <f>_xlfn.XLOOKUP(F204,'3. Input (des)investeringen '!$B$11:$B$80,'3. Input (des)investeringen '!$E$11:$E$80)</f>
        <v>0</v>
      </c>
      <c r="L204" s="48">
        <f>'7. Input incidentele correcties'!J209</f>
        <v>4070721.5945336674</v>
      </c>
      <c r="M204" s="48">
        <f>'7. Input incidentele correcties'!K209</f>
        <v>0</v>
      </c>
    </row>
    <row r="205" spans="2:13">
      <c r="B205" s="43" t="str">
        <f>'7. Input incidentele correcties'!B210</f>
        <v>Asset 165</v>
      </c>
      <c r="F205" s="43" t="str">
        <f>'7. Input incidentele correcties'!F210</f>
        <v>09 Bedrijfsinventaris</v>
      </c>
      <c r="G205" s="43">
        <f>'7. Input incidentele correcties'!G210</f>
        <v>2014</v>
      </c>
      <c r="H205" s="48">
        <f>'7. Input incidentele correcties'!H210</f>
        <v>332895.6529706032</v>
      </c>
      <c r="I205" s="43">
        <f>'7. Input incidentele correcties'!I210</f>
        <v>2021</v>
      </c>
      <c r="J205" s="48">
        <f>_xlfn.XLOOKUP(F205,'3. Input (des)investeringen '!$B$11:$B$80,'3. Input (des)investeringen '!$D$11:$D$80)</f>
        <v>10</v>
      </c>
      <c r="K205" s="48">
        <f>_xlfn.XLOOKUP(F205,'3. Input (des)investeringen '!$B$11:$B$80,'3. Input (des)investeringen '!$E$11:$E$80)</f>
        <v>1</v>
      </c>
      <c r="L205" s="48">
        <f>'7. Input incidentele correcties'!J210</f>
        <v>90814.939173486709</v>
      </c>
      <c r="M205" s="48">
        <f>'7. Input incidentele correcties'!K210</f>
        <v>0</v>
      </c>
    </row>
    <row r="206" spans="2:13">
      <c r="B206" s="43" t="str">
        <f>'7. Input incidentele correcties'!B211</f>
        <v>Asset 166</v>
      </c>
      <c r="F206" s="43" t="str">
        <f>'7. Input incidentele correcties'!F211</f>
        <v>10 Gereedschap</v>
      </c>
      <c r="G206" s="43">
        <f>'7. Input incidentele correcties'!G211</f>
        <v>2014</v>
      </c>
      <c r="H206" s="48">
        <f>'7. Input incidentele correcties'!H211</f>
        <v>294123.8734031191</v>
      </c>
      <c r="I206" s="43">
        <f>'7. Input incidentele correcties'!I211</f>
        <v>2021</v>
      </c>
      <c r="J206" s="48">
        <f>_xlfn.XLOOKUP(F206,'3. Input (des)investeringen '!$B$11:$B$80,'3. Input (des)investeringen '!$D$11:$D$80)</f>
        <v>10</v>
      </c>
      <c r="K206" s="48">
        <f>_xlfn.XLOOKUP(F206,'3. Input (des)investeringen '!$B$11:$B$80,'3. Input (des)investeringen '!$E$11:$E$80)</f>
        <v>1</v>
      </c>
      <c r="L206" s="48">
        <f>'7. Input incidentele correcties'!J211</f>
        <v>80237.880651848885</v>
      </c>
      <c r="M206" s="48">
        <f>'7. Input incidentele correcties'!K211</f>
        <v>0</v>
      </c>
    </row>
    <row r="207" spans="2:13">
      <c r="B207" s="43" t="str">
        <f>'7. Input incidentele correcties'!B212</f>
        <v>Asset 167</v>
      </c>
      <c r="F207" s="43" t="str">
        <f>'7. Input incidentele correcties'!F212</f>
        <v>13 Aanhangwagens</v>
      </c>
      <c r="G207" s="43">
        <f>'7. Input incidentele correcties'!G212</f>
        <v>2014</v>
      </c>
      <c r="H207" s="48">
        <f>'7. Input incidentele correcties'!H212</f>
        <v>24919.261718386999</v>
      </c>
      <c r="I207" s="43">
        <f>'7. Input incidentele correcties'!I212</f>
        <v>2021</v>
      </c>
      <c r="J207" s="48">
        <f>_xlfn.XLOOKUP(F207,'3. Input (des)investeringen '!$B$11:$B$80,'3. Input (des)investeringen '!$D$11:$D$80)</f>
        <v>10</v>
      </c>
      <c r="K207" s="48">
        <f>_xlfn.XLOOKUP(F207,'3. Input (des)investeringen '!$B$11:$B$80,'3. Input (des)investeringen '!$E$11:$E$80)</f>
        <v>1</v>
      </c>
      <c r="L207" s="48">
        <f>'7. Input incidentele correcties'!J212</f>
        <v>6798.0498303573586</v>
      </c>
      <c r="M207" s="48">
        <f>'7. Input incidentele correcties'!K212</f>
        <v>0</v>
      </c>
    </row>
    <row r="208" spans="2:13">
      <c r="B208" s="43" t="str">
        <f>'7. Input incidentele correcties'!B213</f>
        <v>Asset 168</v>
      </c>
      <c r="F208" s="43" t="str">
        <f>'7. Input incidentele correcties'!F213</f>
        <v>11 Werktuigen</v>
      </c>
      <c r="G208" s="43">
        <f>'7. Input incidentele correcties'!G213</f>
        <v>2014</v>
      </c>
      <c r="H208" s="48">
        <f>'7. Input incidentele correcties'!H213</f>
        <v>264974.99557180319</v>
      </c>
      <c r="I208" s="43">
        <f>'7. Input incidentele correcties'!I213</f>
        <v>2021</v>
      </c>
      <c r="J208" s="48">
        <f>_xlfn.XLOOKUP(F208,'3. Input (des)investeringen '!$B$11:$B$80,'3. Input (des)investeringen '!$D$11:$D$80)</f>
        <v>10</v>
      </c>
      <c r="K208" s="48">
        <f>_xlfn.XLOOKUP(F208,'3. Input (des)investeringen '!$B$11:$B$80,'3. Input (des)investeringen '!$E$11:$E$80)</f>
        <v>1</v>
      </c>
      <c r="L208" s="48">
        <f>'7. Input incidentele correcties'!J213</f>
        <v>72285.978776277945</v>
      </c>
      <c r="M208" s="48">
        <f>'7. Input incidentele correcties'!K213</f>
        <v>0</v>
      </c>
    </row>
    <row r="209" spans="2:13">
      <c r="B209" s="43" t="str">
        <f>'7. Input incidentele correcties'!B214</f>
        <v>Asset 169</v>
      </c>
      <c r="F209" s="43" t="str">
        <f>'7. Input incidentele correcties'!F214</f>
        <v>08 Inrichting gebouwen</v>
      </c>
      <c r="G209" s="43">
        <f>'7. Input incidentele correcties'!G214</f>
        <v>2014</v>
      </c>
      <c r="H209" s="48">
        <f>'7. Input incidentele correcties'!H214</f>
        <v>724167.86511950963</v>
      </c>
      <c r="I209" s="43">
        <f>'7. Input incidentele correcties'!I214</f>
        <v>2021</v>
      </c>
      <c r="J209" s="48">
        <f>_xlfn.XLOOKUP(F209,'3. Input (des)investeringen '!$B$11:$B$80,'3. Input (des)investeringen '!$D$11:$D$80)</f>
        <v>10</v>
      </c>
      <c r="K209" s="48">
        <f>_xlfn.XLOOKUP(F209,'3. Input (des)investeringen '!$B$11:$B$80,'3. Input (des)investeringen '!$E$11:$E$80)</f>
        <v>0</v>
      </c>
      <c r="L209" s="48">
        <f>'7. Input incidentele correcties'!J214</f>
        <v>197555.1799351057</v>
      </c>
      <c r="M209" s="48">
        <f>'7. Input incidentele correcties'!K214</f>
        <v>0</v>
      </c>
    </row>
    <row r="210" spans="2:13">
      <c r="B210" s="43" t="str">
        <f>'7. Input incidentele correcties'!B215</f>
        <v>Asset 170</v>
      </c>
      <c r="F210" s="43" t="str">
        <f>'7. Input incidentele correcties'!F215</f>
        <v>14 Overig rollend materieel (odorisatie)</v>
      </c>
      <c r="G210" s="43">
        <f>'7. Input incidentele correcties'!G215</f>
        <v>2014</v>
      </c>
      <c r="H210" s="48">
        <f>'7. Input incidentele correcties'!H215</f>
        <v>1415.9999999999968</v>
      </c>
      <c r="I210" s="43">
        <f>'7. Input incidentele correcties'!I215</f>
        <v>2021</v>
      </c>
      <c r="J210" s="48">
        <f>_xlfn.XLOOKUP(F210,'3. Input (des)investeringen '!$B$11:$B$80,'3. Input (des)investeringen '!$D$11:$D$80)</f>
        <v>10</v>
      </c>
      <c r="K210" s="48">
        <f>_xlfn.XLOOKUP(F210,'3. Input (des)investeringen '!$B$11:$B$80,'3. Input (des)investeringen '!$E$11:$E$80)</f>
        <v>0</v>
      </c>
      <c r="L210" s="48">
        <f>'7. Input incidentele correcties'!J215</f>
        <v>386.28907503641284</v>
      </c>
      <c r="M210" s="48">
        <f>'7. Input incidentele correcties'!K215</f>
        <v>0</v>
      </c>
    </row>
    <row r="211" spans="2:13">
      <c r="B211" s="43" t="str">
        <f>'7. Input incidentele correcties'!B216</f>
        <v>Asset 171</v>
      </c>
      <c r="F211" s="43" t="str">
        <f>'7. Input incidentele correcties'!F216</f>
        <v>14 Overig rollend materieel (odorisatie)</v>
      </c>
      <c r="G211" s="43">
        <f>'7. Input incidentele correcties'!G216</f>
        <v>2015</v>
      </c>
      <c r="H211" s="48">
        <f>'7. Input incidentele correcties'!H216</f>
        <v>43315.304046858677</v>
      </c>
      <c r="I211" s="43">
        <f>'7. Input incidentele correcties'!I216</f>
        <v>2021</v>
      </c>
      <c r="J211" s="48">
        <f>_xlfn.XLOOKUP(F211,'3. Input (des)investeringen '!$B$11:$B$80,'3. Input (des)investeringen '!$D$11:$D$80)</f>
        <v>10</v>
      </c>
      <c r="K211" s="48">
        <f>_xlfn.XLOOKUP(F211,'3. Input (des)investeringen '!$B$11:$B$80,'3. Input (des)investeringen '!$E$11:$E$80)</f>
        <v>0</v>
      </c>
      <c r="L211" s="48">
        <f>'7. Input incidentele correcties'!J216</f>
        <v>16379.370300704035</v>
      </c>
      <c r="M211" s="48">
        <f>'7. Input incidentele correcties'!K216</f>
        <v>0</v>
      </c>
    </row>
    <row r="212" spans="2:13">
      <c r="B212" s="43" t="str">
        <f>'7. Input incidentele correcties'!B217</f>
        <v>Asset 172</v>
      </c>
      <c r="F212" s="43" t="str">
        <f>'7. Input incidentele correcties'!F217</f>
        <v>13 Aanhangwagens</v>
      </c>
      <c r="G212" s="43">
        <f>'7. Input incidentele correcties'!G217</f>
        <v>2015</v>
      </c>
      <c r="H212" s="48">
        <f>'7. Input incidentele correcties'!H217</f>
        <v>78424.550748692549</v>
      </c>
      <c r="I212" s="43">
        <f>'7. Input incidentele correcties'!I217</f>
        <v>2021</v>
      </c>
      <c r="J212" s="48">
        <f>_xlfn.XLOOKUP(F212,'3. Input (des)investeringen '!$B$11:$B$80,'3. Input (des)investeringen '!$D$11:$D$80)</f>
        <v>10</v>
      </c>
      <c r="K212" s="48">
        <f>_xlfn.XLOOKUP(F212,'3. Input (des)investeringen '!$B$11:$B$80,'3. Input (des)investeringen '!$E$11:$E$80)</f>
        <v>1</v>
      </c>
      <c r="L212" s="48">
        <f>'7. Input incidentele correcties'!J217</f>
        <v>29655.679110310892</v>
      </c>
      <c r="M212" s="48">
        <f>'7. Input incidentele correcties'!K217</f>
        <v>0</v>
      </c>
    </row>
    <row r="213" spans="2:13">
      <c r="B213" s="43" t="str">
        <f>'7. Input incidentele correcties'!B218</f>
        <v>Asset 173</v>
      </c>
      <c r="F213" s="43" t="str">
        <f>'7. Input incidentele correcties'!F218</f>
        <v>11 Werktuigen</v>
      </c>
      <c r="G213" s="43">
        <f>'7. Input incidentele correcties'!G218</f>
        <v>2015</v>
      </c>
      <c r="H213" s="48">
        <f>'7. Input incidentele correcties'!H218</f>
        <v>481116.61247078225</v>
      </c>
      <c r="I213" s="43">
        <f>'7. Input incidentele correcties'!I218</f>
        <v>2021</v>
      </c>
      <c r="J213" s="48">
        <f>_xlfn.XLOOKUP(F213,'3. Input (des)investeringen '!$B$11:$B$80,'3. Input (des)investeringen '!$D$11:$D$80)</f>
        <v>10</v>
      </c>
      <c r="K213" s="48">
        <f>_xlfn.XLOOKUP(F213,'3. Input (des)investeringen '!$B$11:$B$80,'3. Input (des)investeringen '!$E$11:$E$80)</f>
        <v>1</v>
      </c>
      <c r="L213" s="48">
        <f>'7. Input incidentele correcties'!J218</f>
        <v>181930.78236168518</v>
      </c>
      <c r="M213" s="48">
        <f>'7. Input incidentele correcties'!K218</f>
        <v>0</v>
      </c>
    </row>
    <row r="214" spans="2:13">
      <c r="B214" s="43" t="str">
        <f>'7. Input incidentele correcties'!B219</f>
        <v>Asset 174</v>
      </c>
      <c r="F214" s="43" t="str">
        <f>'7. Input incidentele correcties'!F219</f>
        <v>39 ICT middelen 3</v>
      </c>
      <c r="G214" s="43">
        <f>'7. Input incidentele correcties'!G219</f>
        <v>2015</v>
      </c>
      <c r="H214" s="48">
        <f>'7. Input incidentele correcties'!H219</f>
        <v>13785822.782425826</v>
      </c>
      <c r="I214" s="43">
        <f>'7. Input incidentele correcties'!I219</f>
        <v>2021</v>
      </c>
      <c r="J214" s="48">
        <f>_xlfn.XLOOKUP(F214,'3. Input (des)investeringen '!$B$11:$B$80,'3. Input (des)investeringen '!$D$11:$D$80)</f>
        <v>15</v>
      </c>
      <c r="K214" s="48">
        <f>_xlfn.XLOOKUP(F214,'3. Input (des)investeringen '!$B$11:$B$80,'3. Input (des)investeringen '!$E$11:$E$80)</f>
        <v>1</v>
      </c>
      <c r="L214" s="48">
        <f>'7. Input incidentele correcties'!J219</f>
        <v>8440110.7970265597</v>
      </c>
      <c r="M214" s="48">
        <f>'7. Input incidentele correcties'!K219</f>
        <v>0</v>
      </c>
    </row>
    <row r="215" spans="2:13">
      <c r="B215" s="43" t="str">
        <f>'7. Input incidentele correcties'!B220</f>
        <v>Asset 175</v>
      </c>
      <c r="F215" s="43" t="str">
        <f>'7. Input incidentele correcties'!F220</f>
        <v>12 Motorvoertuigen</v>
      </c>
      <c r="G215" s="43">
        <f>'7. Input incidentele correcties'!G220</f>
        <v>2015</v>
      </c>
      <c r="H215" s="48">
        <f>'7. Input incidentele correcties'!H220</f>
        <v>43877.173224174046</v>
      </c>
      <c r="I215" s="43">
        <f>'7. Input incidentele correcties'!I220</f>
        <v>2021</v>
      </c>
      <c r="J215" s="48">
        <f>_xlfn.XLOOKUP(F215,'3. Input (des)investeringen '!$B$11:$B$80,'3. Input (des)investeringen '!$D$11:$D$80)</f>
        <v>10</v>
      </c>
      <c r="K215" s="48">
        <f>_xlfn.XLOOKUP(F215,'3. Input (des)investeringen '!$B$11:$B$80,'3. Input (des)investeringen '!$E$11:$E$80)</f>
        <v>1</v>
      </c>
      <c r="L215" s="48">
        <f>'7. Input incidentele correcties'!J220</f>
        <v>16591.837083941773</v>
      </c>
      <c r="M215" s="48">
        <f>'7. Input incidentele correcties'!K220</f>
        <v>0</v>
      </c>
    </row>
    <row r="216" spans="2:13">
      <c r="B216" s="43" t="str">
        <f>'7. Input incidentele correcties'!B221</f>
        <v>Asset 176</v>
      </c>
      <c r="F216" s="43" t="str">
        <f>'7. Input incidentele correcties'!F221</f>
        <v>09 Bedrijfsinventaris</v>
      </c>
      <c r="G216" s="43">
        <f>'7. Input incidentele correcties'!G221</f>
        <v>2015</v>
      </c>
      <c r="H216" s="48">
        <f>'7. Input incidentele correcties'!H221</f>
        <v>153470.91831934603</v>
      </c>
      <c r="I216" s="43">
        <f>'7. Input incidentele correcties'!I221</f>
        <v>2021</v>
      </c>
      <c r="J216" s="48">
        <f>_xlfn.XLOOKUP(F216,'3. Input (des)investeringen '!$B$11:$B$80,'3. Input (des)investeringen '!$D$11:$D$80)</f>
        <v>10</v>
      </c>
      <c r="K216" s="48">
        <f>_xlfn.XLOOKUP(F216,'3. Input (des)investeringen '!$B$11:$B$80,'3. Input (des)investeringen '!$E$11:$E$80)</f>
        <v>1</v>
      </c>
      <c r="L216" s="48">
        <f>'7. Input incidentele correcties'!J221</f>
        <v>58033.922579009974</v>
      </c>
      <c r="M216" s="48">
        <f>'7. Input incidentele correcties'!K221</f>
        <v>0</v>
      </c>
    </row>
    <row r="217" spans="2:13">
      <c r="B217" s="43" t="str">
        <f>'7. Input incidentele correcties'!B222</f>
        <v>Asset 177</v>
      </c>
      <c r="F217" s="43" t="str">
        <f>'7. Input incidentele correcties'!F222</f>
        <v>20 Kantoorgebouwen</v>
      </c>
      <c r="G217" s="43">
        <f>'7. Input incidentele correcties'!G222</f>
        <v>2015</v>
      </c>
      <c r="H217" s="48">
        <f>'7. Input incidentele correcties'!H222</f>
        <v>2375369.7957282378</v>
      </c>
      <c r="I217" s="43">
        <f>'7. Input incidentele correcties'!I222</f>
        <v>2021</v>
      </c>
      <c r="J217" s="48">
        <f>_xlfn.XLOOKUP(F217,'3. Input (des)investeringen '!$B$11:$B$80,'3. Input (des)investeringen '!$D$11:$D$80)</f>
        <v>30</v>
      </c>
      <c r="K217" s="48">
        <f>_xlfn.XLOOKUP(F217,'3. Input (des)investeringen '!$B$11:$B$80,'3. Input (des)investeringen '!$E$11:$E$80)</f>
        <v>0</v>
      </c>
      <c r="L217" s="48">
        <f>'7. Input incidentele correcties'!J222</f>
        <v>2010322.0086927759</v>
      </c>
      <c r="M217" s="48">
        <f>'7. Input incidentele correcties'!K222</f>
        <v>0</v>
      </c>
    </row>
    <row r="218" spans="2:13">
      <c r="B218" s="43" t="str">
        <f>'7. Input incidentele correcties'!B223</f>
        <v>Asset 178</v>
      </c>
      <c r="F218" s="43" t="str">
        <f>'7. Input incidentele correcties'!F223</f>
        <v>06 Utiliteitsgebouwen</v>
      </c>
      <c r="G218" s="43">
        <f>'7. Input incidentele correcties'!G223</f>
        <v>2015</v>
      </c>
      <c r="H218" s="48">
        <f>'7. Input incidentele correcties'!H223</f>
        <v>516544.29057147249</v>
      </c>
      <c r="I218" s="43">
        <f>'7. Input incidentele correcties'!I223</f>
        <v>2021</v>
      </c>
      <c r="J218" s="48">
        <f>_xlfn.XLOOKUP(F218,'3. Input (des)investeringen '!$B$11:$B$80,'3. Input (des)investeringen '!$D$11:$D$80)</f>
        <v>30</v>
      </c>
      <c r="K218" s="48">
        <f>_xlfn.XLOOKUP(F218,'3. Input (des)investeringen '!$B$11:$B$80,'3. Input (des)investeringen '!$E$11:$E$80)</f>
        <v>0</v>
      </c>
      <c r="L218" s="48">
        <f>'7. Input incidentele correcties'!J223</f>
        <v>437161.55592610373</v>
      </c>
      <c r="M218" s="48">
        <f>'7. Input incidentele correcties'!K223</f>
        <v>0</v>
      </c>
    </row>
    <row r="219" spans="2:13">
      <c r="B219" s="43" t="str">
        <f>'7. Input incidentele correcties'!B224</f>
        <v>Asset 179</v>
      </c>
      <c r="F219" s="43" t="str">
        <f>'7. Input incidentele correcties'!F224</f>
        <v>08 Inrichting gebouwen</v>
      </c>
      <c r="G219" s="43">
        <f>'7. Input incidentele correcties'!G224</f>
        <v>2015</v>
      </c>
      <c r="H219" s="48">
        <f>'7. Input incidentele correcties'!H224</f>
        <v>406758.82739129546</v>
      </c>
      <c r="I219" s="43">
        <f>'7. Input incidentele correcties'!I224</f>
        <v>2021</v>
      </c>
      <c r="J219" s="48">
        <f>_xlfn.XLOOKUP(F219,'3. Input (des)investeringen '!$B$11:$B$80,'3. Input (des)investeringen '!$D$11:$D$80)</f>
        <v>10</v>
      </c>
      <c r="K219" s="48">
        <f>_xlfn.XLOOKUP(F219,'3. Input (des)investeringen '!$B$11:$B$80,'3. Input (des)investeringen '!$E$11:$E$80)</f>
        <v>0</v>
      </c>
      <c r="L219" s="48">
        <f>'7. Input incidentele correcties'!J224</f>
        <v>153812.9214033616</v>
      </c>
      <c r="M219" s="48">
        <f>'7. Input incidentele correcties'!K224</f>
        <v>0</v>
      </c>
    </row>
    <row r="220" spans="2:13">
      <c r="B220" s="43" t="str">
        <f>'7. Input incidentele correcties'!B225</f>
        <v>Asset 180</v>
      </c>
      <c r="F220" s="43" t="str">
        <f>'7. Input incidentele correcties'!F225</f>
        <v>20 Kantoorgebouwen</v>
      </c>
      <c r="G220" s="43">
        <f>'7. Input incidentele correcties'!G225</f>
        <v>2016</v>
      </c>
      <c r="H220" s="48">
        <f>'7. Input incidentele correcties'!H225</f>
        <v>229380.26938547671</v>
      </c>
      <c r="I220" s="43">
        <f>'7. Input incidentele correcties'!I225</f>
        <v>2021</v>
      </c>
      <c r="J220" s="48">
        <f>_xlfn.XLOOKUP(F220,'3. Input (des)investeringen '!$B$11:$B$80,'3. Input (des)investeringen '!$D$11:$D$80)</f>
        <v>30</v>
      </c>
      <c r="K220" s="48">
        <f>_xlfn.XLOOKUP(F220,'3. Input (des)investeringen '!$B$11:$B$80,'3. Input (des)investeringen '!$E$11:$E$80)</f>
        <v>0</v>
      </c>
      <c r="L220" s="48">
        <f>'7. Input incidentele correcties'!J225</f>
        <v>200783.5579674957</v>
      </c>
      <c r="M220" s="48">
        <f>'7. Input incidentele correcties'!K225</f>
        <v>0</v>
      </c>
    </row>
    <row r="221" spans="2:13">
      <c r="B221" s="43" t="str">
        <f>'7. Input incidentele correcties'!B226</f>
        <v>Asset 181</v>
      </c>
      <c r="F221" s="43" t="str">
        <f>'7. Input incidentele correcties'!F226</f>
        <v>39 ICT middelen 3</v>
      </c>
      <c r="G221" s="43">
        <f>'7. Input incidentele correcties'!G226</f>
        <v>2016</v>
      </c>
      <c r="H221" s="48">
        <f>'7. Input incidentele correcties'!H226</f>
        <v>529286.5107518764</v>
      </c>
      <c r="I221" s="43">
        <f>'7. Input incidentele correcties'!I226</f>
        <v>2021</v>
      </c>
      <c r="J221" s="48">
        <f>_xlfn.XLOOKUP(F221,'3. Input (des)investeringen '!$B$11:$B$80,'3. Input (des)investeringen '!$D$11:$D$80)</f>
        <v>15</v>
      </c>
      <c r="K221" s="48">
        <f>_xlfn.XLOOKUP(F221,'3. Input (des)investeringen '!$B$11:$B$80,'3. Input (des)investeringen '!$E$11:$E$80)</f>
        <v>1</v>
      </c>
      <c r="L221" s="48">
        <f>'7. Input incidentele correcties'!J226</f>
        <v>359294.38470756344</v>
      </c>
      <c r="M221" s="48">
        <f>'7. Input incidentele correcties'!K226</f>
        <v>0</v>
      </c>
    </row>
    <row r="222" spans="2:13">
      <c r="B222" s="43" t="str">
        <f>'7. Input incidentele correcties'!B227</f>
        <v>Asset 182</v>
      </c>
      <c r="F222" s="43" t="str">
        <f>'7. Input incidentele correcties'!F227</f>
        <v>12 Motorvoertuigen</v>
      </c>
      <c r="G222" s="43">
        <f>'7. Input incidentele correcties'!G227</f>
        <v>2016</v>
      </c>
      <c r="H222" s="48">
        <f>'7. Input incidentele correcties'!H227</f>
        <v>28567.827468907908</v>
      </c>
      <c r="I222" s="43">
        <f>'7. Input incidentele correcties'!I227</f>
        <v>2021</v>
      </c>
      <c r="J222" s="48">
        <f>_xlfn.XLOOKUP(F222,'3. Input (des)investeringen '!$B$11:$B$80,'3. Input (des)investeringen '!$D$11:$D$80)</f>
        <v>10</v>
      </c>
      <c r="K222" s="48">
        <f>_xlfn.XLOOKUP(F222,'3. Input (des)investeringen '!$B$11:$B$80,'3. Input (des)investeringen '!$E$11:$E$80)</f>
        <v>1</v>
      </c>
      <c r="L222" s="48">
        <f>'7. Input incidentele correcties'!J227</f>
        <v>13778.977338155324</v>
      </c>
      <c r="M222" s="48">
        <f>'7. Input incidentele correcties'!K227</f>
        <v>0</v>
      </c>
    </row>
    <row r="223" spans="2:13">
      <c r="B223" s="43" t="str">
        <f>'7. Input incidentele correcties'!B228</f>
        <v>Asset 183</v>
      </c>
      <c r="F223" s="43" t="str">
        <f>'7. Input incidentele correcties'!F228</f>
        <v>06 Utiliteitsgebouwen</v>
      </c>
      <c r="G223" s="43">
        <f>'7. Input incidentele correcties'!G228</f>
        <v>2016</v>
      </c>
      <c r="H223" s="48">
        <f>'7. Input incidentele correcties'!H228</f>
        <v>69569.550579382194</v>
      </c>
      <c r="I223" s="43">
        <f>'7. Input incidentele correcties'!I228</f>
        <v>2021</v>
      </c>
      <c r="J223" s="48">
        <f>_xlfn.XLOOKUP(F223,'3. Input (des)investeringen '!$B$11:$B$80,'3. Input (des)investeringen '!$D$11:$D$80)</f>
        <v>30</v>
      </c>
      <c r="K223" s="48">
        <f>_xlfn.XLOOKUP(F223,'3. Input (des)investeringen '!$B$11:$B$80,'3. Input (des)investeringen '!$E$11:$E$80)</f>
        <v>0</v>
      </c>
      <c r="L223" s="48">
        <f>'7. Input incidentele correcties'!J228</f>
        <v>60896.353156050573</v>
      </c>
      <c r="M223" s="48">
        <f>'7. Input incidentele correcties'!K228</f>
        <v>0</v>
      </c>
    </row>
    <row r="224" spans="2:13">
      <c r="B224" s="43" t="str">
        <f>'7. Input incidentele correcties'!B229</f>
        <v>Asset 184</v>
      </c>
      <c r="F224" s="43" t="str">
        <f>'7. Input incidentele correcties'!F229</f>
        <v>09 Bedrijfsinventaris</v>
      </c>
      <c r="G224" s="43">
        <f>'7. Input incidentele correcties'!G229</f>
        <v>2016</v>
      </c>
      <c r="H224" s="48">
        <f>'7. Input incidentele correcties'!H229</f>
        <v>285684.31746031862</v>
      </c>
      <c r="I224" s="43">
        <f>'7. Input incidentele correcties'!I229</f>
        <v>2021</v>
      </c>
      <c r="J224" s="48">
        <f>_xlfn.XLOOKUP(F224,'3. Input (des)investeringen '!$B$11:$B$80,'3. Input (des)investeringen '!$D$11:$D$80)</f>
        <v>10</v>
      </c>
      <c r="K224" s="48">
        <f>_xlfn.XLOOKUP(F224,'3. Input (des)investeringen '!$B$11:$B$80,'3. Input (des)investeringen '!$E$11:$E$80)</f>
        <v>1</v>
      </c>
      <c r="L224" s="48">
        <f>'7. Input incidentele correcties'!J229</f>
        <v>137792.68796118168</v>
      </c>
      <c r="M224" s="48">
        <f>'7. Input incidentele correcties'!K229</f>
        <v>0</v>
      </c>
    </row>
    <row r="225" spans="2:13">
      <c r="B225" s="43" t="str">
        <f>'7. Input incidentele correcties'!B230</f>
        <v>Asset 185</v>
      </c>
      <c r="F225" s="43" t="str">
        <f>'7. Input incidentele correcties'!F230</f>
        <v>08 Inrichting gebouwen</v>
      </c>
      <c r="G225" s="43">
        <f>'7. Input incidentele correcties'!G230</f>
        <v>2016</v>
      </c>
      <c r="H225" s="48">
        <f>'7. Input incidentele correcties'!H230</f>
        <v>23169.006741347624</v>
      </c>
      <c r="I225" s="43">
        <f>'7. Input incidentele correcties'!I230</f>
        <v>2021</v>
      </c>
      <c r="J225" s="48">
        <f>_xlfn.XLOOKUP(F225,'3. Input (des)investeringen '!$B$11:$B$80,'3. Input (des)investeringen '!$D$11:$D$80)</f>
        <v>10</v>
      </c>
      <c r="K225" s="48">
        <f>_xlfn.XLOOKUP(F225,'3. Input (des)investeringen '!$B$11:$B$80,'3. Input (des)investeringen '!$E$11:$E$80)</f>
        <v>0</v>
      </c>
      <c r="L225" s="48">
        <f>'7. Input incidentele correcties'!J230</f>
        <v>11174.991139387506</v>
      </c>
      <c r="M225" s="48">
        <f>'7. Input incidentele correcties'!K230</f>
        <v>0</v>
      </c>
    </row>
    <row r="226" spans="2:13">
      <c r="B226" s="43" t="str">
        <f>'7. Input incidentele correcties'!B231</f>
        <v>Asset 186</v>
      </c>
      <c r="F226" s="43" t="str">
        <f>'7. Input incidentele correcties'!F231</f>
        <v>11 Werktuigen (KC)</v>
      </c>
      <c r="G226" s="43">
        <f>'7. Input incidentele correcties'!G231</f>
        <v>2017</v>
      </c>
      <c r="H226" s="48">
        <f>'7. Input incidentele correcties'!H231</f>
        <v>42505.139899436123</v>
      </c>
      <c r="I226" s="43">
        <f>'7. Input incidentele correcties'!I231</f>
        <v>2021</v>
      </c>
      <c r="J226" s="48">
        <f>_xlfn.XLOOKUP(F226,'3. Input (des)investeringen '!$B$11:$B$80,'3. Input (des)investeringen '!$D$11:$D$80)</f>
        <v>10</v>
      </c>
      <c r="K226" s="48">
        <f>_xlfn.XLOOKUP(F226,'3. Input (des)investeringen '!$B$11:$B$80,'3. Input (des)investeringen '!$E$11:$E$80)</f>
        <v>0</v>
      </c>
      <c r="L226" s="48">
        <f>'7. Input incidentele correcties'!J231</f>
        <v>25007.119857240814</v>
      </c>
      <c r="M226" s="48">
        <f>'7. Input incidentele correcties'!K231</f>
        <v>0</v>
      </c>
    </row>
    <row r="227" spans="2:13">
      <c r="B227" s="43" t="str">
        <f>'7. Input incidentele correcties'!B232</f>
        <v>Asset 187</v>
      </c>
      <c r="F227" s="43" t="str">
        <f>'7. Input incidentele correcties'!F232</f>
        <v>10 Gereedschap</v>
      </c>
      <c r="G227" s="43">
        <f>'7. Input incidentele correcties'!G232</f>
        <v>2017</v>
      </c>
      <c r="H227" s="48">
        <f>'7. Input incidentele correcties'!H232</f>
        <v>283180.78041617683</v>
      </c>
      <c r="I227" s="43">
        <f>'7. Input incidentele correcties'!I232</f>
        <v>2021</v>
      </c>
      <c r="J227" s="48">
        <f>_xlfn.XLOOKUP(F227,'3. Input (des)investeringen '!$B$11:$B$80,'3. Input (des)investeringen '!$D$11:$D$80)</f>
        <v>10</v>
      </c>
      <c r="K227" s="48">
        <f>_xlfn.XLOOKUP(F227,'3. Input (des)investeringen '!$B$11:$B$80,'3. Input (des)investeringen '!$E$11:$E$80)</f>
        <v>1</v>
      </c>
      <c r="L227" s="48">
        <f>'7. Input incidentele correcties'!J232</f>
        <v>166604.2208986652</v>
      </c>
      <c r="M227" s="48">
        <f>'7. Input incidentele correcties'!K232</f>
        <v>0</v>
      </c>
    </row>
    <row r="228" spans="2:13">
      <c r="B228" s="43" t="str">
        <f>'7. Input incidentele correcties'!B233</f>
        <v>Asset 188</v>
      </c>
      <c r="F228" s="43" t="str">
        <f>'7. Input incidentele correcties'!F233</f>
        <v>10 Gereedschap</v>
      </c>
      <c r="G228" s="43">
        <f>'7. Input incidentele correcties'!G233</f>
        <v>2016</v>
      </c>
      <c r="H228" s="48">
        <f>'7. Input incidentele correcties'!H233</f>
        <v>59355.750635093973</v>
      </c>
      <c r="I228" s="43">
        <f>'7. Input incidentele correcties'!I233</f>
        <v>2021</v>
      </c>
      <c r="J228" s="48">
        <f>_xlfn.XLOOKUP(F228,'3. Input (des)investeringen '!$B$11:$B$80,'3. Input (des)investeringen '!$D$11:$D$80)</f>
        <v>10</v>
      </c>
      <c r="K228" s="48">
        <f>_xlfn.XLOOKUP(F228,'3. Input (des)investeringen '!$B$11:$B$80,'3. Input (des)investeringen '!$E$11:$E$80)</f>
        <v>1</v>
      </c>
      <c r="L228" s="48">
        <f>'7. Input incidentele correcties'!J233</f>
        <v>28628.76232994219</v>
      </c>
      <c r="M228" s="48">
        <f>'7. Input incidentele correcties'!K233</f>
        <v>0</v>
      </c>
    </row>
    <row r="229" spans="2:13">
      <c r="B229" s="43" t="str">
        <f>'7. Input incidentele correcties'!B234</f>
        <v>Asset 189</v>
      </c>
      <c r="F229" s="43" t="str">
        <f>'7. Input incidentele correcties'!F234</f>
        <v>20 Kantoorgebouwen</v>
      </c>
      <c r="G229" s="43">
        <f>'7. Input incidentele correcties'!G234</f>
        <v>2017</v>
      </c>
      <c r="H229" s="48">
        <f>'7. Input incidentele correcties'!H234</f>
        <v>1235103.6006231268</v>
      </c>
      <c r="I229" s="43">
        <f>'7. Input incidentele correcties'!I234</f>
        <v>2021</v>
      </c>
      <c r="J229" s="48">
        <f>_xlfn.XLOOKUP(F229,'3. Input (des)investeringen '!$B$11:$B$80,'3. Input (des)investeringen '!$D$11:$D$80)</f>
        <v>30</v>
      </c>
      <c r="K229" s="48">
        <f>_xlfn.XLOOKUP(F229,'3. Input (des)investeringen '!$B$11:$B$80,'3. Input (des)investeringen '!$E$11:$E$80)</f>
        <v>0</v>
      </c>
      <c r="L229" s="48">
        <f>'7. Input incidentele correcties'!J234</f>
        <v>1123005.4133120223</v>
      </c>
      <c r="M229" s="48">
        <f>'7. Input incidentele correcties'!K234</f>
        <v>0</v>
      </c>
    </row>
    <row r="230" spans="2:13">
      <c r="B230" s="43" t="str">
        <f>'7. Input incidentele correcties'!B235</f>
        <v>Asset 190</v>
      </c>
      <c r="F230" s="43" t="str">
        <f>'7. Input incidentele correcties'!F235</f>
        <v>13 Aanhangwagens</v>
      </c>
      <c r="G230" s="43">
        <f>'7. Input incidentele correcties'!G235</f>
        <v>2017</v>
      </c>
      <c r="H230" s="48">
        <f>'7. Input incidentele correcties'!H235</f>
        <v>251242.94461834809</v>
      </c>
      <c r="I230" s="43">
        <f>'7. Input incidentele correcties'!I235</f>
        <v>2021</v>
      </c>
      <c r="J230" s="48">
        <f>_xlfn.XLOOKUP(F230,'3. Input (des)investeringen '!$B$11:$B$80,'3. Input (des)investeringen '!$D$11:$D$80)</f>
        <v>10</v>
      </c>
      <c r="K230" s="48">
        <f>_xlfn.XLOOKUP(F230,'3. Input (des)investeringen '!$B$11:$B$80,'3. Input (des)investeringen '!$E$11:$E$80)</f>
        <v>1</v>
      </c>
      <c r="L230" s="48">
        <f>'7. Input incidentele correcties'!J235</f>
        <v>147814.18069019204</v>
      </c>
      <c r="M230" s="48">
        <f>'7. Input incidentele correcties'!K235</f>
        <v>0</v>
      </c>
    </row>
    <row r="231" spans="2:13">
      <c r="B231" s="43" t="str">
        <f>'7. Input incidentele correcties'!B236</f>
        <v>Asset 191</v>
      </c>
      <c r="F231" s="43" t="str">
        <f>'7. Input incidentele correcties'!F236</f>
        <v>12 Motorvoertuigen</v>
      </c>
      <c r="G231" s="43">
        <f>'7. Input incidentele correcties'!G236</f>
        <v>2017</v>
      </c>
      <c r="H231" s="48">
        <f>'7. Input incidentele correcties'!H236</f>
        <v>342149.84909853589</v>
      </c>
      <c r="I231" s="43">
        <f>'7. Input incidentele correcties'!I236</f>
        <v>2021</v>
      </c>
      <c r="J231" s="48">
        <f>_xlfn.XLOOKUP(F231,'3. Input (des)investeringen '!$B$11:$B$80,'3. Input (des)investeringen '!$D$11:$D$80)</f>
        <v>10</v>
      </c>
      <c r="K231" s="48">
        <f>_xlfn.XLOOKUP(F231,'3. Input (des)investeringen '!$B$11:$B$80,'3. Input (des)investeringen '!$E$11:$E$80)</f>
        <v>1</v>
      </c>
      <c r="L231" s="48">
        <f>'7. Input incidentele correcties'!J236</f>
        <v>201297.59143922853</v>
      </c>
      <c r="M231" s="48">
        <f>'7. Input incidentele correcties'!K236</f>
        <v>0</v>
      </c>
    </row>
    <row r="232" spans="2:13">
      <c r="B232" s="43" t="str">
        <f>'7. Input incidentele correcties'!B237</f>
        <v>Asset 192</v>
      </c>
      <c r="F232" s="43" t="str">
        <f>'7. Input incidentele correcties'!F237</f>
        <v>10 Gereedschap (gaschromatografen en comptabele meters)</v>
      </c>
      <c r="G232" s="43">
        <f>'7. Input incidentele correcties'!G237</f>
        <v>2017</v>
      </c>
      <c r="H232" s="48">
        <f>'7. Input incidentele correcties'!H237</f>
        <v>492613.45921199484</v>
      </c>
      <c r="I232" s="43">
        <f>'7. Input incidentele correcties'!I237</f>
        <v>2021</v>
      </c>
      <c r="J232" s="48">
        <f>_xlfn.XLOOKUP(F232,'3. Input (des)investeringen '!$B$11:$B$80,'3. Input (des)investeringen '!$D$11:$D$80)</f>
        <v>10</v>
      </c>
      <c r="K232" s="48">
        <f>_xlfn.XLOOKUP(F232,'3. Input (des)investeringen '!$B$11:$B$80,'3. Input (des)investeringen '!$E$11:$E$80)</f>
        <v>0</v>
      </c>
      <c r="L232" s="48">
        <f>'7. Input incidentele correcties'!J237</f>
        <v>289820.09815635922</v>
      </c>
      <c r="M232" s="48">
        <f>'7. Input incidentele correcties'!K237</f>
        <v>0</v>
      </c>
    </row>
    <row r="233" spans="2:13">
      <c r="B233" s="43" t="str">
        <f>'7. Input incidentele correcties'!B238</f>
        <v>Asset 193</v>
      </c>
      <c r="F233" s="43" t="str">
        <f>'7. Input incidentele correcties'!F238</f>
        <v>11 Werktuigen</v>
      </c>
      <c r="G233" s="43">
        <f>'7. Input incidentele correcties'!G238</f>
        <v>2017</v>
      </c>
      <c r="H233" s="48">
        <f>'7. Input incidentele correcties'!H238</f>
        <v>2185364.6124668787</v>
      </c>
      <c r="I233" s="43">
        <f>'7. Input incidentele correcties'!I238</f>
        <v>2021</v>
      </c>
      <c r="J233" s="48">
        <f>_xlfn.XLOOKUP(F233,'3. Input (des)investeringen '!$B$11:$B$80,'3. Input (des)investeringen '!$D$11:$D$80)</f>
        <v>10</v>
      </c>
      <c r="K233" s="48">
        <f>_xlfn.XLOOKUP(F233,'3. Input (des)investeringen '!$B$11:$B$80,'3. Input (des)investeringen '!$E$11:$E$80)</f>
        <v>1</v>
      </c>
      <c r="L233" s="48">
        <f>'7. Input incidentele correcties'!J238</f>
        <v>1285719.20772473</v>
      </c>
      <c r="M233" s="48">
        <f>'7. Input incidentele correcties'!K238</f>
        <v>0</v>
      </c>
    </row>
    <row r="234" spans="2:13">
      <c r="B234" s="43" t="str">
        <f>'7. Input incidentele correcties'!B239</f>
        <v>Asset 194</v>
      </c>
      <c r="F234" s="43" t="str">
        <f>'7. Input incidentele correcties'!F239</f>
        <v>14 Overig rollend materieel</v>
      </c>
      <c r="G234" s="43">
        <f>'7. Input incidentele correcties'!G239</f>
        <v>2017</v>
      </c>
      <c r="H234" s="48">
        <f>'7. Input incidentele correcties'!H239</f>
        <v>68624.022512808762</v>
      </c>
      <c r="I234" s="43">
        <f>'7. Input incidentele correcties'!I239</f>
        <v>2021</v>
      </c>
      <c r="J234" s="48">
        <f>_xlfn.XLOOKUP(F234,'3. Input (des)investeringen '!$B$11:$B$80,'3. Input (des)investeringen '!$D$11:$D$80)</f>
        <v>10</v>
      </c>
      <c r="K234" s="48">
        <f>_xlfn.XLOOKUP(F234,'3. Input (des)investeringen '!$B$11:$B$80,'3. Input (des)investeringen '!$E$11:$E$80)</f>
        <v>1</v>
      </c>
      <c r="L234" s="48">
        <f>'7. Input incidentele correcties'!J239</f>
        <v>40373.685632465487</v>
      </c>
      <c r="M234" s="48">
        <f>'7. Input incidentele correcties'!K239</f>
        <v>0</v>
      </c>
    </row>
    <row r="235" spans="2:13">
      <c r="B235" s="43" t="str">
        <f>'7. Input incidentele correcties'!B240</f>
        <v>Asset 195</v>
      </c>
      <c r="F235" s="43" t="str">
        <f>'7. Input incidentele correcties'!F240</f>
        <v>09 Bedrijfsinventaris</v>
      </c>
      <c r="G235" s="43">
        <f>'7. Input incidentele correcties'!G240</f>
        <v>2017</v>
      </c>
      <c r="H235" s="48">
        <f>'7. Input incidentele correcties'!H240</f>
        <v>75086.588886849713</v>
      </c>
      <c r="I235" s="43">
        <f>'7. Input incidentele correcties'!I240</f>
        <v>2021</v>
      </c>
      <c r="J235" s="48">
        <f>_xlfn.XLOOKUP(F235,'3. Input (des)investeringen '!$B$11:$B$80,'3. Input (des)investeringen '!$D$11:$D$80)</f>
        <v>10</v>
      </c>
      <c r="K235" s="48">
        <f>_xlfn.XLOOKUP(F235,'3. Input (des)investeringen '!$B$11:$B$80,'3. Input (des)investeringen '!$E$11:$E$80)</f>
        <v>1</v>
      </c>
      <c r="L235" s="48">
        <f>'7. Input incidentele correcties'!J240</f>
        <v>44175.81808711389</v>
      </c>
      <c r="M235" s="48">
        <f>'7. Input incidentele correcties'!K240</f>
        <v>0</v>
      </c>
    </row>
    <row r="236" spans="2:13">
      <c r="B236" s="43" t="str">
        <f>'7. Input incidentele correcties'!B241</f>
        <v>Asset 196</v>
      </c>
      <c r="F236" s="43" t="str">
        <f>'7. Input incidentele correcties'!F241</f>
        <v>08 Inrichting gebouwen</v>
      </c>
      <c r="G236" s="43">
        <f>'7. Input incidentele correcties'!G241</f>
        <v>2017</v>
      </c>
      <c r="H236" s="48">
        <f>'7. Input incidentele correcties'!H241</f>
        <v>894081.48176313401</v>
      </c>
      <c r="I236" s="43">
        <f>'7. Input incidentele correcties'!I241</f>
        <v>2021</v>
      </c>
      <c r="J236" s="48">
        <f>_xlfn.XLOOKUP(F236,'3. Input (des)investeringen '!$B$11:$B$80,'3. Input (des)investeringen '!$D$11:$D$80)</f>
        <v>10</v>
      </c>
      <c r="K236" s="48">
        <f>_xlfn.XLOOKUP(F236,'3. Input (des)investeringen '!$B$11:$B$80,'3. Input (des)investeringen '!$E$11:$E$80)</f>
        <v>0</v>
      </c>
      <c r="L236" s="48">
        <f>'7. Input incidentele correcties'!J241</f>
        <v>526016.44952794898</v>
      </c>
      <c r="M236" s="48">
        <f>'7. Input incidentele correcties'!K241</f>
        <v>0</v>
      </c>
    </row>
    <row r="237" spans="2:13">
      <c r="B237" s="43" t="str">
        <f>'7. Input incidentele correcties'!B242</f>
        <v>Asset 197</v>
      </c>
      <c r="F237" s="43" t="str">
        <f>'7. Input incidentele correcties'!F242</f>
        <v>09 Bedrijfsinventaris</v>
      </c>
      <c r="G237" s="43">
        <f>'7. Input incidentele correcties'!G242</f>
        <v>2018</v>
      </c>
      <c r="H237" s="48">
        <f>'7. Input incidentele correcties'!H242</f>
        <v>490885.08786120504</v>
      </c>
      <c r="I237" s="43">
        <f>'7. Input incidentele correcties'!I242</f>
        <v>2021</v>
      </c>
      <c r="J237" s="48">
        <f>_xlfn.XLOOKUP(F237,'3. Input (des)investeringen '!$B$11:$B$80,'3. Input (des)investeringen '!$D$11:$D$80)</f>
        <v>10</v>
      </c>
      <c r="K237" s="48">
        <f>_xlfn.XLOOKUP(F237,'3. Input (des)investeringen '!$B$11:$B$80,'3. Input (des)investeringen '!$E$11:$E$80)</f>
        <v>1</v>
      </c>
      <c r="L237" s="48">
        <f>'7. Input incidentele correcties'!J242</f>
        <v>336600.51580018562</v>
      </c>
      <c r="M237" s="48">
        <f>'7. Input incidentele correcties'!K242</f>
        <v>0</v>
      </c>
    </row>
    <row r="238" spans="2:13">
      <c r="B238" s="43" t="str">
        <f>'7. Input incidentele correcties'!B243</f>
        <v>Asset 198</v>
      </c>
      <c r="F238" s="43" t="str">
        <f>'7. Input incidentele correcties'!F243</f>
        <v>08 Inrichting gebouwen</v>
      </c>
      <c r="G238" s="43">
        <f>'7. Input incidentele correcties'!G243</f>
        <v>2018</v>
      </c>
      <c r="H238" s="48">
        <f>'7. Input incidentele correcties'!H243</f>
        <v>533703.76265516167</v>
      </c>
      <c r="I238" s="43">
        <f>'7. Input incidentele correcties'!I243</f>
        <v>2021</v>
      </c>
      <c r="J238" s="48">
        <f>_xlfn.XLOOKUP(F238,'3. Input (des)investeringen '!$B$11:$B$80,'3. Input (des)investeringen '!$D$11:$D$80)</f>
        <v>10</v>
      </c>
      <c r="K238" s="48">
        <f>_xlfn.XLOOKUP(F238,'3. Input (des)investeringen '!$B$11:$B$80,'3. Input (des)investeringen '!$E$11:$E$80)</f>
        <v>0</v>
      </c>
      <c r="L238" s="48">
        <f>'7. Input incidentele correcties'!J243</f>
        <v>365961.33440708811</v>
      </c>
      <c r="M238" s="48">
        <f>'7. Input incidentele correcties'!K243</f>
        <v>0</v>
      </c>
    </row>
    <row r="239" spans="2:13">
      <c r="B239" s="43" t="str">
        <f>'7. Input incidentele correcties'!B244</f>
        <v>Asset 199</v>
      </c>
      <c r="F239" s="43" t="str">
        <f>'7. Input incidentele correcties'!F244</f>
        <v>11 Werktuigen</v>
      </c>
      <c r="G239" s="43">
        <f>'7. Input incidentele correcties'!G244</f>
        <v>2018</v>
      </c>
      <c r="H239" s="48">
        <f>'7. Input incidentele correcties'!H244</f>
        <v>2619455.826851733</v>
      </c>
      <c r="I239" s="43">
        <f>'7. Input incidentele correcties'!I244</f>
        <v>2021</v>
      </c>
      <c r="J239" s="48">
        <f>_xlfn.XLOOKUP(F239,'3. Input (des)investeringen '!$B$11:$B$80,'3. Input (des)investeringen '!$D$11:$D$80)</f>
        <v>10</v>
      </c>
      <c r="K239" s="48">
        <f>_xlfn.XLOOKUP(F239,'3. Input (des)investeringen '!$B$11:$B$80,'3. Input (des)investeringen '!$E$11:$E$80)</f>
        <v>1</v>
      </c>
      <c r="L239" s="48">
        <f>'7. Input incidentele correcties'!J244</f>
        <v>1796164.1211708463</v>
      </c>
      <c r="M239" s="48">
        <f>'7. Input incidentele correcties'!K244</f>
        <v>0</v>
      </c>
    </row>
    <row r="240" spans="2:13">
      <c r="B240" s="43" t="str">
        <f>'7. Input incidentele correcties'!B245</f>
        <v>Asset 200</v>
      </c>
      <c r="F240" s="43" t="str">
        <f>'7. Input incidentele correcties'!F245</f>
        <v>10 Gereedschap</v>
      </c>
      <c r="G240" s="43">
        <f>'7. Input incidentele correcties'!G245</f>
        <v>2018</v>
      </c>
      <c r="H240" s="48">
        <f>'7. Input incidentele correcties'!H245</f>
        <v>252164.79428194632</v>
      </c>
      <c r="I240" s="43">
        <f>'7. Input incidentele correcties'!I245</f>
        <v>2021</v>
      </c>
      <c r="J240" s="48">
        <f>_xlfn.XLOOKUP(F240,'3. Input (des)investeringen '!$B$11:$B$80,'3. Input (des)investeringen '!$D$11:$D$80)</f>
        <v>10</v>
      </c>
      <c r="K240" s="48">
        <f>_xlfn.XLOOKUP(F240,'3. Input (des)investeringen '!$B$11:$B$80,'3. Input (des)investeringen '!$E$11:$E$80)</f>
        <v>1</v>
      </c>
      <c r="L240" s="48">
        <f>'7. Input incidentele correcties'!J245</f>
        <v>172909.7133338665</v>
      </c>
      <c r="M240" s="48">
        <f>'7. Input incidentele correcties'!K245</f>
        <v>0</v>
      </c>
    </row>
    <row r="241" spans="2:13">
      <c r="B241" s="43" t="str">
        <f>'7. Input incidentele correcties'!B246</f>
        <v>Asset 201</v>
      </c>
      <c r="F241" s="43" t="str">
        <f>'7. Input incidentele correcties'!F246</f>
        <v>11 Werktuigen (KC)</v>
      </c>
      <c r="G241" s="43">
        <f>'7. Input incidentele correcties'!G246</f>
        <v>2018</v>
      </c>
      <c r="H241" s="48">
        <f>'7. Input incidentele correcties'!H246</f>
        <v>13021546.318391869</v>
      </c>
      <c r="I241" s="43">
        <f>'7. Input incidentele correcties'!I246</f>
        <v>2021</v>
      </c>
      <c r="J241" s="48">
        <f>_xlfn.XLOOKUP(F241,'3. Input (des)investeringen '!$B$11:$B$80,'3. Input (des)investeringen '!$D$11:$D$80)</f>
        <v>10</v>
      </c>
      <c r="K241" s="48">
        <f>_xlfn.XLOOKUP(F241,'3. Input (des)investeringen '!$B$11:$B$80,'3. Input (des)investeringen '!$E$11:$E$80)</f>
        <v>0</v>
      </c>
      <c r="L241" s="48">
        <f>'7. Input incidentele correcties'!J246</f>
        <v>8928890.519742161</v>
      </c>
      <c r="M241" s="48">
        <f>'7. Input incidentele correcties'!K246</f>
        <v>0</v>
      </c>
    </row>
    <row r="242" spans="2:13">
      <c r="B242" s="43" t="str">
        <f>'7. Input incidentele correcties'!B247</f>
        <v>Asset 202</v>
      </c>
      <c r="F242" s="43" t="str">
        <f>'7. Input incidentele correcties'!F247</f>
        <v>20 Kantoorgebouwen</v>
      </c>
      <c r="G242" s="43">
        <f>'7. Input incidentele correcties'!G247</f>
        <v>2018</v>
      </c>
      <c r="H242" s="48">
        <f>'7. Input incidentele correcties'!H247</f>
        <v>5158473.573657441</v>
      </c>
      <c r="I242" s="43">
        <f>'7. Input incidentele correcties'!I247</f>
        <v>2021</v>
      </c>
      <c r="J242" s="48">
        <f>_xlfn.XLOOKUP(F242,'3. Input (des)investeringen '!$B$11:$B$80,'3. Input (des)investeringen '!$D$11:$D$80)</f>
        <v>30</v>
      </c>
      <c r="K242" s="48">
        <f>_xlfn.XLOOKUP(F242,'3. Input (des)investeringen '!$B$11:$B$80,'3. Input (des)investeringen '!$E$11:$E$80)</f>
        <v>0</v>
      </c>
      <c r="L242" s="48">
        <f>'7. Input incidentele correcties'!J247</f>
        <v>4806925.7125234623</v>
      </c>
      <c r="M242" s="48">
        <f>'7. Input incidentele correcties'!K247</f>
        <v>0</v>
      </c>
    </row>
    <row r="243" spans="2:13">
      <c r="B243" s="43" t="str">
        <f>'7. Input incidentele correcties'!B248</f>
        <v>Asset 203</v>
      </c>
      <c r="F243" s="43" t="str">
        <f>'7. Input incidentele correcties'!F248</f>
        <v>39 ICT middelen 3 (KC)</v>
      </c>
      <c r="G243" s="43">
        <f>'7. Input incidentele correcties'!G248</f>
        <v>2018</v>
      </c>
      <c r="H243" s="48">
        <f>'7. Input incidentele correcties'!H248</f>
        <v>21147142.000000007</v>
      </c>
      <c r="I243" s="43">
        <f>'7. Input incidentele correcties'!I248</f>
        <v>2021</v>
      </c>
      <c r="J243" s="48">
        <f>_xlfn.XLOOKUP(F243,'3. Input (des)investeringen '!$B$11:$B$80,'3. Input (des)investeringen '!$D$11:$D$80)</f>
        <v>15</v>
      </c>
      <c r="K243" s="48">
        <f>_xlfn.XLOOKUP(F243,'3. Input (des)investeringen '!$B$11:$B$80,'3. Input (des)investeringen '!$E$11:$E$80)</f>
        <v>0</v>
      </c>
      <c r="L243" s="48">
        <f>'7. Input incidentele correcties'!J248</f>
        <v>17103297.263965867</v>
      </c>
      <c r="M243" s="48">
        <f>'7. Input incidentele correcties'!K248</f>
        <v>0</v>
      </c>
    </row>
    <row r="244" spans="2:13">
      <c r="B244" s="43" t="str">
        <f>'7. Input incidentele correcties'!B249</f>
        <v>Asset 204</v>
      </c>
      <c r="F244" s="43" t="str">
        <f>'7. Input incidentele correcties'!F249</f>
        <v>37 ICT middelen 1 (KC)</v>
      </c>
      <c r="G244" s="43">
        <f>'7. Input incidentele correcties'!G249</f>
        <v>2018</v>
      </c>
      <c r="H244" s="48">
        <f>'7. Input incidentele correcties'!H249</f>
        <v>1669649.9999999995</v>
      </c>
      <c r="I244" s="43">
        <f>'7. Input incidentele correcties'!I249</f>
        <v>2021</v>
      </c>
      <c r="J244" s="48">
        <f>_xlfn.XLOOKUP(F244,'3. Input (des)investeringen '!$B$11:$B$80,'3. Input (des)investeringen '!$D$11:$D$80)</f>
        <v>5</v>
      </c>
      <c r="K244" s="48">
        <f>_xlfn.XLOOKUP(F244,'3. Input (des)investeringen '!$B$11:$B$80,'3. Input (des)investeringen '!$E$11:$E$80)</f>
        <v>0</v>
      </c>
      <c r="L244" s="48">
        <f>'7. Input incidentele correcties'!J249</f>
        <v>528406.65386783984</v>
      </c>
      <c r="M244" s="48">
        <f>'7. Input incidentele correcties'!K249</f>
        <v>0</v>
      </c>
    </row>
    <row r="245" spans="2:13">
      <c r="B245" s="43" t="str">
        <f>'7. Input incidentele correcties'!B250</f>
        <v>Asset 205</v>
      </c>
      <c r="F245" s="43" t="str">
        <f>'7. Input incidentele correcties'!F250</f>
        <v>05 Wegen en terreinvoorzieningen</v>
      </c>
      <c r="G245" s="43">
        <f>'7. Input incidentele correcties'!G250</f>
        <v>2017</v>
      </c>
      <c r="H245" s="48">
        <f>'7. Input incidentele correcties'!H250</f>
        <v>41129.587663444909</v>
      </c>
      <c r="I245" s="43">
        <f>'7. Input incidentele correcties'!I250</f>
        <v>2021</v>
      </c>
      <c r="J245" s="48">
        <f>_xlfn.XLOOKUP(F245,'3. Input (des)investeringen '!$B$11:$B$80,'3. Input (des)investeringen '!$D$11:$D$80)</f>
        <v>10</v>
      </c>
      <c r="K245" s="48">
        <f>_xlfn.XLOOKUP(F245,'3. Input (des)investeringen '!$B$11:$B$80,'3. Input (des)investeringen '!$E$11:$E$80)</f>
        <v>0</v>
      </c>
      <c r="L245" s="48">
        <f>'7. Input incidentele correcties'!J250</f>
        <v>24197.83891576614</v>
      </c>
      <c r="M245" s="48">
        <f>'7. Input incidentele correcties'!K250</f>
        <v>0</v>
      </c>
    </row>
    <row r="246" spans="2:13">
      <c r="B246" s="43" t="str">
        <f>'7. Input incidentele correcties'!B251</f>
        <v>Asset 206</v>
      </c>
      <c r="F246" s="43" t="str">
        <f>'7. Input incidentele correcties'!F251</f>
        <v>06 Utiliteitsgebouwen</v>
      </c>
      <c r="G246" s="43">
        <f>'7. Input incidentele correcties'!G251</f>
        <v>2018</v>
      </c>
      <c r="H246" s="48">
        <f>'7. Input incidentele correcties'!H251</f>
        <v>1769813.2968497979</v>
      </c>
      <c r="I246" s="43">
        <f>'7. Input incidentele correcties'!I251</f>
        <v>2021</v>
      </c>
      <c r="J246" s="48">
        <f>_xlfn.XLOOKUP(F246,'3. Input (des)investeringen '!$B$11:$B$80,'3. Input (des)investeringen '!$D$11:$D$80)</f>
        <v>30</v>
      </c>
      <c r="K246" s="48">
        <f>_xlfn.XLOOKUP(F246,'3. Input (des)investeringen '!$B$11:$B$80,'3. Input (des)investeringen '!$E$11:$E$80)</f>
        <v>0</v>
      </c>
      <c r="L246" s="48">
        <f>'7. Input incidentele correcties'!J251</f>
        <v>1649201.2455850111</v>
      </c>
      <c r="M246" s="48">
        <f>'7. Input incidentele correcties'!K251</f>
        <v>0</v>
      </c>
    </row>
    <row r="247" spans="2:13">
      <c r="B247" s="43" t="str">
        <f>'7. Input incidentele correcties'!B252</f>
        <v>Asset 207</v>
      </c>
      <c r="F247" s="43" t="str">
        <f>'7. Input incidentele correcties'!F252</f>
        <v>14 Overig rollend materieel</v>
      </c>
      <c r="G247" s="43">
        <f>'7. Input incidentele correcties'!G252</f>
        <v>2018</v>
      </c>
      <c r="H247" s="48">
        <f>'7. Input incidentele correcties'!H252</f>
        <v>20291.448993786991</v>
      </c>
      <c r="I247" s="43">
        <f>'7. Input incidentele correcties'!I252</f>
        <v>2021</v>
      </c>
      <c r="J247" s="48">
        <f>_xlfn.XLOOKUP(F247,'3. Input (des)investeringen '!$B$11:$B$80,'3. Input (des)investeringen '!$D$11:$D$80)</f>
        <v>10</v>
      </c>
      <c r="K247" s="48">
        <f>_xlfn.XLOOKUP(F247,'3. Input (des)investeringen '!$B$11:$B$80,'3. Input (des)investeringen '!$E$11:$E$80)</f>
        <v>1</v>
      </c>
      <c r="L247" s="48">
        <f>'7. Input incidentele correcties'!J252</f>
        <v>13913.871833835448</v>
      </c>
      <c r="M247" s="48">
        <f>'7. Input incidentele correcties'!K252</f>
        <v>0</v>
      </c>
    </row>
    <row r="248" spans="2:13">
      <c r="B248" s="43" t="str">
        <f>'7. Input incidentele correcties'!B253</f>
        <v>Asset 208</v>
      </c>
      <c r="F248" s="43" t="str">
        <f>'7. Input incidentele correcties'!F253</f>
        <v>10 Gereedschap (odorisatie)</v>
      </c>
      <c r="G248" s="43">
        <f>'7. Input incidentele correcties'!G253</f>
        <v>2018</v>
      </c>
      <c r="H248" s="48">
        <f>'7. Input incidentele correcties'!H253</f>
        <v>59796.38767845487</v>
      </c>
      <c r="I248" s="43">
        <f>'7. Input incidentele correcties'!I253</f>
        <v>2021</v>
      </c>
      <c r="J248" s="48">
        <f>_xlfn.XLOOKUP(F248,'3. Input (des)investeringen '!$B$11:$B$80,'3. Input (des)investeringen '!$D$11:$D$80)</f>
        <v>10</v>
      </c>
      <c r="K248" s="48">
        <f>_xlfn.XLOOKUP(F248,'3. Input (des)investeringen '!$B$11:$B$80,'3. Input (des)investeringen '!$E$11:$E$80)</f>
        <v>0</v>
      </c>
      <c r="L248" s="48">
        <f>'7. Input incidentele correcties'!J253</f>
        <v>41002.457465659885</v>
      </c>
      <c r="M248" s="48">
        <f>'7. Input incidentele correcties'!K253</f>
        <v>0</v>
      </c>
    </row>
    <row r="249" spans="2:13">
      <c r="B249" s="43" t="str">
        <f>'7. Input incidentele correcties'!B254</f>
        <v>Asset 209</v>
      </c>
      <c r="F249" s="43" t="str">
        <f>'7. Input incidentele correcties'!F254</f>
        <v>05 Wegen en terreinvoorzieningen</v>
      </c>
      <c r="G249" s="43">
        <f>'7. Input incidentele correcties'!G254</f>
        <v>2018</v>
      </c>
      <c r="H249" s="48">
        <f>'7. Input incidentele correcties'!H254</f>
        <v>70537.619152208252</v>
      </c>
      <c r="I249" s="43">
        <f>'7. Input incidentele correcties'!I254</f>
        <v>2021</v>
      </c>
      <c r="J249" s="48">
        <f>_xlfn.XLOOKUP(F249,'3. Input (des)investeringen '!$B$11:$B$80,'3. Input (des)investeringen '!$D$11:$D$80)</f>
        <v>10</v>
      </c>
      <c r="K249" s="48">
        <f>_xlfn.XLOOKUP(F249,'3. Input (des)investeringen '!$B$11:$B$80,'3. Input (des)investeringen '!$E$11:$E$80)</f>
        <v>0</v>
      </c>
      <c r="L249" s="48">
        <f>'7. Input incidentele correcties'!J254</f>
        <v>48367.733257897518</v>
      </c>
      <c r="M249" s="48">
        <f>'7. Input incidentele correcties'!K254</f>
        <v>0</v>
      </c>
    </row>
    <row r="250" spans="2:13">
      <c r="B250" s="43" t="str">
        <f>'7. Input incidentele correcties'!B255</f>
        <v>Asset 210</v>
      </c>
      <c r="F250" s="43" t="str">
        <f>'7. Input incidentele correcties'!F255</f>
        <v>37 ICT middelen 1 (balancering)</v>
      </c>
      <c r="G250" s="43">
        <f>'7. Input incidentele correcties'!G255</f>
        <v>2018</v>
      </c>
      <c r="H250" s="48">
        <f>'7. Input incidentele correcties'!H255</f>
        <v>1033593</v>
      </c>
      <c r="I250" s="43">
        <f>'7. Input incidentele correcties'!I255</f>
        <v>2021</v>
      </c>
      <c r="J250" s="48">
        <f>_xlfn.XLOOKUP(F250,'3. Input (des)investeringen '!$B$11:$B$80,'3. Input (des)investeringen '!$D$11:$D$80)</f>
        <v>5</v>
      </c>
      <c r="K250" s="48">
        <f>_xlfn.XLOOKUP(F250,'3. Input (des)investeringen '!$B$11:$B$80,'3. Input (des)investeringen '!$E$11:$E$80)</f>
        <v>0</v>
      </c>
      <c r="L250" s="48">
        <f>'7. Input incidentele correcties'!J255</f>
        <v>327108.92617687664</v>
      </c>
      <c r="M250" s="48">
        <f>'7. Input incidentele correcties'!K255</f>
        <v>0</v>
      </c>
    </row>
    <row r="251" spans="2:13">
      <c r="B251" s="43" t="str">
        <f>'7. Input incidentele correcties'!B256</f>
        <v>Asset 211</v>
      </c>
      <c r="F251" s="43" t="str">
        <f>'7. Input incidentele correcties'!F256</f>
        <v>37 ICT middelen 1</v>
      </c>
      <c r="G251" s="43">
        <f>'7. Input incidentele correcties'!G256</f>
        <v>2019</v>
      </c>
      <c r="H251" s="48">
        <f>'7. Input incidentele correcties'!H256</f>
        <v>7023542.7917365544</v>
      </c>
      <c r="I251" s="43">
        <f>'7. Input incidentele correcties'!I256</f>
        <v>2021</v>
      </c>
      <c r="J251" s="48">
        <f>_xlfn.XLOOKUP(F251,'3. Input (des)investeringen '!$B$11:$B$80,'3. Input (des)investeringen '!$D$11:$D$80)</f>
        <v>5</v>
      </c>
      <c r="K251" s="48">
        <f>_xlfn.XLOOKUP(F251,'3. Input (des)investeringen '!$B$11:$B$80,'3. Input (des)investeringen '!$E$11:$E$80)</f>
        <v>1</v>
      </c>
      <c r="L251" s="48">
        <f>'7. Input incidentele correcties'!J256</f>
        <v>3660726.6913954271</v>
      </c>
      <c r="M251" s="48">
        <f>'7. Input incidentele correcties'!K256</f>
        <v>0</v>
      </c>
    </row>
    <row r="252" spans="2:13">
      <c r="B252" s="43" t="str">
        <f>'7. Input incidentele correcties'!B257</f>
        <v>Asset 212</v>
      </c>
      <c r="F252" s="43" t="str">
        <f>'7. Input incidentele correcties'!F257</f>
        <v>14 Overig rollend materieel</v>
      </c>
      <c r="G252" s="43">
        <f>'7. Input incidentele correcties'!G257</f>
        <v>2019</v>
      </c>
      <c r="H252" s="48">
        <f>'7. Input incidentele correcties'!H257</f>
        <v>857388.09237261105</v>
      </c>
      <c r="I252" s="43">
        <f>'7. Input incidentele correcties'!I257</f>
        <v>2021</v>
      </c>
      <c r="J252" s="48">
        <f>_xlfn.XLOOKUP(F252,'3. Input (des)investeringen '!$B$11:$B$80,'3. Input (des)investeringen '!$D$11:$D$80)</f>
        <v>10</v>
      </c>
      <c r="K252" s="48">
        <f>_xlfn.XLOOKUP(F252,'3. Input (des)investeringen '!$B$11:$B$80,'3. Input (des)investeringen '!$E$11:$E$80)</f>
        <v>1</v>
      </c>
      <c r="L252" s="48">
        <f>'7. Input incidentele correcties'!J257</f>
        <v>670316.29927401594</v>
      </c>
      <c r="M252" s="48">
        <f>'7. Input incidentele correcties'!K257</f>
        <v>0</v>
      </c>
    </row>
    <row r="253" spans="2:13">
      <c r="B253" s="43" t="str">
        <f>'7. Input incidentele correcties'!B258</f>
        <v>Asset 213</v>
      </c>
      <c r="F253" s="43" t="str">
        <f>'7. Input incidentele correcties'!F258</f>
        <v>08 Inrichting gebouwen</v>
      </c>
      <c r="G253" s="43">
        <f>'7. Input incidentele correcties'!G258</f>
        <v>2019</v>
      </c>
      <c r="H253" s="48">
        <f>'7. Input incidentele correcties'!H258</f>
        <v>460067.29247706069</v>
      </c>
      <c r="I253" s="43">
        <f>'7. Input incidentele correcties'!I258</f>
        <v>2021</v>
      </c>
      <c r="J253" s="48">
        <f>_xlfn.XLOOKUP(F253,'3. Input (des)investeringen '!$B$11:$B$80,'3. Input (des)investeringen '!$D$11:$D$80)</f>
        <v>10</v>
      </c>
      <c r="K253" s="48">
        <f>_xlfn.XLOOKUP(F253,'3. Input (des)investeringen '!$B$11:$B$80,'3. Input (des)investeringen '!$E$11:$E$80)</f>
        <v>0</v>
      </c>
      <c r="L253" s="48">
        <f>'7. Input incidentele correcties'!J258</f>
        <v>359686.13006607577</v>
      </c>
      <c r="M253" s="48">
        <f>'7. Input incidentele correcties'!K258</f>
        <v>0</v>
      </c>
    </row>
    <row r="254" spans="2:13">
      <c r="B254" s="43" t="str">
        <f>'7. Input incidentele correcties'!B259</f>
        <v>Asset 214</v>
      </c>
      <c r="F254" s="43" t="str">
        <f>'7. Input incidentele correcties'!F259</f>
        <v>37 ICT middelen 1 (KC)</v>
      </c>
      <c r="G254" s="43">
        <f>'7. Input incidentele correcties'!G259</f>
        <v>2019</v>
      </c>
      <c r="H254" s="48">
        <f>'7. Input incidentele correcties'!H259</f>
        <v>119060</v>
      </c>
      <c r="I254" s="43">
        <f>'7. Input incidentele correcties'!I259</f>
        <v>2021</v>
      </c>
      <c r="J254" s="48">
        <f>_xlfn.XLOOKUP(F254,'3. Input (des)investeringen '!$B$11:$B$80,'3. Input (des)investeringen '!$D$11:$D$80)</f>
        <v>5</v>
      </c>
      <c r="K254" s="48">
        <f>_xlfn.XLOOKUP(F254,'3. Input (des)investeringen '!$B$11:$B$80,'3. Input (des)investeringen '!$E$11:$E$80)</f>
        <v>0</v>
      </c>
      <c r="L254" s="48">
        <f>'7. Input incidentele correcties'!J259</f>
        <v>62055.024479999985</v>
      </c>
      <c r="M254" s="48">
        <f>'7. Input incidentele correcties'!K259</f>
        <v>0</v>
      </c>
    </row>
    <row r="255" spans="2:13">
      <c r="B255" s="43" t="str">
        <f>'7. Input incidentele correcties'!B260</f>
        <v>Asset 215</v>
      </c>
      <c r="F255" s="43" t="str">
        <f>'7. Input incidentele correcties'!F260</f>
        <v>11 Werktuigen</v>
      </c>
      <c r="G255" s="43">
        <f>'7. Input incidentele correcties'!G260</f>
        <v>2019</v>
      </c>
      <c r="H255" s="48">
        <f>'7. Input incidentele correcties'!H260</f>
        <v>288666.6970011855</v>
      </c>
      <c r="I255" s="43">
        <f>'7. Input incidentele correcties'!I260</f>
        <v>2021</v>
      </c>
      <c r="J255" s="48">
        <f>_xlfn.XLOOKUP(F255,'3. Input (des)investeringen '!$B$11:$B$80,'3. Input (des)investeringen '!$D$11:$D$80)</f>
        <v>10</v>
      </c>
      <c r="K255" s="48">
        <f>_xlfn.XLOOKUP(F255,'3. Input (des)investeringen '!$B$11:$B$80,'3. Input (des)investeringen '!$E$11:$E$80)</f>
        <v>1</v>
      </c>
      <c r="L255" s="48">
        <f>'7. Input incidentele correcties'!J260</f>
        <v>225683.08771589081</v>
      </c>
      <c r="M255" s="48">
        <f>'7. Input incidentele correcties'!K260</f>
        <v>0</v>
      </c>
    </row>
    <row r="256" spans="2:13">
      <c r="B256" s="43" t="str">
        <f>'7. Input incidentele correcties'!B261</f>
        <v>Asset 216</v>
      </c>
      <c r="F256" s="43" t="str">
        <f>'7. Input incidentele correcties'!F261</f>
        <v>20 Kantoorgebouwen</v>
      </c>
      <c r="G256" s="43">
        <f>'7. Input incidentele correcties'!G261</f>
        <v>2019</v>
      </c>
      <c r="H256" s="48">
        <f>'7. Input incidentele correcties'!H261</f>
        <v>1170372.8470650064</v>
      </c>
      <c r="I256" s="43">
        <f>'7. Input incidentele correcties'!I261</f>
        <v>2021</v>
      </c>
      <c r="J256" s="48">
        <f>_xlfn.XLOOKUP(F256,'3. Input (des)investeringen '!$B$11:$B$80,'3. Input (des)investeringen '!$D$11:$D$80)</f>
        <v>30</v>
      </c>
      <c r="K256" s="48">
        <f>_xlfn.XLOOKUP(F256,'3. Input (des)investeringen '!$B$11:$B$80,'3. Input (des)investeringen '!$E$11:$E$80)</f>
        <v>0</v>
      </c>
      <c r="L256" s="48">
        <f>'7. Input incidentele correcties'!J261</f>
        <v>1118347.433267273</v>
      </c>
      <c r="M256" s="48">
        <f>'7. Input incidentele correcties'!K261</f>
        <v>0</v>
      </c>
    </row>
    <row r="257" spans="2:13">
      <c r="B257" s="43" t="str">
        <f>'7. Input incidentele correcties'!B262</f>
        <v>Asset 217</v>
      </c>
      <c r="F257" s="43" t="str">
        <f>'7. Input incidentele correcties'!F262</f>
        <v>37 ICT middelen 1 (balancering)</v>
      </c>
      <c r="G257" s="43">
        <f>'7. Input incidentele correcties'!G262</f>
        <v>2019</v>
      </c>
      <c r="H257" s="48">
        <f>'7. Input incidentele correcties'!H262</f>
        <v>73704</v>
      </c>
      <c r="I257" s="43">
        <f>'7. Input incidentele correcties'!I262</f>
        <v>2021</v>
      </c>
      <c r="J257" s="48">
        <f>_xlfn.XLOOKUP(F257,'3. Input (des)investeringen '!$B$11:$B$80,'3. Input (des)investeringen '!$D$11:$D$80)</f>
        <v>5</v>
      </c>
      <c r="K257" s="48">
        <f>_xlfn.XLOOKUP(F257,'3. Input (des)investeringen '!$B$11:$B$80,'3. Input (des)investeringen '!$E$11:$E$80)</f>
        <v>0</v>
      </c>
      <c r="L257" s="48">
        <f>'7. Input incidentele correcties'!J262</f>
        <v>38415.114431999995</v>
      </c>
      <c r="M257" s="48">
        <f>'7. Input incidentele correcties'!K262</f>
        <v>0</v>
      </c>
    </row>
    <row r="258" spans="2:13">
      <c r="B258" s="43" t="str">
        <f>'7. Input incidentele correcties'!B263</f>
        <v>Asset 218</v>
      </c>
      <c r="F258" s="43" t="str">
        <f>'7. Input incidentele correcties'!F263</f>
        <v>37 ICT middelen 1 (gaschromatografen en comptabele meting)</v>
      </c>
      <c r="G258" s="43">
        <f>'7. Input incidentele correcties'!G263</f>
        <v>2019</v>
      </c>
      <c r="H258" s="48">
        <f>'7. Input incidentele correcties'!H263</f>
        <v>138775.45971332947</v>
      </c>
      <c r="I258" s="43">
        <f>'7. Input incidentele correcties'!I263</f>
        <v>2021</v>
      </c>
      <c r="J258" s="48">
        <f>_xlfn.XLOOKUP(F258,'3. Input (des)investeringen '!$B$11:$B$80,'3. Input (des)investeringen '!$D$11:$D$80)</f>
        <v>5</v>
      </c>
      <c r="K258" s="48">
        <f>_xlfn.XLOOKUP(F258,'3. Input (des)investeringen '!$B$11:$B$80,'3. Input (des)investeringen '!$E$11:$E$80)</f>
        <v>0</v>
      </c>
      <c r="L258" s="48">
        <f>'7. Input incidentele correcties'!J263</f>
        <v>72330.879806265031</v>
      </c>
      <c r="M258" s="48">
        <f>'7. Input incidentele correcties'!K263</f>
        <v>0</v>
      </c>
    </row>
    <row r="259" spans="2:13">
      <c r="B259" s="43" t="str">
        <f>'7. Input incidentele correcties'!B264</f>
        <v>Asset 219</v>
      </c>
      <c r="F259" s="43" t="str">
        <f>'7. Input incidentele correcties'!F264</f>
        <v>10 Gereedschap</v>
      </c>
      <c r="G259" s="43">
        <f>'7. Input incidentele correcties'!G264</f>
        <v>2019</v>
      </c>
      <c r="H259" s="48">
        <f>'7. Input incidentele correcties'!H264</f>
        <v>142771.1801450084</v>
      </c>
      <c r="I259" s="43">
        <f>'7. Input incidentele correcties'!I264</f>
        <v>2021</v>
      </c>
      <c r="J259" s="48">
        <f>_xlfn.XLOOKUP(F259,'3. Input (des)investeringen '!$B$11:$B$80,'3. Input (des)investeringen '!$D$11:$D$80)</f>
        <v>10</v>
      </c>
      <c r="K259" s="48">
        <f>_xlfn.XLOOKUP(F259,'3. Input (des)investeringen '!$B$11:$B$80,'3. Input (des)investeringen '!$E$11:$E$80)</f>
        <v>1</v>
      </c>
      <c r="L259" s="48">
        <f>'7. Input incidentele correcties'!J264</f>
        <v>111620.22189152931</v>
      </c>
      <c r="M259" s="48">
        <f>'7. Input incidentele correcties'!K264</f>
        <v>0</v>
      </c>
    </row>
    <row r="260" spans="2:13">
      <c r="B260" s="43" t="str">
        <f>'7. Input incidentele correcties'!B265</f>
        <v>Asset 220</v>
      </c>
      <c r="F260" s="43" t="str">
        <f>'7. Input incidentele correcties'!F265</f>
        <v>39 ICT middelen 3</v>
      </c>
      <c r="G260" s="43">
        <f>'7. Input incidentele correcties'!G265</f>
        <v>2018</v>
      </c>
      <c r="H260" s="48">
        <f>'7. Input incidentele correcties'!H265</f>
        <v>66462443.599999994</v>
      </c>
      <c r="I260" s="43">
        <f>'7. Input incidentele correcties'!I265</f>
        <v>2021</v>
      </c>
      <c r="J260" s="48">
        <f>_xlfn.XLOOKUP(F260,'3. Input (des)investeringen '!$B$11:$B$80,'3. Input (des)investeringen '!$D$11:$D$80)</f>
        <v>15</v>
      </c>
      <c r="K260" s="48">
        <f>_xlfn.XLOOKUP(F260,'3. Input (des)investeringen '!$B$11:$B$80,'3. Input (des)investeringen '!$E$11:$E$80)</f>
        <v>1</v>
      </c>
      <c r="L260" s="48">
        <f>'7. Input incidentele correcties'!J265</f>
        <v>53753217.800323352</v>
      </c>
      <c r="M260" s="48">
        <f>'7. Input incidentele correcties'!K265</f>
        <v>0</v>
      </c>
    </row>
    <row r="261" spans="2:13">
      <c r="B261" s="43" t="str">
        <f>'7. Input incidentele correcties'!B266</f>
        <v>Asset 221</v>
      </c>
      <c r="F261" s="43" t="str">
        <f>'7. Input incidentele correcties'!F266</f>
        <v>39 ICT middelen 3 (balancering)</v>
      </c>
      <c r="G261" s="43">
        <f>'7. Input incidentele correcties'!G266</f>
        <v>2018</v>
      </c>
      <c r="H261" s="48">
        <f>'7. Input incidentele correcties'!H266</f>
        <v>13091088</v>
      </c>
      <c r="I261" s="43">
        <f>'7. Input incidentele correcties'!I266</f>
        <v>2021</v>
      </c>
      <c r="J261" s="48">
        <f>_xlfn.XLOOKUP(F261,'3. Input (des)investeringen '!$B$11:$B$80,'3. Input (des)investeringen '!$D$11:$D$80)</f>
        <v>15</v>
      </c>
      <c r="K261" s="48">
        <f>_xlfn.XLOOKUP(F261,'3. Input (des)investeringen '!$B$11:$B$80,'3. Input (des)investeringen '!$E$11:$E$80)</f>
        <v>0</v>
      </c>
      <c r="L261" s="48">
        <f>'7. Input incidentele correcties'!J266</f>
        <v>10587755.526147995</v>
      </c>
      <c r="M261" s="48">
        <f>'7. Input incidentele correcties'!K266</f>
        <v>0</v>
      </c>
    </row>
    <row r="262" spans="2:13">
      <c r="B262" s="43" t="str">
        <f>'7. Input incidentele correcties'!B267</f>
        <v>Asset 222</v>
      </c>
      <c r="F262" s="43" t="str">
        <f>'7. Input incidentele correcties'!F267</f>
        <v>39 ICT middelen 3 (KC)</v>
      </c>
      <c r="G262" s="43">
        <f>'7. Input incidentele correcties'!G267</f>
        <v>2019</v>
      </c>
      <c r="H262" s="48">
        <f>'7. Input incidentele correcties'!H267</f>
        <v>510273.00000000006</v>
      </c>
      <c r="I262" s="43">
        <f>'7. Input incidentele correcties'!I267</f>
        <v>2021</v>
      </c>
      <c r="J262" s="48">
        <f>_xlfn.XLOOKUP(F262,'3. Input (des)investeringen '!$B$11:$B$80,'3. Input (des)investeringen '!$D$11:$D$80)</f>
        <v>15</v>
      </c>
      <c r="K262" s="48">
        <f>_xlfn.XLOOKUP(F262,'3. Input (des)investeringen '!$B$11:$B$80,'3. Input (des)investeringen '!$E$11:$E$80)</f>
        <v>0</v>
      </c>
      <c r="L262" s="48">
        <f>'7. Input incidentele correcties'!J267</f>
        <v>443263.94964000006</v>
      </c>
      <c r="M262" s="48">
        <f>'7. Input incidentele correcties'!K267</f>
        <v>0</v>
      </c>
    </row>
    <row r="263" spans="2:13">
      <c r="B263" s="43" t="str">
        <f>'7. Input incidentele correcties'!B268</f>
        <v>Asset 223</v>
      </c>
      <c r="F263" s="43" t="str">
        <f>'7. Input incidentele correcties'!F268</f>
        <v>37 ICT middelen 1</v>
      </c>
      <c r="G263" s="43">
        <f>'7. Input incidentele correcties'!G268</f>
        <v>2020</v>
      </c>
      <c r="H263" s="48">
        <f>'7. Input incidentele correcties'!H268</f>
        <v>4054436.8604233577</v>
      </c>
      <c r="I263" s="43">
        <f>'7. Input incidentele correcties'!I268</f>
        <v>2021</v>
      </c>
      <c r="J263" s="48">
        <f>_xlfn.XLOOKUP(F263,'3. Input (des)investeringen '!$B$11:$B$80,'3. Input (des)investeringen '!$D$11:$D$80)</f>
        <v>5</v>
      </c>
      <c r="K263" s="48">
        <f>_xlfn.XLOOKUP(F263,'3. Input (des)investeringen '!$B$11:$B$80,'3. Input (des)investeringen '!$E$11:$E$80)</f>
        <v>1</v>
      </c>
      <c r="L263" s="48">
        <f>'7. Input incidentele correcties'!J268</f>
        <v>2883515.4951330922</v>
      </c>
      <c r="M263" s="48">
        <f>'7. Input incidentele correcties'!K268</f>
        <v>0</v>
      </c>
    </row>
    <row r="264" spans="2:13">
      <c r="B264" s="43" t="str">
        <f>'7. Input incidentele correcties'!B269</f>
        <v>Asset 224</v>
      </c>
      <c r="F264" s="43" t="str">
        <f>'7. Input incidentele correcties'!F269</f>
        <v>11 Werktuigen</v>
      </c>
      <c r="G264" s="43">
        <f>'7. Input incidentele correcties'!G269</f>
        <v>2021</v>
      </c>
      <c r="H264" s="48">
        <f>'7. Input incidentele correcties'!H269</f>
        <v>2667062.5363170211</v>
      </c>
      <c r="I264" s="43">
        <f>'7. Input incidentele correcties'!I269</f>
        <v>2021</v>
      </c>
      <c r="J264" s="48">
        <f>_xlfn.XLOOKUP(F264,'3. Input (des)investeringen '!$B$11:$B$80,'3. Input (des)investeringen '!$D$11:$D$80)</f>
        <v>10</v>
      </c>
      <c r="K264" s="48">
        <f>_xlfn.XLOOKUP(F264,'3. Input (des)investeringen '!$B$11:$B$80,'3. Input (des)investeringen '!$E$11:$E$80)</f>
        <v>1</v>
      </c>
      <c r="L264" s="48">
        <f>'7. Input incidentele correcties'!J269</f>
        <v>2533709.4095011703</v>
      </c>
      <c r="M264" s="48">
        <f>'7. Input incidentele correcties'!K269</f>
        <v>0</v>
      </c>
    </row>
    <row r="265" spans="2:13">
      <c r="B265" s="43" t="str">
        <f>'7. Input incidentele correcties'!B270</f>
        <v>Asset 225</v>
      </c>
      <c r="F265" s="43" t="str">
        <f>'7. Input incidentele correcties'!F270</f>
        <v>10 Gereedschap</v>
      </c>
      <c r="G265" s="43">
        <f>'7. Input incidentele correcties'!G270</f>
        <v>2021</v>
      </c>
      <c r="H265" s="48">
        <f>'7. Input incidentele correcties'!H270</f>
        <v>467492.45719026914</v>
      </c>
      <c r="I265" s="43">
        <f>'7. Input incidentele correcties'!I270</f>
        <v>2021</v>
      </c>
      <c r="J265" s="48">
        <f>_xlfn.XLOOKUP(F265,'3. Input (des)investeringen '!$B$11:$B$80,'3. Input (des)investeringen '!$D$11:$D$80)</f>
        <v>10</v>
      </c>
      <c r="K265" s="48">
        <f>_xlfn.XLOOKUP(F265,'3. Input (des)investeringen '!$B$11:$B$80,'3. Input (des)investeringen '!$E$11:$E$80)</f>
        <v>1</v>
      </c>
      <c r="L265" s="48">
        <f>'7. Input incidentele correcties'!J270</f>
        <v>444117.83433075569</v>
      </c>
      <c r="M265" s="48">
        <f>'7. Input incidentele correcties'!K270</f>
        <v>0</v>
      </c>
    </row>
    <row r="266" spans="2:13">
      <c r="B266" s="43" t="str">
        <f>'7. Input incidentele correcties'!B271</f>
        <v>Asset 226</v>
      </c>
      <c r="F266" s="43" t="str">
        <f>'7. Input incidentele correcties'!F271</f>
        <v>38 ICT middelen 2</v>
      </c>
      <c r="G266" s="43">
        <f>'7. Input incidentele correcties'!G271</f>
        <v>2021</v>
      </c>
      <c r="H266" s="48">
        <f>'7. Input incidentele correcties'!H271</f>
        <v>3432262.7310020467</v>
      </c>
      <c r="I266" s="43">
        <f>'7. Input incidentele correcties'!I271</f>
        <v>2021</v>
      </c>
      <c r="J266" s="48">
        <f>_xlfn.XLOOKUP(F266,'3. Input (des)investeringen '!$B$11:$B$80,'3. Input (des)investeringen '!$D$11:$D$80)</f>
        <v>10</v>
      </c>
      <c r="K266" s="48">
        <f>_xlfn.XLOOKUP(F266,'3. Input (des)investeringen '!$B$11:$B$80,'3. Input (des)investeringen '!$E$11:$E$80)</f>
        <v>1</v>
      </c>
      <c r="L266" s="48">
        <f>'7. Input incidentele correcties'!J271</f>
        <v>3260649.5944519443</v>
      </c>
      <c r="M266" s="48">
        <f>'7. Input incidentele correcties'!K271</f>
        <v>0</v>
      </c>
    </row>
    <row r="267" spans="2:13">
      <c r="B267" s="43" t="str">
        <f>'7. Input incidentele correcties'!B272</f>
        <v>Asset 227</v>
      </c>
      <c r="F267" s="43" t="str">
        <f>'7. Input incidentele correcties'!F272</f>
        <v>37 ICT middelen 1</v>
      </c>
      <c r="G267" s="43">
        <f>'7. Input incidentele correcties'!G272</f>
        <v>2021</v>
      </c>
      <c r="H267" s="48">
        <f>'7. Input incidentele correcties'!H272</f>
        <v>8176022.700880779</v>
      </c>
      <c r="I267" s="43">
        <f>'7. Input incidentele correcties'!I272</f>
        <v>2021</v>
      </c>
      <c r="J267" s="48">
        <f>_xlfn.XLOOKUP(F267,'3. Input (des)investeringen '!$B$11:$B$80,'3. Input (des)investeringen '!$D$11:$D$80)</f>
        <v>5</v>
      </c>
      <c r="K267" s="48">
        <f>_xlfn.XLOOKUP(F267,'3. Input (des)investeringen '!$B$11:$B$80,'3. Input (des)investeringen '!$E$11:$E$80)</f>
        <v>1</v>
      </c>
      <c r="L267" s="48">
        <f>'7. Input incidentele correcties'!J272</f>
        <v>7358420.4307927005</v>
      </c>
      <c r="M267" s="48">
        <f>'7. Input incidentele correcties'!K272</f>
        <v>0</v>
      </c>
    </row>
    <row r="268" spans="2:13">
      <c r="B268" s="43" t="str">
        <f>'7. Input incidentele correcties'!B273</f>
        <v>Asset 228</v>
      </c>
      <c r="F268" s="43" t="str">
        <f>'7. Input incidentele correcties'!F273</f>
        <v>39 ICT middelen 3</v>
      </c>
      <c r="G268" s="43">
        <f>'7. Input incidentele correcties'!G273</f>
        <v>2019</v>
      </c>
      <c r="H268" s="48">
        <f>'7. Input incidentele correcties'!H273</f>
        <v>1603714.1720507673</v>
      </c>
      <c r="I268" s="43">
        <f>'7. Input incidentele correcties'!I273</f>
        <v>2021</v>
      </c>
      <c r="J268" s="48">
        <f>_xlfn.XLOOKUP(F268,'3. Input (des)investeringen '!$B$11:$B$80,'3. Input (des)investeringen '!$D$11:$D$80)</f>
        <v>15</v>
      </c>
      <c r="K268" s="48">
        <f>_xlfn.XLOOKUP(F268,'3. Input (des)investeringen '!$B$11:$B$80,'3. Input (des)investeringen '!$E$11:$E$80)</f>
        <v>1</v>
      </c>
      <c r="L268" s="48">
        <f>'7. Input incidentele correcties'!J273</f>
        <v>1393114.426977061</v>
      </c>
      <c r="M268" s="48">
        <f>'7. Input incidentele correcties'!K273</f>
        <v>0</v>
      </c>
    </row>
    <row r="269" spans="2:13">
      <c r="B269" s="43" t="str">
        <f>'7. Input incidentele correcties'!B274</f>
        <v>Asset 229</v>
      </c>
      <c r="F269" s="43" t="str">
        <f>'7. Input incidentele correcties'!F274</f>
        <v>39 ICT middelen 3 (balancering)</v>
      </c>
      <c r="G269" s="43">
        <f>'7. Input incidentele correcties'!G274</f>
        <v>2019</v>
      </c>
      <c r="H269" s="48">
        <f>'7. Input incidentele correcties'!H274</f>
        <v>315883</v>
      </c>
      <c r="I269" s="43">
        <f>'7. Input incidentele correcties'!I274</f>
        <v>2021</v>
      </c>
      <c r="J269" s="48">
        <f>_xlfn.XLOOKUP(F269,'3. Input (des)investeringen '!$B$11:$B$80,'3. Input (des)investeringen '!$D$11:$D$80)</f>
        <v>15</v>
      </c>
      <c r="K269" s="48">
        <f>_xlfn.XLOOKUP(F269,'3. Input (des)investeringen '!$B$11:$B$80,'3. Input (des)investeringen '!$E$11:$E$80)</f>
        <v>0</v>
      </c>
      <c r="L269" s="48">
        <f>'7. Input incidentele correcties'!J274</f>
        <v>274401.24443999998</v>
      </c>
      <c r="M269" s="48">
        <f>'7. Input incidentele correcties'!K274</f>
        <v>0</v>
      </c>
    </row>
    <row r="270" spans="2:13">
      <c r="B270" s="43" t="str">
        <f>'7. Input incidentele correcties'!B275</f>
        <v>Asset 230</v>
      </c>
      <c r="F270" s="43" t="str">
        <f>'7. Input incidentele correcties'!F275</f>
        <v>39 ICT middelen 3</v>
      </c>
      <c r="G270" s="43">
        <f>'7. Input incidentele correcties'!G275</f>
        <v>2020</v>
      </c>
      <c r="H270" s="48">
        <f>'7. Input incidentele correcties'!H275</f>
        <v>437.7361508808076</v>
      </c>
      <c r="I270" s="43">
        <f>'7. Input incidentele correcties'!I275</f>
        <v>2021</v>
      </c>
      <c r="J270" s="48">
        <f>_xlfn.XLOOKUP(F270,'3. Input (des)investeringen '!$B$11:$B$80,'3. Input (des)investeringen '!$D$11:$D$80)</f>
        <v>15</v>
      </c>
      <c r="K270" s="48">
        <f>_xlfn.XLOOKUP(F270,'3. Input (des)investeringen '!$B$11:$B$80,'3. Input (des)investeringen '!$E$11:$E$80)</f>
        <v>1</v>
      </c>
      <c r="L270" s="48">
        <f>'7. Input incidentele correcties'!J275</f>
        <v>400.26593636541048</v>
      </c>
      <c r="M270" s="48">
        <f>'7. Input incidentele correcties'!K275</f>
        <v>0</v>
      </c>
    </row>
    <row r="271" spans="2:13">
      <c r="B271" s="43" t="str">
        <f>'7. Input incidentele correcties'!B276</f>
        <v>Asset 231</v>
      </c>
      <c r="F271" s="43" t="str">
        <f>'7. Input incidentele correcties'!F276</f>
        <v>05 Wegen en terreinvoorzieningen</v>
      </c>
      <c r="G271" s="43">
        <f>'7. Input incidentele correcties'!G276</f>
        <v>2020</v>
      </c>
      <c r="H271" s="48">
        <f>'7. Input incidentele correcties'!H276</f>
        <v>274981.09053004743</v>
      </c>
      <c r="I271" s="43">
        <f>'7. Input incidentele correcties'!I276</f>
        <v>2021</v>
      </c>
      <c r="J271" s="48">
        <f>_xlfn.XLOOKUP(F271,'3. Input (des)investeringen '!$B$11:$B$80,'3. Input (des)investeringen '!$D$11:$D$80)</f>
        <v>10</v>
      </c>
      <c r="K271" s="48">
        <f>_xlfn.XLOOKUP(F271,'3. Input (des)investeringen '!$B$11:$B$80,'3. Input (des)investeringen '!$E$11:$E$80)</f>
        <v>0</v>
      </c>
      <c r="L271" s="48">
        <f>'7. Input incidentele correcties'!J276</f>
        <v>237473.66978174893</v>
      </c>
      <c r="M271" s="48">
        <f>'7. Input incidentele correcties'!K276</f>
        <v>0</v>
      </c>
    </row>
    <row r="272" spans="2:13">
      <c r="B272" s="43" t="str">
        <f>'7. Input incidentele correcties'!B277</f>
        <v>Asset 232</v>
      </c>
      <c r="F272" s="43" t="str">
        <f>'7. Input incidentele correcties'!F277</f>
        <v>04 Terreinen</v>
      </c>
      <c r="G272" s="43">
        <f>'7. Input incidentele correcties'!G277</f>
        <v>2020</v>
      </c>
      <c r="H272" s="48">
        <f>'7. Input incidentele correcties'!H277</f>
        <v>1155506.2616599156</v>
      </c>
      <c r="I272" s="43">
        <f>'7. Input incidentele correcties'!I277</f>
        <v>2021</v>
      </c>
      <c r="J272" s="48">
        <f>_xlfn.XLOOKUP(F272,'3. Input (des)investeringen '!$B$11:$B$80,'3. Input (des)investeringen '!$D$11:$D$80)</f>
        <v>0</v>
      </c>
      <c r="K272" s="48">
        <f>_xlfn.XLOOKUP(F272,'3. Input (des)investeringen '!$B$11:$B$80,'3. Input (des)investeringen '!$E$11:$E$80)</f>
        <v>0</v>
      </c>
      <c r="L272" s="48">
        <f>'7. Input incidentele correcties'!J277</f>
        <v>1173994.3618464742</v>
      </c>
      <c r="M272" s="48">
        <f>'7. Input incidentele correcties'!K277</f>
        <v>0</v>
      </c>
    </row>
    <row r="273" spans="2:40">
      <c r="B273" s="43" t="str">
        <f>'7. Input incidentele correcties'!B278</f>
        <v>Asset 233</v>
      </c>
      <c r="F273" s="43" t="str">
        <f>'7. Input incidentele correcties'!F278</f>
        <v>08 Inrichting gebouwen</v>
      </c>
      <c r="G273" s="43">
        <f>'7. Input incidentele correcties'!G278</f>
        <v>2020</v>
      </c>
      <c r="H273" s="48">
        <f>'7. Input incidentele correcties'!H278</f>
        <v>227204.18889764068</v>
      </c>
      <c r="I273" s="43">
        <f>'7. Input incidentele correcties'!I278</f>
        <v>2021</v>
      </c>
      <c r="J273" s="48">
        <f>_xlfn.XLOOKUP(F273,'3. Input (des)investeringen '!$B$11:$B$80,'3. Input (des)investeringen '!$D$11:$D$80)</f>
        <v>10</v>
      </c>
      <c r="K273" s="48">
        <f>_xlfn.XLOOKUP(F273,'3. Input (des)investeringen '!$B$11:$B$80,'3. Input (des)investeringen '!$E$11:$E$80)</f>
        <v>0</v>
      </c>
      <c r="L273" s="48">
        <f>'7. Input incidentele correcties'!J278</f>
        <v>196213.53753200249</v>
      </c>
      <c r="M273" s="48">
        <f>'7. Input incidentele correcties'!K278</f>
        <v>0</v>
      </c>
    </row>
    <row r="274" spans="2:40">
      <c r="B274" s="43" t="str">
        <f>'7. Input incidentele correcties'!B279</f>
        <v>Asset 234</v>
      </c>
      <c r="F274" s="43" t="str">
        <f>'7. Input incidentele correcties'!F279</f>
        <v>11 Werktuigen</v>
      </c>
      <c r="G274" s="43">
        <f>'7. Input incidentele correcties'!G279</f>
        <v>2020</v>
      </c>
      <c r="H274" s="48">
        <f>'7. Input incidentele correcties'!H279</f>
        <v>880855.41897943604</v>
      </c>
      <c r="I274" s="43">
        <f>'7. Input incidentele correcties'!I279</f>
        <v>2021</v>
      </c>
      <c r="J274" s="48">
        <f>_xlfn.XLOOKUP(F274,'3. Input (des)investeringen '!$B$11:$B$80,'3. Input (des)investeringen '!$D$11:$D$80)</f>
        <v>10</v>
      </c>
      <c r="K274" s="48">
        <f>_xlfn.XLOOKUP(F274,'3. Input (des)investeringen '!$B$11:$B$80,'3. Input (des)investeringen '!$E$11:$E$80)</f>
        <v>1</v>
      </c>
      <c r="L274" s="48">
        <f>'7. Input incidentele correcties'!J279</f>
        <v>760706.73983064084</v>
      </c>
      <c r="M274" s="48">
        <f>'7. Input incidentele correcties'!K279</f>
        <v>0</v>
      </c>
    </row>
    <row r="275" spans="2:40">
      <c r="B275" s="43" t="str">
        <f>'7. Input incidentele correcties'!B280</f>
        <v>Asset 235</v>
      </c>
      <c r="F275" s="43" t="str">
        <f>'7. Input incidentele correcties'!F280</f>
        <v>14 Overig rollend materieel</v>
      </c>
      <c r="G275" s="43">
        <f>'7. Input incidentele correcties'!G280</f>
        <v>2020</v>
      </c>
      <c r="H275" s="48">
        <f>'7. Input incidentele correcties'!H280</f>
        <v>111163.8757407683</v>
      </c>
      <c r="I275" s="43">
        <f>'7. Input incidentele correcties'!I280</f>
        <v>2021</v>
      </c>
      <c r="J275" s="48">
        <f>_xlfn.XLOOKUP(F275,'3. Input (des)investeringen '!$B$11:$B$80,'3. Input (des)investeringen '!$D$11:$D$80)</f>
        <v>10</v>
      </c>
      <c r="K275" s="48">
        <f>_xlfn.XLOOKUP(F275,'3. Input (des)investeringen '!$B$11:$B$80,'3. Input (des)investeringen '!$E$11:$E$80)</f>
        <v>1</v>
      </c>
      <c r="L275" s="48">
        <f>'7. Input incidentele correcties'!J280</f>
        <v>96001.123089727509</v>
      </c>
      <c r="M275" s="48">
        <f>'7. Input incidentele correcties'!K280</f>
        <v>0</v>
      </c>
    </row>
    <row r="276" spans="2:40">
      <c r="B276" s="43" t="str">
        <f>'7. Input incidentele correcties'!B281</f>
        <v>Asset 236</v>
      </c>
      <c r="F276" s="43" t="str">
        <f>'7. Input incidentele correcties'!F281</f>
        <v>38 ICT middelen 2</v>
      </c>
      <c r="G276" s="43">
        <f>'7. Input incidentele correcties'!G281</f>
        <v>2020</v>
      </c>
      <c r="H276" s="48">
        <f>'7. Input incidentele correcties'!H281</f>
        <v>2253829.6322485749</v>
      </c>
      <c r="I276" s="43">
        <f>'7. Input incidentele correcties'!I281</f>
        <v>2021</v>
      </c>
      <c r="J276" s="48">
        <f>_xlfn.XLOOKUP(F276,'3. Input (des)investeringen '!$B$11:$B$80,'3. Input (des)investeringen '!$D$11:$D$80)</f>
        <v>10</v>
      </c>
      <c r="K276" s="48">
        <f>_xlfn.XLOOKUP(F276,'3. Input (des)investeringen '!$B$11:$B$80,'3. Input (des)investeringen '!$E$11:$E$80)</f>
        <v>1</v>
      </c>
      <c r="L276" s="48">
        <f>'7. Input incidentele correcties'!J281</f>
        <v>1946407.2704098693</v>
      </c>
      <c r="M276" s="48">
        <f>'7. Input incidentele correcties'!K281</f>
        <v>0</v>
      </c>
    </row>
    <row r="277" spans="2:40">
      <c r="B277" s="43" t="str">
        <f>'7. Input incidentele correcties'!B282</f>
        <v>Asset 237</v>
      </c>
      <c r="F277" s="43" t="str">
        <f>'7. Input incidentele correcties'!F282</f>
        <v>20 Kantoorgebouwen</v>
      </c>
      <c r="G277" s="43">
        <f>'7. Input incidentele correcties'!G282</f>
        <v>2020</v>
      </c>
      <c r="H277" s="48">
        <f>'7. Input incidentele correcties'!H282</f>
        <v>715175.01653112471</v>
      </c>
      <c r="I277" s="43">
        <f>'7. Input incidentele correcties'!I282</f>
        <v>2021</v>
      </c>
      <c r="J277" s="48">
        <f>_xlfn.XLOOKUP(F277,'3. Input (des)investeringen '!$B$11:$B$80,'3. Input (des)investeringen '!$D$11:$D$80)</f>
        <v>30</v>
      </c>
      <c r="K277" s="48">
        <f>_xlfn.XLOOKUP(F277,'3. Input (des)investeringen '!$B$11:$B$80,'3. Input (des)investeringen '!$E$11:$E$80)</f>
        <v>0</v>
      </c>
      <c r="L277" s="48">
        <f>'7. Input incidentele correcties'!J282</f>
        <v>690286.92595584155</v>
      </c>
      <c r="M277" s="48">
        <f>'7. Input incidentele correcties'!K282</f>
        <v>0</v>
      </c>
    </row>
    <row r="278" spans="2:40">
      <c r="B278" s="43" t="str">
        <f>'7. Input incidentele correcties'!B283</f>
        <v>Asset 238</v>
      </c>
      <c r="F278" s="43" t="str">
        <f>'7. Input incidentele correcties'!F283</f>
        <v>06 Utiliteitsgebouwen</v>
      </c>
      <c r="G278" s="43">
        <f>'7. Input incidentele correcties'!G283</f>
        <v>2020</v>
      </c>
      <c r="H278" s="48">
        <f>'7. Input incidentele correcties'!H283</f>
        <v>611310.12783119339</v>
      </c>
      <c r="I278" s="43">
        <f>'7. Input incidentele correcties'!I283</f>
        <v>2021</v>
      </c>
      <c r="J278" s="48">
        <f>_xlfn.XLOOKUP(F278,'3. Input (des)investeringen '!$B$11:$B$80,'3. Input (des)investeringen '!$D$11:$D$80)</f>
        <v>30</v>
      </c>
      <c r="K278" s="48">
        <f>_xlfn.XLOOKUP(F278,'3. Input (des)investeringen '!$B$11:$B$80,'3. Input (des)investeringen '!$E$11:$E$80)</f>
        <v>0</v>
      </c>
      <c r="L278" s="48">
        <f>'7. Input incidentele correcties'!J283</f>
        <v>590036.53538266791</v>
      </c>
      <c r="M278" s="48">
        <f>'7. Input incidentele correcties'!K283</f>
        <v>0</v>
      </c>
    </row>
    <row r="279" spans="2:40">
      <c r="B279" s="43" t="str">
        <f>'7. Input incidentele correcties'!B284</f>
        <v>Asset 239</v>
      </c>
      <c r="F279" s="43" t="str">
        <f>'7. Input incidentele correcties'!F284</f>
        <v>08 Inrichting gebouwen</v>
      </c>
      <c r="G279" s="43">
        <f>'7. Input incidentele correcties'!G284</f>
        <v>2021</v>
      </c>
      <c r="H279" s="48">
        <f>'7. Input incidentele correcties'!H284</f>
        <v>384242.51972392667</v>
      </c>
      <c r="I279" s="43">
        <f>'7. Input incidentele correcties'!I284</f>
        <v>2021</v>
      </c>
      <c r="J279" s="48">
        <f>_xlfn.XLOOKUP(F279,'3. Input (des)investeringen '!$B$11:$B$80,'3. Input (des)investeringen '!$D$11:$D$80)</f>
        <v>10</v>
      </c>
      <c r="K279" s="48">
        <f>_xlfn.XLOOKUP(F279,'3. Input (des)investeringen '!$B$11:$B$80,'3. Input (des)investeringen '!$E$11:$E$80)</f>
        <v>0</v>
      </c>
      <c r="L279" s="48">
        <f>'7. Input incidentele correcties'!J284</f>
        <v>365030.39373773034</v>
      </c>
      <c r="M279" s="48">
        <f>'7. Input incidentele correcties'!K284</f>
        <v>0</v>
      </c>
    </row>
    <row r="280" spans="2:40">
      <c r="B280" s="43" t="str">
        <f>'7. Input incidentele correcties'!B285</f>
        <v>Asset 240</v>
      </c>
      <c r="F280" s="43" t="str">
        <f>'7. Input incidentele correcties'!F285</f>
        <v>20 Kantoorgebouwen</v>
      </c>
      <c r="G280" s="43">
        <f>'7. Input incidentele correcties'!G285</f>
        <v>2021</v>
      </c>
      <c r="H280" s="48">
        <f>'7. Input incidentele correcties'!H285</f>
        <v>1098657.1778898467</v>
      </c>
      <c r="I280" s="43">
        <f>'7. Input incidentele correcties'!I285</f>
        <v>2021</v>
      </c>
      <c r="J280" s="48">
        <f>_xlfn.XLOOKUP(F280,'3. Input (des)investeringen '!$B$11:$B$80,'3. Input (des)investeringen '!$D$11:$D$80)</f>
        <v>30</v>
      </c>
      <c r="K280" s="48">
        <f>_xlfn.XLOOKUP(F280,'3. Input (des)investeringen '!$B$11:$B$80,'3. Input (des)investeringen '!$E$11:$E$80)</f>
        <v>0</v>
      </c>
      <c r="L280" s="48">
        <f>'7. Input incidentele correcties'!J285</f>
        <v>1080346.2249250161</v>
      </c>
      <c r="M280" s="48">
        <f>'7. Input incidentele correcties'!K285</f>
        <v>0</v>
      </c>
    </row>
    <row r="281" spans="2:40">
      <c r="B281" s="43" t="str">
        <f>'7. Input incidentele correcties'!B286</f>
        <v>Asset 241</v>
      </c>
      <c r="F281" s="43" t="str">
        <f>'7. Input incidentele correcties'!F286</f>
        <v>03 Verremeting</v>
      </c>
      <c r="G281" s="43">
        <f>'7. Input incidentele correcties'!G286</f>
        <v>1993</v>
      </c>
      <c r="H281" s="48">
        <f>'7. Input incidentele correcties'!H286</f>
        <v>27208128.690000001</v>
      </c>
      <c r="I281" s="43">
        <f>'7. Input incidentele correcties'!I286</f>
        <v>2021</v>
      </c>
      <c r="J281" s="48">
        <f>_xlfn.XLOOKUP(F281,'3. Input (des)investeringen '!$B$11:$B$80,'3. Input (des)investeringen '!$D$11:$D$80)</f>
        <v>5</v>
      </c>
      <c r="K281" s="48">
        <f>_xlfn.XLOOKUP(F281,'3. Input (des)investeringen '!$B$11:$B$80,'3. Input (des)investeringen '!$E$11:$E$80)</f>
        <v>1</v>
      </c>
      <c r="L281" s="48">
        <f>'7. Input incidentele correcties'!J286</f>
        <v>0</v>
      </c>
      <c r="M281" s="48">
        <f>'7. Input incidentele correcties'!K286</f>
        <v>0</v>
      </c>
    </row>
    <row r="282" spans="2:40">
      <c r="B282" s="43" t="str">
        <f>'7. Input incidentele correcties'!B287</f>
        <v>Asset 242</v>
      </c>
      <c r="F282" s="43" t="str">
        <f>'7. Input incidentele correcties'!F287</f>
        <v>06 Utiliteitsgebouwen</v>
      </c>
      <c r="G282" s="43">
        <f>'7. Input incidentele correcties'!G287</f>
        <v>2021</v>
      </c>
      <c r="H282" s="48">
        <f>'7. Input incidentele correcties'!H287</f>
        <v>114485.52709029273</v>
      </c>
      <c r="I282" s="43">
        <f>'7. Input incidentele correcties'!I287</f>
        <v>2021</v>
      </c>
      <c r="J282" s="48">
        <f>_xlfn.XLOOKUP(F282,'3. Input (des)investeringen '!$B$11:$B$80,'3. Input (des)investeringen '!$D$11:$D$80)</f>
        <v>30</v>
      </c>
      <c r="K282" s="48">
        <f>_xlfn.XLOOKUP(F282,'3. Input (des)investeringen '!$B$11:$B$80,'3. Input (des)investeringen '!$E$11:$E$80)</f>
        <v>0</v>
      </c>
      <c r="L282" s="48">
        <f>'7. Input incidentele correcties'!J287</f>
        <v>112577.43497212119</v>
      </c>
      <c r="M282" s="48">
        <f>'7. Input incidentele correcties'!K287</f>
        <v>0</v>
      </c>
    </row>
    <row r="283" spans="2:40">
      <c r="B283" s="43" t="str">
        <f>'7. Input incidentele correcties'!B288</f>
        <v>Asset 243</v>
      </c>
      <c r="F283" s="43" t="str">
        <f>'7. Input incidentele correcties'!F288</f>
        <v>38 ICT middelen 2</v>
      </c>
      <c r="G283" s="43">
        <f>'7. Input incidentele correcties'!G288</f>
        <v>2019</v>
      </c>
      <c r="H283" s="48">
        <f>'7. Input incidentele correcties'!H288</f>
        <v>5155994.869123158</v>
      </c>
      <c r="I283" s="43">
        <f>'7. Input incidentele correcties'!I288</f>
        <v>2021</v>
      </c>
      <c r="J283" s="48">
        <f>_xlfn.XLOOKUP(F283,'3. Input (des)investeringen '!$B$11:$B$80,'3. Input (des)investeringen '!$D$11:$D$80)</f>
        <v>10</v>
      </c>
      <c r="K283" s="48">
        <f>_xlfn.XLOOKUP(F283,'3. Input (des)investeringen '!$B$11:$B$80,'3. Input (des)investeringen '!$E$11:$E$80)</f>
        <v>1</v>
      </c>
      <c r="L283" s="48">
        <f>'7. Input incidentele correcties'!J288</f>
        <v>4031018.6606189152</v>
      </c>
      <c r="M283" s="48">
        <f>'7. Input incidentele correcties'!K288</f>
        <v>0</v>
      </c>
    </row>
    <row r="285" spans="2:40" s="39" customFormat="1">
      <c r="B285" s="39" t="s">
        <v>969</v>
      </c>
    </row>
    <row r="286" spans="2:40" s="42" customFormat="1">
      <c r="R286" s="42" t="s">
        <v>804</v>
      </c>
      <c r="X286" s="42" t="s">
        <v>805</v>
      </c>
      <c r="AD286" s="42" t="s">
        <v>807</v>
      </c>
      <c r="AJ286" s="42" t="s">
        <v>808</v>
      </c>
    </row>
    <row r="287" spans="2:40" s="45" customFormat="1">
      <c r="B287" s="45" t="s">
        <v>970</v>
      </c>
      <c r="F287" s="45" t="s">
        <v>813</v>
      </c>
      <c r="G287" s="45" t="s">
        <v>488</v>
      </c>
      <c r="H287" s="45" t="s">
        <v>971</v>
      </c>
      <c r="I287" s="45" t="s">
        <v>972</v>
      </c>
      <c r="J287" s="45" t="s">
        <v>256</v>
      </c>
      <c r="K287" s="45" t="s">
        <v>967</v>
      </c>
      <c r="L287" s="45" t="s">
        <v>491</v>
      </c>
      <c r="N287" s="45" t="s">
        <v>973</v>
      </c>
      <c r="P287" s="45" t="s">
        <v>857</v>
      </c>
      <c r="R287" s="51">
        <v>2022</v>
      </c>
      <c r="S287" s="51">
        <v>2023</v>
      </c>
      <c r="T287" s="51">
        <v>2024</v>
      </c>
      <c r="U287" s="51">
        <v>2025</v>
      </c>
      <c r="V287" s="51">
        <v>2026</v>
      </c>
      <c r="X287" s="51">
        <v>2022</v>
      </c>
      <c r="Y287" s="51">
        <v>2023</v>
      </c>
      <c r="Z287" s="51">
        <v>2024</v>
      </c>
      <c r="AA287" s="51">
        <v>2025</v>
      </c>
      <c r="AB287" s="51">
        <v>2026</v>
      </c>
      <c r="AD287" s="51">
        <v>2022</v>
      </c>
      <c r="AE287" s="51">
        <v>2023</v>
      </c>
      <c r="AF287" s="51">
        <v>2024</v>
      </c>
      <c r="AG287" s="51">
        <v>2025</v>
      </c>
      <c r="AH287" s="51">
        <v>2026</v>
      </c>
      <c r="AJ287" s="51">
        <v>2022</v>
      </c>
      <c r="AK287" s="51">
        <v>2023</v>
      </c>
      <c r="AL287" s="51">
        <v>2024</v>
      </c>
      <c r="AM287" s="51">
        <v>2025</v>
      </c>
      <c r="AN287" s="51">
        <v>2026</v>
      </c>
    </row>
    <row r="289" spans="2:40">
      <c r="B289" s="43" t="str">
        <f>B41</f>
        <v>Asset 1</v>
      </c>
      <c r="F289" s="43" t="str">
        <f t="shared" ref="F289:L290" si="0">F41</f>
        <v>05 Wegen en terreinvoorzieningen</v>
      </c>
      <c r="G289" s="43">
        <f t="shared" si="0"/>
        <v>1971</v>
      </c>
      <c r="H289" s="58">
        <f t="shared" si="0"/>
        <v>47083.78</v>
      </c>
      <c r="I289" s="43">
        <f t="shared" si="0"/>
        <v>2021</v>
      </c>
      <c r="J289" s="58">
        <f t="shared" si="0"/>
        <v>10</v>
      </c>
      <c r="K289" s="188">
        <f t="shared" si="0"/>
        <v>0</v>
      </c>
      <c r="L289" s="58">
        <f t="shared" si="0"/>
        <v>0</v>
      </c>
      <c r="N289" s="49">
        <f>L289*IF(K289=1,$F$19,1)</f>
        <v>0</v>
      </c>
      <c r="P289" s="44">
        <f>MAX(0,IF(G289&lt;=2021, J289-2021+G289-0.5,J289))</f>
        <v>0</v>
      </c>
      <c r="R289" s="49">
        <f t="shared" ref="R289:V290" si="1">IF(R$287&lt;=$G289+$J289,VDB($L289*(1-$F$25),0,$P289,R$287-2022,MIN(R$287-2021,$P289),$F$22),0)</f>
        <v>0</v>
      </c>
      <c r="S289" s="49">
        <f t="shared" si="1"/>
        <v>0</v>
      </c>
      <c r="T289" s="49">
        <f t="shared" si="1"/>
        <v>0</v>
      </c>
      <c r="U289" s="49">
        <f t="shared" si="1"/>
        <v>0</v>
      </c>
      <c r="V289" s="49">
        <f t="shared" si="1"/>
        <v>0</v>
      </c>
      <c r="X289" s="49">
        <f t="shared" ref="X289:AB290" si="2">IF(X$287&lt;=$G289+$J289,VDB($L289*$F$25,0,$P289,X$287-2022,MIN(X$287-2021,$P289),1),0)</f>
        <v>0</v>
      </c>
      <c r="Y289" s="49">
        <f t="shared" si="2"/>
        <v>0</v>
      </c>
      <c r="Z289" s="49">
        <f t="shared" si="2"/>
        <v>0</v>
      </c>
      <c r="AA289" s="49">
        <f t="shared" si="2"/>
        <v>0</v>
      </c>
      <c r="AB289" s="49">
        <f t="shared" si="2"/>
        <v>0</v>
      </c>
      <c r="AD289" s="49">
        <f>IF(OR(AD$287&lt;=$G289+$J289,$J289=0),IF(AC289=0,$L289,AC289)-R289-X289,0)</f>
        <v>0</v>
      </c>
      <c r="AE289" s="49">
        <f t="shared" ref="AE289:AH289" si="3">IF(OR(AE$287&lt;=$G289+$J289,$J289=0),IF(AD289=0,$L289,AD289)-S289-Y289,0)</f>
        <v>0</v>
      </c>
      <c r="AF289" s="49">
        <f t="shared" si="3"/>
        <v>0</v>
      </c>
      <c r="AG289" s="49">
        <f t="shared" si="3"/>
        <v>0</v>
      </c>
      <c r="AH289" s="49">
        <f t="shared" si="3"/>
        <v>0</v>
      </c>
      <c r="AJ289" s="49">
        <f>(R289+X289+AD289*I$16)*IF($K289=1,$F$19,1)</f>
        <v>0</v>
      </c>
      <c r="AK289" s="49">
        <f t="shared" ref="AK289:AN289" si="4">(S289+Y289+AE289*J$16)*IF($K289=1,$F$19,1)</f>
        <v>0</v>
      </c>
      <c r="AL289" s="49">
        <f t="shared" si="4"/>
        <v>0</v>
      </c>
      <c r="AM289" s="49">
        <f t="shared" si="4"/>
        <v>0</v>
      </c>
      <c r="AN289" s="49">
        <f t="shared" si="4"/>
        <v>0</v>
      </c>
    </row>
    <row r="290" spans="2:40">
      <c r="B290" s="43" t="str">
        <f t="shared" ref="B290:B353" si="5">B42</f>
        <v>Asset 2</v>
      </c>
      <c r="F290" s="43" t="str">
        <f t="shared" si="0"/>
        <v>06 Utiliteitsgebouwen</v>
      </c>
      <c r="G290" s="43">
        <f t="shared" si="0"/>
        <v>1961</v>
      </c>
      <c r="H290" s="58">
        <f t="shared" si="0"/>
        <v>50334.43</v>
      </c>
      <c r="I290" s="43">
        <f t="shared" si="0"/>
        <v>2021</v>
      </c>
      <c r="J290" s="58">
        <f t="shared" si="0"/>
        <v>30</v>
      </c>
      <c r="K290" s="188">
        <f t="shared" si="0"/>
        <v>0</v>
      </c>
      <c r="L290" s="58">
        <f t="shared" si="0"/>
        <v>0</v>
      </c>
      <c r="N290" s="49">
        <f t="shared" ref="N290:N292" si="6">L290*IF(K290=1,$F$19,1)</f>
        <v>0</v>
      </c>
      <c r="P290" s="44">
        <f t="shared" ref="P290:P353" si="7">MAX(0,IF(G290&lt;=2021, J290-2021+G290-0.5,J290))</f>
        <v>0</v>
      </c>
      <c r="R290" s="49">
        <f t="shared" si="1"/>
        <v>0</v>
      </c>
      <c r="S290" s="49">
        <f t="shared" si="1"/>
        <v>0</v>
      </c>
      <c r="T290" s="49">
        <f t="shared" si="1"/>
        <v>0</v>
      </c>
      <c r="U290" s="49">
        <f t="shared" si="1"/>
        <v>0</v>
      </c>
      <c r="V290" s="49">
        <f t="shared" si="1"/>
        <v>0</v>
      </c>
      <c r="X290" s="49">
        <f t="shared" si="2"/>
        <v>0</v>
      </c>
      <c r="Y290" s="49">
        <f t="shared" si="2"/>
        <v>0</v>
      </c>
      <c r="Z290" s="49">
        <f t="shared" si="2"/>
        <v>0</v>
      </c>
      <c r="AA290" s="49">
        <f t="shared" si="2"/>
        <v>0</v>
      </c>
      <c r="AB290" s="49">
        <f t="shared" si="2"/>
        <v>0</v>
      </c>
      <c r="AD290" s="49">
        <f t="shared" ref="AD290:AD292" si="8">IF(OR(AD$287&lt;=$G290+$J290,$J290=0),IF(AC290=0,$L290,AC290)-R290-X290,0)</f>
        <v>0</v>
      </c>
      <c r="AE290" s="49">
        <f t="shared" ref="AE290:AE292" si="9">IF(OR(AE$287&lt;=$G290+$J290,$J290=0),IF(AD290=0,$L290,AD290)-S290-Y290,0)</f>
        <v>0</v>
      </c>
      <c r="AF290" s="49">
        <f t="shared" ref="AF290:AF292" si="10">IF(OR(AF$287&lt;=$G290+$J290,$J290=0),IF(AE290=0,$L290,AE290)-T290-Z290,0)</f>
        <v>0</v>
      </c>
      <c r="AG290" s="49">
        <f t="shared" ref="AG290:AG292" si="11">IF(OR(AG$287&lt;=$G290+$J290,$J290=0),IF(AF290=0,$L290,AF290)-U290-AA290,0)</f>
        <v>0</v>
      </c>
      <c r="AH290" s="49">
        <f t="shared" ref="AH290:AH292" si="12">IF(OR(AH$287&lt;=$G290+$J290,$J290=0),IF(AG290=0,$L290,AG290)-V290-AB290,0)</f>
        <v>0</v>
      </c>
      <c r="AJ290" s="49">
        <f t="shared" ref="AJ290:AJ353" si="13">(R290+X290+AD290*I$16)*IF($K290=1,$F$19,1)</f>
        <v>0</v>
      </c>
      <c r="AK290" s="49">
        <f t="shared" ref="AK290:AK353" si="14">(S290+Y290+AE290*J$16)*IF($K290=1,$F$19,1)</f>
        <v>0</v>
      </c>
      <c r="AL290" s="49">
        <f t="shared" ref="AL290:AL353" si="15">(T290+Z290+AF290*K$16)*IF($K290=1,$F$19,1)</f>
        <v>0</v>
      </c>
      <c r="AM290" s="49">
        <f t="shared" ref="AM290:AM353" si="16">(U290+AA290+AG290*L$16)*IF($K290=1,$F$19,1)</f>
        <v>0</v>
      </c>
      <c r="AN290" s="49">
        <f t="shared" ref="AN290:AN353" si="17">(V290+AB290+AH290*M$16)*IF($K290=1,$F$19,1)</f>
        <v>0</v>
      </c>
    </row>
    <row r="291" spans="2:40">
      <c r="B291" s="43" t="str">
        <f t="shared" si="5"/>
        <v>Asset 3</v>
      </c>
      <c r="F291" s="43" t="str">
        <f t="shared" ref="F291:L291" si="18">F43</f>
        <v>06 Utiliteitsgebouwen</v>
      </c>
      <c r="G291" s="43">
        <f t="shared" si="18"/>
        <v>1972</v>
      </c>
      <c r="H291" s="58">
        <f t="shared" si="18"/>
        <v>2621.49</v>
      </c>
      <c r="I291" s="43">
        <f t="shared" si="18"/>
        <v>2021</v>
      </c>
      <c r="J291" s="58">
        <f t="shared" si="18"/>
        <v>30</v>
      </c>
      <c r="K291" s="188">
        <f t="shared" si="18"/>
        <v>0</v>
      </c>
      <c r="L291" s="58">
        <f t="shared" si="18"/>
        <v>0</v>
      </c>
      <c r="N291" s="49">
        <f t="shared" si="6"/>
        <v>0</v>
      </c>
      <c r="P291" s="44">
        <f t="shared" si="7"/>
        <v>0</v>
      </c>
      <c r="R291" s="49">
        <f t="shared" ref="R291:V291" si="19">IF(R$287&lt;=$G291+$J291,VDB($L291*(1-$F$25),0,$P291,R$287-2022,MIN(R$287-2021,$P291),$F$22),0)</f>
        <v>0</v>
      </c>
      <c r="S291" s="49">
        <f t="shared" si="19"/>
        <v>0</v>
      </c>
      <c r="T291" s="49">
        <f t="shared" si="19"/>
        <v>0</v>
      </c>
      <c r="U291" s="49">
        <f t="shared" si="19"/>
        <v>0</v>
      </c>
      <c r="V291" s="49">
        <f t="shared" si="19"/>
        <v>0</v>
      </c>
      <c r="X291" s="49">
        <f t="shared" ref="X291:AB291" si="20">IF(X$287&lt;=$G291+$J291,VDB($L291*$F$25,0,$P291,X$287-2022,MIN(X$287-2021,$P291),1),0)</f>
        <v>0</v>
      </c>
      <c r="Y291" s="49">
        <f t="shared" si="20"/>
        <v>0</v>
      </c>
      <c r="Z291" s="49">
        <f t="shared" si="20"/>
        <v>0</v>
      </c>
      <c r="AA291" s="49">
        <f t="shared" si="20"/>
        <v>0</v>
      </c>
      <c r="AB291" s="49">
        <f t="shared" si="20"/>
        <v>0</v>
      </c>
      <c r="AD291" s="49">
        <f t="shared" si="8"/>
        <v>0</v>
      </c>
      <c r="AE291" s="49">
        <f t="shared" si="9"/>
        <v>0</v>
      </c>
      <c r="AF291" s="49">
        <f t="shared" si="10"/>
        <v>0</v>
      </c>
      <c r="AG291" s="49">
        <f t="shared" si="11"/>
        <v>0</v>
      </c>
      <c r="AH291" s="49">
        <f t="shared" si="12"/>
        <v>0</v>
      </c>
      <c r="AJ291" s="49">
        <f t="shared" si="13"/>
        <v>0</v>
      </c>
      <c r="AK291" s="49">
        <f t="shared" si="14"/>
        <v>0</v>
      </c>
      <c r="AL291" s="49">
        <f t="shared" si="15"/>
        <v>0</v>
      </c>
      <c r="AM291" s="49">
        <f t="shared" si="16"/>
        <v>0</v>
      </c>
      <c r="AN291" s="49">
        <f t="shared" si="17"/>
        <v>0</v>
      </c>
    </row>
    <row r="292" spans="2:40">
      <c r="B292" s="43" t="str">
        <f t="shared" si="5"/>
        <v>Asset 4</v>
      </c>
      <c r="F292" s="43" t="str">
        <f t="shared" ref="F292:L292" si="21">F44</f>
        <v>08 Inrichting gebouwen</v>
      </c>
      <c r="G292" s="43">
        <f t="shared" si="21"/>
        <v>1997</v>
      </c>
      <c r="H292" s="58">
        <f t="shared" si="21"/>
        <v>151227.48000000004</v>
      </c>
      <c r="I292" s="43">
        <f t="shared" si="21"/>
        <v>2021</v>
      </c>
      <c r="J292" s="58">
        <f t="shared" si="21"/>
        <v>10</v>
      </c>
      <c r="K292" s="188">
        <f t="shared" si="21"/>
        <v>0</v>
      </c>
      <c r="L292" s="58">
        <f t="shared" si="21"/>
        <v>0</v>
      </c>
      <c r="N292" s="49">
        <f t="shared" si="6"/>
        <v>0</v>
      </c>
      <c r="P292" s="44">
        <f t="shared" si="7"/>
        <v>0</v>
      </c>
      <c r="R292" s="49">
        <f t="shared" ref="R292:V342" si="22">IF(R$287&lt;=$G292+$J292,VDB($L292*(1-$F$25),0,$P292,R$287-2022,MIN(R$287-2021,$P292),$F$22),0)</f>
        <v>0</v>
      </c>
      <c r="S292" s="49">
        <f t="shared" si="22"/>
        <v>0</v>
      </c>
      <c r="T292" s="49">
        <f t="shared" si="22"/>
        <v>0</v>
      </c>
      <c r="U292" s="49">
        <f t="shared" si="22"/>
        <v>0</v>
      </c>
      <c r="V292" s="49">
        <f t="shared" si="22"/>
        <v>0</v>
      </c>
      <c r="X292" s="49">
        <f t="shared" ref="X292:AB342" si="23">IF(X$287&lt;=$G292+$J292,VDB($L292*$F$25,0,$P292,X$287-2022,MIN(X$287-2021,$P292),1),0)</f>
        <v>0</v>
      </c>
      <c r="Y292" s="49">
        <f t="shared" si="23"/>
        <v>0</v>
      </c>
      <c r="Z292" s="49">
        <f t="shared" si="23"/>
        <v>0</v>
      </c>
      <c r="AA292" s="49">
        <f t="shared" si="23"/>
        <v>0</v>
      </c>
      <c r="AB292" s="49">
        <f t="shared" si="23"/>
        <v>0</v>
      </c>
      <c r="AD292" s="49">
        <f t="shared" si="8"/>
        <v>0</v>
      </c>
      <c r="AE292" s="49">
        <f t="shared" si="9"/>
        <v>0</v>
      </c>
      <c r="AF292" s="49">
        <f t="shared" si="10"/>
        <v>0</v>
      </c>
      <c r="AG292" s="49">
        <f t="shared" si="11"/>
        <v>0</v>
      </c>
      <c r="AH292" s="49">
        <f t="shared" si="12"/>
        <v>0</v>
      </c>
      <c r="AJ292" s="49">
        <f t="shared" si="13"/>
        <v>0</v>
      </c>
      <c r="AK292" s="49">
        <f t="shared" si="14"/>
        <v>0</v>
      </c>
      <c r="AL292" s="49">
        <f t="shared" si="15"/>
        <v>0</v>
      </c>
      <c r="AM292" s="49">
        <f t="shared" si="16"/>
        <v>0</v>
      </c>
      <c r="AN292" s="49">
        <f t="shared" si="17"/>
        <v>0</v>
      </c>
    </row>
    <row r="293" spans="2:40">
      <c r="B293" s="43" t="str">
        <f t="shared" si="5"/>
        <v>Asset 5</v>
      </c>
      <c r="F293" s="43" t="str">
        <f t="shared" ref="F293:L293" si="24">F45</f>
        <v>11 Werktuigen</v>
      </c>
      <c r="G293" s="43">
        <f t="shared" si="24"/>
        <v>2009</v>
      </c>
      <c r="H293" s="58">
        <f t="shared" si="24"/>
        <v>1313895.18</v>
      </c>
      <c r="I293" s="43">
        <f t="shared" si="24"/>
        <v>2021</v>
      </c>
      <c r="J293" s="58">
        <f t="shared" si="24"/>
        <v>10</v>
      </c>
      <c r="K293" s="188">
        <f t="shared" si="24"/>
        <v>1</v>
      </c>
      <c r="L293" s="58">
        <f t="shared" si="24"/>
        <v>0</v>
      </c>
      <c r="N293" s="49">
        <f t="shared" ref="N293:N356" si="25">L293*IF(K293=1,$F$19,1)</f>
        <v>0</v>
      </c>
      <c r="P293" s="44">
        <f t="shared" si="7"/>
        <v>0</v>
      </c>
      <c r="R293" s="49">
        <f t="shared" si="22"/>
        <v>0</v>
      </c>
      <c r="S293" s="49">
        <f t="shared" si="22"/>
        <v>0</v>
      </c>
      <c r="T293" s="49">
        <f t="shared" si="22"/>
        <v>0</v>
      </c>
      <c r="U293" s="49">
        <f t="shared" si="22"/>
        <v>0</v>
      </c>
      <c r="V293" s="49">
        <f t="shared" si="22"/>
        <v>0</v>
      </c>
      <c r="X293" s="49">
        <f t="shared" si="23"/>
        <v>0</v>
      </c>
      <c r="Y293" s="49">
        <f t="shared" si="23"/>
        <v>0</v>
      </c>
      <c r="Z293" s="49">
        <f t="shared" si="23"/>
        <v>0</v>
      </c>
      <c r="AA293" s="49">
        <f t="shared" si="23"/>
        <v>0</v>
      </c>
      <c r="AB293" s="49">
        <f t="shared" si="23"/>
        <v>0</v>
      </c>
      <c r="AD293" s="49">
        <f t="shared" ref="AD293:AD356" si="26">IF(OR(AD$287&lt;=$G293+$J293,$J293=0),IF(AC293=0,$L293,AC293)-R293-X293,0)</f>
        <v>0</v>
      </c>
      <c r="AE293" s="49">
        <f t="shared" ref="AE293:AE356" si="27">IF(OR(AE$287&lt;=$G293+$J293,$J293=0),IF(AD293=0,$L293,AD293)-S293-Y293,0)</f>
        <v>0</v>
      </c>
      <c r="AF293" s="49">
        <f t="shared" ref="AF293:AF356" si="28">IF(OR(AF$287&lt;=$G293+$J293,$J293=0),IF(AE293=0,$L293,AE293)-T293-Z293,0)</f>
        <v>0</v>
      </c>
      <c r="AG293" s="49">
        <f t="shared" ref="AG293:AG356" si="29">IF(OR(AG$287&lt;=$G293+$J293,$J293=0),IF(AF293=0,$L293,AF293)-U293-AA293,0)</f>
        <v>0</v>
      </c>
      <c r="AH293" s="49">
        <f t="shared" ref="AH293:AH356" si="30">IF(OR(AH$287&lt;=$G293+$J293,$J293=0),IF(AG293=0,$L293,AG293)-V293-AB293,0)</f>
        <v>0</v>
      </c>
      <c r="AJ293" s="49">
        <f t="shared" si="13"/>
        <v>0</v>
      </c>
      <c r="AK293" s="49">
        <f t="shared" si="14"/>
        <v>0</v>
      </c>
      <c r="AL293" s="49">
        <f t="shared" si="15"/>
        <v>0</v>
      </c>
      <c r="AM293" s="49">
        <f t="shared" si="16"/>
        <v>0</v>
      </c>
      <c r="AN293" s="49">
        <f t="shared" si="17"/>
        <v>0</v>
      </c>
    </row>
    <row r="294" spans="2:40">
      <c r="B294" s="43" t="str">
        <f t="shared" si="5"/>
        <v>Asset 6</v>
      </c>
      <c r="F294" s="43" t="str">
        <f t="shared" ref="F294:L294" si="31">F46</f>
        <v>37 ICT middelen 1</v>
      </c>
      <c r="G294" s="43">
        <f t="shared" si="31"/>
        <v>2009</v>
      </c>
      <c r="H294" s="58">
        <f t="shared" si="31"/>
        <v>3658553.4539964925</v>
      </c>
      <c r="I294" s="43">
        <f t="shared" si="31"/>
        <v>2021</v>
      </c>
      <c r="J294" s="58">
        <f t="shared" si="31"/>
        <v>5</v>
      </c>
      <c r="K294" s="188">
        <f t="shared" si="31"/>
        <v>1</v>
      </c>
      <c r="L294" s="58">
        <f t="shared" si="31"/>
        <v>0</v>
      </c>
      <c r="N294" s="49">
        <f t="shared" si="25"/>
        <v>0</v>
      </c>
      <c r="P294" s="44">
        <f t="shared" si="7"/>
        <v>0</v>
      </c>
      <c r="R294" s="49">
        <f t="shared" si="22"/>
        <v>0</v>
      </c>
      <c r="S294" s="49">
        <f t="shared" si="22"/>
        <v>0</v>
      </c>
      <c r="T294" s="49">
        <f t="shared" si="22"/>
        <v>0</v>
      </c>
      <c r="U294" s="49">
        <f t="shared" si="22"/>
        <v>0</v>
      </c>
      <c r="V294" s="49">
        <f t="shared" si="22"/>
        <v>0</v>
      </c>
      <c r="X294" s="49">
        <f t="shared" si="23"/>
        <v>0</v>
      </c>
      <c r="Y294" s="49">
        <f t="shared" si="23"/>
        <v>0</v>
      </c>
      <c r="Z294" s="49">
        <f t="shared" si="23"/>
        <v>0</v>
      </c>
      <c r="AA294" s="49">
        <f t="shared" si="23"/>
        <v>0</v>
      </c>
      <c r="AB294" s="49">
        <f t="shared" si="23"/>
        <v>0</v>
      </c>
      <c r="AD294" s="49">
        <f t="shared" si="26"/>
        <v>0</v>
      </c>
      <c r="AE294" s="49">
        <f t="shared" si="27"/>
        <v>0</v>
      </c>
      <c r="AF294" s="49">
        <f t="shared" si="28"/>
        <v>0</v>
      </c>
      <c r="AG294" s="49">
        <f t="shared" si="29"/>
        <v>0</v>
      </c>
      <c r="AH294" s="49">
        <f t="shared" si="30"/>
        <v>0</v>
      </c>
      <c r="AJ294" s="49">
        <f t="shared" si="13"/>
        <v>0</v>
      </c>
      <c r="AK294" s="49">
        <f t="shared" si="14"/>
        <v>0</v>
      </c>
      <c r="AL294" s="49">
        <f t="shared" si="15"/>
        <v>0</v>
      </c>
      <c r="AM294" s="49">
        <f t="shared" si="16"/>
        <v>0</v>
      </c>
      <c r="AN294" s="49">
        <f t="shared" si="17"/>
        <v>0</v>
      </c>
    </row>
    <row r="295" spans="2:40">
      <c r="B295" s="43" t="str">
        <f t="shared" si="5"/>
        <v>Asset 7</v>
      </c>
      <c r="F295" s="43" t="str">
        <f t="shared" ref="F295:L295" si="32">F47</f>
        <v>37 ICT middelen 1</v>
      </c>
      <c r="G295" s="43">
        <f t="shared" si="32"/>
        <v>2010</v>
      </c>
      <c r="H295" s="58">
        <f t="shared" si="32"/>
        <v>17379179.522018339</v>
      </c>
      <c r="I295" s="43">
        <f t="shared" si="32"/>
        <v>2021</v>
      </c>
      <c r="J295" s="58">
        <f t="shared" si="32"/>
        <v>5</v>
      </c>
      <c r="K295" s="188">
        <f t="shared" si="32"/>
        <v>1</v>
      </c>
      <c r="L295" s="58">
        <f t="shared" si="32"/>
        <v>0</v>
      </c>
      <c r="N295" s="49">
        <f t="shared" si="25"/>
        <v>0</v>
      </c>
      <c r="P295" s="44">
        <f t="shared" si="7"/>
        <v>0</v>
      </c>
      <c r="R295" s="49">
        <f t="shared" si="22"/>
        <v>0</v>
      </c>
      <c r="S295" s="49">
        <f t="shared" si="22"/>
        <v>0</v>
      </c>
      <c r="T295" s="49">
        <f t="shared" si="22"/>
        <v>0</v>
      </c>
      <c r="U295" s="49">
        <f t="shared" si="22"/>
        <v>0</v>
      </c>
      <c r="V295" s="49">
        <f t="shared" si="22"/>
        <v>0</v>
      </c>
      <c r="X295" s="49">
        <f t="shared" si="23"/>
        <v>0</v>
      </c>
      <c r="Y295" s="49">
        <f t="shared" si="23"/>
        <v>0</v>
      </c>
      <c r="Z295" s="49">
        <f t="shared" si="23"/>
        <v>0</v>
      </c>
      <c r="AA295" s="49">
        <f t="shared" si="23"/>
        <v>0</v>
      </c>
      <c r="AB295" s="49">
        <f t="shared" si="23"/>
        <v>0</v>
      </c>
      <c r="AD295" s="49">
        <f t="shared" si="26"/>
        <v>0</v>
      </c>
      <c r="AE295" s="49">
        <f t="shared" si="27"/>
        <v>0</v>
      </c>
      <c r="AF295" s="49">
        <f t="shared" si="28"/>
        <v>0</v>
      </c>
      <c r="AG295" s="49">
        <f t="shared" si="29"/>
        <v>0</v>
      </c>
      <c r="AH295" s="49">
        <f t="shared" si="30"/>
        <v>0</v>
      </c>
      <c r="AJ295" s="49">
        <f t="shared" si="13"/>
        <v>0</v>
      </c>
      <c r="AK295" s="49">
        <f t="shared" si="14"/>
        <v>0</v>
      </c>
      <c r="AL295" s="49">
        <f t="shared" si="15"/>
        <v>0</v>
      </c>
      <c r="AM295" s="49">
        <f t="shared" si="16"/>
        <v>0</v>
      </c>
      <c r="AN295" s="49">
        <f t="shared" si="17"/>
        <v>0</v>
      </c>
    </row>
    <row r="296" spans="2:40">
      <c r="B296" s="43" t="str">
        <f t="shared" si="5"/>
        <v>Asset 8</v>
      </c>
      <c r="F296" s="43" t="str">
        <f t="shared" ref="F296:L296" si="33">F48</f>
        <v>10 Gereedschap</v>
      </c>
      <c r="G296" s="43">
        <f t="shared" si="33"/>
        <v>2010</v>
      </c>
      <c r="H296" s="58">
        <f t="shared" si="33"/>
        <v>2369604.1752097155</v>
      </c>
      <c r="I296" s="43">
        <f t="shared" si="33"/>
        <v>2021</v>
      </c>
      <c r="J296" s="58">
        <f t="shared" si="33"/>
        <v>10</v>
      </c>
      <c r="K296" s="188">
        <f t="shared" si="33"/>
        <v>1</v>
      </c>
      <c r="L296" s="58">
        <f t="shared" si="33"/>
        <v>0</v>
      </c>
      <c r="N296" s="49">
        <f t="shared" si="25"/>
        <v>0</v>
      </c>
      <c r="P296" s="44">
        <f t="shared" si="7"/>
        <v>0</v>
      </c>
      <c r="R296" s="49">
        <f t="shared" si="22"/>
        <v>0</v>
      </c>
      <c r="S296" s="49">
        <f t="shared" si="22"/>
        <v>0</v>
      </c>
      <c r="T296" s="49">
        <f t="shared" si="22"/>
        <v>0</v>
      </c>
      <c r="U296" s="49">
        <f t="shared" si="22"/>
        <v>0</v>
      </c>
      <c r="V296" s="49">
        <f t="shared" si="22"/>
        <v>0</v>
      </c>
      <c r="X296" s="49">
        <f t="shared" si="23"/>
        <v>0</v>
      </c>
      <c r="Y296" s="49">
        <f t="shared" si="23"/>
        <v>0</v>
      </c>
      <c r="Z296" s="49">
        <f t="shared" si="23"/>
        <v>0</v>
      </c>
      <c r="AA296" s="49">
        <f t="shared" si="23"/>
        <v>0</v>
      </c>
      <c r="AB296" s="49">
        <f t="shared" si="23"/>
        <v>0</v>
      </c>
      <c r="AD296" s="49">
        <f t="shared" si="26"/>
        <v>0</v>
      </c>
      <c r="AE296" s="49">
        <f t="shared" si="27"/>
        <v>0</v>
      </c>
      <c r="AF296" s="49">
        <f t="shared" si="28"/>
        <v>0</v>
      </c>
      <c r="AG296" s="49">
        <f t="shared" si="29"/>
        <v>0</v>
      </c>
      <c r="AH296" s="49">
        <f t="shared" si="30"/>
        <v>0</v>
      </c>
      <c r="AJ296" s="49">
        <f t="shared" si="13"/>
        <v>0</v>
      </c>
      <c r="AK296" s="49">
        <f t="shared" si="14"/>
        <v>0</v>
      </c>
      <c r="AL296" s="49">
        <f t="shared" si="15"/>
        <v>0</v>
      </c>
      <c r="AM296" s="49">
        <f t="shared" si="16"/>
        <v>0</v>
      </c>
      <c r="AN296" s="49">
        <f t="shared" si="17"/>
        <v>0</v>
      </c>
    </row>
    <row r="297" spans="2:40">
      <c r="B297" s="43" t="str">
        <f t="shared" si="5"/>
        <v>Asset 9</v>
      </c>
      <c r="F297" s="43" t="str">
        <f t="shared" ref="F297:L297" si="34">F49</f>
        <v>37 ICT middelen 1 (transparency)</v>
      </c>
      <c r="G297" s="43">
        <f t="shared" si="34"/>
        <v>2010</v>
      </c>
      <c r="H297" s="58">
        <f t="shared" si="34"/>
        <v>137063.35897796138</v>
      </c>
      <c r="I297" s="43">
        <f t="shared" si="34"/>
        <v>2021</v>
      </c>
      <c r="J297" s="58">
        <f t="shared" si="34"/>
        <v>5</v>
      </c>
      <c r="K297" s="188">
        <f t="shared" si="34"/>
        <v>0</v>
      </c>
      <c r="L297" s="58">
        <f t="shared" si="34"/>
        <v>0</v>
      </c>
      <c r="N297" s="49">
        <f t="shared" si="25"/>
        <v>0</v>
      </c>
      <c r="P297" s="44">
        <f t="shared" si="7"/>
        <v>0</v>
      </c>
      <c r="R297" s="49">
        <f t="shared" si="22"/>
        <v>0</v>
      </c>
      <c r="S297" s="49">
        <f t="shared" si="22"/>
        <v>0</v>
      </c>
      <c r="T297" s="49">
        <f t="shared" si="22"/>
        <v>0</v>
      </c>
      <c r="U297" s="49">
        <f t="shared" si="22"/>
        <v>0</v>
      </c>
      <c r="V297" s="49">
        <f t="shared" si="22"/>
        <v>0</v>
      </c>
      <c r="X297" s="49">
        <f t="shared" si="23"/>
        <v>0</v>
      </c>
      <c r="Y297" s="49">
        <f t="shared" si="23"/>
        <v>0</v>
      </c>
      <c r="Z297" s="49">
        <f t="shared" si="23"/>
        <v>0</v>
      </c>
      <c r="AA297" s="49">
        <f t="shared" si="23"/>
        <v>0</v>
      </c>
      <c r="AB297" s="49">
        <f t="shared" si="23"/>
        <v>0</v>
      </c>
      <c r="AD297" s="49">
        <f t="shared" si="26"/>
        <v>0</v>
      </c>
      <c r="AE297" s="49">
        <f t="shared" si="27"/>
        <v>0</v>
      </c>
      <c r="AF297" s="49">
        <f t="shared" si="28"/>
        <v>0</v>
      </c>
      <c r="AG297" s="49">
        <f t="shared" si="29"/>
        <v>0</v>
      </c>
      <c r="AH297" s="49">
        <f t="shared" si="30"/>
        <v>0</v>
      </c>
      <c r="AJ297" s="49">
        <f t="shared" si="13"/>
        <v>0</v>
      </c>
      <c r="AK297" s="49">
        <f t="shared" si="14"/>
        <v>0</v>
      </c>
      <c r="AL297" s="49">
        <f t="shared" si="15"/>
        <v>0</v>
      </c>
      <c r="AM297" s="49">
        <f t="shared" si="16"/>
        <v>0</v>
      </c>
      <c r="AN297" s="49">
        <f t="shared" si="17"/>
        <v>0</v>
      </c>
    </row>
    <row r="298" spans="2:40">
      <c r="B298" s="43" t="str">
        <f t="shared" si="5"/>
        <v>Asset 10</v>
      </c>
      <c r="F298" s="43" t="str">
        <f t="shared" ref="F298:L298" si="35">F50</f>
        <v>11 Werktuigen (gaschromatografen en comptabele meters)</v>
      </c>
      <c r="G298" s="43">
        <f t="shared" si="35"/>
        <v>2011</v>
      </c>
      <c r="H298" s="58">
        <f t="shared" si="35"/>
        <v>852201.48356837523</v>
      </c>
      <c r="I298" s="43">
        <f t="shared" si="35"/>
        <v>2021</v>
      </c>
      <c r="J298" s="58">
        <f t="shared" si="35"/>
        <v>10</v>
      </c>
      <c r="K298" s="188">
        <f t="shared" si="35"/>
        <v>0</v>
      </c>
      <c r="L298" s="58">
        <f t="shared" si="35"/>
        <v>0</v>
      </c>
      <c r="N298" s="49">
        <f t="shared" si="25"/>
        <v>0</v>
      </c>
      <c r="P298" s="44">
        <f t="shared" si="7"/>
        <v>0</v>
      </c>
      <c r="R298" s="49">
        <f t="shared" si="22"/>
        <v>0</v>
      </c>
      <c r="S298" s="49">
        <f t="shared" si="22"/>
        <v>0</v>
      </c>
      <c r="T298" s="49">
        <f t="shared" si="22"/>
        <v>0</v>
      </c>
      <c r="U298" s="49">
        <f t="shared" si="22"/>
        <v>0</v>
      </c>
      <c r="V298" s="49">
        <f t="shared" si="22"/>
        <v>0</v>
      </c>
      <c r="X298" s="49">
        <f t="shared" si="23"/>
        <v>0</v>
      </c>
      <c r="Y298" s="49">
        <f t="shared" si="23"/>
        <v>0</v>
      </c>
      <c r="Z298" s="49">
        <f t="shared" si="23"/>
        <v>0</v>
      </c>
      <c r="AA298" s="49">
        <f t="shared" si="23"/>
        <v>0</v>
      </c>
      <c r="AB298" s="49">
        <f t="shared" si="23"/>
        <v>0</v>
      </c>
      <c r="AD298" s="49">
        <f t="shared" si="26"/>
        <v>0</v>
      </c>
      <c r="AE298" s="49">
        <f t="shared" si="27"/>
        <v>0</v>
      </c>
      <c r="AF298" s="49">
        <f t="shared" si="28"/>
        <v>0</v>
      </c>
      <c r="AG298" s="49">
        <f t="shared" si="29"/>
        <v>0</v>
      </c>
      <c r="AH298" s="49">
        <f t="shared" si="30"/>
        <v>0</v>
      </c>
      <c r="AJ298" s="49">
        <f t="shared" si="13"/>
        <v>0</v>
      </c>
      <c r="AK298" s="49">
        <f t="shared" si="14"/>
        <v>0</v>
      </c>
      <c r="AL298" s="49">
        <f t="shared" si="15"/>
        <v>0</v>
      </c>
      <c r="AM298" s="49">
        <f t="shared" si="16"/>
        <v>0</v>
      </c>
      <c r="AN298" s="49">
        <f t="shared" si="17"/>
        <v>0</v>
      </c>
    </row>
    <row r="299" spans="2:40">
      <c r="B299" s="43" t="str">
        <f t="shared" si="5"/>
        <v>Asset 11</v>
      </c>
      <c r="F299" s="43" t="str">
        <f t="shared" ref="F299:L299" si="36">F51</f>
        <v>20 Kantoorgebouwen</v>
      </c>
      <c r="G299" s="43">
        <f t="shared" si="36"/>
        <v>2011</v>
      </c>
      <c r="H299" s="58">
        <f t="shared" si="36"/>
        <v>3100554.2541983742</v>
      </c>
      <c r="I299" s="43">
        <f t="shared" si="36"/>
        <v>2021</v>
      </c>
      <c r="J299" s="58">
        <f t="shared" si="36"/>
        <v>30</v>
      </c>
      <c r="K299" s="188">
        <f t="shared" si="36"/>
        <v>0</v>
      </c>
      <c r="L299" s="58">
        <f t="shared" si="36"/>
        <v>2372891.9585730941</v>
      </c>
      <c r="N299" s="49">
        <f t="shared" si="25"/>
        <v>2372891.9585730941</v>
      </c>
      <c r="P299" s="44">
        <f t="shared" si="7"/>
        <v>19.5</v>
      </c>
      <c r="R299" s="49">
        <f>IF(R$287&lt;=$G299+$J299,VDB($L299*(1-$F$25),0,$P299,R$287-2022,MIN(R$287-2021,$P299),$F$22),0)</f>
        <v>142373.51751438566</v>
      </c>
      <c r="S299" s="49">
        <f t="shared" si="22"/>
        <v>132881.94968009327</v>
      </c>
      <c r="T299" s="49">
        <f t="shared" si="22"/>
        <v>124023.15303475372</v>
      </c>
      <c r="U299" s="49">
        <f t="shared" si="22"/>
        <v>115754.94283243682</v>
      </c>
      <c r="V299" s="49">
        <f t="shared" si="22"/>
        <v>108037.94664360769</v>
      </c>
      <c r="X299" s="49">
        <f t="shared" si="23"/>
        <v>12168.676710631253</v>
      </c>
      <c r="Y299" s="49">
        <f t="shared" si="23"/>
        <v>12168.676710631253</v>
      </c>
      <c r="Z299" s="49">
        <f t="shared" si="23"/>
        <v>12168.676710631253</v>
      </c>
      <c r="AA299" s="49">
        <f t="shared" si="23"/>
        <v>12168.676710631253</v>
      </c>
      <c r="AB299" s="49">
        <f t="shared" si="23"/>
        <v>12168.676710631253</v>
      </c>
      <c r="AD299" s="49">
        <f t="shared" si="26"/>
        <v>2218349.7643480771</v>
      </c>
      <c r="AE299" s="49">
        <f t="shared" si="27"/>
        <v>2073299.1379573527</v>
      </c>
      <c r="AF299" s="49">
        <f t="shared" si="28"/>
        <v>1937107.3082119678</v>
      </c>
      <c r="AG299" s="49">
        <f t="shared" si="29"/>
        <v>1809183.6886688997</v>
      </c>
      <c r="AH299" s="49">
        <f t="shared" si="30"/>
        <v>1688977.0653146608</v>
      </c>
      <c r="AJ299" s="49">
        <f>(R299+X299+AD299*I$16)*IF($K299=1,$F$19,1)</f>
        <v>223311.03691980732</v>
      </c>
      <c r="AK299" s="49">
        <f t="shared" si="14"/>
        <v>207249.6005294451</v>
      </c>
      <c r="AL299" s="49">
        <f t="shared" si="15"/>
        <v>194305.048991744</v>
      </c>
      <c r="AM299" s="49">
        <f t="shared" si="16"/>
        <v>182199.13020313505</v>
      </c>
      <c r="AN299" s="49">
        <f t="shared" si="17"/>
        <v>170875.93531367875</v>
      </c>
    </row>
    <row r="300" spans="2:40">
      <c r="B300" s="43" t="str">
        <f t="shared" si="5"/>
        <v>Asset 12</v>
      </c>
      <c r="F300" s="43" t="str">
        <f t="shared" ref="F300:L300" si="37">F52</f>
        <v>37 ICT middelen 1</v>
      </c>
      <c r="G300" s="43">
        <f t="shared" si="37"/>
        <v>2011</v>
      </c>
      <c r="H300" s="58">
        <f t="shared" si="37"/>
        <v>30115806.268534236</v>
      </c>
      <c r="I300" s="43">
        <f t="shared" si="37"/>
        <v>2021</v>
      </c>
      <c r="J300" s="58">
        <f t="shared" si="37"/>
        <v>5</v>
      </c>
      <c r="K300" s="188">
        <f t="shared" si="37"/>
        <v>1</v>
      </c>
      <c r="L300" s="58">
        <f t="shared" si="37"/>
        <v>0</v>
      </c>
      <c r="N300" s="49">
        <f t="shared" si="25"/>
        <v>0</v>
      </c>
      <c r="P300" s="44">
        <f t="shared" si="7"/>
        <v>0</v>
      </c>
      <c r="R300" s="49">
        <f t="shared" si="22"/>
        <v>0</v>
      </c>
      <c r="S300" s="49">
        <f t="shared" si="22"/>
        <v>0</v>
      </c>
      <c r="T300" s="49">
        <f t="shared" si="22"/>
        <v>0</v>
      </c>
      <c r="U300" s="49">
        <f t="shared" si="22"/>
        <v>0</v>
      </c>
      <c r="V300" s="49">
        <f t="shared" si="22"/>
        <v>0</v>
      </c>
      <c r="X300" s="49">
        <f t="shared" si="23"/>
        <v>0</v>
      </c>
      <c r="Y300" s="49">
        <f t="shared" si="23"/>
        <v>0</v>
      </c>
      <c r="Z300" s="49">
        <f t="shared" si="23"/>
        <v>0</v>
      </c>
      <c r="AA300" s="49">
        <f t="shared" si="23"/>
        <v>0</v>
      </c>
      <c r="AB300" s="49">
        <f t="shared" si="23"/>
        <v>0</v>
      </c>
      <c r="AD300" s="49">
        <f t="shared" si="26"/>
        <v>0</v>
      </c>
      <c r="AE300" s="49">
        <f t="shared" si="27"/>
        <v>0</v>
      </c>
      <c r="AF300" s="49">
        <f t="shared" si="28"/>
        <v>0</v>
      </c>
      <c r="AG300" s="49">
        <f t="shared" si="29"/>
        <v>0</v>
      </c>
      <c r="AH300" s="49">
        <f t="shared" si="30"/>
        <v>0</v>
      </c>
      <c r="AJ300" s="49">
        <f t="shared" si="13"/>
        <v>0</v>
      </c>
      <c r="AK300" s="49">
        <f t="shared" si="14"/>
        <v>0</v>
      </c>
      <c r="AL300" s="49">
        <f t="shared" si="15"/>
        <v>0</v>
      </c>
      <c r="AM300" s="49">
        <f t="shared" si="16"/>
        <v>0</v>
      </c>
      <c r="AN300" s="49">
        <f t="shared" si="17"/>
        <v>0</v>
      </c>
    </row>
    <row r="301" spans="2:40">
      <c r="B301" s="43" t="str">
        <f t="shared" si="5"/>
        <v>Asset 13</v>
      </c>
      <c r="F301" s="43" t="str">
        <f t="shared" ref="F301:L301" si="38">F53</f>
        <v>06 Utiliteitsgebouwen</v>
      </c>
      <c r="G301" s="43">
        <f t="shared" si="38"/>
        <v>2011</v>
      </c>
      <c r="H301" s="58">
        <f t="shared" si="38"/>
        <v>2437521.6070272112</v>
      </c>
      <c r="I301" s="43">
        <f t="shared" si="38"/>
        <v>2021</v>
      </c>
      <c r="J301" s="58">
        <f t="shared" si="38"/>
        <v>30</v>
      </c>
      <c r="K301" s="188">
        <f t="shared" si="38"/>
        <v>0</v>
      </c>
      <c r="L301" s="58">
        <f t="shared" si="38"/>
        <v>1865464.9930189459</v>
      </c>
      <c r="N301" s="49">
        <f t="shared" si="25"/>
        <v>1865464.9930189459</v>
      </c>
      <c r="P301" s="44">
        <f t="shared" si="7"/>
        <v>19.5</v>
      </c>
      <c r="R301" s="49">
        <f t="shared" si="22"/>
        <v>111927.89958113675</v>
      </c>
      <c r="S301" s="49">
        <f t="shared" si="22"/>
        <v>104466.03960906097</v>
      </c>
      <c r="T301" s="49">
        <f t="shared" si="22"/>
        <v>97501.636968456922</v>
      </c>
      <c r="U301" s="49">
        <f t="shared" si="22"/>
        <v>91001.527837226458</v>
      </c>
      <c r="V301" s="49">
        <f t="shared" si="22"/>
        <v>84934.759314744704</v>
      </c>
      <c r="X301" s="49">
        <f t="shared" si="23"/>
        <v>9566.4871436869016</v>
      </c>
      <c r="Y301" s="49">
        <f t="shared" si="23"/>
        <v>9566.4871436869016</v>
      </c>
      <c r="Z301" s="49">
        <f t="shared" si="23"/>
        <v>9566.4871436869016</v>
      </c>
      <c r="AA301" s="49">
        <f t="shared" si="23"/>
        <v>9566.4871436869016</v>
      </c>
      <c r="AB301" s="49">
        <f t="shared" si="23"/>
        <v>9566.4871436869016</v>
      </c>
      <c r="AD301" s="49">
        <f t="shared" si="26"/>
        <v>1743970.6062941223</v>
      </c>
      <c r="AE301" s="49">
        <f t="shared" si="27"/>
        <v>1629938.0795413745</v>
      </c>
      <c r="AF301" s="49">
        <f t="shared" si="28"/>
        <v>1522869.9554292306</v>
      </c>
      <c r="AG301" s="49">
        <f t="shared" si="29"/>
        <v>1422301.9404483172</v>
      </c>
      <c r="AH301" s="49">
        <f t="shared" si="30"/>
        <v>1327800.6939898855</v>
      </c>
      <c r="AJ301" s="49">
        <f t="shared" si="13"/>
        <v>175557.47551994145</v>
      </c>
      <c r="AK301" s="49">
        <f t="shared" si="14"/>
        <v>162930.66913898912</v>
      </c>
      <c r="AL301" s="49">
        <f t="shared" si="15"/>
        <v>152754.22277502075</v>
      </c>
      <c r="AM301" s="49">
        <f t="shared" si="16"/>
        <v>143237.07319436286</v>
      </c>
      <c r="AN301" s="49">
        <f t="shared" si="17"/>
        <v>134335.26727812816</v>
      </c>
    </row>
    <row r="302" spans="2:40">
      <c r="B302" s="43" t="str">
        <f t="shared" si="5"/>
        <v>Asset 14</v>
      </c>
      <c r="F302" s="43" t="str">
        <f t="shared" ref="F302:L302" si="39">F54</f>
        <v>10 Gereedschap</v>
      </c>
      <c r="G302" s="43">
        <f t="shared" si="39"/>
        <v>2011</v>
      </c>
      <c r="H302" s="58">
        <f t="shared" si="39"/>
        <v>322323.48030063207</v>
      </c>
      <c r="I302" s="43">
        <f t="shared" si="39"/>
        <v>2021</v>
      </c>
      <c r="J302" s="58">
        <f t="shared" si="39"/>
        <v>10</v>
      </c>
      <c r="K302" s="188">
        <f t="shared" si="39"/>
        <v>1</v>
      </c>
      <c r="L302" s="58">
        <f t="shared" si="39"/>
        <v>0</v>
      </c>
      <c r="N302" s="49">
        <f t="shared" si="25"/>
        <v>0</v>
      </c>
      <c r="P302" s="44">
        <f t="shared" si="7"/>
        <v>0</v>
      </c>
      <c r="R302" s="49">
        <f t="shared" si="22"/>
        <v>0</v>
      </c>
      <c r="S302" s="49">
        <f t="shared" si="22"/>
        <v>0</v>
      </c>
      <c r="T302" s="49">
        <f t="shared" si="22"/>
        <v>0</v>
      </c>
      <c r="U302" s="49">
        <f t="shared" si="22"/>
        <v>0</v>
      </c>
      <c r="V302" s="49">
        <f t="shared" si="22"/>
        <v>0</v>
      </c>
      <c r="X302" s="49">
        <f t="shared" si="23"/>
        <v>0</v>
      </c>
      <c r="Y302" s="49">
        <f t="shared" si="23"/>
        <v>0</v>
      </c>
      <c r="Z302" s="49">
        <f t="shared" si="23"/>
        <v>0</v>
      </c>
      <c r="AA302" s="49">
        <f t="shared" si="23"/>
        <v>0</v>
      </c>
      <c r="AB302" s="49">
        <f t="shared" si="23"/>
        <v>0</v>
      </c>
      <c r="AD302" s="49">
        <f t="shared" si="26"/>
        <v>0</v>
      </c>
      <c r="AE302" s="49">
        <f t="shared" si="27"/>
        <v>0</v>
      </c>
      <c r="AF302" s="49">
        <f t="shared" si="28"/>
        <v>0</v>
      </c>
      <c r="AG302" s="49">
        <f t="shared" si="29"/>
        <v>0</v>
      </c>
      <c r="AH302" s="49">
        <f t="shared" si="30"/>
        <v>0</v>
      </c>
      <c r="AJ302" s="49">
        <f t="shared" si="13"/>
        <v>0</v>
      </c>
      <c r="AK302" s="49">
        <f t="shared" si="14"/>
        <v>0</v>
      </c>
      <c r="AL302" s="49">
        <f t="shared" si="15"/>
        <v>0</v>
      </c>
      <c r="AM302" s="49">
        <f t="shared" si="16"/>
        <v>0</v>
      </c>
      <c r="AN302" s="49">
        <f t="shared" si="17"/>
        <v>0</v>
      </c>
    </row>
    <row r="303" spans="2:40">
      <c r="B303" s="43" t="str">
        <f t="shared" si="5"/>
        <v>Asset 15</v>
      </c>
      <c r="F303" s="43" t="str">
        <f t="shared" ref="F303:L303" si="40">F55</f>
        <v>14 Overig rollend materieel</v>
      </c>
      <c r="G303" s="43">
        <f t="shared" si="40"/>
        <v>2011</v>
      </c>
      <c r="H303" s="58">
        <f t="shared" si="40"/>
        <v>4126005.7948834877</v>
      </c>
      <c r="I303" s="43">
        <f t="shared" si="40"/>
        <v>2021</v>
      </c>
      <c r="J303" s="58">
        <f t="shared" si="40"/>
        <v>10</v>
      </c>
      <c r="K303" s="188">
        <f t="shared" si="40"/>
        <v>1</v>
      </c>
      <c r="L303" s="58">
        <f t="shared" si="40"/>
        <v>0</v>
      </c>
      <c r="N303" s="49">
        <f t="shared" si="25"/>
        <v>0</v>
      </c>
      <c r="P303" s="44">
        <f t="shared" si="7"/>
        <v>0</v>
      </c>
      <c r="R303" s="49">
        <f t="shared" si="22"/>
        <v>0</v>
      </c>
      <c r="S303" s="49">
        <f t="shared" si="22"/>
        <v>0</v>
      </c>
      <c r="T303" s="49">
        <f t="shared" si="22"/>
        <v>0</v>
      </c>
      <c r="U303" s="49">
        <f t="shared" si="22"/>
        <v>0</v>
      </c>
      <c r="V303" s="49">
        <f t="shared" si="22"/>
        <v>0</v>
      </c>
      <c r="X303" s="49">
        <f t="shared" si="23"/>
        <v>0</v>
      </c>
      <c r="Y303" s="49">
        <f t="shared" si="23"/>
        <v>0</v>
      </c>
      <c r="Z303" s="49">
        <f t="shared" si="23"/>
        <v>0</v>
      </c>
      <c r="AA303" s="49">
        <f t="shared" si="23"/>
        <v>0</v>
      </c>
      <c r="AB303" s="49">
        <f t="shared" si="23"/>
        <v>0</v>
      </c>
      <c r="AD303" s="49">
        <f t="shared" si="26"/>
        <v>0</v>
      </c>
      <c r="AE303" s="49">
        <f t="shared" si="27"/>
        <v>0</v>
      </c>
      <c r="AF303" s="49">
        <f t="shared" si="28"/>
        <v>0</v>
      </c>
      <c r="AG303" s="49">
        <f t="shared" si="29"/>
        <v>0</v>
      </c>
      <c r="AH303" s="49">
        <f t="shared" si="30"/>
        <v>0</v>
      </c>
      <c r="AJ303" s="49">
        <f t="shared" si="13"/>
        <v>0</v>
      </c>
      <c r="AK303" s="49">
        <f t="shared" si="14"/>
        <v>0</v>
      </c>
      <c r="AL303" s="49">
        <f t="shared" si="15"/>
        <v>0</v>
      </c>
      <c r="AM303" s="49">
        <f t="shared" si="16"/>
        <v>0</v>
      </c>
      <c r="AN303" s="49">
        <f t="shared" si="17"/>
        <v>0</v>
      </c>
    </row>
    <row r="304" spans="2:40">
      <c r="B304" s="43" t="str">
        <f t="shared" si="5"/>
        <v>Asset 16</v>
      </c>
      <c r="F304" s="43" t="str">
        <f t="shared" ref="F304:L304" si="41">F56</f>
        <v>37 ICT middelen 1</v>
      </c>
      <c r="G304" s="43">
        <f t="shared" si="41"/>
        <v>2012</v>
      </c>
      <c r="H304" s="58">
        <f t="shared" si="41"/>
        <v>22695798.709637098</v>
      </c>
      <c r="I304" s="43">
        <f t="shared" si="41"/>
        <v>2021</v>
      </c>
      <c r="J304" s="58">
        <f t="shared" si="41"/>
        <v>5</v>
      </c>
      <c r="K304" s="188">
        <f t="shared" si="41"/>
        <v>1</v>
      </c>
      <c r="L304" s="58">
        <f t="shared" si="41"/>
        <v>0</v>
      </c>
      <c r="N304" s="49">
        <f t="shared" si="25"/>
        <v>0</v>
      </c>
      <c r="P304" s="44">
        <f t="shared" si="7"/>
        <v>0</v>
      </c>
      <c r="R304" s="49">
        <f t="shared" si="22"/>
        <v>0</v>
      </c>
      <c r="S304" s="49">
        <f t="shared" si="22"/>
        <v>0</v>
      </c>
      <c r="T304" s="49">
        <f t="shared" si="22"/>
        <v>0</v>
      </c>
      <c r="U304" s="49">
        <f t="shared" si="22"/>
        <v>0</v>
      </c>
      <c r="V304" s="49">
        <f t="shared" si="22"/>
        <v>0</v>
      </c>
      <c r="X304" s="49">
        <f t="shared" si="23"/>
        <v>0</v>
      </c>
      <c r="Y304" s="49">
        <f t="shared" si="23"/>
        <v>0</v>
      </c>
      <c r="Z304" s="49">
        <f t="shared" si="23"/>
        <v>0</v>
      </c>
      <c r="AA304" s="49">
        <f t="shared" si="23"/>
        <v>0</v>
      </c>
      <c r="AB304" s="49">
        <f t="shared" si="23"/>
        <v>0</v>
      </c>
      <c r="AD304" s="49">
        <f t="shared" si="26"/>
        <v>0</v>
      </c>
      <c r="AE304" s="49">
        <f t="shared" si="27"/>
        <v>0</v>
      </c>
      <c r="AF304" s="49">
        <f t="shared" si="28"/>
        <v>0</v>
      </c>
      <c r="AG304" s="49">
        <f t="shared" si="29"/>
        <v>0</v>
      </c>
      <c r="AH304" s="49">
        <f t="shared" si="30"/>
        <v>0</v>
      </c>
      <c r="AJ304" s="49">
        <f t="shared" si="13"/>
        <v>0</v>
      </c>
      <c r="AK304" s="49">
        <f t="shared" si="14"/>
        <v>0</v>
      </c>
      <c r="AL304" s="49">
        <f t="shared" si="15"/>
        <v>0</v>
      </c>
      <c r="AM304" s="49">
        <f t="shared" si="16"/>
        <v>0</v>
      </c>
      <c r="AN304" s="49">
        <f t="shared" si="17"/>
        <v>0</v>
      </c>
    </row>
    <row r="305" spans="2:40">
      <c r="B305" s="43" t="str">
        <f t="shared" si="5"/>
        <v>Asset 17</v>
      </c>
      <c r="F305" s="43" t="str">
        <f t="shared" ref="F305:L305" si="42">F57</f>
        <v>37 ICT middelen 1</v>
      </c>
      <c r="G305" s="43">
        <f t="shared" si="42"/>
        <v>2013</v>
      </c>
      <c r="H305" s="58">
        <f t="shared" si="42"/>
        <v>18719949.80436749</v>
      </c>
      <c r="I305" s="43">
        <f t="shared" si="42"/>
        <v>2021</v>
      </c>
      <c r="J305" s="58">
        <f t="shared" si="42"/>
        <v>5</v>
      </c>
      <c r="K305" s="188">
        <f t="shared" si="42"/>
        <v>1</v>
      </c>
      <c r="L305" s="58">
        <f t="shared" si="42"/>
        <v>0</v>
      </c>
      <c r="N305" s="49">
        <f t="shared" si="25"/>
        <v>0</v>
      </c>
      <c r="P305" s="44">
        <f t="shared" si="7"/>
        <v>0</v>
      </c>
      <c r="R305" s="49">
        <f t="shared" si="22"/>
        <v>0</v>
      </c>
      <c r="S305" s="49">
        <f t="shared" si="22"/>
        <v>0</v>
      </c>
      <c r="T305" s="49">
        <f t="shared" si="22"/>
        <v>0</v>
      </c>
      <c r="U305" s="49">
        <f t="shared" si="22"/>
        <v>0</v>
      </c>
      <c r="V305" s="49">
        <f t="shared" si="22"/>
        <v>0</v>
      </c>
      <c r="X305" s="49">
        <f t="shared" si="23"/>
        <v>0</v>
      </c>
      <c r="Y305" s="49">
        <f t="shared" si="23"/>
        <v>0</v>
      </c>
      <c r="Z305" s="49">
        <f t="shared" si="23"/>
        <v>0</v>
      </c>
      <c r="AA305" s="49">
        <f t="shared" si="23"/>
        <v>0</v>
      </c>
      <c r="AB305" s="49">
        <f t="shared" si="23"/>
        <v>0</v>
      </c>
      <c r="AD305" s="49">
        <f t="shared" si="26"/>
        <v>0</v>
      </c>
      <c r="AE305" s="49">
        <f t="shared" si="27"/>
        <v>0</v>
      </c>
      <c r="AF305" s="49">
        <f t="shared" si="28"/>
        <v>0</v>
      </c>
      <c r="AG305" s="49">
        <f t="shared" si="29"/>
        <v>0</v>
      </c>
      <c r="AH305" s="49">
        <f t="shared" si="30"/>
        <v>0</v>
      </c>
      <c r="AJ305" s="49">
        <f t="shared" si="13"/>
        <v>0</v>
      </c>
      <c r="AK305" s="49">
        <f t="shared" si="14"/>
        <v>0</v>
      </c>
      <c r="AL305" s="49">
        <f t="shared" si="15"/>
        <v>0</v>
      </c>
      <c r="AM305" s="49">
        <f t="shared" si="16"/>
        <v>0</v>
      </c>
      <c r="AN305" s="49">
        <f t="shared" si="17"/>
        <v>0</v>
      </c>
    </row>
    <row r="306" spans="2:40">
      <c r="B306" s="43" t="str">
        <f t="shared" si="5"/>
        <v>Asset 18</v>
      </c>
      <c r="F306" s="43" t="str">
        <f t="shared" ref="F306:L306" si="43">F58</f>
        <v>14 Overig rollend materieel</v>
      </c>
      <c r="G306" s="43">
        <f t="shared" si="43"/>
        <v>2013</v>
      </c>
      <c r="H306" s="58">
        <f t="shared" si="43"/>
        <v>14233.766853302437</v>
      </c>
      <c r="I306" s="43">
        <f t="shared" si="43"/>
        <v>2021</v>
      </c>
      <c r="J306" s="58">
        <f t="shared" si="43"/>
        <v>10</v>
      </c>
      <c r="K306" s="188">
        <f t="shared" si="43"/>
        <v>1</v>
      </c>
      <c r="L306" s="58">
        <f t="shared" si="43"/>
        <v>2395.0433871794298</v>
      </c>
      <c r="N306" s="49">
        <f t="shared" si="25"/>
        <v>2244.1556537871261</v>
      </c>
      <c r="P306" s="44">
        <f t="shared" si="7"/>
        <v>1.5</v>
      </c>
      <c r="R306" s="49">
        <f t="shared" si="22"/>
        <v>1868.1338419999554</v>
      </c>
      <c r="S306" s="49">
        <f t="shared" si="22"/>
        <v>287.40520646153141</v>
      </c>
      <c r="T306" s="49">
        <f t="shared" si="22"/>
        <v>0</v>
      </c>
      <c r="U306" s="49">
        <f t="shared" si="22"/>
        <v>0</v>
      </c>
      <c r="V306" s="49">
        <f t="shared" si="22"/>
        <v>0</v>
      </c>
      <c r="X306" s="49">
        <f t="shared" si="23"/>
        <v>159.66955914529532</v>
      </c>
      <c r="Y306" s="49">
        <f t="shared" si="23"/>
        <v>79.834779572647676</v>
      </c>
      <c r="Z306" s="49">
        <f t="shared" si="23"/>
        <v>0</v>
      </c>
      <c r="AA306" s="49">
        <f t="shared" si="23"/>
        <v>0</v>
      </c>
      <c r="AB306" s="49">
        <f t="shared" si="23"/>
        <v>0</v>
      </c>
      <c r="AD306" s="49">
        <f t="shared" si="26"/>
        <v>367.23998603417908</v>
      </c>
      <c r="AE306" s="49">
        <f t="shared" si="27"/>
        <v>0</v>
      </c>
      <c r="AF306" s="49">
        <f t="shared" si="28"/>
        <v>0</v>
      </c>
      <c r="AG306" s="49">
        <f t="shared" si="29"/>
        <v>0</v>
      </c>
      <c r="AH306" s="49">
        <f t="shared" si="30"/>
        <v>0</v>
      </c>
      <c r="AJ306" s="49">
        <f t="shared" si="13"/>
        <v>1910.7190067474351</v>
      </c>
      <c r="AK306" s="49">
        <f t="shared" si="14"/>
        <v>344.10386691402584</v>
      </c>
      <c r="AL306" s="49">
        <f t="shared" si="15"/>
        <v>0</v>
      </c>
      <c r="AM306" s="49">
        <f t="shared" si="16"/>
        <v>0</v>
      </c>
      <c r="AN306" s="49">
        <f t="shared" si="17"/>
        <v>0</v>
      </c>
    </row>
    <row r="307" spans="2:40">
      <c r="B307" s="43" t="str">
        <f t="shared" si="5"/>
        <v>Asset 19</v>
      </c>
      <c r="F307" s="43" t="str">
        <f t="shared" ref="F307:L307" si="44">F59</f>
        <v>10 Gereedschap</v>
      </c>
      <c r="G307" s="43">
        <f t="shared" si="44"/>
        <v>2013</v>
      </c>
      <c r="H307" s="58">
        <f t="shared" si="44"/>
        <v>717715.3058753697</v>
      </c>
      <c r="I307" s="43">
        <f t="shared" si="44"/>
        <v>2021</v>
      </c>
      <c r="J307" s="58">
        <f t="shared" si="44"/>
        <v>10</v>
      </c>
      <c r="K307" s="188">
        <f t="shared" si="44"/>
        <v>1</v>
      </c>
      <c r="L307" s="58">
        <f t="shared" si="44"/>
        <v>120766.29573396736</v>
      </c>
      <c r="N307" s="49">
        <f t="shared" si="25"/>
        <v>113158.01910272743</v>
      </c>
      <c r="P307" s="44">
        <f t="shared" si="7"/>
        <v>1.5</v>
      </c>
      <c r="R307" s="49">
        <f t="shared" si="22"/>
        <v>94197.710672494548</v>
      </c>
      <c r="S307" s="49">
        <f t="shared" si="22"/>
        <v>14491.955488076084</v>
      </c>
      <c r="T307" s="49">
        <f t="shared" si="22"/>
        <v>0</v>
      </c>
      <c r="U307" s="49">
        <f t="shared" si="22"/>
        <v>0</v>
      </c>
      <c r="V307" s="49">
        <f t="shared" si="22"/>
        <v>0</v>
      </c>
      <c r="X307" s="49">
        <f t="shared" si="23"/>
        <v>8051.0863822644906</v>
      </c>
      <c r="Y307" s="49">
        <f t="shared" si="23"/>
        <v>4025.5431911322457</v>
      </c>
      <c r="Z307" s="49">
        <f t="shared" si="23"/>
        <v>0</v>
      </c>
      <c r="AA307" s="49">
        <f t="shared" si="23"/>
        <v>0</v>
      </c>
      <c r="AB307" s="49">
        <f t="shared" si="23"/>
        <v>0</v>
      </c>
      <c r="AD307" s="49">
        <f t="shared" si="26"/>
        <v>18517.498679208322</v>
      </c>
      <c r="AE307" s="49">
        <f t="shared" si="27"/>
        <v>-8.1854523159563541E-12</v>
      </c>
      <c r="AF307" s="49">
        <f t="shared" si="28"/>
        <v>0</v>
      </c>
      <c r="AG307" s="49">
        <f t="shared" si="29"/>
        <v>0</v>
      </c>
      <c r="AH307" s="49">
        <f t="shared" si="30"/>
        <v>0</v>
      </c>
      <c r="AJ307" s="49">
        <f t="shared" si="13"/>
        <v>96345.00062444419</v>
      </c>
      <c r="AK307" s="49">
        <f t="shared" si="14"/>
        <v>17350.896262418206</v>
      </c>
      <c r="AL307" s="49">
        <f t="shared" si="15"/>
        <v>0</v>
      </c>
      <c r="AM307" s="49">
        <f t="shared" si="16"/>
        <v>0</v>
      </c>
      <c r="AN307" s="49">
        <f t="shared" si="17"/>
        <v>0</v>
      </c>
    </row>
    <row r="308" spans="2:40">
      <c r="B308" s="43" t="str">
        <f t="shared" si="5"/>
        <v>Asset 20</v>
      </c>
      <c r="F308" s="43" t="str">
        <f t="shared" ref="F308:L308" si="45">F60</f>
        <v>37 ICT middelen 1</v>
      </c>
      <c r="G308" s="43">
        <f t="shared" si="45"/>
        <v>2014</v>
      </c>
      <c r="H308" s="58">
        <f t="shared" si="45"/>
        <v>29278944.009914741</v>
      </c>
      <c r="I308" s="43">
        <f t="shared" si="45"/>
        <v>2021</v>
      </c>
      <c r="J308" s="58">
        <f t="shared" si="45"/>
        <v>5</v>
      </c>
      <c r="K308" s="188">
        <f t="shared" si="45"/>
        <v>1</v>
      </c>
      <c r="L308" s="58">
        <f t="shared" si="45"/>
        <v>0</v>
      </c>
      <c r="N308" s="49">
        <f t="shared" si="25"/>
        <v>0</v>
      </c>
      <c r="P308" s="44">
        <f t="shared" si="7"/>
        <v>0</v>
      </c>
      <c r="R308" s="49">
        <f t="shared" si="22"/>
        <v>0</v>
      </c>
      <c r="S308" s="49">
        <f t="shared" si="22"/>
        <v>0</v>
      </c>
      <c r="T308" s="49">
        <f t="shared" si="22"/>
        <v>0</v>
      </c>
      <c r="U308" s="49">
        <f t="shared" si="22"/>
        <v>0</v>
      </c>
      <c r="V308" s="49">
        <f t="shared" si="22"/>
        <v>0</v>
      </c>
      <c r="X308" s="49">
        <f t="shared" si="23"/>
        <v>0</v>
      </c>
      <c r="Y308" s="49">
        <f t="shared" si="23"/>
        <v>0</v>
      </c>
      <c r="Z308" s="49">
        <f t="shared" si="23"/>
        <v>0</v>
      </c>
      <c r="AA308" s="49">
        <f t="shared" si="23"/>
        <v>0</v>
      </c>
      <c r="AB308" s="49">
        <f t="shared" si="23"/>
        <v>0</v>
      </c>
      <c r="AD308" s="49">
        <f t="shared" si="26"/>
        <v>0</v>
      </c>
      <c r="AE308" s="49">
        <f t="shared" si="27"/>
        <v>0</v>
      </c>
      <c r="AF308" s="49">
        <f t="shared" si="28"/>
        <v>0</v>
      </c>
      <c r="AG308" s="49">
        <f t="shared" si="29"/>
        <v>0</v>
      </c>
      <c r="AH308" s="49">
        <f t="shared" si="30"/>
        <v>0</v>
      </c>
      <c r="AJ308" s="49">
        <f t="shared" si="13"/>
        <v>0</v>
      </c>
      <c r="AK308" s="49">
        <f t="shared" si="14"/>
        <v>0</v>
      </c>
      <c r="AL308" s="49">
        <f t="shared" si="15"/>
        <v>0</v>
      </c>
      <c r="AM308" s="49">
        <f t="shared" si="16"/>
        <v>0</v>
      </c>
      <c r="AN308" s="49">
        <f t="shared" si="17"/>
        <v>0</v>
      </c>
    </row>
    <row r="309" spans="2:40">
      <c r="B309" s="43" t="str">
        <f t="shared" si="5"/>
        <v>Asset 21</v>
      </c>
      <c r="F309" s="43" t="str">
        <f t="shared" ref="F309:L309" si="46">F61</f>
        <v>38 ICT middelen 2</v>
      </c>
      <c r="G309" s="43">
        <f t="shared" si="46"/>
        <v>2014</v>
      </c>
      <c r="H309" s="58">
        <f t="shared" si="46"/>
        <v>149619.99545874962</v>
      </c>
      <c r="I309" s="43">
        <f t="shared" si="46"/>
        <v>2021</v>
      </c>
      <c r="J309" s="58">
        <f t="shared" si="46"/>
        <v>10</v>
      </c>
      <c r="K309" s="188">
        <f t="shared" si="46"/>
        <v>1</v>
      </c>
      <c r="L309" s="58">
        <f t="shared" si="46"/>
        <v>40816.786477904512</v>
      </c>
      <c r="N309" s="49">
        <f t="shared" si="25"/>
        <v>38245.328929796531</v>
      </c>
      <c r="P309" s="44">
        <f t="shared" si="7"/>
        <v>2.5</v>
      </c>
      <c r="R309" s="49">
        <f t="shared" si="22"/>
        <v>19102.256071659311</v>
      </c>
      <c r="S309" s="49">
        <f t="shared" si="22"/>
        <v>11755.234505636499</v>
      </c>
      <c r="T309" s="49">
        <f t="shared" si="22"/>
        <v>5877.6172528182497</v>
      </c>
      <c r="U309" s="49">
        <f t="shared" si="22"/>
        <v>0</v>
      </c>
      <c r="V309" s="49">
        <f t="shared" si="22"/>
        <v>0</v>
      </c>
      <c r="X309" s="49">
        <f t="shared" si="23"/>
        <v>1632.6714591161808</v>
      </c>
      <c r="Y309" s="49">
        <f t="shared" si="23"/>
        <v>1632.6714591161806</v>
      </c>
      <c r="Z309" s="49">
        <f t="shared" si="23"/>
        <v>816.33572955809029</v>
      </c>
      <c r="AA309" s="49">
        <f t="shared" si="23"/>
        <v>0</v>
      </c>
      <c r="AB309" s="49">
        <f t="shared" si="23"/>
        <v>0</v>
      </c>
      <c r="AD309" s="49">
        <f t="shared" si="26"/>
        <v>20081.858947129022</v>
      </c>
      <c r="AE309" s="49">
        <f t="shared" si="27"/>
        <v>6693.9529823763414</v>
      </c>
      <c r="AF309" s="49">
        <f t="shared" si="28"/>
        <v>1.4779288903810084E-12</v>
      </c>
      <c r="AG309" s="49">
        <f t="shared" si="29"/>
        <v>0</v>
      </c>
      <c r="AH309" s="49">
        <f t="shared" si="30"/>
        <v>0</v>
      </c>
      <c r="AJ309" s="49">
        <f t="shared" si="13"/>
        <v>20011.944853173893</v>
      </c>
      <c r="AK309" s="49">
        <f t="shared" si="14"/>
        <v>12732.63490730786</v>
      </c>
      <c r="AL309" s="49">
        <f t="shared" si="15"/>
        <v>6272.2339444866302</v>
      </c>
      <c r="AM309" s="49">
        <f t="shared" si="16"/>
        <v>0</v>
      </c>
      <c r="AN309" s="49">
        <f t="shared" si="17"/>
        <v>0</v>
      </c>
    </row>
    <row r="310" spans="2:40">
      <c r="B310" s="43" t="str">
        <f t="shared" si="5"/>
        <v>Asset 22</v>
      </c>
      <c r="F310" s="43" t="str">
        <f t="shared" ref="F310:L310" si="47">F62</f>
        <v>37 ICT middelen 1 (transparency)</v>
      </c>
      <c r="G310" s="43">
        <f t="shared" si="47"/>
        <v>2014</v>
      </c>
      <c r="H310" s="58">
        <f t="shared" si="47"/>
        <v>180341</v>
      </c>
      <c r="I310" s="43">
        <f t="shared" si="47"/>
        <v>2021</v>
      </c>
      <c r="J310" s="58">
        <f t="shared" si="47"/>
        <v>5</v>
      </c>
      <c r="K310" s="188">
        <f t="shared" si="47"/>
        <v>0</v>
      </c>
      <c r="L310" s="58">
        <f t="shared" si="47"/>
        <v>0</v>
      </c>
      <c r="N310" s="49">
        <f t="shared" si="25"/>
        <v>0</v>
      </c>
      <c r="P310" s="44">
        <f t="shared" si="7"/>
        <v>0</v>
      </c>
      <c r="R310" s="49">
        <f t="shared" si="22"/>
        <v>0</v>
      </c>
      <c r="S310" s="49">
        <f t="shared" si="22"/>
        <v>0</v>
      </c>
      <c r="T310" s="49">
        <f t="shared" si="22"/>
        <v>0</v>
      </c>
      <c r="U310" s="49">
        <f t="shared" si="22"/>
        <v>0</v>
      </c>
      <c r="V310" s="49">
        <f t="shared" si="22"/>
        <v>0</v>
      </c>
      <c r="X310" s="49">
        <f t="shared" si="23"/>
        <v>0</v>
      </c>
      <c r="Y310" s="49">
        <f t="shared" si="23"/>
        <v>0</v>
      </c>
      <c r="Z310" s="49">
        <f t="shared" si="23"/>
        <v>0</v>
      </c>
      <c r="AA310" s="49">
        <f t="shared" si="23"/>
        <v>0</v>
      </c>
      <c r="AB310" s="49">
        <f t="shared" si="23"/>
        <v>0</v>
      </c>
      <c r="AD310" s="49">
        <f t="shared" si="26"/>
        <v>0</v>
      </c>
      <c r="AE310" s="49">
        <f t="shared" si="27"/>
        <v>0</v>
      </c>
      <c r="AF310" s="49">
        <f t="shared" si="28"/>
        <v>0</v>
      </c>
      <c r="AG310" s="49">
        <f t="shared" si="29"/>
        <v>0</v>
      </c>
      <c r="AH310" s="49">
        <f t="shared" si="30"/>
        <v>0</v>
      </c>
      <c r="AJ310" s="49">
        <f t="shared" si="13"/>
        <v>0</v>
      </c>
      <c r="AK310" s="49">
        <f t="shared" si="14"/>
        <v>0</v>
      </c>
      <c r="AL310" s="49">
        <f t="shared" si="15"/>
        <v>0</v>
      </c>
      <c r="AM310" s="49">
        <f t="shared" si="16"/>
        <v>0</v>
      </c>
      <c r="AN310" s="49">
        <f t="shared" si="17"/>
        <v>0</v>
      </c>
    </row>
    <row r="311" spans="2:40">
      <c r="B311" s="43" t="str">
        <f t="shared" si="5"/>
        <v>Asset 23</v>
      </c>
      <c r="F311" s="43" t="str">
        <f t="shared" ref="F311:L311" si="48">F63</f>
        <v>37 ICT middelen 1</v>
      </c>
      <c r="G311" s="43">
        <f t="shared" si="48"/>
        <v>2015</v>
      </c>
      <c r="H311" s="58">
        <f t="shared" si="48"/>
        <v>16219637.049707994</v>
      </c>
      <c r="I311" s="43">
        <f t="shared" si="48"/>
        <v>2021</v>
      </c>
      <c r="J311" s="58">
        <f t="shared" si="48"/>
        <v>5</v>
      </c>
      <c r="K311" s="188">
        <f t="shared" si="48"/>
        <v>1</v>
      </c>
      <c r="L311" s="58">
        <f t="shared" si="48"/>
        <v>0</v>
      </c>
      <c r="N311" s="49">
        <f t="shared" si="25"/>
        <v>0</v>
      </c>
      <c r="P311" s="44">
        <f t="shared" si="7"/>
        <v>0</v>
      </c>
      <c r="R311" s="49">
        <f t="shared" si="22"/>
        <v>0</v>
      </c>
      <c r="S311" s="49">
        <f t="shared" si="22"/>
        <v>0</v>
      </c>
      <c r="T311" s="49">
        <f t="shared" si="22"/>
        <v>0</v>
      </c>
      <c r="U311" s="49">
        <f t="shared" si="22"/>
        <v>0</v>
      </c>
      <c r="V311" s="49">
        <f t="shared" si="22"/>
        <v>0</v>
      </c>
      <c r="X311" s="49">
        <f t="shared" si="23"/>
        <v>0</v>
      </c>
      <c r="Y311" s="49">
        <f t="shared" si="23"/>
        <v>0</v>
      </c>
      <c r="Z311" s="49">
        <f t="shared" si="23"/>
        <v>0</v>
      </c>
      <c r="AA311" s="49">
        <f t="shared" si="23"/>
        <v>0</v>
      </c>
      <c r="AB311" s="49">
        <f t="shared" si="23"/>
        <v>0</v>
      </c>
      <c r="AD311" s="49">
        <f t="shared" si="26"/>
        <v>0</v>
      </c>
      <c r="AE311" s="49">
        <f t="shared" si="27"/>
        <v>0</v>
      </c>
      <c r="AF311" s="49">
        <f t="shared" si="28"/>
        <v>0</v>
      </c>
      <c r="AG311" s="49">
        <f t="shared" si="29"/>
        <v>0</v>
      </c>
      <c r="AH311" s="49">
        <f t="shared" si="30"/>
        <v>0</v>
      </c>
      <c r="AJ311" s="49">
        <f t="shared" si="13"/>
        <v>0</v>
      </c>
      <c r="AK311" s="49">
        <f t="shared" si="14"/>
        <v>0</v>
      </c>
      <c r="AL311" s="49">
        <f t="shared" si="15"/>
        <v>0</v>
      </c>
      <c r="AM311" s="49">
        <f t="shared" si="16"/>
        <v>0</v>
      </c>
      <c r="AN311" s="49">
        <f t="shared" si="17"/>
        <v>0</v>
      </c>
    </row>
    <row r="312" spans="2:40">
      <c r="B312" s="43" t="str">
        <f t="shared" si="5"/>
        <v>Asset 24</v>
      </c>
      <c r="F312" s="43" t="str">
        <f t="shared" ref="F312:L312" si="49">F64</f>
        <v>14 Overig rollend materieel</v>
      </c>
      <c r="G312" s="43">
        <f t="shared" si="49"/>
        <v>2015</v>
      </c>
      <c r="H312" s="58">
        <f t="shared" si="49"/>
        <v>9111235.8707030155</v>
      </c>
      <c r="I312" s="43">
        <f t="shared" si="49"/>
        <v>2021</v>
      </c>
      <c r="J312" s="58">
        <f t="shared" si="49"/>
        <v>10</v>
      </c>
      <c r="K312" s="188">
        <f t="shared" si="49"/>
        <v>1</v>
      </c>
      <c r="L312" s="58">
        <f t="shared" si="49"/>
        <v>3445348.23215965</v>
      </c>
      <c r="N312" s="49">
        <f t="shared" si="25"/>
        <v>3228291.293533592</v>
      </c>
      <c r="P312" s="44">
        <f t="shared" si="7"/>
        <v>3.5</v>
      </c>
      <c r="R312" s="49">
        <f t="shared" si="22"/>
        <v>1151730.6947505118</v>
      </c>
      <c r="S312" s="49">
        <f t="shared" si="22"/>
        <v>779633.08567726938</v>
      </c>
      <c r="T312" s="49">
        <f t="shared" si="22"/>
        <v>779633.08567726938</v>
      </c>
      <c r="U312" s="49">
        <f t="shared" si="22"/>
        <v>389816.54283863469</v>
      </c>
      <c r="V312" s="49">
        <f t="shared" si="22"/>
        <v>0</v>
      </c>
      <c r="X312" s="49">
        <f t="shared" si="23"/>
        <v>98438.520918847149</v>
      </c>
      <c r="Y312" s="49">
        <f t="shared" si="23"/>
        <v>98438.520918847149</v>
      </c>
      <c r="Z312" s="49">
        <f t="shared" si="23"/>
        <v>98438.520918847149</v>
      </c>
      <c r="AA312" s="49">
        <f t="shared" si="23"/>
        <v>49219.260459423575</v>
      </c>
      <c r="AB312" s="49">
        <f t="shared" si="23"/>
        <v>0</v>
      </c>
      <c r="AD312" s="49">
        <f t="shared" si="26"/>
        <v>2195179.0164902909</v>
      </c>
      <c r="AE312" s="49">
        <f t="shared" si="27"/>
        <v>1317107.4098941744</v>
      </c>
      <c r="AF312" s="49">
        <f t="shared" si="28"/>
        <v>439035.80329805787</v>
      </c>
      <c r="AG312" s="49">
        <f t="shared" si="29"/>
        <v>-3.92901711165905E-10</v>
      </c>
      <c r="AH312" s="49">
        <f t="shared" si="30"/>
        <v>0</v>
      </c>
      <c r="AJ312" s="49">
        <f t="shared" si="13"/>
        <v>1235171.919974183</v>
      </c>
      <c r="AK312" s="49">
        <f t="shared" si="14"/>
        <v>859776.98467268655</v>
      </c>
      <c r="AL312" s="49">
        <f t="shared" si="15"/>
        <v>835094.39181126968</v>
      </c>
      <c r="AM312" s="49">
        <f t="shared" si="16"/>
        <v>411376.54769028065</v>
      </c>
      <c r="AN312" s="49">
        <f t="shared" si="17"/>
        <v>0</v>
      </c>
    </row>
    <row r="313" spans="2:40">
      <c r="B313" s="43" t="str">
        <f t="shared" si="5"/>
        <v>Asset 25</v>
      </c>
      <c r="F313" s="43" t="str">
        <f t="shared" ref="F313:L313" si="50">F65</f>
        <v>10 Gereedschap</v>
      </c>
      <c r="G313" s="43">
        <f t="shared" si="50"/>
        <v>2015</v>
      </c>
      <c r="H313" s="58">
        <f t="shared" si="50"/>
        <v>1215996.3265953835</v>
      </c>
      <c r="I313" s="43">
        <f t="shared" si="50"/>
        <v>2021</v>
      </c>
      <c r="J313" s="58">
        <f t="shared" si="50"/>
        <v>10</v>
      </c>
      <c r="K313" s="188">
        <f t="shared" si="50"/>
        <v>1</v>
      </c>
      <c r="L313" s="58">
        <f t="shared" si="50"/>
        <v>459820.25420057232</v>
      </c>
      <c r="N313" s="49">
        <f t="shared" si="25"/>
        <v>430851.57818593632</v>
      </c>
      <c r="P313" s="44">
        <f t="shared" si="7"/>
        <v>3.5</v>
      </c>
      <c r="R313" s="49">
        <f t="shared" si="22"/>
        <v>153711.34211847704</v>
      </c>
      <c r="S313" s="49">
        <f t="shared" si="22"/>
        <v>104050.75466481522</v>
      </c>
      <c r="T313" s="49">
        <f t="shared" si="22"/>
        <v>104050.75466481522</v>
      </c>
      <c r="U313" s="49">
        <f t="shared" si="22"/>
        <v>52025.37733240761</v>
      </c>
      <c r="V313" s="49">
        <f t="shared" si="22"/>
        <v>0</v>
      </c>
      <c r="X313" s="49">
        <f t="shared" si="23"/>
        <v>13137.721548587782</v>
      </c>
      <c r="Y313" s="49">
        <f t="shared" si="23"/>
        <v>13137.721548587782</v>
      </c>
      <c r="Z313" s="49">
        <f t="shared" si="23"/>
        <v>13137.721548587782</v>
      </c>
      <c r="AA313" s="49">
        <f t="shared" si="23"/>
        <v>6568.8607742938912</v>
      </c>
      <c r="AB313" s="49">
        <f t="shared" si="23"/>
        <v>0</v>
      </c>
      <c r="AD313" s="49">
        <f t="shared" si="26"/>
        <v>292971.1905335075</v>
      </c>
      <c r="AE313" s="49">
        <f t="shared" si="27"/>
        <v>175782.71432010451</v>
      </c>
      <c r="AF313" s="49">
        <f t="shared" si="28"/>
        <v>58594.238106701509</v>
      </c>
      <c r="AG313" s="49">
        <f t="shared" si="29"/>
        <v>7.2759576141834259E-12</v>
      </c>
      <c r="AH313" s="49">
        <f t="shared" si="30"/>
        <v>0</v>
      </c>
      <c r="AJ313" s="49">
        <f t="shared" si="13"/>
        <v>164847.50682746654</v>
      </c>
      <c r="AK313" s="49">
        <f t="shared" si="14"/>
        <v>114746.85431149676</v>
      </c>
      <c r="AL313" s="49">
        <f t="shared" si="15"/>
        <v>111452.686245138</v>
      </c>
      <c r="AM313" s="49">
        <f t="shared" si="16"/>
        <v>54902.801105979313</v>
      </c>
      <c r="AN313" s="49">
        <f t="shared" si="17"/>
        <v>0</v>
      </c>
    </row>
    <row r="314" spans="2:40">
      <c r="B314" s="43" t="str">
        <f t="shared" si="5"/>
        <v>Asset 26</v>
      </c>
      <c r="F314" s="43" t="str">
        <f t="shared" ref="F314:L314" si="51">F66</f>
        <v>13 Aanhangwagens (gaschromatografen en comptabele meters)</v>
      </c>
      <c r="G314" s="43">
        <f t="shared" si="51"/>
        <v>2015</v>
      </c>
      <c r="H314" s="58">
        <f t="shared" si="51"/>
        <v>7968.6502792695001</v>
      </c>
      <c r="I314" s="43">
        <f t="shared" si="51"/>
        <v>2021</v>
      </c>
      <c r="J314" s="58">
        <f t="shared" si="51"/>
        <v>10</v>
      </c>
      <c r="K314" s="188">
        <f t="shared" si="51"/>
        <v>0</v>
      </c>
      <c r="L314" s="58">
        <f t="shared" si="51"/>
        <v>3013.2877188110033</v>
      </c>
      <c r="N314" s="49">
        <f t="shared" si="25"/>
        <v>3013.2877188110033</v>
      </c>
      <c r="P314" s="44">
        <f t="shared" si="7"/>
        <v>3.5</v>
      </c>
      <c r="R314" s="49">
        <f t="shared" si="22"/>
        <v>1007.2990374311069</v>
      </c>
      <c r="S314" s="49">
        <f t="shared" si="22"/>
        <v>681.8639637995185</v>
      </c>
      <c r="T314" s="49">
        <f t="shared" si="22"/>
        <v>681.8639637995185</v>
      </c>
      <c r="U314" s="49">
        <f t="shared" si="22"/>
        <v>340.93198189975925</v>
      </c>
      <c r="V314" s="49">
        <f t="shared" si="22"/>
        <v>0</v>
      </c>
      <c r="X314" s="49">
        <f t="shared" si="23"/>
        <v>86.093934823171523</v>
      </c>
      <c r="Y314" s="49">
        <f t="shared" si="23"/>
        <v>86.093934823171523</v>
      </c>
      <c r="Z314" s="49">
        <f t="shared" si="23"/>
        <v>86.093934823171523</v>
      </c>
      <c r="AA314" s="49">
        <f t="shared" si="23"/>
        <v>43.046967411585761</v>
      </c>
      <c r="AB314" s="49">
        <f t="shared" si="23"/>
        <v>0</v>
      </c>
      <c r="AD314" s="49">
        <f t="shared" si="26"/>
        <v>1919.8947465567248</v>
      </c>
      <c r="AE314" s="49">
        <f t="shared" si="27"/>
        <v>1151.9368479340349</v>
      </c>
      <c r="AF314" s="49">
        <f t="shared" si="28"/>
        <v>383.97894931134482</v>
      </c>
      <c r="AG314" s="49">
        <f t="shared" si="29"/>
        <v>-1.9184653865522705E-13</v>
      </c>
      <c r="AH314" s="49">
        <f t="shared" si="30"/>
        <v>0</v>
      </c>
      <c r="AJ314" s="49">
        <f t="shared" si="13"/>
        <v>1152.909709397537</v>
      </c>
      <c r="AK314" s="49">
        <f t="shared" si="14"/>
        <v>802.516004060711</v>
      </c>
      <c r="AL314" s="49">
        <f t="shared" si="15"/>
        <v>779.47726710203028</v>
      </c>
      <c r="AM314" s="49">
        <f t="shared" si="16"/>
        <v>383.97894931134499</v>
      </c>
      <c r="AN314" s="49">
        <f t="shared" si="17"/>
        <v>0</v>
      </c>
    </row>
    <row r="315" spans="2:40">
      <c r="B315" s="43" t="str">
        <f t="shared" si="5"/>
        <v>Asset 27</v>
      </c>
      <c r="F315" s="43" t="str">
        <f t="shared" ref="F315:L315" si="52">F67</f>
        <v>37 ICT middelen 1</v>
      </c>
      <c r="G315" s="43">
        <f t="shared" si="52"/>
        <v>2016</v>
      </c>
      <c r="H315" s="58">
        <f t="shared" si="52"/>
        <v>15289349.60564645</v>
      </c>
      <c r="I315" s="43">
        <f t="shared" si="52"/>
        <v>2021</v>
      </c>
      <c r="J315" s="58">
        <f t="shared" si="52"/>
        <v>5</v>
      </c>
      <c r="K315" s="188">
        <f t="shared" si="52"/>
        <v>1</v>
      </c>
      <c r="L315" s="58">
        <f t="shared" si="52"/>
        <v>0</v>
      </c>
      <c r="N315" s="49">
        <f t="shared" si="25"/>
        <v>0</v>
      </c>
      <c r="P315" s="44">
        <f t="shared" si="7"/>
        <v>0</v>
      </c>
      <c r="R315" s="49">
        <f t="shared" si="22"/>
        <v>0</v>
      </c>
      <c r="S315" s="49">
        <f t="shared" si="22"/>
        <v>0</v>
      </c>
      <c r="T315" s="49">
        <f t="shared" si="22"/>
        <v>0</v>
      </c>
      <c r="U315" s="49">
        <f t="shared" si="22"/>
        <v>0</v>
      </c>
      <c r="V315" s="49">
        <f t="shared" si="22"/>
        <v>0</v>
      </c>
      <c r="X315" s="49">
        <f t="shared" si="23"/>
        <v>0</v>
      </c>
      <c r="Y315" s="49">
        <f t="shared" si="23"/>
        <v>0</v>
      </c>
      <c r="Z315" s="49">
        <f t="shared" si="23"/>
        <v>0</v>
      </c>
      <c r="AA315" s="49">
        <f t="shared" si="23"/>
        <v>0</v>
      </c>
      <c r="AB315" s="49">
        <f t="shared" si="23"/>
        <v>0</v>
      </c>
      <c r="AD315" s="49">
        <f t="shared" si="26"/>
        <v>0</v>
      </c>
      <c r="AE315" s="49">
        <f t="shared" si="27"/>
        <v>0</v>
      </c>
      <c r="AF315" s="49">
        <f t="shared" si="28"/>
        <v>0</v>
      </c>
      <c r="AG315" s="49">
        <f t="shared" si="29"/>
        <v>0</v>
      </c>
      <c r="AH315" s="49">
        <f t="shared" si="30"/>
        <v>0</v>
      </c>
      <c r="AJ315" s="49">
        <f t="shared" si="13"/>
        <v>0</v>
      </c>
      <c r="AK315" s="49">
        <f t="shared" si="14"/>
        <v>0</v>
      </c>
      <c r="AL315" s="49">
        <f t="shared" si="15"/>
        <v>0</v>
      </c>
      <c r="AM315" s="49">
        <f t="shared" si="16"/>
        <v>0</v>
      </c>
      <c r="AN315" s="49">
        <f t="shared" si="17"/>
        <v>0</v>
      </c>
    </row>
    <row r="316" spans="2:40">
      <c r="B316" s="43" t="str">
        <f t="shared" si="5"/>
        <v>Asset 28</v>
      </c>
      <c r="F316" s="43" t="str">
        <f t="shared" ref="F316:L316" si="53">F68</f>
        <v>11 Werktuigen</v>
      </c>
      <c r="G316" s="43">
        <f t="shared" si="53"/>
        <v>2016</v>
      </c>
      <c r="H316" s="58">
        <f t="shared" si="53"/>
        <v>1481397.6896878041</v>
      </c>
      <c r="I316" s="43">
        <f t="shared" si="53"/>
        <v>2021</v>
      </c>
      <c r="J316" s="58">
        <f t="shared" si="53"/>
        <v>10</v>
      </c>
      <c r="K316" s="188">
        <f t="shared" si="53"/>
        <v>1</v>
      </c>
      <c r="L316" s="58">
        <f t="shared" si="53"/>
        <v>714515.13830443297</v>
      </c>
      <c r="N316" s="49">
        <f t="shared" si="25"/>
        <v>669500.68459125375</v>
      </c>
      <c r="P316" s="44">
        <f t="shared" si="7"/>
        <v>4.5</v>
      </c>
      <c r="R316" s="49">
        <f t="shared" si="22"/>
        <v>185773.93595915259</v>
      </c>
      <c r="S316" s="49">
        <f t="shared" si="22"/>
        <v>132105.91001539741</v>
      </c>
      <c r="T316" s="49">
        <f t="shared" si="22"/>
        <v>130073.51139977589</v>
      </c>
      <c r="U316" s="49">
        <f t="shared" si="22"/>
        <v>130073.51139977589</v>
      </c>
      <c r="V316" s="49">
        <f t="shared" si="22"/>
        <v>65036.755699887945</v>
      </c>
      <c r="X316" s="49">
        <f t="shared" si="23"/>
        <v>15878.114184542957</v>
      </c>
      <c r="Y316" s="49">
        <f t="shared" si="23"/>
        <v>15878.114184542957</v>
      </c>
      <c r="Z316" s="49">
        <f t="shared" si="23"/>
        <v>15878.114184542957</v>
      </c>
      <c r="AA316" s="49">
        <f t="shared" si="23"/>
        <v>15878.114184542957</v>
      </c>
      <c r="AB316" s="49">
        <f t="shared" si="23"/>
        <v>7939.0570922714787</v>
      </c>
      <c r="AD316" s="49">
        <f t="shared" si="26"/>
        <v>512863.08816073748</v>
      </c>
      <c r="AE316" s="49">
        <f t="shared" si="27"/>
        <v>364879.0639607971</v>
      </c>
      <c r="AF316" s="49">
        <f t="shared" si="28"/>
        <v>218927.43837647824</v>
      </c>
      <c r="AG316" s="49">
        <f t="shared" si="29"/>
        <v>72975.812792159399</v>
      </c>
      <c r="AH316" s="49">
        <f t="shared" si="30"/>
        <v>-2.4556356947869062E-11</v>
      </c>
      <c r="AJ316" s="49">
        <f t="shared" si="13"/>
        <v>203845.10510644768</v>
      </c>
      <c r="AK316" s="49">
        <f t="shared" si="14"/>
        <v>148917.78116328217</v>
      </c>
      <c r="AL316" s="49">
        <f t="shared" si="15"/>
        <v>142910.72346526958</v>
      </c>
      <c r="AM316" s="49">
        <f t="shared" si="16"/>
        <v>138808.02327009436</v>
      </c>
      <c r="AN316" s="49">
        <f t="shared" si="17"/>
        <v>68378.336586253383</v>
      </c>
    </row>
    <row r="317" spans="2:40">
      <c r="B317" s="43" t="str">
        <f t="shared" si="5"/>
        <v>Asset 29</v>
      </c>
      <c r="F317" s="43" t="str">
        <f t="shared" ref="F317:L317" si="54">F69</f>
        <v>14 Overig rollend materieel</v>
      </c>
      <c r="G317" s="43">
        <f t="shared" si="54"/>
        <v>2016</v>
      </c>
      <c r="H317" s="58">
        <f t="shared" si="54"/>
        <v>5338260.5379699524</v>
      </c>
      <c r="I317" s="43">
        <f t="shared" si="54"/>
        <v>2021</v>
      </c>
      <c r="J317" s="58">
        <f t="shared" si="54"/>
        <v>10</v>
      </c>
      <c r="K317" s="188">
        <f t="shared" si="54"/>
        <v>1</v>
      </c>
      <c r="L317" s="58">
        <f t="shared" si="54"/>
        <v>2574776.5054207225</v>
      </c>
      <c r="N317" s="49">
        <f t="shared" si="25"/>
        <v>2412565.5855792169</v>
      </c>
      <c r="P317" s="44">
        <f t="shared" si="7"/>
        <v>4.5</v>
      </c>
      <c r="R317" s="49">
        <f t="shared" si="22"/>
        <v>669441.89140938804</v>
      </c>
      <c r="S317" s="49">
        <f t="shared" si="22"/>
        <v>476047.56722445367</v>
      </c>
      <c r="T317" s="49">
        <f t="shared" si="22"/>
        <v>468723.7584979235</v>
      </c>
      <c r="U317" s="49">
        <f t="shared" si="22"/>
        <v>468723.7584979235</v>
      </c>
      <c r="V317" s="49">
        <f t="shared" si="22"/>
        <v>234361.87924896175</v>
      </c>
      <c r="X317" s="49">
        <f t="shared" si="23"/>
        <v>57217.255676016059</v>
      </c>
      <c r="Y317" s="49">
        <f t="shared" si="23"/>
        <v>57217.255676016059</v>
      </c>
      <c r="Z317" s="49">
        <f t="shared" si="23"/>
        <v>57217.255676016059</v>
      </c>
      <c r="AA317" s="49">
        <f t="shared" si="23"/>
        <v>57217.255676016059</v>
      </c>
      <c r="AB317" s="49">
        <f t="shared" si="23"/>
        <v>28608.627838008029</v>
      </c>
      <c r="AD317" s="49">
        <f t="shared" si="26"/>
        <v>1848117.3583353185</v>
      </c>
      <c r="AE317" s="49">
        <f t="shared" si="27"/>
        <v>1314852.5354348489</v>
      </c>
      <c r="AF317" s="49">
        <f t="shared" si="28"/>
        <v>788911.52126090927</v>
      </c>
      <c r="AG317" s="49">
        <f t="shared" si="29"/>
        <v>262970.50708696974</v>
      </c>
      <c r="AH317" s="49">
        <f t="shared" si="30"/>
        <v>-4.0017766878008842E-11</v>
      </c>
      <c r="AJ317" s="49">
        <f t="shared" si="13"/>
        <v>734561.88572658971</v>
      </c>
      <c r="AK317" s="49">
        <f t="shared" si="14"/>
        <v>536629.6438288138</v>
      </c>
      <c r="AL317" s="49">
        <f t="shared" si="15"/>
        <v>514983.03314362559</v>
      </c>
      <c r="AM317" s="49">
        <f t="shared" si="16"/>
        <v>500198.83123519609</v>
      </c>
      <c r="AN317" s="49">
        <f t="shared" si="17"/>
        <v>246403.3651404907</v>
      </c>
    </row>
    <row r="318" spans="2:40">
      <c r="B318" s="43" t="str">
        <f t="shared" si="5"/>
        <v>Asset 30</v>
      </c>
      <c r="F318" s="43" t="str">
        <f t="shared" ref="F318:L318" si="55">F70</f>
        <v>37 ICT middelen 1</v>
      </c>
      <c r="G318" s="43">
        <f t="shared" si="55"/>
        <v>2017</v>
      </c>
      <c r="H318" s="58">
        <f t="shared" si="55"/>
        <v>17348227.126304951</v>
      </c>
      <c r="I318" s="43">
        <f t="shared" si="55"/>
        <v>2021</v>
      </c>
      <c r="J318" s="58">
        <f t="shared" si="55"/>
        <v>5</v>
      </c>
      <c r="K318" s="188">
        <f t="shared" si="55"/>
        <v>1</v>
      </c>
      <c r="L318" s="58">
        <f t="shared" si="55"/>
        <v>1855729.3459505453</v>
      </c>
      <c r="N318" s="49">
        <f t="shared" si="25"/>
        <v>1738818.3971556611</v>
      </c>
      <c r="P318" s="44">
        <f t="shared" si="7"/>
        <v>0.5</v>
      </c>
      <c r="R318" s="49">
        <f t="shared" si="22"/>
        <v>1670156.4113554908</v>
      </c>
      <c r="S318" s="49">
        <f t="shared" si="22"/>
        <v>0</v>
      </c>
      <c r="T318" s="49">
        <f t="shared" si="22"/>
        <v>0</v>
      </c>
      <c r="U318" s="49">
        <f t="shared" si="22"/>
        <v>0</v>
      </c>
      <c r="V318" s="49">
        <f t="shared" si="22"/>
        <v>0</v>
      </c>
      <c r="X318" s="49">
        <f t="shared" si="23"/>
        <v>185572.93459505454</v>
      </c>
      <c r="Y318" s="49">
        <f t="shared" si="23"/>
        <v>0</v>
      </c>
      <c r="Z318" s="49">
        <f t="shared" si="23"/>
        <v>0</v>
      </c>
      <c r="AA318" s="49">
        <f t="shared" si="23"/>
        <v>0</v>
      </c>
      <c r="AB318" s="49">
        <f t="shared" si="23"/>
        <v>0</v>
      </c>
      <c r="AD318" s="49">
        <f t="shared" si="26"/>
        <v>-5.8207660913467407E-11</v>
      </c>
      <c r="AE318" s="49">
        <f t="shared" si="27"/>
        <v>0</v>
      </c>
      <c r="AF318" s="49">
        <f t="shared" si="28"/>
        <v>0</v>
      </c>
      <c r="AG318" s="49">
        <f t="shared" si="29"/>
        <v>0</v>
      </c>
      <c r="AH318" s="49">
        <f t="shared" si="30"/>
        <v>0</v>
      </c>
      <c r="AJ318" s="49">
        <f t="shared" si="13"/>
        <v>1738818.3971556611</v>
      </c>
      <c r="AK318" s="49">
        <f t="shared" si="14"/>
        <v>0</v>
      </c>
      <c r="AL318" s="49">
        <f t="shared" si="15"/>
        <v>0</v>
      </c>
      <c r="AM318" s="49">
        <f t="shared" si="16"/>
        <v>0</v>
      </c>
      <c r="AN318" s="49">
        <f t="shared" si="17"/>
        <v>0</v>
      </c>
    </row>
    <row r="319" spans="2:40">
      <c r="B319" s="43" t="str">
        <f t="shared" si="5"/>
        <v>Asset 31</v>
      </c>
      <c r="F319" s="43" t="str">
        <f t="shared" ref="F319:L319" si="56">F71</f>
        <v>05 Wegen en terreinvoorzieningen</v>
      </c>
      <c r="G319" s="43">
        <f t="shared" si="56"/>
        <v>2012</v>
      </c>
      <c r="H319" s="58">
        <f t="shared" si="56"/>
        <v>56189.23</v>
      </c>
      <c r="I319" s="43">
        <f t="shared" si="56"/>
        <v>2021</v>
      </c>
      <c r="J319" s="58">
        <f t="shared" si="56"/>
        <v>10</v>
      </c>
      <c r="K319" s="188">
        <f t="shared" si="56"/>
        <v>0</v>
      </c>
      <c r="L319" s="58">
        <f t="shared" si="56"/>
        <v>3224.0442736663617</v>
      </c>
      <c r="N319" s="49">
        <f t="shared" si="25"/>
        <v>3224.0442736663617</v>
      </c>
      <c r="P319" s="44">
        <f t="shared" si="7"/>
        <v>0.5</v>
      </c>
      <c r="R319" s="49">
        <f t="shared" si="22"/>
        <v>2901.6398462997258</v>
      </c>
      <c r="S319" s="49">
        <f t="shared" si="22"/>
        <v>0</v>
      </c>
      <c r="T319" s="49">
        <f t="shared" si="22"/>
        <v>0</v>
      </c>
      <c r="U319" s="49">
        <f t="shared" si="22"/>
        <v>0</v>
      </c>
      <c r="V319" s="49">
        <f t="shared" si="22"/>
        <v>0</v>
      </c>
      <c r="X319" s="49">
        <f t="shared" si="23"/>
        <v>322.40442736663618</v>
      </c>
      <c r="Y319" s="49">
        <f t="shared" si="23"/>
        <v>0</v>
      </c>
      <c r="Z319" s="49">
        <f t="shared" si="23"/>
        <v>0</v>
      </c>
      <c r="AA319" s="49">
        <f t="shared" si="23"/>
        <v>0</v>
      </c>
      <c r="AB319" s="49">
        <f t="shared" si="23"/>
        <v>0</v>
      </c>
      <c r="AD319" s="49">
        <f t="shared" si="26"/>
        <v>-2.8421709430404007E-13</v>
      </c>
      <c r="AE319" s="49">
        <f t="shared" si="27"/>
        <v>0</v>
      </c>
      <c r="AF319" s="49">
        <f t="shared" si="28"/>
        <v>0</v>
      </c>
      <c r="AG319" s="49">
        <f t="shared" si="29"/>
        <v>0</v>
      </c>
      <c r="AH319" s="49">
        <f t="shared" si="30"/>
        <v>0</v>
      </c>
      <c r="AJ319" s="49">
        <f t="shared" si="13"/>
        <v>3224.0442736663622</v>
      </c>
      <c r="AK319" s="49">
        <f t="shared" si="14"/>
        <v>0</v>
      </c>
      <c r="AL319" s="49">
        <f t="shared" si="15"/>
        <v>0</v>
      </c>
      <c r="AM319" s="49">
        <f t="shared" si="16"/>
        <v>0</v>
      </c>
      <c r="AN319" s="49">
        <f t="shared" si="17"/>
        <v>0</v>
      </c>
    </row>
    <row r="320" spans="2:40">
      <c r="B320" s="43" t="str">
        <f t="shared" si="5"/>
        <v>Asset 32</v>
      </c>
      <c r="F320" s="43" t="str">
        <f t="shared" ref="F320:L320" si="57">F72</f>
        <v>37 ICT middelen 1</v>
      </c>
      <c r="G320" s="43">
        <f t="shared" si="57"/>
        <v>2018</v>
      </c>
      <c r="H320" s="58">
        <f t="shared" si="57"/>
        <v>20811887.293785572</v>
      </c>
      <c r="I320" s="43">
        <f t="shared" si="57"/>
        <v>2021</v>
      </c>
      <c r="J320" s="58">
        <f t="shared" si="57"/>
        <v>5</v>
      </c>
      <c r="K320" s="188">
        <f t="shared" si="57"/>
        <v>1</v>
      </c>
      <c r="L320" s="58">
        <f t="shared" si="57"/>
        <v>6586494.0110704908</v>
      </c>
      <c r="N320" s="49">
        <f t="shared" si="25"/>
        <v>6171544.8883730499</v>
      </c>
      <c r="P320" s="44">
        <f t="shared" si="7"/>
        <v>1.5</v>
      </c>
      <c r="R320" s="49">
        <f t="shared" si="22"/>
        <v>5137465.3286349839</v>
      </c>
      <c r="S320" s="49">
        <f t="shared" si="22"/>
        <v>790379.28132845834</v>
      </c>
      <c r="T320" s="49">
        <f t="shared" si="22"/>
        <v>0</v>
      </c>
      <c r="U320" s="49">
        <f t="shared" si="22"/>
        <v>0</v>
      </c>
      <c r="V320" s="49">
        <f t="shared" si="22"/>
        <v>0</v>
      </c>
      <c r="X320" s="49">
        <f t="shared" si="23"/>
        <v>439099.60073803272</v>
      </c>
      <c r="Y320" s="49">
        <f t="shared" si="23"/>
        <v>219549.80036901636</v>
      </c>
      <c r="Z320" s="49">
        <f t="shared" si="23"/>
        <v>0</v>
      </c>
      <c r="AA320" s="49">
        <f t="shared" si="23"/>
        <v>0</v>
      </c>
      <c r="AB320" s="49">
        <f t="shared" si="23"/>
        <v>0</v>
      </c>
      <c r="AD320" s="49">
        <f t="shared" si="26"/>
        <v>1009929.0816974742</v>
      </c>
      <c r="AE320" s="49">
        <f t="shared" si="27"/>
        <v>-4.6566128730773926E-10</v>
      </c>
      <c r="AF320" s="49">
        <f t="shared" si="28"/>
        <v>0</v>
      </c>
      <c r="AG320" s="49">
        <f t="shared" si="29"/>
        <v>0</v>
      </c>
      <c r="AH320" s="49">
        <f t="shared" si="30"/>
        <v>0</v>
      </c>
      <c r="AJ320" s="49">
        <f t="shared" si="13"/>
        <v>5254576.7488585832</v>
      </c>
      <c r="AK320" s="49">
        <f t="shared" si="14"/>
        <v>946303.54955053388</v>
      </c>
      <c r="AL320" s="49">
        <f t="shared" si="15"/>
        <v>0</v>
      </c>
      <c r="AM320" s="49">
        <f t="shared" si="16"/>
        <v>0</v>
      </c>
      <c r="AN320" s="49">
        <f t="shared" si="17"/>
        <v>0</v>
      </c>
    </row>
    <row r="321" spans="2:40">
      <c r="B321" s="43" t="str">
        <f t="shared" si="5"/>
        <v>Asset 33</v>
      </c>
      <c r="F321" s="43" t="str">
        <f t="shared" ref="F321:L321" si="58">F73</f>
        <v>37 ICT middelen 1</v>
      </c>
      <c r="G321" s="43">
        <f t="shared" si="58"/>
        <v>2005</v>
      </c>
      <c r="H321" s="58">
        <f t="shared" si="58"/>
        <v>3284081.86</v>
      </c>
      <c r="I321" s="43">
        <f t="shared" si="58"/>
        <v>2021</v>
      </c>
      <c r="J321" s="58">
        <f t="shared" si="58"/>
        <v>5</v>
      </c>
      <c r="K321" s="188">
        <f t="shared" si="58"/>
        <v>1</v>
      </c>
      <c r="L321" s="58">
        <f t="shared" si="58"/>
        <v>0</v>
      </c>
      <c r="N321" s="49">
        <f t="shared" si="25"/>
        <v>0</v>
      </c>
      <c r="P321" s="44">
        <f t="shared" si="7"/>
        <v>0</v>
      </c>
      <c r="R321" s="49">
        <f t="shared" si="22"/>
        <v>0</v>
      </c>
      <c r="S321" s="49">
        <f t="shared" si="22"/>
        <v>0</v>
      </c>
      <c r="T321" s="49">
        <f t="shared" si="22"/>
        <v>0</v>
      </c>
      <c r="U321" s="49">
        <f t="shared" si="22"/>
        <v>0</v>
      </c>
      <c r="V321" s="49">
        <f t="shared" si="22"/>
        <v>0</v>
      </c>
      <c r="X321" s="49">
        <f t="shared" si="23"/>
        <v>0</v>
      </c>
      <c r="Y321" s="49">
        <f t="shared" si="23"/>
        <v>0</v>
      </c>
      <c r="Z321" s="49">
        <f t="shared" si="23"/>
        <v>0</v>
      </c>
      <c r="AA321" s="49">
        <f t="shared" si="23"/>
        <v>0</v>
      </c>
      <c r="AB321" s="49">
        <f t="shared" si="23"/>
        <v>0</v>
      </c>
      <c r="AD321" s="49">
        <f t="shared" si="26"/>
        <v>0</v>
      </c>
      <c r="AE321" s="49">
        <f t="shared" si="27"/>
        <v>0</v>
      </c>
      <c r="AF321" s="49">
        <f t="shared" si="28"/>
        <v>0</v>
      </c>
      <c r="AG321" s="49">
        <f t="shared" si="29"/>
        <v>0</v>
      </c>
      <c r="AH321" s="49">
        <f t="shared" si="30"/>
        <v>0</v>
      </c>
      <c r="AJ321" s="49">
        <f t="shared" si="13"/>
        <v>0</v>
      </c>
      <c r="AK321" s="49">
        <f t="shared" si="14"/>
        <v>0</v>
      </c>
      <c r="AL321" s="49">
        <f t="shared" si="15"/>
        <v>0</v>
      </c>
      <c r="AM321" s="49">
        <f t="shared" si="16"/>
        <v>0</v>
      </c>
      <c r="AN321" s="49">
        <f t="shared" si="17"/>
        <v>0</v>
      </c>
    </row>
    <row r="322" spans="2:40">
      <c r="B322" s="43" t="str">
        <f t="shared" si="5"/>
        <v>Asset 34</v>
      </c>
      <c r="F322" s="43" t="str">
        <f t="shared" ref="F322:L322" si="59">F74</f>
        <v>14 Overig rollend materieel</v>
      </c>
      <c r="G322" s="43">
        <f t="shared" si="59"/>
        <v>2005</v>
      </c>
      <c r="H322" s="58">
        <f t="shared" si="59"/>
        <v>1438517.3199999998</v>
      </c>
      <c r="I322" s="43">
        <f t="shared" si="59"/>
        <v>2021</v>
      </c>
      <c r="J322" s="58">
        <f t="shared" si="59"/>
        <v>10</v>
      </c>
      <c r="K322" s="188">
        <f t="shared" si="59"/>
        <v>1</v>
      </c>
      <c r="L322" s="58">
        <f t="shared" si="59"/>
        <v>0</v>
      </c>
      <c r="N322" s="49">
        <f t="shared" si="25"/>
        <v>0</v>
      </c>
      <c r="P322" s="44">
        <f t="shared" si="7"/>
        <v>0</v>
      </c>
      <c r="R322" s="49">
        <f t="shared" si="22"/>
        <v>0</v>
      </c>
      <c r="S322" s="49">
        <f t="shared" si="22"/>
        <v>0</v>
      </c>
      <c r="T322" s="49">
        <f t="shared" si="22"/>
        <v>0</v>
      </c>
      <c r="U322" s="49">
        <f t="shared" si="22"/>
        <v>0</v>
      </c>
      <c r="V322" s="49">
        <f t="shared" si="22"/>
        <v>0</v>
      </c>
      <c r="X322" s="49">
        <f t="shared" si="23"/>
        <v>0</v>
      </c>
      <c r="Y322" s="49">
        <f t="shared" si="23"/>
        <v>0</v>
      </c>
      <c r="Z322" s="49">
        <f t="shared" si="23"/>
        <v>0</v>
      </c>
      <c r="AA322" s="49">
        <f t="shared" si="23"/>
        <v>0</v>
      </c>
      <c r="AB322" s="49">
        <f t="shared" si="23"/>
        <v>0</v>
      </c>
      <c r="AD322" s="49">
        <f t="shared" si="26"/>
        <v>0</v>
      </c>
      <c r="AE322" s="49">
        <f t="shared" si="27"/>
        <v>0</v>
      </c>
      <c r="AF322" s="49">
        <f t="shared" si="28"/>
        <v>0</v>
      </c>
      <c r="AG322" s="49">
        <f t="shared" si="29"/>
        <v>0</v>
      </c>
      <c r="AH322" s="49">
        <f t="shared" si="30"/>
        <v>0</v>
      </c>
      <c r="AJ322" s="49">
        <f t="shared" si="13"/>
        <v>0</v>
      </c>
      <c r="AK322" s="49">
        <f t="shared" si="14"/>
        <v>0</v>
      </c>
      <c r="AL322" s="49">
        <f t="shared" si="15"/>
        <v>0</v>
      </c>
      <c r="AM322" s="49">
        <f t="shared" si="16"/>
        <v>0</v>
      </c>
      <c r="AN322" s="49">
        <f t="shared" si="17"/>
        <v>0</v>
      </c>
    </row>
    <row r="323" spans="2:40">
      <c r="B323" s="43" t="str">
        <f t="shared" si="5"/>
        <v>Asset 35</v>
      </c>
      <c r="F323" s="43" t="str">
        <f t="shared" ref="F323:L323" si="60">F75</f>
        <v>11 Werktuigen</v>
      </c>
      <c r="G323" s="43">
        <f t="shared" si="60"/>
        <v>2005</v>
      </c>
      <c r="H323" s="58">
        <f t="shared" si="60"/>
        <v>499809.02999999997</v>
      </c>
      <c r="I323" s="43">
        <f t="shared" si="60"/>
        <v>2021</v>
      </c>
      <c r="J323" s="58">
        <f t="shared" si="60"/>
        <v>10</v>
      </c>
      <c r="K323" s="188">
        <f t="shared" si="60"/>
        <v>1</v>
      </c>
      <c r="L323" s="58">
        <f t="shared" si="60"/>
        <v>0</v>
      </c>
      <c r="N323" s="49">
        <f t="shared" si="25"/>
        <v>0</v>
      </c>
      <c r="P323" s="44">
        <f t="shared" si="7"/>
        <v>0</v>
      </c>
      <c r="R323" s="49">
        <f t="shared" si="22"/>
        <v>0</v>
      </c>
      <c r="S323" s="49">
        <f t="shared" si="22"/>
        <v>0</v>
      </c>
      <c r="T323" s="49">
        <f t="shared" si="22"/>
        <v>0</v>
      </c>
      <c r="U323" s="49">
        <f t="shared" si="22"/>
        <v>0</v>
      </c>
      <c r="V323" s="49">
        <f t="shared" si="22"/>
        <v>0</v>
      </c>
      <c r="X323" s="49">
        <f t="shared" si="23"/>
        <v>0</v>
      </c>
      <c r="Y323" s="49">
        <f t="shared" si="23"/>
        <v>0</v>
      </c>
      <c r="Z323" s="49">
        <f t="shared" si="23"/>
        <v>0</v>
      </c>
      <c r="AA323" s="49">
        <f t="shared" si="23"/>
        <v>0</v>
      </c>
      <c r="AB323" s="49">
        <f t="shared" si="23"/>
        <v>0</v>
      </c>
      <c r="AD323" s="49">
        <f t="shared" si="26"/>
        <v>0</v>
      </c>
      <c r="AE323" s="49">
        <f t="shared" si="27"/>
        <v>0</v>
      </c>
      <c r="AF323" s="49">
        <f t="shared" si="28"/>
        <v>0</v>
      </c>
      <c r="AG323" s="49">
        <f t="shared" si="29"/>
        <v>0</v>
      </c>
      <c r="AH323" s="49">
        <f t="shared" si="30"/>
        <v>0</v>
      </c>
      <c r="AJ323" s="49">
        <f t="shared" si="13"/>
        <v>0</v>
      </c>
      <c r="AK323" s="49">
        <f t="shared" si="14"/>
        <v>0</v>
      </c>
      <c r="AL323" s="49">
        <f t="shared" si="15"/>
        <v>0</v>
      </c>
      <c r="AM323" s="49">
        <f t="shared" si="16"/>
        <v>0</v>
      </c>
      <c r="AN323" s="49">
        <f t="shared" si="17"/>
        <v>0</v>
      </c>
    </row>
    <row r="324" spans="2:40">
      <c r="B324" s="43" t="str">
        <f t="shared" si="5"/>
        <v>Asset 36</v>
      </c>
      <c r="F324" s="43" t="str">
        <f t="shared" ref="F324:L324" si="61">F76</f>
        <v>14 Overig rollend materieel (odorisatie)</v>
      </c>
      <c r="G324" s="43">
        <f t="shared" si="61"/>
        <v>2005</v>
      </c>
      <c r="H324" s="58">
        <f t="shared" si="61"/>
        <v>245809.3</v>
      </c>
      <c r="I324" s="43">
        <f t="shared" si="61"/>
        <v>2021</v>
      </c>
      <c r="J324" s="58">
        <f t="shared" si="61"/>
        <v>10</v>
      </c>
      <c r="K324" s="188">
        <f t="shared" si="61"/>
        <v>0</v>
      </c>
      <c r="L324" s="58">
        <f t="shared" si="61"/>
        <v>0</v>
      </c>
      <c r="N324" s="49">
        <f t="shared" si="25"/>
        <v>0</v>
      </c>
      <c r="P324" s="44">
        <f t="shared" si="7"/>
        <v>0</v>
      </c>
      <c r="R324" s="49">
        <f t="shared" si="22"/>
        <v>0</v>
      </c>
      <c r="S324" s="49">
        <f t="shared" si="22"/>
        <v>0</v>
      </c>
      <c r="T324" s="49">
        <f t="shared" si="22"/>
        <v>0</v>
      </c>
      <c r="U324" s="49">
        <f t="shared" si="22"/>
        <v>0</v>
      </c>
      <c r="V324" s="49">
        <f t="shared" si="22"/>
        <v>0</v>
      </c>
      <c r="X324" s="49">
        <f t="shared" si="23"/>
        <v>0</v>
      </c>
      <c r="Y324" s="49">
        <f t="shared" si="23"/>
        <v>0</v>
      </c>
      <c r="Z324" s="49">
        <f t="shared" si="23"/>
        <v>0</v>
      </c>
      <c r="AA324" s="49">
        <f t="shared" si="23"/>
        <v>0</v>
      </c>
      <c r="AB324" s="49">
        <f t="shared" si="23"/>
        <v>0</v>
      </c>
      <c r="AD324" s="49">
        <f t="shared" si="26"/>
        <v>0</v>
      </c>
      <c r="AE324" s="49">
        <f t="shared" si="27"/>
        <v>0</v>
      </c>
      <c r="AF324" s="49">
        <f t="shared" si="28"/>
        <v>0</v>
      </c>
      <c r="AG324" s="49">
        <f t="shared" si="29"/>
        <v>0</v>
      </c>
      <c r="AH324" s="49">
        <f t="shared" si="30"/>
        <v>0</v>
      </c>
      <c r="AJ324" s="49">
        <f t="shared" si="13"/>
        <v>0</v>
      </c>
      <c r="AK324" s="49">
        <f t="shared" si="14"/>
        <v>0</v>
      </c>
      <c r="AL324" s="49">
        <f t="shared" si="15"/>
        <v>0</v>
      </c>
      <c r="AM324" s="49">
        <f t="shared" si="16"/>
        <v>0</v>
      </c>
      <c r="AN324" s="49">
        <f t="shared" si="17"/>
        <v>0</v>
      </c>
    </row>
    <row r="325" spans="2:40">
      <c r="B325" s="43" t="str">
        <f t="shared" si="5"/>
        <v>Asset 37</v>
      </c>
      <c r="F325" s="43" t="str">
        <f t="shared" ref="F325:L325" si="62">F77</f>
        <v>10 Gereedschap</v>
      </c>
      <c r="G325" s="43">
        <f t="shared" si="62"/>
        <v>2005</v>
      </c>
      <c r="H325" s="58">
        <f t="shared" si="62"/>
        <v>58217.59</v>
      </c>
      <c r="I325" s="43">
        <f t="shared" si="62"/>
        <v>2021</v>
      </c>
      <c r="J325" s="58">
        <f t="shared" si="62"/>
        <v>10</v>
      </c>
      <c r="K325" s="188">
        <f t="shared" si="62"/>
        <v>1</v>
      </c>
      <c r="L325" s="58">
        <f t="shared" si="62"/>
        <v>0</v>
      </c>
      <c r="N325" s="49">
        <f t="shared" si="25"/>
        <v>0</v>
      </c>
      <c r="P325" s="44">
        <f t="shared" si="7"/>
        <v>0</v>
      </c>
      <c r="R325" s="49">
        <f t="shared" si="22"/>
        <v>0</v>
      </c>
      <c r="S325" s="49">
        <f t="shared" si="22"/>
        <v>0</v>
      </c>
      <c r="T325" s="49">
        <f t="shared" si="22"/>
        <v>0</v>
      </c>
      <c r="U325" s="49">
        <f t="shared" si="22"/>
        <v>0</v>
      </c>
      <c r="V325" s="49">
        <f t="shared" si="22"/>
        <v>0</v>
      </c>
      <c r="X325" s="49">
        <f t="shared" si="23"/>
        <v>0</v>
      </c>
      <c r="Y325" s="49">
        <f t="shared" si="23"/>
        <v>0</v>
      </c>
      <c r="Z325" s="49">
        <f t="shared" si="23"/>
        <v>0</v>
      </c>
      <c r="AA325" s="49">
        <f t="shared" si="23"/>
        <v>0</v>
      </c>
      <c r="AB325" s="49">
        <f t="shared" si="23"/>
        <v>0</v>
      </c>
      <c r="AD325" s="49">
        <f t="shared" si="26"/>
        <v>0</v>
      </c>
      <c r="AE325" s="49">
        <f t="shared" si="27"/>
        <v>0</v>
      </c>
      <c r="AF325" s="49">
        <f t="shared" si="28"/>
        <v>0</v>
      </c>
      <c r="AG325" s="49">
        <f t="shared" si="29"/>
        <v>0</v>
      </c>
      <c r="AH325" s="49">
        <f t="shared" si="30"/>
        <v>0</v>
      </c>
      <c r="AJ325" s="49">
        <f t="shared" si="13"/>
        <v>0</v>
      </c>
      <c r="AK325" s="49">
        <f t="shared" si="14"/>
        <v>0</v>
      </c>
      <c r="AL325" s="49">
        <f t="shared" si="15"/>
        <v>0</v>
      </c>
      <c r="AM325" s="49">
        <f t="shared" si="16"/>
        <v>0</v>
      </c>
      <c r="AN325" s="49">
        <f t="shared" si="17"/>
        <v>0</v>
      </c>
    </row>
    <row r="326" spans="2:40">
      <c r="B326" s="43" t="str">
        <f t="shared" si="5"/>
        <v>Asset 38</v>
      </c>
      <c r="F326" s="43" t="str">
        <f t="shared" ref="F326:L326" si="63">F78</f>
        <v>37 ICT middelen 1</v>
      </c>
      <c r="G326" s="43">
        <f t="shared" si="63"/>
        <v>2006</v>
      </c>
      <c r="H326" s="58">
        <f t="shared" si="63"/>
        <v>4639319.7116944697</v>
      </c>
      <c r="I326" s="43">
        <f t="shared" si="63"/>
        <v>2021</v>
      </c>
      <c r="J326" s="58">
        <f t="shared" si="63"/>
        <v>5</v>
      </c>
      <c r="K326" s="188">
        <f t="shared" si="63"/>
        <v>1</v>
      </c>
      <c r="L326" s="58">
        <f t="shared" si="63"/>
        <v>0</v>
      </c>
      <c r="N326" s="49">
        <f t="shared" si="25"/>
        <v>0</v>
      </c>
      <c r="P326" s="44">
        <f t="shared" si="7"/>
        <v>0</v>
      </c>
      <c r="R326" s="49">
        <f t="shared" si="22"/>
        <v>0</v>
      </c>
      <c r="S326" s="49">
        <f t="shared" si="22"/>
        <v>0</v>
      </c>
      <c r="T326" s="49">
        <f t="shared" si="22"/>
        <v>0</v>
      </c>
      <c r="U326" s="49">
        <f t="shared" si="22"/>
        <v>0</v>
      </c>
      <c r="V326" s="49">
        <f t="shared" si="22"/>
        <v>0</v>
      </c>
      <c r="X326" s="49">
        <f t="shared" si="23"/>
        <v>0</v>
      </c>
      <c r="Y326" s="49">
        <f t="shared" si="23"/>
        <v>0</v>
      </c>
      <c r="Z326" s="49">
        <f t="shared" si="23"/>
        <v>0</v>
      </c>
      <c r="AA326" s="49">
        <f t="shared" si="23"/>
        <v>0</v>
      </c>
      <c r="AB326" s="49">
        <f t="shared" si="23"/>
        <v>0</v>
      </c>
      <c r="AD326" s="49">
        <f t="shared" si="26"/>
        <v>0</v>
      </c>
      <c r="AE326" s="49">
        <f t="shared" si="27"/>
        <v>0</v>
      </c>
      <c r="AF326" s="49">
        <f t="shared" si="28"/>
        <v>0</v>
      </c>
      <c r="AG326" s="49">
        <f t="shared" si="29"/>
        <v>0</v>
      </c>
      <c r="AH326" s="49">
        <f t="shared" si="30"/>
        <v>0</v>
      </c>
      <c r="AJ326" s="49">
        <f t="shared" si="13"/>
        <v>0</v>
      </c>
      <c r="AK326" s="49">
        <f t="shared" si="14"/>
        <v>0</v>
      </c>
      <c r="AL326" s="49">
        <f t="shared" si="15"/>
        <v>0</v>
      </c>
      <c r="AM326" s="49">
        <f t="shared" si="16"/>
        <v>0</v>
      </c>
      <c r="AN326" s="49">
        <f t="shared" si="17"/>
        <v>0</v>
      </c>
    </row>
    <row r="327" spans="2:40">
      <c r="B327" s="43" t="str">
        <f t="shared" si="5"/>
        <v>Asset 39</v>
      </c>
      <c r="F327" s="43" t="str">
        <f t="shared" ref="F327:L327" si="64">F79</f>
        <v>08 Inrichting gebouwen</v>
      </c>
      <c r="G327" s="43">
        <f t="shared" si="64"/>
        <v>2006</v>
      </c>
      <c r="H327" s="58">
        <f t="shared" si="64"/>
        <v>68586.959999999992</v>
      </c>
      <c r="I327" s="43">
        <f t="shared" si="64"/>
        <v>2021</v>
      </c>
      <c r="J327" s="58">
        <f t="shared" si="64"/>
        <v>10</v>
      </c>
      <c r="K327" s="188">
        <f t="shared" si="64"/>
        <v>0</v>
      </c>
      <c r="L327" s="58">
        <f t="shared" si="64"/>
        <v>0</v>
      </c>
      <c r="N327" s="49">
        <f t="shared" si="25"/>
        <v>0</v>
      </c>
      <c r="P327" s="44">
        <f t="shared" si="7"/>
        <v>0</v>
      </c>
      <c r="R327" s="49">
        <f t="shared" si="22"/>
        <v>0</v>
      </c>
      <c r="S327" s="49">
        <f t="shared" si="22"/>
        <v>0</v>
      </c>
      <c r="T327" s="49">
        <f t="shared" si="22"/>
        <v>0</v>
      </c>
      <c r="U327" s="49">
        <f t="shared" si="22"/>
        <v>0</v>
      </c>
      <c r="V327" s="49">
        <f t="shared" si="22"/>
        <v>0</v>
      </c>
      <c r="X327" s="49">
        <f t="shared" si="23"/>
        <v>0</v>
      </c>
      <c r="Y327" s="49">
        <f t="shared" si="23"/>
        <v>0</v>
      </c>
      <c r="Z327" s="49">
        <f t="shared" si="23"/>
        <v>0</v>
      </c>
      <c r="AA327" s="49">
        <f t="shared" si="23"/>
        <v>0</v>
      </c>
      <c r="AB327" s="49">
        <f t="shared" si="23"/>
        <v>0</v>
      </c>
      <c r="AD327" s="49">
        <f t="shared" si="26"/>
        <v>0</v>
      </c>
      <c r="AE327" s="49">
        <f t="shared" si="27"/>
        <v>0</v>
      </c>
      <c r="AF327" s="49">
        <f t="shared" si="28"/>
        <v>0</v>
      </c>
      <c r="AG327" s="49">
        <f t="shared" si="29"/>
        <v>0</v>
      </c>
      <c r="AH327" s="49">
        <f t="shared" si="30"/>
        <v>0</v>
      </c>
      <c r="AJ327" s="49">
        <f t="shared" si="13"/>
        <v>0</v>
      </c>
      <c r="AK327" s="49">
        <f t="shared" si="14"/>
        <v>0</v>
      </c>
      <c r="AL327" s="49">
        <f t="shared" si="15"/>
        <v>0</v>
      </c>
      <c r="AM327" s="49">
        <f t="shared" si="16"/>
        <v>0</v>
      </c>
      <c r="AN327" s="49">
        <f t="shared" si="17"/>
        <v>0</v>
      </c>
    </row>
    <row r="328" spans="2:40">
      <c r="B328" s="43" t="str">
        <f t="shared" si="5"/>
        <v>Asset 40</v>
      </c>
      <c r="F328" s="43" t="str">
        <f t="shared" ref="F328:L328" si="65">F80</f>
        <v>20 Kantoorgebouwen</v>
      </c>
      <c r="G328" s="43">
        <f t="shared" si="65"/>
        <v>2006</v>
      </c>
      <c r="H328" s="58">
        <f t="shared" si="65"/>
        <v>104600</v>
      </c>
      <c r="I328" s="43">
        <f t="shared" si="65"/>
        <v>2021</v>
      </c>
      <c r="J328" s="58">
        <f t="shared" si="65"/>
        <v>30</v>
      </c>
      <c r="K328" s="188">
        <f t="shared" si="65"/>
        <v>0</v>
      </c>
      <c r="L328" s="58">
        <f t="shared" si="65"/>
        <v>64112.024048213396</v>
      </c>
      <c r="N328" s="49">
        <f t="shared" si="25"/>
        <v>64112.024048213396</v>
      </c>
      <c r="P328" s="44">
        <f t="shared" si="7"/>
        <v>14.5</v>
      </c>
      <c r="R328" s="49">
        <f t="shared" si="22"/>
        <v>5173.1771128558403</v>
      </c>
      <c r="S328" s="49">
        <f t="shared" si="22"/>
        <v>4709.3750268756612</v>
      </c>
      <c r="T328" s="49">
        <f t="shared" si="22"/>
        <v>4287.1551968799122</v>
      </c>
      <c r="U328" s="49">
        <f t="shared" si="22"/>
        <v>3902.7895585389547</v>
      </c>
      <c r="V328" s="49">
        <f t="shared" si="22"/>
        <v>3774.1261664992089</v>
      </c>
      <c r="X328" s="49">
        <f t="shared" si="23"/>
        <v>442.1518899876786</v>
      </c>
      <c r="Y328" s="49">
        <f t="shared" si="23"/>
        <v>442.15188998767866</v>
      </c>
      <c r="Z328" s="49">
        <f t="shared" si="23"/>
        <v>442.15188998767866</v>
      </c>
      <c r="AA328" s="49">
        <f t="shared" si="23"/>
        <v>442.15188998767866</v>
      </c>
      <c r="AB328" s="49">
        <f t="shared" si="23"/>
        <v>442.15188998767866</v>
      </c>
      <c r="AD328" s="49">
        <f t="shared" si="26"/>
        <v>58496.695045369881</v>
      </c>
      <c r="AE328" s="49">
        <f t="shared" si="27"/>
        <v>53345.168128506542</v>
      </c>
      <c r="AF328" s="49">
        <f t="shared" si="28"/>
        <v>48615.861041638957</v>
      </c>
      <c r="AG328" s="49">
        <f t="shared" si="29"/>
        <v>44270.919593112325</v>
      </c>
      <c r="AH328" s="49">
        <f t="shared" si="30"/>
        <v>40054.641536625444</v>
      </c>
      <c r="AJ328" s="49">
        <f t="shared" si="13"/>
        <v>7428.7265492499846</v>
      </c>
      <c r="AK328" s="49">
        <f t="shared" si="14"/>
        <v>6751.881960718536</v>
      </c>
      <c r="AL328" s="49">
        <f t="shared" si="15"/>
        <v>6187.782918116759</v>
      </c>
      <c r="AM328" s="49">
        <f t="shared" si="16"/>
        <v>5673.0690363200029</v>
      </c>
      <c r="AN328" s="49">
        <f t="shared" si="17"/>
        <v>5417.9173025856508</v>
      </c>
    </row>
    <row r="329" spans="2:40">
      <c r="B329" s="43" t="str">
        <f t="shared" si="5"/>
        <v>Asset 41</v>
      </c>
      <c r="F329" s="43" t="str">
        <f t="shared" ref="F329:L329" si="66">F81</f>
        <v>09 Bedrijfsinventaris</v>
      </c>
      <c r="G329" s="43">
        <f t="shared" si="66"/>
        <v>2006</v>
      </c>
      <c r="H329" s="58">
        <f t="shared" si="66"/>
        <v>243251.93</v>
      </c>
      <c r="I329" s="43">
        <f t="shared" si="66"/>
        <v>2021</v>
      </c>
      <c r="J329" s="58">
        <f t="shared" si="66"/>
        <v>10</v>
      </c>
      <c r="K329" s="188">
        <f t="shared" si="66"/>
        <v>1</v>
      </c>
      <c r="L329" s="58">
        <f t="shared" si="66"/>
        <v>0</v>
      </c>
      <c r="N329" s="49">
        <f t="shared" si="25"/>
        <v>0</v>
      </c>
      <c r="P329" s="44">
        <f t="shared" si="7"/>
        <v>0</v>
      </c>
      <c r="R329" s="49">
        <f t="shared" si="22"/>
        <v>0</v>
      </c>
      <c r="S329" s="49">
        <f t="shared" si="22"/>
        <v>0</v>
      </c>
      <c r="T329" s="49">
        <f t="shared" si="22"/>
        <v>0</v>
      </c>
      <c r="U329" s="49">
        <f t="shared" si="22"/>
        <v>0</v>
      </c>
      <c r="V329" s="49">
        <f t="shared" si="22"/>
        <v>0</v>
      </c>
      <c r="X329" s="49">
        <f t="shared" si="23"/>
        <v>0</v>
      </c>
      <c r="Y329" s="49">
        <f t="shared" si="23"/>
        <v>0</v>
      </c>
      <c r="Z329" s="49">
        <f t="shared" si="23"/>
        <v>0</v>
      </c>
      <c r="AA329" s="49">
        <f t="shared" si="23"/>
        <v>0</v>
      </c>
      <c r="AB329" s="49">
        <f t="shared" si="23"/>
        <v>0</v>
      </c>
      <c r="AD329" s="49">
        <f t="shared" si="26"/>
        <v>0</v>
      </c>
      <c r="AE329" s="49">
        <f t="shared" si="27"/>
        <v>0</v>
      </c>
      <c r="AF329" s="49">
        <f t="shared" si="28"/>
        <v>0</v>
      </c>
      <c r="AG329" s="49">
        <f t="shared" si="29"/>
        <v>0</v>
      </c>
      <c r="AH329" s="49">
        <f t="shared" si="30"/>
        <v>0</v>
      </c>
      <c r="AJ329" s="49">
        <f t="shared" si="13"/>
        <v>0</v>
      </c>
      <c r="AK329" s="49">
        <f t="shared" si="14"/>
        <v>0</v>
      </c>
      <c r="AL329" s="49">
        <f t="shared" si="15"/>
        <v>0</v>
      </c>
      <c r="AM329" s="49">
        <f t="shared" si="16"/>
        <v>0</v>
      </c>
      <c r="AN329" s="49">
        <f t="shared" si="17"/>
        <v>0</v>
      </c>
    </row>
    <row r="330" spans="2:40">
      <c r="B330" s="43" t="str">
        <f t="shared" si="5"/>
        <v>Asset 42</v>
      </c>
      <c r="F330" s="43" t="str">
        <f t="shared" ref="F330:L330" si="67">F82</f>
        <v>10 Gereedschap</v>
      </c>
      <c r="G330" s="43">
        <f t="shared" si="67"/>
        <v>2006</v>
      </c>
      <c r="H330" s="58">
        <f t="shared" si="67"/>
        <v>585474.13</v>
      </c>
      <c r="I330" s="43">
        <f t="shared" si="67"/>
        <v>2021</v>
      </c>
      <c r="J330" s="58">
        <f t="shared" si="67"/>
        <v>10</v>
      </c>
      <c r="K330" s="188">
        <f t="shared" si="67"/>
        <v>1</v>
      </c>
      <c r="L330" s="58">
        <f t="shared" si="67"/>
        <v>0</v>
      </c>
      <c r="N330" s="49">
        <f t="shared" si="25"/>
        <v>0</v>
      </c>
      <c r="P330" s="44">
        <f t="shared" si="7"/>
        <v>0</v>
      </c>
      <c r="R330" s="49">
        <f t="shared" si="22"/>
        <v>0</v>
      </c>
      <c r="S330" s="49">
        <f t="shared" si="22"/>
        <v>0</v>
      </c>
      <c r="T330" s="49">
        <f t="shared" si="22"/>
        <v>0</v>
      </c>
      <c r="U330" s="49">
        <f t="shared" si="22"/>
        <v>0</v>
      </c>
      <c r="V330" s="49">
        <f t="shared" si="22"/>
        <v>0</v>
      </c>
      <c r="X330" s="49">
        <f t="shared" si="23"/>
        <v>0</v>
      </c>
      <c r="Y330" s="49">
        <f t="shared" si="23"/>
        <v>0</v>
      </c>
      <c r="Z330" s="49">
        <f t="shared" si="23"/>
        <v>0</v>
      </c>
      <c r="AA330" s="49">
        <f t="shared" si="23"/>
        <v>0</v>
      </c>
      <c r="AB330" s="49">
        <f t="shared" si="23"/>
        <v>0</v>
      </c>
      <c r="AD330" s="49">
        <f t="shared" si="26"/>
        <v>0</v>
      </c>
      <c r="AE330" s="49">
        <f t="shared" si="27"/>
        <v>0</v>
      </c>
      <c r="AF330" s="49">
        <f t="shared" si="28"/>
        <v>0</v>
      </c>
      <c r="AG330" s="49">
        <f t="shared" si="29"/>
        <v>0</v>
      </c>
      <c r="AH330" s="49">
        <f t="shared" si="30"/>
        <v>0</v>
      </c>
      <c r="AJ330" s="49">
        <f t="shared" si="13"/>
        <v>0</v>
      </c>
      <c r="AK330" s="49">
        <f t="shared" si="14"/>
        <v>0</v>
      </c>
      <c r="AL330" s="49">
        <f t="shared" si="15"/>
        <v>0</v>
      </c>
      <c r="AM330" s="49">
        <f t="shared" si="16"/>
        <v>0</v>
      </c>
      <c r="AN330" s="49">
        <f t="shared" si="17"/>
        <v>0</v>
      </c>
    </row>
    <row r="331" spans="2:40">
      <c r="B331" s="43" t="str">
        <f t="shared" si="5"/>
        <v>Asset 43</v>
      </c>
      <c r="F331" s="43" t="str">
        <f t="shared" ref="F331:L331" si="68">F83</f>
        <v>08 Inrichting gebouwen</v>
      </c>
      <c r="G331" s="43">
        <f t="shared" si="68"/>
        <v>2007</v>
      </c>
      <c r="H331" s="58">
        <f t="shared" si="68"/>
        <v>332079.90999999997</v>
      </c>
      <c r="I331" s="43">
        <f t="shared" si="68"/>
        <v>2021</v>
      </c>
      <c r="J331" s="58">
        <f t="shared" si="68"/>
        <v>10</v>
      </c>
      <c r="K331" s="188">
        <f t="shared" si="68"/>
        <v>0</v>
      </c>
      <c r="L331" s="58">
        <f t="shared" si="68"/>
        <v>0</v>
      </c>
      <c r="N331" s="49">
        <f t="shared" si="25"/>
        <v>0</v>
      </c>
      <c r="P331" s="44">
        <f t="shared" si="7"/>
        <v>0</v>
      </c>
      <c r="R331" s="49">
        <f t="shared" si="22"/>
        <v>0</v>
      </c>
      <c r="S331" s="49">
        <f t="shared" si="22"/>
        <v>0</v>
      </c>
      <c r="T331" s="49">
        <f t="shared" si="22"/>
        <v>0</v>
      </c>
      <c r="U331" s="49">
        <f t="shared" si="22"/>
        <v>0</v>
      </c>
      <c r="V331" s="49">
        <f t="shared" si="22"/>
        <v>0</v>
      </c>
      <c r="X331" s="49">
        <f t="shared" si="23"/>
        <v>0</v>
      </c>
      <c r="Y331" s="49">
        <f t="shared" si="23"/>
        <v>0</v>
      </c>
      <c r="Z331" s="49">
        <f t="shared" si="23"/>
        <v>0</v>
      </c>
      <c r="AA331" s="49">
        <f t="shared" si="23"/>
        <v>0</v>
      </c>
      <c r="AB331" s="49">
        <f t="shared" si="23"/>
        <v>0</v>
      </c>
      <c r="AD331" s="49">
        <f t="shared" si="26"/>
        <v>0</v>
      </c>
      <c r="AE331" s="49">
        <f t="shared" si="27"/>
        <v>0</v>
      </c>
      <c r="AF331" s="49">
        <f t="shared" si="28"/>
        <v>0</v>
      </c>
      <c r="AG331" s="49">
        <f t="shared" si="29"/>
        <v>0</v>
      </c>
      <c r="AH331" s="49">
        <f t="shared" si="30"/>
        <v>0</v>
      </c>
      <c r="AJ331" s="49">
        <f t="shared" si="13"/>
        <v>0</v>
      </c>
      <c r="AK331" s="49">
        <f t="shared" si="14"/>
        <v>0</v>
      </c>
      <c r="AL331" s="49">
        <f t="shared" si="15"/>
        <v>0</v>
      </c>
      <c r="AM331" s="49">
        <f t="shared" si="16"/>
        <v>0</v>
      </c>
      <c r="AN331" s="49">
        <f t="shared" si="17"/>
        <v>0</v>
      </c>
    </row>
    <row r="332" spans="2:40">
      <c r="B332" s="43" t="str">
        <f t="shared" si="5"/>
        <v>Asset 44</v>
      </c>
      <c r="F332" s="43" t="str">
        <f t="shared" ref="F332:L332" si="69">F84</f>
        <v>20 Kantoorgebouwen</v>
      </c>
      <c r="G332" s="43">
        <f t="shared" si="69"/>
        <v>2007</v>
      </c>
      <c r="H332" s="58">
        <f t="shared" si="69"/>
        <v>163550.16999999998</v>
      </c>
      <c r="I332" s="43">
        <f t="shared" si="69"/>
        <v>2021</v>
      </c>
      <c r="J332" s="58">
        <f t="shared" si="69"/>
        <v>30</v>
      </c>
      <c r="K332" s="188">
        <f t="shared" si="69"/>
        <v>0</v>
      </c>
      <c r="L332" s="58">
        <f t="shared" si="69"/>
        <v>105677.9899746046</v>
      </c>
      <c r="N332" s="49">
        <f t="shared" si="25"/>
        <v>105677.9899746046</v>
      </c>
      <c r="P332" s="44">
        <f t="shared" si="7"/>
        <v>15.5</v>
      </c>
      <c r="R332" s="49">
        <f t="shared" si="22"/>
        <v>7976.9837593733801</v>
      </c>
      <c r="S332" s="49">
        <f t="shared" si="22"/>
        <v>7307.9464118130318</v>
      </c>
      <c r="T332" s="49">
        <f t="shared" si="22"/>
        <v>6695.0218740480686</v>
      </c>
      <c r="U332" s="49">
        <f t="shared" si="22"/>
        <v>6133.5039104182306</v>
      </c>
      <c r="V332" s="49">
        <f t="shared" si="22"/>
        <v>5825.803045347081</v>
      </c>
      <c r="X332" s="49">
        <f t="shared" si="23"/>
        <v>681.79348370712648</v>
      </c>
      <c r="Y332" s="49">
        <f t="shared" si="23"/>
        <v>681.79348370712648</v>
      </c>
      <c r="Z332" s="49">
        <f t="shared" si="23"/>
        <v>681.79348370712648</v>
      </c>
      <c r="AA332" s="49">
        <f t="shared" si="23"/>
        <v>681.79348370712648</v>
      </c>
      <c r="AB332" s="49">
        <f t="shared" si="23"/>
        <v>681.79348370712648</v>
      </c>
      <c r="AD332" s="49">
        <f t="shared" si="26"/>
        <v>97019.212731524094</v>
      </c>
      <c r="AE332" s="49">
        <f t="shared" si="27"/>
        <v>89029.472836003944</v>
      </c>
      <c r="AF332" s="49">
        <f t="shared" si="28"/>
        <v>81652.657478248759</v>
      </c>
      <c r="AG332" s="49">
        <f t="shared" si="29"/>
        <v>74837.3600841234</v>
      </c>
      <c r="AH332" s="49">
        <f t="shared" si="30"/>
        <v>68329.763555069192</v>
      </c>
      <c r="AJ332" s="49">
        <f t="shared" si="13"/>
        <v>11666.372837757754</v>
      </c>
      <c r="AK332" s="49">
        <f t="shared" si="14"/>
        <v>10660.624080600275</v>
      </c>
      <c r="AL332" s="49">
        <f t="shared" si="15"/>
        <v>9826.3950821026574</v>
      </c>
      <c r="AM332" s="49">
        <f t="shared" si="16"/>
        <v>9060.4181966490578</v>
      </c>
      <c r="AN332" s="49">
        <f t="shared" si="17"/>
        <v>8557.489435706284</v>
      </c>
    </row>
    <row r="333" spans="2:40">
      <c r="B333" s="43" t="str">
        <f t="shared" si="5"/>
        <v>Asset 45</v>
      </c>
      <c r="F333" s="43" t="str">
        <f t="shared" ref="F333:L333" si="70">F85</f>
        <v>37 ICT middelen 1</v>
      </c>
      <c r="G333" s="43">
        <f t="shared" si="70"/>
        <v>2007</v>
      </c>
      <c r="H333" s="58">
        <f t="shared" si="70"/>
        <v>21517730.71653875</v>
      </c>
      <c r="I333" s="43">
        <f t="shared" si="70"/>
        <v>2021</v>
      </c>
      <c r="J333" s="58">
        <f t="shared" si="70"/>
        <v>5</v>
      </c>
      <c r="K333" s="188">
        <f t="shared" si="70"/>
        <v>1</v>
      </c>
      <c r="L333" s="58">
        <f t="shared" si="70"/>
        <v>0</v>
      </c>
      <c r="N333" s="49">
        <f t="shared" si="25"/>
        <v>0</v>
      </c>
      <c r="P333" s="44">
        <f t="shared" si="7"/>
        <v>0</v>
      </c>
      <c r="R333" s="49">
        <f t="shared" si="22"/>
        <v>0</v>
      </c>
      <c r="S333" s="49">
        <f t="shared" si="22"/>
        <v>0</v>
      </c>
      <c r="T333" s="49">
        <f t="shared" si="22"/>
        <v>0</v>
      </c>
      <c r="U333" s="49">
        <f t="shared" si="22"/>
        <v>0</v>
      </c>
      <c r="V333" s="49">
        <f t="shared" si="22"/>
        <v>0</v>
      </c>
      <c r="X333" s="49">
        <f t="shared" si="23"/>
        <v>0</v>
      </c>
      <c r="Y333" s="49">
        <f t="shared" si="23"/>
        <v>0</v>
      </c>
      <c r="Z333" s="49">
        <f t="shared" si="23"/>
        <v>0</v>
      </c>
      <c r="AA333" s="49">
        <f t="shared" si="23"/>
        <v>0</v>
      </c>
      <c r="AB333" s="49">
        <f t="shared" si="23"/>
        <v>0</v>
      </c>
      <c r="AD333" s="49">
        <f t="shared" si="26"/>
        <v>0</v>
      </c>
      <c r="AE333" s="49">
        <f t="shared" si="27"/>
        <v>0</v>
      </c>
      <c r="AF333" s="49">
        <f t="shared" si="28"/>
        <v>0</v>
      </c>
      <c r="AG333" s="49">
        <f t="shared" si="29"/>
        <v>0</v>
      </c>
      <c r="AH333" s="49">
        <f t="shared" si="30"/>
        <v>0</v>
      </c>
      <c r="AJ333" s="49">
        <f t="shared" si="13"/>
        <v>0</v>
      </c>
      <c r="AK333" s="49">
        <f t="shared" si="14"/>
        <v>0</v>
      </c>
      <c r="AL333" s="49">
        <f t="shared" si="15"/>
        <v>0</v>
      </c>
      <c r="AM333" s="49">
        <f t="shared" si="16"/>
        <v>0</v>
      </c>
      <c r="AN333" s="49">
        <f t="shared" si="17"/>
        <v>0</v>
      </c>
    </row>
    <row r="334" spans="2:40">
      <c r="B334" s="43" t="str">
        <f t="shared" si="5"/>
        <v>Asset 46</v>
      </c>
      <c r="F334" s="43" t="str">
        <f t="shared" ref="F334:L334" si="71">F86</f>
        <v>10 Gereedschap</v>
      </c>
      <c r="G334" s="43">
        <f t="shared" si="71"/>
        <v>2007</v>
      </c>
      <c r="H334" s="58">
        <f t="shared" si="71"/>
        <v>611283.49</v>
      </c>
      <c r="I334" s="43">
        <f t="shared" si="71"/>
        <v>2021</v>
      </c>
      <c r="J334" s="58">
        <f t="shared" si="71"/>
        <v>10</v>
      </c>
      <c r="K334" s="188">
        <f t="shared" si="71"/>
        <v>1</v>
      </c>
      <c r="L334" s="58">
        <f t="shared" si="71"/>
        <v>0</v>
      </c>
      <c r="N334" s="49">
        <f t="shared" si="25"/>
        <v>0</v>
      </c>
      <c r="P334" s="44">
        <f t="shared" si="7"/>
        <v>0</v>
      </c>
      <c r="R334" s="49">
        <f t="shared" si="22"/>
        <v>0</v>
      </c>
      <c r="S334" s="49">
        <f t="shared" si="22"/>
        <v>0</v>
      </c>
      <c r="T334" s="49">
        <f t="shared" si="22"/>
        <v>0</v>
      </c>
      <c r="U334" s="49">
        <f t="shared" si="22"/>
        <v>0</v>
      </c>
      <c r="V334" s="49">
        <f t="shared" si="22"/>
        <v>0</v>
      </c>
      <c r="X334" s="49">
        <f t="shared" si="23"/>
        <v>0</v>
      </c>
      <c r="Y334" s="49">
        <f t="shared" si="23"/>
        <v>0</v>
      </c>
      <c r="Z334" s="49">
        <f t="shared" si="23"/>
        <v>0</v>
      </c>
      <c r="AA334" s="49">
        <f t="shared" si="23"/>
        <v>0</v>
      </c>
      <c r="AB334" s="49">
        <f t="shared" si="23"/>
        <v>0</v>
      </c>
      <c r="AD334" s="49">
        <f t="shared" si="26"/>
        <v>0</v>
      </c>
      <c r="AE334" s="49">
        <f t="shared" si="27"/>
        <v>0</v>
      </c>
      <c r="AF334" s="49">
        <f t="shared" si="28"/>
        <v>0</v>
      </c>
      <c r="AG334" s="49">
        <f t="shared" si="29"/>
        <v>0</v>
      </c>
      <c r="AH334" s="49">
        <f t="shared" si="30"/>
        <v>0</v>
      </c>
      <c r="AJ334" s="49">
        <f t="shared" si="13"/>
        <v>0</v>
      </c>
      <c r="AK334" s="49">
        <f t="shared" si="14"/>
        <v>0</v>
      </c>
      <c r="AL334" s="49">
        <f t="shared" si="15"/>
        <v>0</v>
      </c>
      <c r="AM334" s="49">
        <f t="shared" si="16"/>
        <v>0</v>
      </c>
      <c r="AN334" s="49">
        <f t="shared" si="17"/>
        <v>0</v>
      </c>
    </row>
    <row r="335" spans="2:40">
      <c r="B335" s="43" t="str">
        <f t="shared" si="5"/>
        <v>Asset 47</v>
      </c>
      <c r="F335" s="43" t="str">
        <f t="shared" ref="F335:L335" si="72">F87</f>
        <v>09 Bedrijfsinventaris</v>
      </c>
      <c r="G335" s="43">
        <f t="shared" si="72"/>
        <v>2007</v>
      </c>
      <c r="H335" s="58">
        <f t="shared" si="72"/>
        <v>87193.72</v>
      </c>
      <c r="I335" s="43">
        <f t="shared" si="72"/>
        <v>2021</v>
      </c>
      <c r="J335" s="58">
        <f t="shared" si="72"/>
        <v>10</v>
      </c>
      <c r="K335" s="188">
        <f t="shared" si="72"/>
        <v>1</v>
      </c>
      <c r="L335" s="58">
        <f t="shared" si="72"/>
        <v>0</v>
      </c>
      <c r="N335" s="49">
        <f t="shared" si="25"/>
        <v>0</v>
      </c>
      <c r="P335" s="44">
        <f t="shared" si="7"/>
        <v>0</v>
      </c>
      <c r="R335" s="49">
        <f t="shared" si="22"/>
        <v>0</v>
      </c>
      <c r="S335" s="49">
        <f t="shared" si="22"/>
        <v>0</v>
      </c>
      <c r="T335" s="49">
        <f t="shared" si="22"/>
        <v>0</v>
      </c>
      <c r="U335" s="49">
        <f t="shared" si="22"/>
        <v>0</v>
      </c>
      <c r="V335" s="49">
        <f t="shared" si="22"/>
        <v>0</v>
      </c>
      <c r="X335" s="49">
        <f t="shared" si="23"/>
        <v>0</v>
      </c>
      <c r="Y335" s="49">
        <f t="shared" si="23"/>
        <v>0</v>
      </c>
      <c r="Z335" s="49">
        <f t="shared" si="23"/>
        <v>0</v>
      </c>
      <c r="AA335" s="49">
        <f t="shared" si="23"/>
        <v>0</v>
      </c>
      <c r="AB335" s="49">
        <f t="shared" si="23"/>
        <v>0</v>
      </c>
      <c r="AD335" s="49">
        <f t="shared" si="26"/>
        <v>0</v>
      </c>
      <c r="AE335" s="49">
        <f t="shared" si="27"/>
        <v>0</v>
      </c>
      <c r="AF335" s="49">
        <f t="shared" si="28"/>
        <v>0</v>
      </c>
      <c r="AG335" s="49">
        <f t="shared" si="29"/>
        <v>0</v>
      </c>
      <c r="AH335" s="49">
        <f t="shared" si="30"/>
        <v>0</v>
      </c>
      <c r="AJ335" s="49">
        <f t="shared" si="13"/>
        <v>0</v>
      </c>
      <c r="AK335" s="49">
        <f t="shared" si="14"/>
        <v>0</v>
      </c>
      <c r="AL335" s="49">
        <f t="shared" si="15"/>
        <v>0</v>
      </c>
      <c r="AM335" s="49">
        <f t="shared" si="16"/>
        <v>0</v>
      </c>
      <c r="AN335" s="49">
        <f t="shared" si="17"/>
        <v>0</v>
      </c>
    </row>
    <row r="336" spans="2:40">
      <c r="B336" s="43" t="str">
        <f t="shared" si="5"/>
        <v>Asset 48</v>
      </c>
      <c r="F336" s="43" t="str">
        <f t="shared" ref="F336:L336" si="73">F88</f>
        <v>13 Aanhangwagens</v>
      </c>
      <c r="G336" s="43">
        <f t="shared" si="73"/>
        <v>2007</v>
      </c>
      <c r="H336" s="58">
        <f t="shared" si="73"/>
        <v>25760.58</v>
      </c>
      <c r="I336" s="43">
        <f t="shared" si="73"/>
        <v>2021</v>
      </c>
      <c r="J336" s="58">
        <f t="shared" si="73"/>
        <v>10</v>
      </c>
      <c r="K336" s="188">
        <f t="shared" si="73"/>
        <v>1</v>
      </c>
      <c r="L336" s="58">
        <f t="shared" si="73"/>
        <v>0</v>
      </c>
      <c r="N336" s="49">
        <f t="shared" si="25"/>
        <v>0</v>
      </c>
      <c r="P336" s="44">
        <f t="shared" si="7"/>
        <v>0</v>
      </c>
      <c r="R336" s="49">
        <f t="shared" si="22"/>
        <v>0</v>
      </c>
      <c r="S336" s="49">
        <f t="shared" si="22"/>
        <v>0</v>
      </c>
      <c r="T336" s="49">
        <f t="shared" si="22"/>
        <v>0</v>
      </c>
      <c r="U336" s="49">
        <f t="shared" si="22"/>
        <v>0</v>
      </c>
      <c r="V336" s="49">
        <f t="shared" si="22"/>
        <v>0</v>
      </c>
      <c r="X336" s="49">
        <f t="shared" si="23"/>
        <v>0</v>
      </c>
      <c r="Y336" s="49">
        <f t="shared" si="23"/>
        <v>0</v>
      </c>
      <c r="Z336" s="49">
        <f t="shared" si="23"/>
        <v>0</v>
      </c>
      <c r="AA336" s="49">
        <f t="shared" si="23"/>
        <v>0</v>
      </c>
      <c r="AB336" s="49">
        <f t="shared" si="23"/>
        <v>0</v>
      </c>
      <c r="AD336" s="49">
        <f t="shared" si="26"/>
        <v>0</v>
      </c>
      <c r="AE336" s="49">
        <f t="shared" si="27"/>
        <v>0</v>
      </c>
      <c r="AF336" s="49">
        <f t="shared" si="28"/>
        <v>0</v>
      </c>
      <c r="AG336" s="49">
        <f t="shared" si="29"/>
        <v>0</v>
      </c>
      <c r="AH336" s="49">
        <f t="shared" si="30"/>
        <v>0</v>
      </c>
      <c r="AJ336" s="49">
        <f t="shared" si="13"/>
        <v>0</v>
      </c>
      <c r="AK336" s="49">
        <f t="shared" si="14"/>
        <v>0</v>
      </c>
      <c r="AL336" s="49">
        <f t="shared" si="15"/>
        <v>0</v>
      </c>
      <c r="AM336" s="49">
        <f t="shared" si="16"/>
        <v>0</v>
      </c>
      <c r="AN336" s="49">
        <f t="shared" si="17"/>
        <v>0</v>
      </c>
    </row>
    <row r="337" spans="2:40">
      <c r="B337" s="43" t="str">
        <f t="shared" si="5"/>
        <v>Asset 49</v>
      </c>
      <c r="F337" s="43" t="str">
        <f t="shared" ref="F337:L337" si="74">F89</f>
        <v>37 ICT middelen 1 (gaschromatografen en comptabele meting)</v>
      </c>
      <c r="G337" s="43">
        <f t="shared" si="74"/>
        <v>2007</v>
      </c>
      <c r="H337" s="58">
        <f t="shared" si="74"/>
        <v>140047.50693888956</v>
      </c>
      <c r="I337" s="43">
        <f t="shared" si="74"/>
        <v>2021</v>
      </c>
      <c r="J337" s="58">
        <f t="shared" si="74"/>
        <v>5</v>
      </c>
      <c r="K337" s="188">
        <f t="shared" si="74"/>
        <v>0</v>
      </c>
      <c r="L337" s="58">
        <f t="shared" si="74"/>
        <v>0</v>
      </c>
      <c r="N337" s="49">
        <f t="shared" si="25"/>
        <v>0</v>
      </c>
      <c r="P337" s="44">
        <f t="shared" si="7"/>
        <v>0</v>
      </c>
      <c r="R337" s="49">
        <f t="shared" si="22"/>
        <v>0</v>
      </c>
      <c r="S337" s="49">
        <f t="shared" si="22"/>
        <v>0</v>
      </c>
      <c r="T337" s="49">
        <f t="shared" si="22"/>
        <v>0</v>
      </c>
      <c r="U337" s="49">
        <f t="shared" si="22"/>
        <v>0</v>
      </c>
      <c r="V337" s="49">
        <f t="shared" si="22"/>
        <v>0</v>
      </c>
      <c r="X337" s="49">
        <f t="shared" si="23"/>
        <v>0</v>
      </c>
      <c r="Y337" s="49">
        <f t="shared" si="23"/>
        <v>0</v>
      </c>
      <c r="Z337" s="49">
        <f t="shared" si="23"/>
        <v>0</v>
      </c>
      <c r="AA337" s="49">
        <f t="shared" si="23"/>
        <v>0</v>
      </c>
      <c r="AB337" s="49">
        <f t="shared" si="23"/>
        <v>0</v>
      </c>
      <c r="AD337" s="49">
        <f t="shared" si="26"/>
        <v>0</v>
      </c>
      <c r="AE337" s="49">
        <f t="shared" si="27"/>
        <v>0</v>
      </c>
      <c r="AF337" s="49">
        <f t="shared" si="28"/>
        <v>0</v>
      </c>
      <c r="AG337" s="49">
        <f t="shared" si="29"/>
        <v>0</v>
      </c>
      <c r="AH337" s="49">
        <f t="shared" si="30"/>
        <v>0</v>
      </c>
      <c r="AJ337" s="49">
        <f t="shared" si="13"/>
        <v>0</v>
      </c>
      <c r="AK337" s="49">
        <f t="shared" si="14"/>
        <v>0</v>
      </c>
      <c r="AL337" s="49">
        <f t="shared" si="15"/>
        <v>0</v>
      </c>
      <c r="AM337" s="49">
        <f t="shared" si="16"/>
        <v>0</v>
      </c>
      <c r="AN337" s="49">
        <f t="shared" si="17"/>
        <v>0</v>
      </c>
    </row>
    <row r="338" spans="2:40">
      <c r="B338" s="43" t="str">
        <f t="shared" si="5"/>
        <v>Asset 50</v>
      </c>
      <c r="F338" s="43" t="str">
        <f t="shared" ref="F338:L338" si="75">F90</f>
        <v>37 ICT middelen 1</v>
      </c>
      <c r="G338" s="43">
        <f t="shared" si="75"/>
        <v>2008</v>
      </c>
      <c r="H338" s="58">
        <f t="shared" si="75"/>
        <v>1405801.5634173665</v>
      </c>
      <c r="I338" s="43">
        <f t="shared" si="75"/>
        <v>2021</v>
      </c>
      <c r="J338" s="58">
        <f t="shared" si="75"/>
        <v>5</v>
      </c>
      <c r="K338" s="188">
        <f t="shared" si="75"/>
        <v>1</v>
      </c>
      <c r="L338" s="58">
        <f t="shared" si="75"/>
        <v>0</v>
      </c>
      <c r="N338" s="49">
        <f t="shared" si="25"/>
        <v>0</v>
      </c>
      <c r="P338" s="44">
        <f t="shared" si="7"/>
        <v>0</v>
      </c>
      <c r="R338" s="49">
        <f t="shared" si="22"/>
        <v>0</v>
      </c>
      <c r="S338" s="49">
        <f t="shared" si="22"/>
        <v>0</v>
      </c>
      <c r="T338" s="49">
        <f t="shared" si="22"/>
        <v>0</v>
      </c>
      <c r="U338" s="49">
        <f t="shared" si="22"/>
        <v>0</v>
      </c>
      <c r="V338" s="49">
        <f t="shared" si="22"/>
        <v>0</v>
      </c>
      <c r="X338" s="49">
        <f t="shared" si="23"/>
        <v>0</v>
      </c>
      <c r="Y338" s="49">
        <f t="shared" si="23"/>
        <v>0</v>
      </c>
      <c r="Z338" s="49">
        <f t="shared" si="23"/>
        <v>0</v>
      </c>
      <c r="AA338" s="49">
        <f t="shared" si="23"/>
        <v>0</v>
      </c>
      <c r="AB338" s="49">
        <f t="shared" si="23"/>
        <v>0</v>
      </c>
      <c r="AD338" s="49">
        <f t="shared" si="26"/>
        <v>0</v>
      </c>
      <c r="AE338" s="49">
        <f t="shared" si="27"/>
        <v>0</v>
      </c>
      <c r="AF338" s="49">
        <f t="shared" si="28"/>
        <v>0</v>
      </c>
      <c r="AG338" s="49">
        <f t="shared" si="29"/>
        <v>0</v>
      </c>
      <c r="AH338" s="49">
        <f t="shared" si="30"/>
        <v>0</v>
      </c>
      <c r="AJ338" s="49">
        <f t="shared" si="13"/>
        <v>0</v>
      </c>
      <c r="AK338" s="49">
        <f t="shared" si="14"/>
        <v>0</v>
      </c>
      <c r="AL338" s="49">
        <f t="shared" si="15"/>
        <v>0</v>
      </c>
      <c r="AM338" s="49">
        <f t="shared" si="16"/>
        <v>0</v>
      </c>
      <c r="AN338" s="49">
        <f t="shared" si="17"/>
        <v>0</v>
      </c>
    </row>
    <row r="339" spans="2:40">
      <c r="B339" s="43" t="str">
        <f t="shared" si="5"/>
        <v>Asset 51</v>
      </c>
      <c r="F339" s="43" t="str">
        <f t="shared" ref="F339:L339" si="76">F91</f>
        <v>13 Aanhangwagens</v>
      </c>
      <c r="G339" s="43">
        <f t="shared" si="76"/>
        <v>2008</v>
      </c>
      <c r="H339" s="58">
        <f t="shared" si="76"/>
        <v>6485.6</v>
      </c>
      <c r="I339" s="43">
        <f t="shared" si="76"/>
        <v>2021</v>
      </c>
      <c r="J339" s="58">
        <f t="shared" si="76"/>
        <v>10</v>
      </c>
      <c r="K339" s="188">
        <f t="shared" si="76"/>
        <v>1</v>
      </c>
      <c r="L339" s="58">
        <f t="shared" si="76"/>
        <v>0</v>
      </c>
      <c r="N339" s="49">
        <f t="shared" si="25"/>
        <v>0</v>
      </c>
      <c r="P339" s="44">
        <f t="shared" si="7"/>
        <v>0</v>
      </c>
      <c r="R339" s="49">
        <f t="shared" si="22"/>
        <v>0</v>
      </c>
      <c r="S339" s="49">
        <f t="shared" si="22"/>
        <v>0</v>
      </c>
      <c r="T339" s="49">
        <f t="shared" si="22"/>
        <v>0</v>
      </c>
      <c r="U339" s="49">
        <f t="shared" si="22"/>
        <v>0</v>
      </c>
      <c r="V339" s="49">
        <f t="shared" si="22"/>
        <v>0</v>
      </c>
      <c r="X339" s="49">
        <f t="shared" si="23"/>
        <v>0</v>
      </c>
      <c r="Y339" s="49">
        <f t="shared" si="23"/>
        <v>0</v>
      </c>
      <c r="Z339" s="49">
        <f t="shared" si="23"/>
        <v>0</v>
      </c>
      <c r="AA339" s="49">
        <f t="shared" si="23"/>
        <v>0</v>
      </c>
      <c r="AB339" s="49">
        <f t="shared" si="23"/>
        <v>0</v>
      </c>
      <c r="AD339" s="49">
        <f t="shared" si="26"/>
        <v>0</v>
      </c>
      <c r="AE339" s="49">
        <f t="shared" si="27"/>
        <v>0</v>
      </c>
      <c r="AF339" s="49">
        <f t="shared" si="28"/>
        <v>0</v>
      </c>
      <c r="AG339" s="49">
        <f t="shared" si="29"/>
        <v>0</v>
      </c>
      <c r="AH339" s="49">
        <f t="shared" si="30"/>
        <v>0</v>
      </c>
      <c r="AJ339" s="49">
        <f t="shared" si="13"/>
        <v>0</v>
      </c>
      <c r="AK339" s="49">
        <f t="shared" si="14"/>
        <v>0</v>
      </c>
      <c r="AL339" s="49">
        <f t="shared" si="15"/>
        <v>0</v>
      </c>
      <c r="AM339" s="49">
        <f t="shared" si="16"/>
        <v>0</v>
      </c>
      <c r="AN339" s="49">
        <f t="shared" si="17"/>
        <v>0</v>
      </c>
    </row>
    <row r="340" spans="2:40">
      <c r="B340" s="43" t="str">
        <f t="shared" si="5"/>
        <v>Asset 52</v>
      </c>
      <c r="F340" s="43" t="str">
        <f t="shared" ref="F340:L340" si="77">F92</f>
        <v>04 Terreinen</v>
      </c>
      <c r="G340" s="43">
        <f t="shared" si="77"/>
        <v>1956</v>
      </c>
      <c r="H340" s="58">
        <f t="shared" si="77"/>
        <v>32433.599999999999</v>
      </c>
      <c r="I340" s="43">
        <f t="shared" si="77"/>
        <v>2021</v>
      </c>
      <c r="J340" s="58">
        <f t="shared" si="77"/>
        <v>0</v>
      </c>
      <c r="K340" s="188">
        <f t="shared" si="77"/>
        <v>0</v>
      </c>
      <c r="L340" s="58">
        <f t="shared" si="77"/>
        <v>275057.7098199001</v>
      </c>
      <c r="N340" s="49">
        <f t="shared" si="25"/>
        <v>275057.7098199001</v>
      </c>
      <c r="P340" s="44">
        <f t="shared" si="7"/>
        <v>0</v>
      </c>
      <c r="R340" s="49">
        <f t="shared" si="22"/>
        <v>0</v>
      </c>
      <c r="S340" s="49">
        <f t="shared" si="22"/>
        <v>0</v>
      </c>
      <c r="T340" s="49">
        <f t="shared" si="22"/>
        <v>0</v>
      </c>
      <c r="U340" s="49">
        <f t="shared" si="22"/>
        <v>0</v>
      </c>
      <c r="V340" s="49">
        <f t="shared" si="22"/>
        <v>0</v>
      </c>
      <c r="X340" s="49">
        <f t="shared" si="23"/>
        <v>0</v>
      </c>
      <c r="Y340" s="49">
        <f t="shared" si="23"/>
        <v>0</v>
      </c>
      <c r="Z340" s="49">
        <f t="shared" si="23"/>
        <v>0</v>
      </c>
      <c r="AA340" s="49">
        <f t="shared" si="23"/>
        <v>0</v>
      </c>
      <c r="AB340" s="49">
        <f t="shared" si="23"/>
        <v>0</v>
      </c>
      <c r="AD340" s="49">
        <f t="shared" si="26"/>
        <v>275057.7098199001</v>
      </c>
      <c r="AE340" s="49">
        <f t="shared" si="27"/>
        <v>275057.7098199001</v>
      </c>
      <c r="AF340" s="49">
        <f t="shared" si="28"/>
        <v>275057.7098199001</v>
      </c>
      <c r="AG340" s="49">
        <f t="shared" si="29"/>
        <v>275057.7098199001</v>
      </c>
      <c r="AH340" s="49">
        <f t="shared" si="30"/>
        <v>275057.7098199001</v>
      </c>
      <c r="AJ340" s="49">
        <f t="shared" si="13"/>
        <v>8526.7890044169035</v>
      </c>
      <c r="AK340" s="49">
        <f t="shared" si="14"/>
        <v>8251.7312945970025</v>
      </c>
      <c r="AL340" s="49">
        <f t="shared" si="15"/>
        <v>8251.7312945970025</v>
      </c>
      <c r="AM340" s="49">
        <f t="shared" si="16"/>
        <v>8251.7312945970025</v>
      </c>
      <c r="AN340" s="49">
        <f t="shared" si="17"/>
        <v>8251.7312945970025</v>
      </c>
    </row>
    <row r="341" spans="2:40">
      <c r="B341" s="43" t="str">
        <f t="shared" si="5"/>
        <v>Asset 53</v>
      </c>
      <c r="F341" s="43" t="str">
        <f t="shared" ref="F341:L341" si="78">F93</f>
        <v>04 Terreinen</v>
      </c>
      <c r="G341" s="43">
        <f t="shared" si="78"/>
        <v>1968</v>
      </c>
      <c r="H341" s="58">
        <f t="shared" si="78"/>
        <v>219516.18</v>
      </c>
      <c r="I341" s="43">
        <f t="shared" si="78"/>
        <v>2021</v>
      </c>
      <c r="J341" s="58">
        <f t="shared" si="78"/>
        <v>0</v>
      </c>
      <c r="K341" s="188">
        <f t="shared" si="78"/>
        <v>0</v>
      </c>
      <c r="L341" s="58">
        <f t="shared" si="78"/>
        <v>1219692.8562955547</v>
      </c>
      <c r="N341" s="49">
        <f t="shared" si="25"/>
        <v>1219692.8562955547</v>
      </c>
      <c r="P341" s="44">
        <f t="shared" si="7"/>
        <v>0</v>
      </c>
      <c r="R341" s="49">
        <f t="shared" si="22"/>
        <v>0</v>
      </c>
      <c r="S341" s="49">
        <f t="shared" si="22"/>
        <v>0</v>
      </c>
      <c r="T341" s="49">
        <f t="shared" si="22"/>
        <v>0</v>
      </c>
      <c r="U341" s="49">
        <f t="shared" si="22"/>
        <v>0</v>
      </c>
      <c r="V341" s="49">
        <f t="shared" si="22"/>
        <v>0</v>
      </c>
      <c r="X341" s="49">
        <f t="shared" si="23"/>
        <v>0</v>
      </c>
      <c r="Y341" s="49">
        <f t="shared" si="23"/>
        <v>0</v>
      </c>
      <c r="Z341" s="49">
        <f t="shared" si="23"/>
        <v>0</v>
      </c>
      <c r="AA341" s="49">
        <f t="shared" si="23"/>
        <v>0</v>
      </c>
      <c r="AB341" s="49">
        <f t="shared" si="23"/>
        <v>0</v>
      </c>
      <c r="AD341" s="49">
        <f t="shared" si="26"/>
        <v>1219692.8562955547</v>
      </c>
      <c r="AE341" s="49">
        <f t="shared" si="27"/>
        <v>1219692.8562955547</v>
      </c>
      <c r="AF341" s="49">
        <f t="shared" si="28"/>
        <v>1219692.8562955547</v>
      </c>
      <c r="AG341" s="49">
        <f t="shared" si="29"/>
        <v>1219692.8562955547</v>
      </c>
      <c r="AH341" s="49">
        <f t="shared" si="30"/>
        <v>1219692.8562955547</v>
      </c>
      <c r="AJ341" s="49">
        <f t="shared" si="13"/>
        <v>37810.478545162194</v>
      </c>
      <c r="AK341" s="49">
        <f t="shared" si="14"/>
        <v>36590.785688866636</v>
      </c>
      <c r="AL341" s="49">
        <f t="shared" si="15"/>
        <v>36590.785688866636</v>
      </c>
      <c r="AM341" s="49">
        <f t="shared" si="16"/>
        <v>36590.785688866636</v>
      </c>
      <c r="AN341" s="49">
        <f t="shared" si="17"/>
        <v>36590.785688866636</v>
      </c>
    </row>
    <row r="342" spans="2:40">
      <c r="B342" s="43" t="str">
        <f t="shared" si="5"/>
        <v>Asset 54</v>
      </c>
      <c r="F342" s="43" t="str">
        <f t="shared" ref="F342:L342" si="79">F94</f>
        <v>04 Terreinen</v>
      </c>
      <c r="G342" s="43">
        <f t="shared" si="79"/>
        <v>1972</v>
      </c>
      <c r="H342" s="58">
        <f t="shared" si="79"/>
        <v>411128.51</v>
      </c>
      <c r="I342" s="43">
        <f t="shared" si="79"/>
        <v>2021</v>
      </c>
      <c r="J342" s="58">
        <f t="shared" si="79"/>
        <v>0</v>
      </c>
      <c r="K342" s="188">
        <f t="shared" si="79"/>
        <v>0</v>
      </c>
      <c r="L342" s="58">
        <f t="shared" si="79"/>
        <v>1824024.3386379536</v>
      </c>
      <c r="N342" s="49">
        <f t="shared" si="25"/>
        <v>1824024.3386379536</v>
      </c>
      <c r="P342" s="44">
        <f t="shared" si="7"/>
        <v>0</v>
      </c>
      <c r="R342" s="49">
        <f t="shared" si="22"/>
        <v>0</v>
      </c>
      <c r="S342" s="49">
        <f t="shared" si="22"/>
        <v>0</v>
      </c>
      <c r="T342" s="49">
        <f t="shared" si="22"/>
        <v>0</v>
      </c>
      <c r="U342" s="49">
        <f t="shared" si="22"/>
        <v>0</v>
      </c>
      <c r="V342" s="49">
        <f t="shared" si="22"/>
        <v>0</v>
      </c>
      <c r="X342" s="49">
        <f t="shared" si="23"/>
        <v>0</v>
      </c>
      <c r="Y342" s="49">
        <f t="shared" si="23"/>
        <v>0</v>
      </c>
      <c r="Z342" s="49">
        <f t="shared" si="23"/>
        <v>0</v>
      </c>
      <c r="AA342" s="49">
        <f t="shared" si="23"/>
        <v>0</v>
      </c>
      <c r="AB342" s="49">
        <f t="shared" si="23"/>
        <v>0</v>
      </c>
      <c r="AD342" s="49">
        <f t="shared" si="26"/>
        <v>1824024.3386379536</v>
      </c>
      <c r="AE342" s="49">
        <f t="shared" si="27"/>
        <v>1824024.3386379536</v>
      </c>
      <c r="AF342" s="49">
        <f t="shared" si="28"/>
        <v>1824024.3386379536</v>
      </c>
      <c r="AG342" s="49">
        <f t="shared" si="29"/>
        <v>1824024.3386379536</v>
      </c>
      <c r="AH342" s="49">
        <f t="shared" si="30"/>
        <v>1824024.3386379536</v>
      </c>
      <c r="AJ342" s="49">
        <f t="shared" si="13"/>
        <v>56544.754497776565</v>
      </c>
      <c r="AK342" s="49">
        <f t="shared" si="14"/>
        <v>54720.730159138606</v>
      </c>
      <c r="AL342" s="49">
        <f t="shared" si="15"/>
        <v>54720.730159138606</v>
      </c>
      <c r="AM342" s="49">
        <f t="shared" si="16"/>
        <v>54720.730159138606</v>
      </c>
      <c r="AN342" s="49">
        <f t="shared" si="17"/>
        <v>54720.730159138606</v>
      </c>
    </row>
    <row r="343" spans="2:40">
      <c r="B343" s="43" t="str">
        <f t="shared" si="5"/>
        <v>Asset 55</v>
      </c>
      <c r="F343" s="43" t="str">
        <f t="shared" ref="F343:L343" si="80">F95</f>
        <v>05 Wegen en terreinvoorzieningen</v>
      </c>
      <c r="G343" s="43">
        <f t="shared" si="80"/>
        <v>1970</v>
      </c>
      <c r="H343" s="58">
        <f t="shared" si="80"/>
        <v>65342.54</v>
      </c>
      <c r="I343" s="43">
        <f t="shared" si="80"/>
        <v>2021</v>
      </c>
      <c r="J343" s="58">
        <f t="shared" si="80"/>
        <v>10</v>
      </c>
      <c r="K343" s="188">
        <f t="shared" si="80"/>
        <v>0</v>
      </c>
      <c r="L343" s="58">
        <f t="shared" si="80"/>
        <v>0</v>
      </c>
      <c r="N343" s="49">
        <f t="shared" si="25"/>
        <v>0</v>
      </c>
      <c r="P343" s="44">
        <f t="shared" si="7"/>
        <v>0</v>
      </c>
      <c r="R343" s="49">
        <f t="shared" ref="R343:V393" si="81">IF(R$287&lt;=$G343+$J343,VDB($L343*(1-$F$25),0,$P343,R$287-2022,MIN(R$287-2021,$P343),$F$22),0)</f>
        <v>0</v>
      </c>
      <c r="S343" s="49">
        <f t="shared" si="81"/>
        <v>0</v>
      </c>
      <c r="T343" s="49">
        <f t="shared" si="81"/>
        <v>0</v>
      </c>
      <c r="U343" s="49">
        <f t="shared" si="81"/>
        <v>0</v>
      </c>
      <c r="V343" s="49">
        <f t="shared" si="81"/>
        <v>0</v>
      </c>
      <c r="X343" s="49">
        <f t="shared" ref="X343:AB393" si="82">IF(X$287&lt;=$G343+$J343,VDB($L343*$F$25,0,$P343,X$287-2022,MIN(X$287-2021,$P343),1),0)</f>
        <v>0</v>
      </c>
      <c r="Y343" s="49">
        <f t="shared" si="82"/>
        <v>0</v>
      </c>
      <c r="Z343" s="49">
        <f t="shared" si="82"/>
        <v>0</v>
      </c>
      <c r="AA343" s="49">
        <f t="shared" si="82"/>
        <v>0</v>
      </c>
      <c r="AB343" s="49">
        <f t="shared" si="82"/>
        <v>0</v>
      </c>
      <c r="AD343" s="49">
        <f t="shared" si="26"/>
        <v>0</v>
      </c>
      <c r="AE343" s="49">
        <f t="shared" si="27"/>
        <v>0</v>
      </c>
      <c r="AF343" s="49">
        <f t="shared" si="28"/>
        <v>0</v>
      </c>
      <c r="AG343" s="49">
        <f t="shared" si="29"/>
        <v>0</v>
      </c>
      <c r="AH343" s="49">
        <f t="shared" si="30"/>
        <v>0</v>
      </c>
      <c r="AJ343" s="49">
        <f t="shared" si="13"/>
        <v>0</v>
      </c>
      <c r="AK343" s="49">
        <f t="shared" si="14"/>
        <v>0</v>
      </c>
      <c r="AL343" s="49">
        <f t="shared" si="15"/>
        <v>0</v>
      </c>
      <c r="AM343" s="49">
        <f t="shared" si="16"/>
        <v>0</v>
      </c>
      <c r="AN343" s="49">
        <f t="shared" si="17"/>
        <v>0</v>
      </c>
    </row>
    <row r="344" spans="2:40">
      <c r="B344" s="43" t="str">
        <f t="shared" si="5"/>
        <v>Asset 56</v>
      </c>
      <c r="F344" s="43" t="str">
        <f t="shared" ref="F344:L344" si="83">F96</f>
        <v>06 Utiliteitsgebouwen</v>
      </c>
      <c r="G344" s="43">
        <f t="shared" si="83"/>
        <v>1980</v>
      </c>
      <c r="H344" s="58">
        <f t="shared" si="83"/>
        <v>1188787.02</v>
      </c>
      <c r="I344" s="43">
        <f t="shared" si="83"/>
        <v>2021</v>
      </c>
      <c r="J344" s="58">
        <f t="shared" si="83"/>
        <v>30</v>
      </c>
      <c r="K344" s="188">
        <f t="shared" si="83"/>
        <v>0</v>
      </c>
      <c r="L344" s="58">
        <f t="shared" si="83"/>
        <v>0</v>
      </c>
      <c r="N344" s="49">
        <f t="shared" si="25"/>
        <v>0</v>
      </c>
      <c r="P344" s="44">
        <f t="shared" si="7"/>
        <v>0</v>
      </c>
      <c r="R344" s="49">
        <f t="shared" si="81"/>
        <v>0</v>
      </c>
      <c r="S344" s="49">
        <f t="shared" si="81"/>
        <v>0</v>
      </c>
      <c r="T344" s="49">
        <f t="shared" si="81"/>
        <v>0</v>
      </c>
      <c r="U344" s="49">
        <f t="shared" si="81"/>
        <v>0</v>
      </c>
      <c r="V344" s="49">
        <f t="shared" si="81"/>
        <v>0</v>
      </c>
      <c r="X344" s="49">
        <f t="shared" si="82"/>
        <v>0</v>
      </c>
      <c r="Y344" s="49">
        <f t="shared" si="82"/>
        <v>0</v>
      </c>
      <c r="Z344" s="49">
        <f t="shared" si="82"/>
        <v>0</v>
      </c>
      <c r="AA344" s="49">
        <f t="shared" si="82"/>
        <v>0</v>
      </c>
      <c r="AB344" s="49">
        <f t="shared" si="82"/>
        <v>0</v>
      </c>
      <c r="AD344" s="49">
        <f t="shared" si="26"/>
        <v>0</v>
      </c>
      <c r="AE344" s="49">
        <f t="shared" si="27"/>
        <v>0</v>
      </c>
      <c r="AF344" s="49">
        <f t="shared" si="28"/>
        <v>0</v>
      </c>
      <c r="AG344" s="49">
        <f t="shared" si="29"/>
        <v>0</v>
      </c>
      <c r="AH344" s="49">
        <f t="shared" si="30"/>
        <v>0</v>
      </c>
      <c r="AJ344" s="49">
        <f t="shared" si="13"/>
        <v>0</v>
      </c>
      <c r="AK344" s="49">
        <f t="shared" si="14"/>
        <v>0</v>
      </c>
      <c r="AL344" s="49">
        <f t="shared" si="15"/>
        <v>0</v>
      </c>
      <c r="AM344" s="49">
        <f t="shared" si="16"/>
        <v>0</v>
      </c>
      <c r="AN344" s="49">
        <f t="shared" si="17"/>
        <v>0</v>
      </c>
    </row>
    <row r="345" spans="2:40">
      <c r="B345" s="43" t="str">
        <f t="shared" si="5"/>
        <v>Asset 57</v>
      </c>
      <c r="F345" s="43" t="str">
        <f t="shared" ref="F345:L345" si="84">F97</f>
        <v>06 Utiliteitsgebouwen</v>
      </c>
      <c r="G345" s="43">
        <f t="shared" si="84"/>
        <v>1971</v>
      </c>
      <c r="H345" s="58">
        <f t="shared" si="84"/>
        <v>1287617.6299999999</v>
      </c>
      <c r="I345" s="43">
        <f t="shared" si="84"/>
        <v>2021</v>
      </c>
      <c r="J345" s="58">
        <f t="shared" si="84"/>
        <v>30</v>
      </c>
      <c r="K345" s="188">
        <f t="shared" si="84"/>
        <v>0</v>
      </c>
      <c r="L345" s="58">
        <f t="shared" si="84"/>
        <v>0</v>
      </c>
      <c r="N345" s="49">
        <f t="shared" si="25"/>
        <v>0</v>
      </c>
      <c r="P345" s="44">
        <f t="shared" si="7"/>
        <v>0</v>
      </c>
      <c r="R345" s="49">
        <f t="shared" si="81"/>
        <v>0</v>
      </c>
      <c r="S345" s="49">
        <f t="shared" si="81"/>
        <v>0</v>
      </c>
      <c r="T345" s="49">
        <f t="shared" si="81"/>
        <v>0</v>
      </c>
      <c r="U345" s="49">
        <f t="shared" si="81"/>
        <v>0</v>
      </c>
      <c r="V345" s="49">
        <f t="shared" si="81"/>
        <v>0</v>
      </c>
      <c r="X345" s="49">
        <f t="shared" si="82"/>
        <v>0</v>
      </c>
      <c r="Y345" s="49">
        <f t="shared" si="82"/>
        <v>0</v>
      </c>
      <c r="Z345" s="49">
        <f t="shared" si="82"/>
        <v>0</v>
      </c>
      <c r="AA345" s="49">
        <f t="shared" si="82"/>
        <v>0</v>
      </c>
      <c r="AB345" s="49">
        <f t="shared" si="82"/>
        <v>0</v>
      </c>
      <c r="AD345" s="49">
        <f t="shared" si="26"/>
        <v>0</v>
      </c>
      <c r="AE345" s="49">
        <f t="shared" si="27"/>
        <v>0</v>
      </c>
      <c r="AF345" s="49">
        <f t="shared" si="28"/>
        <v>0</v>
      </c>
      <c r="AG345" s="49">
        <f t="shared" si="29"/>
        <v>0</v>
      </c>
      <c r="AH345" s="49">
        <f t="shared" si="30"/>
        <v>0</v>
      </c>
      <c r="AJ345" s="49">
        <f t="shared" si="13"/>
        <v>0</v>
      </c>
      <c r="AK345" s="49">
        <f t="shared" si="14"/>
        <v>0</v>
      </c>
      <c r="AL345" s="49">
        <f t="shared" si="15"/>
        <v>0</v>
      </c>
      <c r="AM345" s="49">
        <f t="shared" si="16"/>
        <v>0</v>
      </c>
      <c r="AN345" s="49">
        <f t="shared" si="17"/>
        <v>0</v>
      </c>
    </row>
    <row r="346" spans="2:40">
      <c r="B346" s="43" t="str">
        <f t="shared" si="5"/>
        <v>Asset 58</v>
      </c>
      <c r="F346" s="43" t="str">
        <f t="shared" ref="F346:L346" si="85">F98</f>
        <v>06 Utiliteitsgebouwen</v>
      </c>
      <c r="G346" s="43">
        <f t="shared" si="85"/>
        <v>1986</v>
      </c>
      <c r="H346" s="58">
        <f t="shared" si="85"/>
        <v>986052.31</v>
      </c>
      <c r="I346" s="43">
        <f t="shared" si="85"/>
        <v>2021</v>
      </c>
      <c r="J346" s="58">
        <f t="shared" si="85"/>
        <v>30</v>
      </c>
      <c r="K346" s="188">
        <f t="shared" si="85"/>
        <v>0</v>
      </c>
      <c r="L346" s="58">
        <f t="shared" si="85"/>
        <v>0</v>
      </c>
      <c r="N346" s="49">
        <f t="shared" si="25"/>
        <v>0</v>
      </c>
      <c r="P346" s="44">
        <f t="shared" si="7"/>
        <v>0</v>
      </c>
      <c r="R346" s="49">
        <f t="shared" si="81"/>
        <v>0</v>
      </c>
      <c r="S346" s="49">
        <f t="shared" si="81"/>
        <v>0</v>
      </c>
      <c r="T346" s="49">
        <f t="shared" si="81"/>
        <v>0</v>
      </c>
      <c r="U346" s="49">
        <f t="shared" si="81"/>
        <v>0</v>
      </c>
      <c r="V346" s="49">
        <f t="shared" si="81"/>
        <v>0</v>
      </c>
      <c r="X346" s="49">
        <f t="shared" si="82"/>
        <v>0</v>
      </c>
      <c r="Y346" s="49">
        <f t="shared" si="82"/>
        <v>0</v>
      </c>
      <c r="Z346" s="49">
        <f t="shared" si="82"/>
        <v>0</v>
      </c>
      <c r="AA346" s="49">
        <f t="shared" si="82"/>
        <v>0</v>
      </c>
      <c r="AB346" s="49">
        <f t="shared" si="82"/>
        <v>0</v>
      </c>
      <c r="AD346" s="49">
        <f t="shared" si="26"/>
        <v>0</v>
      </c>
      <c r="AE346" s="49">
        <f t="shared" si="27"/>
        <v>0</v>
      </c>
      <c r="AF346" s="49">
        <f t="shared" si="28"/>
        <v>0</v>
      </c>
      <c r="AG346" s="49">
        <f t="shared" si="29"/>
        <v>0</v>
      </c>
      <c r="AH346" s="49">
        <f t="shared" si="30"/>
        <v>0</v>
      </c>
      <c r="AJ346" s="49">
        <f t="shared" si="13"/>
        <v>0</v>
      </c>
      <c r="AK346" s="49">
        <f t="shared" si="14"/>
        <v>0</v>
      </c>
      <c r="AL346" s="49">
        <f t="shared" si="15"/>
        <v>0</v>
      </c>
      <c r="AM346" s="49">
        <f t="shared" si="16"/>
        <v>0</v>
      </c>
      <c r="AN346" s="49">
        <f t="shared" si="17"/>
        <v>0</v>
      </c>
    </row>
    <row r="347" spans="2:40">
      <c r="B347" s="43" t="str">
        <f t="shared" si="5"/>
        <v>Asset 59</v>
      </c>
      <c r="F347" s="43" t="str">
        <f t="shared" ref="F347:L347" si="86">F99</f>
        <v>06 Utiliteitsgebouwen</v>
      </c>
      <c r="G347" s="43">
        <f t="shared" si="86"/>
        <v>1988</v>
      </c>
      <c r="H347" s="58">
        <f t="shared" si="86"/>
        <v>45049.48</v>
      </c>
      <c r="I347" s="43">
        <f t="shared" si="86"/>
        <v>2021</v>
      </c>
      <c r="J347" s="58">
        <f t="shared" si="86"/>
        <v>30</v>
      </c>
      <c r="K347" s="188">
        <f t="shared" si="86"/>
        <v>0</v>
      </c>
      <c r="L347" s="58">
        <f t="shared" si="86"/>
        <v>0</v>
      </c>
      <c r="N347" s="49">
        <f t="shared" si="25"/>
        <v>0</v>
      </c>
      <c r="P347" s="44">
        <f t="shared" si="7"/>
        <v>0</v>
      </c>
      <c r="R347" s="49">
        <f t="shared" si="81"/>
        <v>0</v>
      </c>
      <c r="S347" s="49">
        <f t="shared" si="81"/>
        <v>0</v>
      </c>
      <c r="T347" s="49">
        <f t="shared" si="81"/>
        <v>0</v>
      </c>
      <c r="U347" s="49">
        <f t="shared" si="81"/>
        <v>0</v>
      </c>
      <c r="V347" s="49">
        <f t="shared" si="81"/>
        <v>0</v>
      </c>
      <c r="X347" s="49">
        <f t="shared" si="82"/>
        <v>0</v>
      </c>
      <c r="Y347" s="49">
        <f t="shared" si="82"/>
        <v>0</v>
      </c>
      <c r="Z347" s="49">
        <f t="shared" si="82"/>
        <v>0</v>
      </c>
      <c r="AA347" s="49">
        <f t="shared" si="82"/>
        <v>0</v>
      </c>
      <c r="AB347" s="49">
        <f t="shared" si="82"/>
        <v>0</v>
      </c>
      <c r="AD347" s="49">
        <f t="shared" si="26"/>
        <v>0</v>
      </c>
      <c r="AE347" s="49">
        <f t="shared" si="27"/>
        <v>0</v>
      </c>
      <c r="AF347" s="49">
        <f t="shared" si="28"/>
        <v>0</v>
      </c>
      <c r="AG347" s="49">
        <f t="shared" si="29"/>
        <v>0</v>
      </c>
      <c r="AH347" s="49">
        <f t="shared" si="30"/>
        <v>0</v>
      </c>
      <c r="AJ347" s="49">
        <f t="shared" si="13"/>
        <v>0</v>
      </c>
      <c r="AK347" s="49">
        <f t="shared" si="14"/>
        <v>0</v>
      </c>
      <c r="AL347" s="49">
        <f t="shared" si="15"/>
        <v>0</v>
      </c>
      <c r="AM347" s="49">
        <f t="shared" si="16"/>
        <v>0</v>
      </c>
      <c r="AN347" s="49">
        <f t="shared" si="17"/>
        <v>0</v>
      </c>
    </row>
    <row r="348" spans="2:40">
      <c r="B348" s="43" t="str">
        <f t="shared" si="5"/>
        <v>Asset 60</v>
      </c>
      <c r="F348" s="43" t="str">
        <f t="shared" ref="F348:L348" si="87">F100</f>
        <v>04 Terreinen</v>
      </c>
      <c r="G348" s="43">
        <f t="shared" si="87"/>
        <v>1969</v>
      </c>
      <c r="H348" s="58">
        <f t="shared" si="87"/>
        <v>35732.019999999997</v>
      </c>
      <c r="I348" s="43">
        <f t="shared" si="87"/>
        <v>2021</v>
      </c>
      <c r="J348" s="58">
        <f t="shared" si="87"/>
        <v>0</v>
      </c>
      <c r="K348" s="188">
        <f t="shared" si="87"/>
        <v>0</v>
      </c>
      <c r="L348" s="58">
        <f t="shared" si="87"/>
        <v>192194.60406110552</v>
      </c>
      <c r="N348" s="49">
        <f t="shared" si="25"/>
        <v>192194.60406110552</v>
      </c>
      <c r="P348" s="44">
        <f t="shared" si="7"/>
        <v>0</v>
      </c>
      <c r="R348" s="49">
        <f t="shared" si="81"/>
        <v>0</v>
      </c>
      <c r="S348" s="49">
        <f t="shared" si="81"/>
        <v>0</v>
      </c>
      <c r="T348" s="49">
        <f t="shared" si="81"/>
        <v>0</v>
      </c>
      <c r="U348" s="49">
        <f t="shared" si="81"/>
        <v>0</v>
      </c>
      <c r="V348" s="49">
        <f t="shared" si="81"/>
        <v>0</v>
      </c>
      <c r="X348" s="49">
        <f t="shared" si="82"/>
        <v>0</v>
      </c>
      <c r="Y348" s="49">
        <f t="shared" si="82"/>
        <v>0</v>
      </c>
      <c r="Z348" s="49">
        <f t="shared" si="82"/>
        <v>0</v>
      </c>
      <c r="AA348" s="49">
        <f t="shared" si="82"/>
        <v>0</v>
      </c>
      <c r="AB348" s="49">
        <f t="shared" si="82"/>
        <v>0</v>
      </c>
      <c r="AD348" s="49">
        <f t="shared" si="26"/>
        <v>192194.60406110552</v>
      </c>
      <c r="AE348" s="49">
        <f t="shared" si="27"/>
        <v>192194.60406110552</v>
      </c>
      <c r="AF348" s="49">
        <f t="shared" si="28"/>
        <v>192194.60406110552</v>
      </c>
      <c r="AG348" s="49">
        <f t="shared" si="29"/>
        <v>192194.60406110552</v>
      </c>
      <c r="AH348" s="49">
        <f t="shared" si="30"/>
        <v>192194.60406110552</v>
      </c>
      <c r="AJ348" s="49">
        <f t="shared" si="13"/>
        <v>5958.0327258942707</v>
      </c>
      <c r="AK348" s="49">
        <f t="shared" si="14"/>
        <v>5765.8381218331651</v>
      </c>
      <c r="AL348" s="49">
        <f t="shared" si="15"/>
        <v>5765.8381218331651</v>
      </c>
      <c r="AM348" s="49">
        <f t="shared" si="16"/>
        <v>5765.8381218331651</v>
      </c>
      <c r="AN348" s="49">
        <f t="shared" si="17"/>
        <v>5765.8381218331651</v>
      </c>
    </row>
    <row r="349" spans="2:40">
      <c r="B349" s="43" t="str">
        <f t="shared" si="5"/>
        <v>Asset 61</v>
      </c>
      <c r="F349" s="43" t="str">
        <f t="shared" ref="F349:L349" si="88">F101</f>
        <v>06 Utiliteitsgebouwen</v>
      </c>
      <c r="G349" s="43">
        <f t="shared" si="88"/>
        <v>1993</v>
      </c>
      <c r="H349" s="58">
        <f t="shared" si="88"/>
        <v>4915025</v>
      </c>
      <c r="I349" s="43">
        <f t="shared" si="88"/>
        <v>2021</v>
      </c>
      <c r="J349" s="58">
        <f t="shared" si="88"/>
        <v>30</v>
      </c>
      <c r="K349" s="188">
        <f t="shared" si="88"/>
        <v>0</v>
      </c>
      <c r="L349" s="58">
        <f t="shared" si="88"/>
        <v>420683.7813984917</v>
      </c>
      <c r="N349" s="49">
        <f t="shared" si="25"/>
        <v>420683.7813984917</v>
      </c>
      <c r="P349" s="44">
        <f t="shared" si="7"/>
        <v>1.5</v>
      </c>
      <c r="R349" s="49">
        <f t="shared" si="81"/>
        <v>328133.34949082352</v>
      </c>
      <c r="S349" s="49">
        <f t="shared" si="81"/>
        <v>50482.053767819016</v>
      </c>
      <c r="T349" s="49">
        <f t="shared" si="81"/>
        <v>0</v>
      </c>
      <c r="U349" s="49">
        <f t="shared" si="81"/>
        <v>0</v>
      </c>
      <c r="V349" s="49">
        <f t="shared" si="81"/>
        <v>0</v>
      </c>
      <c r="X349" s="49">
        <f t="shared" si="82"/>
        <v>28045.585426566115</v>
      </c>
      <c r="Y349" s="49">
        <f t="shared" si="82"/>
        <v>14022.792713283057</v>
      </c>
      <c r="Z349" s="49">
        <f t="shared" si="82"/>
        <v>0</v>
      </c>
      <c r="AA349" s="49">
        <f t="shared" si="82"/>
        <v>0</v>
      </c>
      <c r="AB349" s="49">
        <f t="shared" si="82"/>
        <v>0</v>
      </c>
      <c r="AD349" s="49">
        <f t="shared" si="26"/>
        <v>64504.846481102068</v>
      </c>
      <c r="AE349" s="49">
        <f t="shared" si="27"/>
        <v>-5.4569682106375694E-12</v>
      </c>
      <c r="AF349" s="49">
        <f t="shared" si="28"/>
        <v>0</v>
      </c>
      <c r="AG349" s="49">
        <f t="shared" si="29"/>
        <v>0</v>
      </c>
      <c r="AH349" s="49">
        <f t="shared" si="30"/>
        <v>0</v>
      </c>
      <c r="AJ349" s="49">
        <f t="shared" si="13"/>
        <v>358178.58515830379</v>
      </c>
      <c r="AK349" s="49">
        <f t="shared" si="14"/>
        <v>64504.846481102075</v>
      </c>
      <c r="AL349" s="49">
        <f t="shared" si="15"/>
        <v>0</v>
      </c>
      <c r="AM349" s="49">
        <f t="shared" si="16"/>
        <v>0</v>
      </c>
      <c r="AN349" s="49">
        <f t="shared" si="17"/>
        <v>0</v>
      </c>
    </row>
    <row r="350" spans="2:40">
      <c r="B350" s="43" t="str">
        <f t="shared" si="5"/>
        <v>Asset 62</v>
      </c>
      <c r="F350" s="43" t="str">
        <f t="shared" ref="F350:L350" si="89">F102</f>
        <v>04 Terreinen</v>
      </c>
      <c r="G350" s="43">
        <f t="shared" si="89"/>
        <v>1990</v>
      </c>
      <c r="H350" s="58">
        <f t="shared" si="89"/>
        <v>4936129.59</v>
      </c>
      <c r="I350" s="43">
        <f t="shared" si="89"/>
        <v>2021</v>
      </c>
      <c r="J350" s="58">
        <f t="shared" si="89"/>
        <v>0</v>
      </c>
      <c r="K350" s="188">
        <f t="shared" si="89"/>
        <v>0</v>
      </c>
      <c r="L350" s="58">
        <f t="shared" si="89"/>
        <v>9367389.4688880406</v>
      </c>
      <c r="N350" s="49">
        <f t="shared" si="25"/>
        <v>9367389.4688880406</v>
      </c>
      <c r="P350" s="44">
        <f t="shared" si="7"/>
        <v>0</v>
      </c>
      <c r="R350" s="49">
        <f t="shared" si="81"/>
        <v>0</v>
      </c>
      <c r="S350" s="49">
        <f t="shared" si="81"/>
        <v>0</v>
      </c>
      <c r="T350" s="49">
        <f t="shared" si="81"/>
        <v>0</v>
      </c>
      <c r="U350" s="49">
        <f t="shared" si="81"/>
        <v>0</v>
      </c>
      <c r="V350" s="49">
        <f t="shared" si="81"/>
        <v>0</v>
      </c>
      <c r="X350" s="49">
        <f t="shared" si="82"/>
        <v>0</v>
      </c>
      <c r="Y350" s="49">
        <f t="shared" si="82"/>
        <v>0</v>
      </c>
      <c r="Z350" s="49">
        <f t="shared" si="82"/>
        <v>0</v>
      </c>
      <c r="AA350" s="49">
        <f t="shared" si="82"/>
        <v>0</v>
      </c>
      <c r="AB350" s="49">
        <f t="shared" si="82"/>
        <v>0</v>
      </c>
      <c r="AD350" s="49">
        <f t="shared" si="26"/>
        <v>9367389.4688880406</v>
      </c>
      <c r="AE350" s="49">
        <f t="shared" si="27"/>
        <v>9367389.4688880406</v>
      </c>
      <c r="AF350" s="49">
        <f t="shared" si="28"/>
        <v>9367389.4688880406</v>
      </c>
      <c r="AG350" s="49">
        <f t="shared" si="29"/>
        <v>9367389.4688880406</v>
      </c>
      <c r="AH350" s="49">
        <f t="shared" si="30"/>
        <v>9367389.4688880406</v>
      </c>
      <c r="AJ350" s="49">
        <f t="shared" si="13"/>
        <v>290389.07353552926</v>
      </c>
      <c r="AK350" s="49">
        <f t="shared" si="14"/>
        <v>281021.6840666412</v>
      </c>
      <c r="AL350" s="49">
        <f t="shared" si="15"/>
        <v>281021.6840666412</v>
      </c>
      <c r="AM350" s="49">
        <f t="shared" si="16"/>
        <v>281021.6840666412</v>
      </c>
      <c r="AN350" s="49">
        <f t="shared" si="17"/>
        <v>281021.6840666412</v>
      </c>
    </row>
    <row r="351" spans="2:40">
      <c r="B351" s="43" t="str">
        <f t="shared" si="5"/>
        <v>Asset 63</v>
      </c>
      <c r="F351" s="43" t="str">
        <f t="shared" ref="F351:L351" si="90">F103</f>
        <v>09 Bedrijfsinventaris</v>
      </c>
      <c r="G351" s="43">
        <f t="shared" si="90"/>
        <v>1994</v>
      </c>
      <c r="H351" s="58">
        <f t="shared" si="90"/>
        <v>5646696.2199999997</v>
      </c>
      <c r="I351" s="43">
        <f t="shared" si="90"/>
        <v>2021</v>
      </c>
      <c r="J351" s="58">
        <f t="shared" si="90"/>
        <v>10</v>
      </c>
      <c r="K351" s="188">
        <f t="shared" si="90"/>
        <v>1</v>
      </c>
      <c r="L351" s="58">
        <f t="shared" si="90"/>
        <v>0</v>
      </c>
      <c r="N351" s="49">
        <f t="shared" si="25"/>
        <v>0</v>
      </c>
      <c r="P351" s="44">
        <f t="shared" si="7"/>
        <v>0</v>
      </c>
      <c r="R351" s="49">
        <f t="shared" si="81"/>
        <v>0</v>
      </c>
      <c r="S351" s="49">
        <f t="shared" si="81"/>
        <v>0</v>
      </c>
      <c r="T351" s="49">
        <f t="shared" si="81"/>
        <v>0</v>
      </c>
      <c r="U351" s="49">
        <f t="shared" si="81"/>
        <v>0</v>
      </c>
      <c r="V351" s="49">
        <f t="shared" si="81"/>
        <v>0</v>
      </c>
      <c r="X351" s="49">
        <f t="shared" si="82"/>
        <v>0</v>
      </c>
      <c r="Y351" s="49">
        <f t="shared" si="82"/>
        <v>0</v>
      </c>
      <c r="Z351" s="49">
        <f t="shared" si="82"/>
        <v>0</v>
      </c>
      <c r="AA351" s="49">
        <f t="shared" si="82"/>
        <v>0</v>
      </c>
      <c r="AB351" s="49">
        <f t="shared" si="82"/>
        <v>0</v>
      </c>
      <c r="AD351" s="49">
        <f t="shared" si="26"/>
        <v>0</v>
      </c>
      <c r="AE351" s="49">
        <f t="shared" si="27"/>
        <v>0</v>
      </c>
      <c r="AF351" s="49">
        <f t="shared" si="28"/>
        <v>0</v>
      </c>
      <c r="AG351" s="49">
        <f t="shared" si="29"/>
        <v>0</v>
      </c>
      <c r="AH351" s="49">
        <f t="shared" si="30"/>
        <v>0</v>
      </c>
      <c r="AJ351" s="49">
        <f t="shared" si="13"/>
        <v>0</v>
      </c>
      <c r="AK351" s="49">
        <f t="shared" si="14"/>
        <v>0</v>
      </c>
      <c r="AL351" s="49">
        <f t="shared" si="15"/>
        <v>0</v>
      </c>
      <c r="AM351" s="49">
        <f t="shared" si="16"/>
        <v>0</v>
      </c>
      <c r="AN351" s="49">
        <f t="shared" si="17"/>
        <v>0</v>
      </c>
    </row>
    <row r="352" spans="2:40">
      <c r="B352" s="43" t="str">
        <f t="shared" si="5"/>
        <v>Asset 64</v>
      </c>
      <c r="F352" s="43" t="str">
        <f t="shared" ref="F352:L352" si="91">F104</f>
        <v>06 Utiliteitsgebouwen</v>
      </c>
      <c r="G352" s="43">
        <f t="shared" si="91"/>
        <v>1994</v>
      </c>
      <c r="H352" s="58">
        <f t="shared" si="91"/>
        <v>326095.09000000003</v>
      </c>
      <c r="I352" s="43">
        <f t="shared" si="91"/>
        <v>2021</v>
      </c>
      <c r="J352" s="58">
        <f t="shared" si="91"/>
        <v>30</v>
      </c>
      <c r="K352" s="188">
        <f t="shared" si="91"/>
        <v>0</v>
      </c>
      <c r="L352" s="58">
        <f t="shared" si="91"/>
        <v>45606.0937185246</v>
      </c>
      <c r="N352" s="49">
        <f t="shared" si="25"/>
        <v>45606.0937185246</v>
      </c>
      <c r="P352" s="44">
        <f t="shared" si="7"/>
        <v>2.5</v>
      </c>
      <c r="R352" s="49">
        <f t="shared" si="81"/>
        <v>21343.651860269514</v>
      </c>
      <c r="S352" s="49">
        <f t="shared" si="81"/>
        <v>13134.554990935087</v>
      </c>
      <c r="T352" s="49">
        <f t="shared" si="81"/>
        <v>6567.2774954675433</v>
      </c>
      <c r="U352" s="49">
        <f t="shared" si="81"/>
        <v>0</v>
      </c>
      <c r="V352" s="49">
        <f t="shared" si="81"/>
        <v>0</v>
      </c>
      <c r="X352" s="49">
        <f t="shared" si="82"/>
        <v>1824.2437487409841</v>
      </c>
      <c r="Y352" s="49">
        <f t="shared" si="82"/>
        <v>1824.2437487409836</v>
      </c>
      <c r="Z352" s="49">
        <f t="shared" si="82"/>
        <v>912.12187437049181</v>
      </c>
      <c r="AA352" s="49">
        <f t="shared" si="82"/>
        <v>0</v>
      </c>
      <c r="AB352" s="49">
        <f t="shared" si="82"/>
        <v>0</v>
      </c>
      <c r="AD352" s="49">
        <f t="shared" si="26"/>
        <v>22438.198109514102</v>
      </c>
      <c r="AE352" s="49">
        <f t="shared" si="27"/>
        <v>7479.3993698380318</v>
      </c>
      <c r="AF352" s="49">
        <f t="shared" si="28"/>
        <v>-3.2969182939268649E-12</v>
      </c>
      <c r="AG352" s="49">
        <f t="shared" si="29"/>
        <v>0</v>
      </c>
      <c r="AH352" s="49">
        <f t="shared" si="30"/>
        <v>0</v>
      </c>
      <c r="AJ352" s="49">
        <f t="shared" si="13"/>
        <v>23863.479750405437</v>
      </c>
      <c r="AK352" s="49">
        <f t="shared" si="14"/>
        <v>15183.180720771212</v>
      </c>
      <c r="AL352" s="49">
        <f t="shared" si="15"/>
        <v>7479.3993698380355</v>
      </c>
      <c r="AM352" s="49">
        <f t="shared" si="16"/>
        <v>0</v>
      </c>
      <c r="AN352" s="49">
        <f t="shared" si="17"/>
        <v>0</v>
      </c>
    </row>
    <row r="353" spans="2:40">
      <c r="B353" s="43" t="str">
        <f t="shared" si="5"/>
        <v>Asset 65</v>
      </c>
      <c r="F353" s="43" t="str">
        <f t="shared" ref="F353:L353" si="92">F105</f>
        <v>05 Wegen en terreinvoorzieningen</v>
      </c>
      <c r="G353" s="43">
        <f t="shared" si="92"/>
        <v>1993</v>
      </c>
      <c r="H353" s="58">
        <f t="shared" si="92"/>
        <v>174007.47</v>
      </c>
      <c r="I353" s="43">
        <f t="shared" si="92"/>
        <v>2021</v>
      </c>
      <c r="J353" s="58">
        <f t="shared" si="92"/>
        <v>10</v>
      </c>
      <c r="K353" s="188">
        <f t="shared" si="92"/>
        <v>0</v>
      </c>
      <c r="L353" s="58">
        <f t="shared" si="92"/>
        <v>0</v>
      </c>
      <c r="N353" s="49">
        <f t="shared" si="25"/>
        <v>0</v>
      </c>
      <c r="P353" s="44">
        <f t="shared" si="7"/>
        <v>0</v>
      </c>
      <c r="R353" s="49">
        <f t="shared" si="81"/>
        <v>0</v>
      </c>
      <c r="S353" s="49">
        <f t="shared" si="81"/>
        <v>0</v>
      </c>
      <c r="T353" s="49">
        <f t="shared" si="81"/>
        <v>0</v>
      </c>
      <c r="U353" s="49">
        <f t="shared" si="81"/>
        <v>0</v>
      </c>
      <c r="V353" s="49">
        <f t="shared" si="81"/>
        <v>0</v>
      </c>
      <c r="X353" s="49">
        <f t="shared" si="82"/>
        <v>0</v>
      </c>
      <c r="Y353" s="49">
        <f t="shared" si="82"/>
        <v>0</v>
      </c>
      <c r="Z353" s="49">
        <f t="shared" si="82"/>
        <v>0</v>
      </c>
      <c r="AA353" s="49">
        <f t="shared" si="82"/>
        <v>0</v>
      </c>
      <c r="AB353" s="49">
        <f t="shared" si="82"/>
        <v>0</v>
      </c>
      <c r="AD353" s="49">
        <f t="shared" si="26"/>
        <v>0</v>
      </c>
      <c r="AE353" s="49">
        <f t="shared" si="27"/>
        <v>0</v>
      </c>
      <c r="AF353" s="49">
        <f t="shared" si="28"/>
        <v>0</v>
      </c>
      <c r="AG353" s="49">
        <f t="shared" si="29"/>
        <v>0</v>
      </c>
      <c r="AH353" s="49">
        <f t="shared" si="30"/>
        <v>0</v>
      </c>
      <c r="AJ353" s="49">
        <f t="shared" si="13"/>
        <v>0</v>
      </c>
      <c r="AK353" s="49">
        <f t="shared" si="14"/>
        <v>0</v>
      </c>
      <c r="AL353" s="49">
        <f t="shared" si="15"/>
        <v>0</v>
      </c>
      <c r="AM353" s="49">
        <f t="shared" si="16"/>
        <v>0</v>
      </c>
      <c r="AN353" s="49">
        <f t="shared" si="17"/>
        <v>0</v>
      </c>
    </row>
    <row r="354" spans="2:40">
      <c r="B354" s="43" t="str">
        <f t="shared" ref="B354:B417" si="93">B106</f>
        <v>Asset 66</v>
      </c>
      <c r="F354" s="43" t="str">
        <f t="shared" ref="F354:L354" si="94">F106</f>
        <v>20 Kantoorgebouwen</v>
      </c>
      <c r="G354" s="43">
        <f t="shared" si="94"/>
        <v>1991</v>
      </c>
      <c r="H354" s="58">
        <f t="shared" si="94"/>
        <v>475302.12</v>
      </c>
      <c r="I354" s="43">
        <f t="shared" si="94"/>
        <v>2021</v>
      </c>
      <c r="J354" s="58">
        <f t="shared" si="94"/>
        <v>30</v>
      </c>
      <c r="K354" s="188">
        <f t="shared" si="94"/>
        <v>0</v>
      </c>
      <c r="L354" s="58">
        <f t="shared" si="94"/>
        <v>0</v>
      </c>
      <c r="N354" s="49">
        <f t="shared" si="25"/>
        <v>0</v>
      </c>
      <c r="P354" s="44">
        <f t="shared" ref="P354:P417" si="95">MAX(0,IF(G354&lt;=2021, J354-2021+G354-0.5,J354))</f>
        <v>0</v>
      </c>
      <c r="R354" s="49">
        <f t="shared" si="81"/>
        <v>0</v>
      </c>
      <c r="S354" s="49">
        <f t="shared" si="81"/>
        <v>0</v>
      </c>
      <c r="T354" s="49">
        <f t="shared" si="81"/>
        <v>0</v>
      </c>
      <c r="U354" s="49">
        <f t="shared" si="81"/>
        <v>0</v>
      </c>
      <c r="V354" s="49">
        <f t="shared" si="81"/>
        <v>0</v>
      </c>
      <c r="X354" s="49">
        <f t="shared" si="82"/>
        <v>0</v>
      </c>
      <c r="Y354" s="49">
        <f t="shared" si="82"/>
        <v>0</v>
      </c>
      <c r="Z354" s="49">
        <f t="shared" si="82"/>
        <v>0</v>
      </c>
      <c r="AA354" s="49">
        <f t="shared" si="82"/>
        <v>0</v>
      </c>
      <c r="AB354" s="49">
        <f t="shared" si="82"/>
        <v>0</v>
      </c>
      <c r="AD354" s="49">
        <f t="shared" si="26"/>
        <v>0</v>
      </c>
      <c r="AE354" s="49">
        <f t="shared" si="27"/>
        <v>0</v>
      </c>
      <c r="AF354" s="49">
        <f t="shared" si="28"/>
        <v>0</v>
      </c>
      <c r="AG354" s="49">
        <f t="shared" si="29"/>
        <v>0</v>
      </c>
      <c r="AH354" s="49">
        <f t="shared" si="30"/>
        <v>0</v>
      </c>
      <c r="AJ354" s="49">
        <f t="shared" ref="AJ354:AJ417" si="96">(R354+X354+AD354*I$16)*IF($K354=1,$F$19,1)</f>
        <v>0</v>
      </c>
      <c r="AK354" s="49">
        <f t="shared" ref="AK354:AK417" si="97">(S354+Y354+AE354*J$16)*IF($K354=1,$F$19,1)</f>
        <v>0</v>
      </c>
      <c r="AL354" s="49">
        <f t="shared" ref="AL354:AL417" si="98">(T354+Z354+AF354*K$16)*IF($K354=1,$F$19,1)</f>
        <v>0</v>
      </c>
      <c r="AM354" s="49">
        <f t="shared" ref="AM354:AM417" si="99">(U354+AA354+AG354*L$16)*IF($K354=1,$F$19,1)</f>
        <v>0</v>
      </c>
      <c r="AN354" s="49">
        <f t="shared" ref="AN354:AN417" si="100">(V354+AB354+AH354*M$16)*IF($K354=1,$F$19,1)</f>
        <v>0</v>
      </c>
    </row>
    <row r="355" spans="2:40">
      <c r="B355" s="43" t="str">
        <f t="shared" si="93"/>
        <v>Asset 67</v>
      </c>
      <c r="F355" s="43" t="str">
        <f t="shared" ref="F355:L355" si="101">F107</f>
        <v>08 Inrichting gebouwen</v>
      </c>
      <c r="G355" s="43">
        <f t="shared" si="101"/>
        <v>1995</v>
      </c>
      <c r="H355" s="58">
        <f t="shared" si="101"/>
        <v>365539.92999999993</v>
      </c>
      <c r="I355" s="43">
        <f t="shared" si="101"/>
        <v>2021</v>
      </c>
      <c r="J355" s="58">
        <f t="shared" si="101"/>
        <v>10</v>
      </c>
      <c r="K355" s="188">
        <f t="shared" si="101"/>
        <v>0</v>
      </c>
      <c r="L355" s="58">
        <f t="shared" si="101"/>
        <v>0</v>
      </c>
      <c r="N355" s="49">
        <f t="shared" si="25"/>
        <v>0</v>
      </c>
      <c r="P355" s="44">
        <f t="shared" si="95"/>
        <v>0</v>
      </c>
      <c r="R355" s="49">
        <f t="shared" si="81"/>
        <v>0</v>
      </c>
      <c r="S355" s="49">
        <f t="shared" si="81"/>
        <v>0</v>
      </c>
      <c r="T355" s="49">
        <f t="shared" si="81"/>
        <v>0</v>
      </c>
      <c r="U355" s="49">
        <f t="shared" si="81"/>
        <v>0</v>
      </c>
      <c r="V355" s="49">
        <f t="shared" si="81"/>
        <v>0</v>
      </c>
      <c r="X355" s="49">
        <f t="shared" si="82"/>
        <v>0</v>
      </c>
      <c r="Y355" s="49">
        <f t="shared" si="82"/>
        <v>0</v>
      </c>
      <c r="Z355" s="49">
        <f t="shared" si="82"/>
        <v>0</v>
      </c>
      <c r="AA355" s="49">
        <f t="shared" si="82"/>
        <v>0</v>
      </c>
      <c r="AB355" s="49">
        <f t="shared" si="82"/>
        <v>0</v>
      </c>
      <c r="AD355" s="49">
        <f t="shared" si="26"/>
        <v>0</v>
      </c>
      <c r="AE355" s="49">
        <f t="shared" si="27"/>
        <v>0</v>
      </c>
      <c r="AF355" s="49">
        <f t="shared" si="28"/>
        <v>0</v>
      </c>
      <c r="AG355" s="49">
        <f t="shared" si="29"/>
        <v>0</v>
      </c>
      <c r="AH355" s="49">
        <f t="shared" si="30"/>
        <v>0</v>
      </c>
      <c r="AJ355" s="49">
        <f t="shared" si="96"/>
        <v>0</v>
      </c>
      <c r="AK355" s="49">
        <f t="shared" si="97"/>
        <v>0</v>
      </c>
      <c r="AL355" s="49">
        <f t="shared" si="98"/>
        <v>0</v>
      </c>
      <c r="AM355" s="49">
        <f t="shared" si="99"/>
        <v>0</v>
      </c>
      <c r="AN355" s="49">
        <f t="shared" si="100"/>
        <v>0</v>
      </c>
    </row>
    <row r="356" spans="2:40">
      <c r="B356" s="43" t="str">
        <f t="shared" si="93"/>
        <v>Asset 68</v>
      </c>
      <c r="F356" s="43" t="str">
        <f t="shared" ref="F356:L356" si="102">F108</f>
        <v>08 Inrichting gebouwen</v>
      </c>
      <c r="G356" s="43">
        <f t="shared" si="102"/>
        <v>1994</v>
      </c>
      <c r="H356" s="58">
        <f t="shared" si="102"/>
        <v>6615395.4499999993</v>
      </c>
      <c r="I356" s="43">
        <f t="shared" si="102"/>
        <v>2021</v>
      </c>
      <c r="J356" s="58">
        <f t="shared" si="102"/>
        <v>10</v>
      </c>
      <c r="K356" s="188">
        <f t="shared" si="102"/>
        <v>0</v>
      </c>
      <c r="L356" s="58">
        <f t="shared" si="102"/>
        <v>0</v>
      </c>
      <c r="N356" s="49">
        <f t="shared" si="25"/>
        <v>0</v>
      </c>
      <c r="P356" s="44">
        <f t="shared" si="95"/>
        <v>0</v>
      </c>
      <c r="R356" s="49">
        <f t="shared" si="81"/>
        <v>0</v>
      </c>
      <c r="S356" s="49">
        <f t="shared" si="81"/>
        <v>0</v>
      </c>
      <c r="T356" s="49">
        <f t="shared" si="81"/>
        <v>0</v>
      </c>
      <c r="U356" s="49">
        <f t="shared" si="81"/>
        <v>0</v>
      </c>
      <c r="V356" s="49">
        <f t="shared" si="81"/>
        <v>0</v>
      </c>
      <c r="X356" s="49">
        <f t="shared" si="82"/>
        <v>0</v>
      </c>
      <c r="Y356" s="49">
        <f t="shared" si="82"/>
        <v>0</v>
      </c>
      <c r="Z356" s="49">
        <f t="shared" si="82"/>
        <v>0</v>
      </c>
      <c r="AA356" s="49">
        <f t="shared" si="82"/>
        <v>0</v>
      </c>
      <c r="AB356" s="49">
        <f t="shared" si="82"/>
        <v>0</v>
      </c>
      <c r="AD356" s="49">
        <f t="shared" si="26"/>
        <v>0</v>
      </c>
      <c r="AE356" s="49">
        <f t="shared" si="27"/>
        <v>0</v>
      </c>
      <c r="AF356" s="49">
        <f t="shared" si="28"/>
        <v>0</v>
      </c>
      <c r="AG356" s="49">
        <f t="shared" si="29"/>
        <v>0</v>
      </c>
      <c r="AH356" s="49">
        <f t="shared" si="30"/>
        <v>0</v>
      </c>
      <c r="AJ356" s="49">
        <f t="shared" si="96"/>
        <v>0</v>
      </c>
      <c r="AK356" s="49">
        <f t="shared" si="97"/>
        <v>0</v>
      </c>
      <c r="AL356" s="49">
        <f t="shared" si="98"/>
        <v>0</v>
      </c>
      <c r="AM356" s="49">
        <f t="shared" si="99"/>
        <v>0</v>
      </c>
      <c r="AN356" s="49">
        <f t="shared" si="100"/>
        <v>0</v>
      </c>
    </row>
    <row r="357" spans="2:40">
      <c r="B357" s="43" t="str">
        <f t="shared" si="93"/>
        <v>Asset 69</v>
      </c>
      <c r="F357" s="43" t="str">
        <f t="shared" ref="F357:L357" si="103">F109</f>
        <v>20 Kantoorgebouwen</v>
      </c>
      <c r="G357" s="43">
        <f t="shared" si="103"/>
        <v>1998</v>
      </c>
      <c r="H357" s="58">
        <f t="shared" si="103"/>
        <v>789493.11</v>
      </c>
      <c r="I357" s="43">
        <f t="shared" si="103"/>
        <v>2021</v>
      </c>
      <c r="J357" s="58">
        <f t="shared" si="103"/>
        <v>30</v>
      </c>
      <c r="K357" s="188">
        <f t="shared" si="103"/>
        <v>0</v>
      </c>
      <c r="L357" s="58">
        <f t="shared" si="103"/>
        <v>263672.8175889462</v>
      </c>
      <c r="N357" s="49">
        <f t="shared" ref="N357:N420" si="104">L357*IF(K357=1,$F$19,1)</f>
        <v>263672.8175889462</v>
      </c>
      <c r="P357" s="44">
        <f t="shared" si="95"/>
        <v>6.5</v>
      </c>
      <c r="R357" s="49">
        <f t="shared" si="81"/>
        <v>47461.107166010319</v>
      </c>
      <c r="S357" s="49">
        <f t="shared" si="81"/>
        <v>37968.885732808259</v>
      </c>
      <c r="T357" s="49">
        <f t="shared" si="81"/>
        <v>33750.120651385114</v>
      </c>
      <c r="U357" s="49">
        <f t="shared" si="81"/>
        <v>33750.120651385114</v>
      </c>
      <c r="V357" s="49">
        <f t="shared" si="81"/>
        <v>33750.120651385114</v>
      </c>
      <c r="X357" s="49">
        <f t="shared" si="82"/>
        <v>4056.504885983788</v>
      </c>
      <c r="Y357" s="49">
        <f t="shared" si="82"/>
        <v>4056.5048859837875</v>
      </c>
      <c r="Z357" s="49">
        <f t="shared" si="82"/>
        <v>4056.5048859837875</v>
      </c>
      <c r="AA357" s="49">
        <f t="shared" si="82"/>
        <v>4056.5048859837875</v>
      </c>
      <c r="AB357" s="49">
        <f t="shared" si="82"/>
        <v>4056.5048859837875</v>
      </c>
      <c r="AD357" s="49">
        <f t="shared" ref="AD357:AD420" si="105">IF(OR(AD$287&lt;=$G357+$J357,$J357=0),IF(AC357=0,$L357,AC357)-R357-X357,0)</f>
        <v>212155.2055369521</v>
      </c>
      <c r="AE357" s="49">
        <f t="shared" ref="AE357:AE420" si="106">IF(OR(AE$287&lt;=$G357+$J357,$J357=0),IF(AD357=0,$L357,AD357)-S357-Y357,0)</f>
        <v>170129.81491816003</v>
      </c>
      <c r="AF357" s="49">
        <f t="shared" ref="AF357:AF420" si="107">IF(OR(AF$287&lt;=$G357+$J357,$J357=0),IF(AE357=0,$L357,AE357)-T357-Z357,0)</f>
        <v>132323.18938079113</v>
      </c>
      <c r="AG357" s="49">
        <f t="shared" ref="AG357:AG420" si="108">IF(OR(AG$287&lt;=$G357+$J357,$J357=0),IF(AF357=0,$L357,AF357)-U357-AA357,0)</f>
        <v>94516.563843422235</v>
      </c>
      <c r="AH357" s="49">
        <f t="shared" ref="AH357:AH420" si="109">IF(OR(AH$287&lt;=$G357+$J357,$J357=0),IF(AG357=0,$L357,AG357)-V357-AB357,0)</f>
        <v>56709.938306053336</v>
      </c>
      <c r="AJ357" s="49">
        <f t="shared" si="96"/>
        <v>58094.423423639615</v>
      </c>
      <c r="AK357" s="49">
        <f t="shared" si="97"/>
        <v>47129.285066336844</v>
      </c>
      <c r="AL357" s="49">
        <f t="shared" si="98"/>
        <v>41776.321218792633</v>
      </c>
      <c r="AM357" s="49">
        <f t="shared" si="99"/>
        <v>40642.122452671567</v>
      </c>
      <c r="AN357" s="49">
        <f t="shared" si="100"/>
        <v>39507.923686550501</v>
      </c>
    </row>
    <row r="358" spans="2:40">
      <c r="B358" s="43" t="str">
        <f t="shared" si="93"/>
        <v>Asset 70</v>
      </c>
      <c r="F358" s="43" t="str">
        <f t="shared" ref="F358:L358" si="110">F110</f>
        <v>20 Kantoorgebouwen</v>
      </c>
      <c r="G358" s="43">
        <f t="shared" si="110"/>
        <v>1995</v>
      </c>
      <c r="H358" s="58">
        <f t="shared" si="110"/>
        <v>93310335.520000011</v>
      </c>
      <c r="I358" s="43">
        <f t="shared" si="110"/>
        <v>2021</v>
      </c>
      <c r="J358" s="58">
        <f t="shared" si="110"/>
        <v>30</v>
      </c>
      <c r="K358" s="188">
        <f t="shared" si="110"/>
        <v>0</v>
      </c>
      <c r="L358" s="58">
        <f t="shared" si="110"/>
        <v>17806929.596040629</v>
      </c>
      <c r="N358" s="49">
        <f t="shared" si="104"/>
        <v>17806929.596040629</v>
      </c>
      <c r="P358" s="44">
        <f t="shared" si="95"/>
        <v>3.5</v>
      </c>
      <c r="R358" s="49">
        <f t="shared" si="81"/>
        <v>5952602.1792478682</v>
      </c>
      <c r="S358" s="49">
        <f t="shared" si="81"/>
        <v>4029453.7828754797</v>
      </c>
      <c r="T358" s="49">
        <f t="shared" si="81"/>
        <v>4029453.7828754797</v>
      </c>
      <c r="U358" s="49">
        <f t="shared" si="81"/>
        <v>2014726.8914377398</v>
      </c>
      <c r="V358" s="49">
        <f t="shared" si="81"/>
        <v>0</v>
      </c>
      <c r="X358" s="49">
        <f t="shared" si="82"/>
        <v>508769.41702973231</v>
      </c>
      <c r="Y358" s="49">
        <f t="shared" si="82"/>
        <v>508769.41702973231</v>
      </c>
      <c r="Z358" s="49">
        <f t="shared" si="82"/>
        <v>508769.41702973231</v>
      </c>
      <c r="AA358" s="49">
        <f t="shared" si="82"/>
        <v>254384.70851486616</v>
      </c>
      <c r="AB358" s="49">
        <f t="shared" si="82"/>
        <v>0</v>
      </c>
      <c r="AD358" s="49">
        <f t="shared" si="105"/>
        <v>11345557.999763029</v>
      </c>
      <c r="AE358" s="49">
        <f t="shared" si="106"/>
        <v>6807334.7998578167</v>
      </c>
      <c r="AF358" s="49">
        <f t="shared" si="107"/>
        <v>2269111.5999526046</v>
      </c>
      <c r="AG358" s="49">
        <f t="shared" si="108"/>
        <v>-1.3678800314664841E-9</v>
      </c>
      <c r="AH358" s="49">
        <f t="shared" si="109"/>
        <v>0</v>
      </c>
      <c r="AJ358" s="49">
        <f t="shared" si="96"/>
        <v>6813083.8942702543</v>
      </c>
      <c r="AK358" s="49">
        <f t="shared" si="97"/>
        <v>4742443.2439009463</v>
      </c>
      <c r="AL358" s="49">
        <f t="shared" si="98"/>
        <v>4606296.5479037901</v>
      </c>
      <c r="AM358" s="49">
        <f t="shared" si="99"/>
        <v>2269111.599952606</v>
      </c>
      <c r="AN358" s="49">
        <f t="shared" si="100"/>
        <v>0</v>
      </c>
    </row>
    <row r="359" spans="2:40">
      <c r="B359" s="43" t="str">
        <f t="shared" si="93"/>
        <v>Asset 71</v>
      </c>
      <c r="F359" s="43" t="str">
        <f t="shared" ref="F359:L359" si="111">F111</f>
        <v>09 Bedrijfsinventaris</v>
      </c>
      <c r="G359" s="43">
        <f t="shared" si="111"/>
        <v>1997</v>
      </c>
      <c r="H359" s="58">
        <f t="shared" si="111"/>
        <v>3767.74</v>
      </c>
      <c r="I359" s="43">
        <f t="shared" si="111"/>
        <v>2021</v>
      </c>
      <c r="J359" s="58">
        <f t="shared" si="111"/>
        <v>10</v>
      </c>
      <c r="K359" s="188">
        <f t="shared" si="111"/>
        <v>1</v>
      </c>
      <c r="L359" s="58">
        <f t="shared" si="111"/>
        <v>0</v>
      </c>
      <c r="N359" s="49">
        <f t="shared" si="104"/>
        <v>0</v>
      </c>
      <c r="P359" s="44">
        <f t="shared" si="95"/>
        <v>0</v>
      </c>
      <c r="R359" s="49">
        <f t="shared" si="81"/>
        <v>0</v>
      </c>
      <c r="S359" s="49">
        <f t="shared" si="81"/>
        <v>0</v>
      </c>
      <c r="T359" s="49">
        <f t="shared" si="81"/>
        <v>0</v>
      </c>
      <c r="U359" s="49">
        <f t="shared" si="81"/>
        <v>0</v>
      </c>
      <c r="V359" s="49">
        <f t="shared" si="81"/>
        <v>0</v>
      </c>
      <c r="X359" s="49">
        <f t="shared" si="82"/>
        <v>0</v>
      </c>
      <c r="Y359" s="49">
        <f t="shared" si="82"/>
        <v>0</v>
      </c>
      <c r="Z359" s="49">
        <f t="shared" si="82"/>
        <v>0</v>
      </c>
      <c r="AA359" s="49">
        <f t="shared" si="82"/>
        <v>0</v>
      </c>
      <c r="AB359" s="49">
        <f t="shared" si="82"/>
        <v>0</v>
      </c>
      <c r="AD359" s="49">
        <f t="shared" si="105"/>
        <v>0</v>
      </c>
      <c r="AE359" s="49">
        <f t="shared" si="106"/>
        <v>0</v>
      </c>
      <c r="AF359" s="49">
        <f t="shared" si="107"/>
        <v>0</v>
      </c>
      <c r="AG359" s="49">
        <f t="shared" si="108"/>
        <v>0</v>
      </c>
      <c r="AH359" s="49">
        <f t="shared" si="109"/>
        <v>0</v>
      </c>
      <c r="AJ359" s="49">
        <f t="shared" si="96"/>
        <v>0</v>
      </c>
      <c r="AK359" s="49">
        <f t="shared" si="97"/>
        <v>0</v>
      </c>
      <c r="AL359" s="49">
        <f t="shared" si="98"/>
        <v>0</v>
      </c>
      <c r="AM359" s="49">
        <f t="shared" si="99"/>
        <v>0</v>
      </c>
      <c r="AN359" s="49">
        <f t="shared" si="100"/>
        <v>0</v>
      </c>
    </row>
    <row r="360" spans="2:40">
      <c r="B360" s="43" t="str">
        <f t="shared" si="93"/>
        <v>Asset 72</v>
      </c>
      <c r="F360" s="43" t="str">
        <f t="shared" ref="F360:L360" si="112">F112</f>
        <v>08 Inrichting gebouwen</v>
      </c>
      <c r="G360" s="43">
        <f t="shared" si="112"/>
        <v>2002</v>
      </c>
      <c r="H360" s="58">
        <f t="shared" si="112"/>
        <v>257167.26</v>
      </c>
      <c r="I360" s="43">
        <f t="shared" si="112"/>
        <v>2021</v>
      </c>
      <c r="J360" s="58">
        <f t="shared" si="112"/>
        <v>10</v>
      </c>
      <c r="K360" s="188">
        <f t="shared" si="112"/>
        <v>0</v>
      </c>
      <c r="L360" s="58">
        <f t="shared" si="112"/>
        <v>0</v>
      </c>
      <c r="N360" s="49">
        <f t="shared" si="104"/>
        <v>0</v>
      </c>
      <c r="P360" s="44">
        <f t="shared" si="95"/>
        <v>0</v>
      </c>
      <c r="R360" s="49">
        <f t="shared" si="81"/>
        <v>0</v>
      </c>
      <c r="S360" s="49">
        <f t="shared" si="81"/>
        <v>0</v>
      </c>
      <c r="T360" s="49">
        <f t="shared" si="81"/>
        <v>0</v>
      </c>
      <c r="U360" s="49">
        <f t="shared" si="81"/>
        <v>0</v>
      </c>
      <c r="V360" s="49">
        <f t="shared" si="81"/>
        <v>0</v>
      </c>
      <c r="X360" s="49">
        <f t="shared" si="82"/>
        <v>0</v>
      </c>
      <c r="Y360" s="49">
        <f t="shared" si="82"/>
        <v>0</v>
      </c>
      <c r="Z360" s="49">
        <f t="shared" si="82"/>
        <v>0</v>
      </c>
      <c r="AA360" s="49">
        <f t="shared" si="82"/>
        <v>0</v>
      </c>
      <c r="AB360" s="49">
        <f t="shared" si="82"/>
        <v>0</v>
      </c>
      <c r="AD360" s="49">
        <f t="shared" si="105"/>
        <v>0</v>
      </c>
      <c r="AE360" s="49">
        <f t="shared" si="106"/>
        <v>0</v>
      </c>
      <c r="AF360" s="49">
        <f t="shared" si="107"/>
        <v>0</v>
      </c>
      <c r="AG360" s="49">
        <f t="shared" si="108"/>
        <v>0</v>
      </c>
      <c r="AH360" s="49">
        <f t="shared" si="109"/>
        <v>0</v>
      </c>
      <c r="AJ360" s="49">
        <f t="shared" si="96"/>
        <v>0</v>
      </c>
      <c r="AK360" s="49">
        <f t="shared" si="97"/>
        <v>0</v>
      </c>
      <c r="AL360" s="49">
        <f t="shared" si="98"/>
        <v>0</v>
      </c>
      <c r="AM360" s="49">
        <f t="shared" si="99"/>
        <v>0</v>
      </c>
      <c r="AN360" s="49">
        <f t="shared" si="100"/>
        <v>0</v>
      </c>
    </row>
    <row r="361" spans="2:40">
      <c r="B361" s="43" t="str">
        <f t="shared" si="93"/>
        <v>Asset 73</v>
      </c>
      <c r="F361" s="43" t="str">
        <f t="shared" ref="F361:L361" si="113">F113</f>
        <v>20 Kantoorgebouwen</v>
      </c>
      <c r="G361" s="43">
        <f t="shared" si="113"/>
        <v>1997</v>
      </c>
      <c r="H361" s="58">
        <f t="shared" si="113"/>
        <v>9956.39</v>
      </c>
      <c r="I361" s="43">
        <f t="shared" si="113"/>
        <v>2021</v>
      </c>
      <c r="J361" s="58">
        <f t="shared" si="113"/>
        <v>30</v>
      </c>
      <c r="K361" s="188">
        <f t="shared" si="113"/>
        <v>0</v>
      </c>
      <c r="L361" s="58">
        <f t="shared" si="113"/>
        <v>2886.7927731398736</v>
      </c>
      <c r="N361" s="49">
        <f t="shared" si="104"/>
        <v>2886.7927731398736</v>
      </c>
      <c r="P361" s="44">
        <f t="shared" si="95"/>
        <v>5.5</v>
      </c>
      <c r="R361" s="49">
        <f t="shared" si="81"/>
        <v>614.09955355884586</v>
      </c>
      <c r="S361" s="49">
        <f t="shared" si="81"/>
        <v>468.94874999039138</v>
      </c>
      <c r="T361" s="49">
        <f t="shared" si="81"/>
        <v>432.8757692218997</v>
      </c>
      <c r="U361" s="49">
        <f t="shared" si="81"/>
        <v>432.8757692218997</v>
      </c>
      <c r="V361" s="49">
        <f t="shared" si="81"/>
        <v>432.8757692218997</v>
      </c>
      <c r="X361" s="49">
        <f t="shared" si="82"/>
        <v>52.487141329815884</v>
      </c>
      <c r="Y361" s="49">
        <f t="shared" si="82"/>
        <v>52.487141329815891</v>
      </c>
      <c r="Z361" s="49">
        <f t="shared" si="82"/>
        <v>52.487141329815891</v>
      </c>
      <c r="AA361" s="49">
        <f t="shared" si="82"/>
        <v>52.487141329815891</v>
      </c>
      <c r="AB361" s="49">
        <f t="shared" si="82"/>
        <v>52.487141329815891</v>
      </c>
      <c r="AD361" s="49">
        <f t="shared" si="105"/>
        <v>2220.2060782512117</v>
      </c>
      <c r="AE361" s="49">
        <f t="shared" si="106"/>
        <v>1698.7701869310044</v>
      </c>
      <c r="AF361" s="49">
        <f t="shared" si="107"/>
        <v>1213.407276379289</v>
      </c>
      <c r="AG361" s="49">
        <f t="shared" si="108"/>
        <v>728.04436582757342</v>
      </c>
      <c r="AH361" s="49">
        <f t="shared" si="109"/>
        <v>242.68145527585781</v>
      </c>
      <c r="AJ361" s="49">
        <f t="shared" si="96"/>
        <v>735.4130833144493</v>
      </c>
      <c r="AK361" s="49">
        <f t="shared" si="97"/>
        <v>572.39899692813742</v>
      </c>
      <c r="AL361" s="49">
        <f t="shared" si="98"/>
        <v>521.7651288430942</v>
      </c>
      <c r="AM361" s="49">
        <f t="shared" si="99"/>
        <v>507.20424152654277</v>
      </c>
      <c r="AN361" s="49">
        <f t="shared" si="100"/>
        <v>492.64335420999129</v>
      </c>
    </row>
    <row r="362" spans="2:40">
      <c r="B362" s="43" t="str">
        <f t="shared" si="93"/>
        <v>Asset 74</v>
      </c>
      <c r="F362" s="43" t="str">
        <f t="shared" ref="F362:L362" si="114">F114</f>
        <v>09 Bedrijfsinventaris</v>
      </c>
      <c r="G362" s="43">
        <f t="shared" si="114"/>
        <v>2002</v>
      </c>
      <c r="H362" s="58">
        <f t="shared" si="114"/>
        <v>259859.76</v>
      </c>
      <c r="I362" s="43">
        <f t="shared" si="114"/>
        <v>2021</v>
      </c>
      <c r="J362" s="58">
        <f t="shared" si="114"/>
        <v>10</v>
      </c>
      <c r="K362" s="188">
        <f t="shared" si="114"/>
        <v>1</v>
      </c>
      <c r="L362" s="58">
        <f t="shared" si="114"/>
        <v>0</v>
      </c>
      <c r="N362" s="49">
        <f t="shared" si="104"/>
        <v>0</v>
      </c>
      <c r="P362" s="44">
        <f t="shared" si="95"/>
        <v>0</v>
      </c>
      <c r="R362" s="49">
        <f t="shared" si="81"/>
        <v>0</v>
      </c>
      <c r="S362" s="49">
        <f t="shared" si="81"/>
        <v>0</v>
      </c>
      <c r="T362" s="49">
        <f t="shared" si="81"/>
        <v>0</v>
      </c>
      <c r="U362" s="49">
        <f t="shared" si="81"/>
        <v>0</v>
      </c>
      <c r="V362" s="49">
        <f t="shared" si="81"/>
        <v>0</v>
      </c>
      <c r="X362" s="49">
        <f t="shared" si="82"/>
        <v>0</v>
      </c>
      <c r="Y362" s="49">
        <f t="shared" si="82"/>
        <v>0</v>
      </c>
      <c r="Z362" s="49">
        <f t="shared" si="82"/>
        <v>0</v>
      </c>
      <c r="AA362" s="49">
        <f t="shared" si="82"/>
        <v>0</v>
      </c>
      <c r="AB362" s="49">
        <f t="shared" si="82"/>
        <v>0</v>
      </c>
      <c r="AD362" s="49">
        <f t="shared" si="105"/>
        <v>0</v>
      </c>
      <c r="AE362" s="49">
        <f t="shared" si="106"/>
        <v>0</v>
      </c>
      <c r="AF362" s="49">
        <f t="shared" si="107"/>
        <v>0</v>
      </c>
      <c r="AG362" s="49">
        <f t="shared" si="108"/>
        <v>0</v>
      </c>
      <c r="AH362" s="49">
        <f t="shared" si="109"/>
        <v>0</v>
      </c>
      <c r="AJ362" s="49">
        <f t="shared" si="96"/>
        <v>0</v>
      </c>
      <c r="AK362" s="49">
        <f t="shared" si="97"/>
        <v>0</v>
      </c>
      <c r="AL362" s="49">
        <f t="shared" si="98"/>
        <v>0</v>
      </c>
      <c r="AM362" s="49">
        <f t="shared" si="99"/>
        <v>0</v>
      </c>
      <c r="AN362" s="49">
        <f t="shared" si="100"/>
        <v>0</v>
      </c>
    </row>
    <row r="363" spans="2:40">
      <c r="B363" s="43" t="str">
        <f t="shared" si="93"/>
        <v>Asset 75</v>
      </c>
      <c r="F363" s="43" t="str">
        <f t="shared" ref="F363:L363" si="115">F115</f>
        <v>37 ICT middelen 1</v>
      </c>
      <c r="G363" s="43">
        <f t="shared" si="115"/>
        <v>1998</v>
      </c>
      <c r="H363" s="58">
        <f t="shared" si="115"/>
        <v>194674.43</v>
      </c>
      <c r="I363" s="43">
        <f t="shared" si="115"/>
        <v>2021</v>
      </c>
      <c r="J363" s="58">
        <f t="shared" si="115"/>
        <v>5</v>
      </c>
      <c r="K363" s="188">
        <f t="shared" si="115"/>
        <v>1</v>
      </c>
      <c r="L363" s="58">
        <f t="shared" si="115"/>
        <v>0</v>
      </c>
      <c r="N363" s="49">
        <f t="shared" si="104"/>
        <v>0</v>
      </c>
      <c r="P363" s="44">
        <f t="shared" si="95"/>
        <v>0</v>
      </c>
      <c r="R363" s="49">
        <f t="shared" si="81"/>
        <v>0</v>
      </c>
      <c r="S363" s="49">
        <f t="shared" si="81"/>
        <v>0</v>
      </c>
      <c r="T363" s="49">
        <f t="shared" si="81"/>
        <v>0</v>
      </c>
      <c r="U363" s="49">
        <f t="shared" si="81"/>
        <v>0</v>
      </c>
      <c r="V363" s="49">
        <f t="shared" si="81"/>
        <v>0</v>
      </c>
      <c r="X363" s="49">
        <f t="shared" si="82"/>
        <v>0</v>
      </c>
      <c r="Y363" s="49">
        <f t="shared" si="82"/>
        <v>0</v>
      </c>
      <c r="Z363" s="49">
        <f t="shared" si="82"/>
        <v>0</v>
      </c>
      <c r="AA363" s="49">
        <f t="shared" si="82"/>
        <v>0</v>
      </c>
      <c r="AB363" s="49">
        <f t="shared" si="82"/>
        <v>0</v>
      </c>
      <c r="AD363" s="49">
        <f t="shared" si="105"/>
        <v>0</v>
      </c>
      <c r="AE363" s="49">
        <f t="shared" si="106"/>
        <v>0</v>
      </c>
      <c r="AF363" s="49">
        <f t="shared" si="107"/>
        <v>0</v>
      </c>
      <c r="AG363" s="49">
        <f t="shared" si="108"/>
        <v>0</v>
      </c>
      <c r="AH363" s="49">
        <f t="shared" si="109"/>
        <v>0</v>
      </c>
      <c r="AJ363" s="49">
        <f t="shared" si="96"/>
        <v>0</v>
      </c>
      <c r="AK363" s="49">
        <f t="shared" si="97"/>
        <v>0</v>
      </c>
      <c r="AL363" s="49">
        <f t="shared" si="98"/>
        <v>0</v>
      </c>
      <c r="AM363" s="49">
        <f t="shared" si="99"/>
        <v>0</v>
      </c>
      <c r="AN363" s="49">
        <f t="shared" si="100"/>
        <v>0</v>
      </c>
    </row>
    <row r="364" spans="2:40">
      <c r="B364" s="43" t="str">
        <f t="shared" si="93"/>
        <v>Asset 76</v>
      </c>
      <c r="F364" s="43" t="str">
        <f t="shared" ref="F364:L364" si="116">F116</f>
        <v>13 Aanhangwagens</v>
      </c>
      <c r="G364" s="43">
        <f t="shared" si="116"/>
        <v>2000</v>
      </c>
      <c r="H364" s="58">
        <f t="shared" si="116"/>
        <v>5437.76</v>
      </c>
      <c r="I364" s="43">
        <f t="shared" si="116"/>
        <v>2021</v>
      </c>
      <c r="J364" s="58">
        <f t="shared" si="116"/>
        <v>10</v>
      </c>
      <c r="K364" s="188">
        <f t="shared" si="116"/>
        <v>1</v>
      </c>
      <c r="L364" s="58">
        <f t="shared" si="116"/>
        <v>0</v>
      </c>
      <c r="N364" s="49">
        <f t="shared" si="104"/>
        <v>0</v>
      </c>
      <c r="P364" s="44">
        <f t="shared" si="95"/>
        <v>0</v>
      </c>
      <c r="R364" s="49">
        <f t="shared" si="81"/>
        <v>0</v>
      </c>
      <c r="S364" s="49">
        <f t="shared" si="81"/>
        <v>0</v>
      </c>
      <c r="T364" s="49">
        <f t="shared" si="81"/>
        <v>0</v>
      </c>
      <c r="U364" s="49">
        <f t="shared" si="81"/>
        <v>0</v>
      </c>
      <c r="V364" s="49">
        <f t="shared" si="81"/>
        <v>0</v>
      </c>
      <c r="X364" s="49">
        <f t="shared" si="82"/>
        <v>0</v>
      </c>
      <c r="Y364" s="49">
        <f t="shared" si="82"/>
        <v>0</v>
      </c>
      <c r="Z364" s="49">
        <f t="shared" si="82"/>
        <v>0</v>
      </c>
      <c r="AA364" s="49">
        <f t="shared" si="82"/>
        <v>0</v>
      </c>
      <c r="AB364" s="49">
        <f t="shared" si="82"/>
        <v>0</v>
      </c>
      <c r="AD364" s="49">
        <f t="shared" si="105"/>
        <v>0</v>
      </c>
      <c r="AE364" s="49">
        <f t="shared" si="106"/>
        <v>0</v>
      </c>
      <c r="AF364" s="49">
        <f t="shared" si="107"/>
        <v>0</v>
      </c>
      <c r="AG364" s="49">
        <f t="shared" si="108"/>
        <v>0</v>
      </c>
      <c r="AH364" s="49">
        <f t="shared" si="109"/>
        <v>0</v>
      </c>
      <c r="AJ364" s="49">
        <f t="shared" si="96"/>
        <v>0</v>
      </c>
      <c r="AK364" s="49">
        <f t="shared" si="97"/>
        <v>0</v>
      </c>
      <c r="AL364" s="49">
        <f t="shared" si="98"/>
        <v>0</v>
      </c>
      <c r="AM364" s="49">
        <f t="shared" si="99"/>
        <v>0</v>
      </c>
      <c r="AN364" s="49">
        <f t="shared" si="100"/>
        <v>0</v>
      </c>
    </row>
    <row r="365" spans="2:40">
      <c r="B365" s="43" t="str">
        <f t="shared" si="93"/>
        <v>Asset 77</v>
      </c>
      <c r="F365" s="43" t="str">
        <f t="shared" ref="F365:L365" si="117">F117</f>
        <v>09 Bedrijfsinventaris</v>
      </c>
      <c r="G365" s="43">
        <f t="shared" si="117"/>
        <v>1998</v>
      </c>
      <c r="H365" s="58">
        <f t="shared" si="117"/>
        <v>159402.09</v>
      </c>
      <c r="I365" s="43">
        <f t="shared" si="117"/>
        <v>2021</v>
      </c>
      <c r="J365" s="58">
        <f t="shared" si="117"/>
        <v>10</v>
      </c>
      <c r="K365" s="188">
        <f t="shared" si="117"/>
        <v>1</v>
      </c>
      <c r="L365" s="58">
        <f t="shared" si="117"/>
        <v>0</v>
      </c>
      <c r="N365" s="49">
        <f t="shared" si="104"/>
        <v>0</v>
      </c>
      <c r="P365" s="44">
        <f t="shared" si="95"/>
        <v>0</v>
      </c>
      <c r="R365" s="49">
        <f t="shared" si="81"/>
        <v>0</v>
      </c>
      <c r="S365" s="49">
        <f t="shared" si="81"/>
        <v>0</v>
      </c>
      <c r="T365" s="49">
        <f t="shared" si="81"/>
        <v>0</v>
      </c>
      <c r="U365" s="49">
        <f t="shared" si="81"/>
        <v>0</v>
      </c>
      <c r="V365" s="49">
        <f t="shared" si="81"/>
        <v>0</v>
      </c>
      <c r="X365" s="49">
        <f t="shared" si="82"/>
        <v>0</v>
      </c>
      <c r="Y365" s="49">
        <f t="shared" si="82"/>
        <v>0</v>
      </c>
      <c r="Z365" s="49">
        <f t="shared" si="82"/>
        <v>0</v>
      </c>
      <c r="AA365" s="49">
        <f t="shared" si="82"/>
        <v>0</v>
      </c>
      <c r="AB365" s="49">
        <f t="shared" si="82"/>
        <v>0</v>
      </c>
      <c r="AD365" s="49">
        <f t="shared" si="105"/>
        <v>0</v>
      </c>
      <c r="AE365" s="49">
        <f t="shared" si="106"/>
        <v>0</v>
      </c>
      <c r="AF365" s="49">
        <f t="shared" si="107"/>
        <v>0</v>
      </c>
      <c r="AG365" s="49">
        <f t="shared" si="108"/>
        <v>0</v>
      </c>
      <c r="AH365" s="49">
        <f t="shared" si="109"/>
        <v>0</v>
      </c>
      <c r="AJ365" s="49">
        <f t="shared" si="96"/>
        <v>0</v>
      </c>
      <c r="AK365" s="49">
        <f t="shared" si="97"/>
        <v>0</v>
      </c>
      <c r="AL365" s="49">
        <f t="shared" si="98"/>
        <v>0</v>
      </c>
      <c r="AM365" s="49">
        <f t="shared" si="99"/>
        <v>0</v>
      </c>
      <c r="AN365" s="49">
        <f t="shared" si="100"/>
        <v>0</v>
      </c>
    </row>
    <row r="366" spans="2:40">
      <c r="B366" s="43" t="str">
        <f t="shared" si="93"/>
        <v>Asset 78</v>
      </c>
      <c r="F366" s="43" t="str">
        <f t="shared" ref="F366:L366" si="118">F118</f>
        <v>08 Inrichting gebouwen</v>
      </c>
      <c r="G366" s="43">
        <f t="shared" si="118"/>
        <v>1998</v>
      </c>
      <c r="H366" s="58">
        <f t="shared" si="118"/>
        <v>120568.99000000002</v>
      </c>
      <c r="I366" s="43">
        <f t="shared" si="118"/>
        <v>2021</v>
      </c>
      <c r="J366" s="58">
        <f t="shared" si="118"/>
        <v>10</v>
      </c>
      <c r="K366" s="188">
        <f t="shared" si="118"/>
        <v>0</v>
      </c>
      <c r="L366" s="58">
        <f t="shared" si="118"/>
        <v>0</v>
      </c>
      <c r="N366" s="49">
        <f t="shared" si="104"/>
        <v>0</v>
      </c>
      <c r="P366" s="44">
        <f t="shared" si="95"/>
        <v>0</v>
      </c>
      <c r="R366" s="49">
        <f t="shared" si="81"/>
        <v>0</v>
      </c>
      <c r="S366" s="49">
        <f t="shared" si="81"/>
        <v>0</v>
      </c>
      <c r="T366" s="49">
        <f t="shared" si="81"/>
        <v>0</v>
      </c>
      <c r="U366" s="49">
        <f t="shared" si="81"/>
        <v>0</v>
      </c>
      <c r="V366" s="49">
        <f t="shared" si="81"/>
        <v>0</v>
      </c>
      <c r="X366" s="49">
        <f t="shared" si="82"/>
        <v>0</v>
      </c>
      <c r="Y366" s="49">
        <f t="shared" si="82"/>
        <v>0</v>
      </c>
      <c r="Z366" s="49">
        <f t="shared" si="82"/>
        <v>0</v>
      </c>
      <c r="AA366" s="49">
        <f t="shared" si="82"/>
        <v>0</v>
      </c>
      <c r="AB366" s="49">
        <f t="shared" si="82"/>
        <v>0</v>
      </c>
      <c r="AD366" s="49">
        <f t="shared" si="105"/>
        <v>0</v>
      </c>
      <c r="AE366" s="49">
        <f t="shared" si="106"/>
        <v>0</v>
      </c>
      <c r="AF366" s="49">
        <f t="shared" si="107"/>
        <v>0</v>
      </c>
      <c r="AG366" s="49">
        <f t="shared" si="108"/>
        <v>0</v>
      </c>
      <c r="AH366" s="49">
        <f t="shared" si="109"/>
        <v>0</v>
      </c>
      <c r="AJ366" s="49">
        <f t="shared" si="96"/>
        <v>0</v>
      </c>
      <c r="AK366" s="49">
        <f t="shared" si="97"/>
        <v>0</v>
      </c>
      <c r="AL366" s="49">
        <f t="shared" si="98"/>
        <v>0</v>
      </c>
      <c r="AM366" s="49">
        <f t="shared" si="99"/>
        <v>0</v>
      </c>
      <c r="AN366" s="49">
        <f t="shared" si="100"/>
        <v>0</v>
      </c>
    </row>
    <row r="367" spans="2:40">
      <c r="B367" s="43" t="str">
        <f t="shared" si="93"/>
        <v>Asset 79</v>
      </c>
      <c r="F367" s="43" t="str">
        <f t="shared" ref="F367:L367" si="119">F119</f>
        <v>37 ICT middelen 1</v>
      </c>
      <c r="G367" s="43">
        <f t="shared" si="119"/>
        <v>2002</v>
      </c>
      <c r="H367" s="58">
        <f t="shared" si="119"/>
        <v>342396.39</v>
      </c>
      <c r="I367" s="43">
        <f t="shared" si="119"/>
        <v>2021</v>
      </c>
      <c r="J367" s="58">
        <f t="shared" si="119"/>
        <v>5</v>
      </c>
      <c r="K367" s="188">
        <f t="shared" si="119"/>
        <v>1</v>
      </c>
      <c r="L367" s="58">
        <f t="shared" si="119"/>
        <v>0</v>
      </c>
      <c r="N367" s="49">
        <f t="shared" si="104"/>
        <v>0</v>
      </c>
      <c r="P367" s="44">
        <f t="shared" si="95"/>
        <v>0</v>
      </c>
      <c r="R367" s="49">
        <f t="shared" si="81"/>
        <v>0</v>
      </c>
      <c r="S367" s="49">
        <f t="shared" si="81"/>
        <v>0</v>
      </c>
      <c r="T367" s="49">
        <f t="shared" si="81"/>
        <v>0</v>
      </c>
      <c r="U367" s="49">
        <f t="shared" si="81"/>
        <v>0</v>
      </c>
      <c r="V367" s="49">
        <f t="shared" si="81"/>
        <v>0</v>
      </c>
      <c r="X367" s="49">
        <f t="shared" si="82"/>
        <v>0</v>
      </c>
      <c r="Y367" s="49">
        <f t="shared" si="82"/>
        <v>0</v>
      </c>
      <c r="Z367" s="49">
        <f t="shared" si="82"/>
        <v>0</v>
      </c>
      <c r="AA367" s="49">
        <f t="shared" si="82"/>
        <v>0</v>
      </c>
      <c r="AB367" s="49">
        <f t="shared" si="82"/>
        <v>0</v>
      </c>
      <c r="AD367" s="49">
        <f t="shared" si="105"/>
        <v>0</v>
      </c>
      <c r="AE367" s="49">
        <f t="shared" si="106"/>
        <v>0</v>
      </c>
      <c r="AF367" s="49">
        <f t="shared" si="107"/>
        <v>0</v>
      </c>
      <c r="AG367" s="49">
        <f t="shared" si="108"/>
        <v>0</v>
      </c>
      <c r="AH367" s="49">
        <f t="shared" si="109"/>
        <v>0</v>
      </c>
      <c r="AJ367" s="49">
        <f t="shared" si="96"/>
        <v>0</v>
      </c>
      <c r="AK367" s="49">
        <f t="shared" si="97"/>
        <v>0</v>
      </c>
      <c r="AL367" s="49">
        <f t="shared" si="98"/>
        <v>0</v>
      </c>
      <c r="AM367" s="49">
        <f t="shared" si="99"/>
        <v>0</v>
      </c>
      <c r="AN367" s="49">
        <f t="shared" si="100"/>
        <v>0</v>
      </c>
    </row>
    <row r="368" spans="2:40">
      <c r="B368" s="43" t="str">
        <f t="shared" si="93"/>
        <v>Asset 80</v>
      </c>
      <c r="F368" s="43" t="str">
        <f t="shared" ref="F368:L368" si="120">F120</f>
        <v>37 ICT middelen 1 (gaschromatografen en comptabele meting)</v>
      </c>
      <c r="G368" s="43">
        <f t="shared" si="120"/>
        <v>2000</v>
      </c>
      <c r="H368" s="58">
        <f t="shared" si="120"/>
        <v>717051.87</v>
      </c>
      <c r="I368" s="43">
        <f t="shared" si="120"/>
        <v>2021</v>
      </c>
      <c r="J368" s="58">
        <f t="shared" si="120"/>
        <v>5</v>
      </c>
      <c r="K368" s="188">
        <f t="shared" si="120"/>
        <v>0</v>
      </c>
      <c r="L368" s="58">
        <f t="shared" si="120"/>
        <v>0</v>
      </c>
      <c r="N368" s="49">
        <f t="shared" si="104"/>
        <v>0</v>
      </c>
      <c r="P368" s="44">
        <f t="shared" si="95"/>
        <v>0</v>
      </c>
      <c r="R368" s="49">
        <f t="shared" si="81"/>
        <v>0</v>
      </c>
      <c r="S368" s="49">
        <f t="shared" si="81"/>
        <v>0</v>
      </c>
      <c r="T368" s="49">
        <f t="shared" si="81"/>
        <v>0</v>
      </c>
      <c r="U368" s="49">
        <f t="shared" si="81"/>
        <v>0</v>
      </c>
      <c r="V368" s="49">
        <f t="shared" si="81"/>
        <v>0</v>
      </c>
      <c r="X368" s="49">
        <f t="shared" si="82"/>
        <v>0</v>
      </c>
      <c r="Y368" s="49">
        <f t="shared" si="82"/>
        <v>0</v>
      </c>
      <c r="Z368" s="49">
        <f t="shared" si="82"/>
        <v>0</v>
      </c>
      <c r="AA368" s="49">
        <f t="shared" si="82"/>
        <v>0</v>
      </c>
      <c r="AB368" s="49">
        <f t="shared" si="82"/>
        <v>0</v>
      </c>
      <c r="AD368" s="49">
        <f t="shared" si="105"/>
        <v>0</v>
      </c>
      <c r="AE368" s="49">
        <f t="shared" si="106"/>
        <v>0</v>
      </c>
      <c r="AF368" s="49">
        <f t="shared" si="107"/>
        <v>0</v>
      </c>
      <c r="AG368" s="49">
        <f t="shared" si="108"/>
        <v>0</v>
      </c>
      <c r="AH368" s="49">
        <f t="shared" si="109"/>
        <v>0</v>
      </c>
      <c r="AJ368" s="49">
        <f t="shared" si="96"/>
        <v>0</v>
      </c>
      <c r="AK368" s="49">
        <f t="shared" si="97"/>
        <v>0</v>
      </c>
      <c r="AL368" s="49">
        <f t="shared" si="98"/>
        <v>0</v>
      </c>
      <c r="AM368" s="49">
        <f t="shared" si="99"/>
        <v>0</v>
      </c>
      <c r="AN368" s="49">
        <f t="shared" si="100"/>
        <v>0</v>
      </c>
    </row>
    <row r="369" spans="2:40">
      <c r="B369" s="43" t="str">
        <f t="shared" si="93"/>
        <v>Asset 81</v>
      </c>
      <c r="F369" s="43" t="str">
        <f t="shared" ref="F369:L369" si="121">F121</f>
        <v>09 Bedrijfsinventaris</v>
      </c>
      <c r="G369" s="43">
        <f t="shared" si="121"/>
        <v>1999</v>
      </c>
      <c r="H369" s="58">
        <f t="shared" si="121"/>
        <v>64305.72</v>
      </c>
      <c r="I369" s="43">
        <f t="shared" si="121"/>
        <v>2021</v>
      </c>
      <c r="J369" s="58">
        <f t="shared" si="121"/>
        <v>10</v>
      </c>
      <c r="K369" s="188">
        <f t="shared" si="121"/>
        <v>1</v>
      </c>
      <c r="L369" s="58">
        <f t="shared" si="121"/>
        <v>0</v>
      </c>
      <c r="N369" s="49">
        <f t="shared" si="104"/>
        <v>0</v>
      </c>
      <c r="P369" s="44">
        <f t="shared" si="95"/>
        <v>0</v>
      </c>
      <c r="R369" s="49">
        <f t="shared" si="81"/>
        <v>0</v>
      </c>
      <c r="S369" s="49">
        <f t="shared" si="81"/>
        <v>0</v>
      </c>
      <c r="T369" s="49">
        <f t="shared" si="81"/>
        <v>0</v>
      </c>
      <c r="U369" s="49">
        <f t="shared" si="81"/>
        <v>0</v>
      </c>
      <c r="V369" s="49">
        <f t="shared" si="81"/>
        <v>0</v>
      </c>
      <c r="X369" s="49">
        <f t="shared" si="82"/>
        <v>0</v>
      </c>
      <c r="Y369" s="49">
        <f t="shared" si="82"/>
        <v>0</v>
      </c>
      <c r="Z369" s="49">
        <f t="shared" si="82"/>
        <v>0</v>
      </c>
      <c r="AA369" s="49">
        <f t="shared" si="82"/>
        <v>0</v>
      </c>
      <c r="AB369" s="49">
        <f t="shared" si="82"/>
        <v>0</v>
      </c>
      <c r="AD369" s="49">
        <f t="shared" si="105"/>
        <v>0</v>
      </c>
      <c r="AE369" s="49">
        <f t="shared" si="106"/>
        <v>0</v>
      </c>
      <c r="AF369" s="49">
        <f t="shared" si="107"/>
        <v>0</v>
      </c>
      <c r="AG369" s="49">
        <f t="shared" si="108"/>
        <v>0</v>
      </c>
      <c r="AH369" s="49">
        <f t="shared" si="109"/>
        <v>0</v>
      </c>
      <c r="AJ369" s="49">
        <f t="shared" si="96"/>
        <v>0</v>
      </c>
      <c r="AK369" s="49">
        <f t="shared" si="97"/>
        <v>0</v>
      </c>
      <c r="AL369" s="49">
        <f t="shared" si="98"/>
        <v>0</v>
      </c>
      <c r="AM369" s="49">
        <f t="shared" si="99"/>
        <v>0</v>
      </c>
      <c r="AN369" s="49">
        <f t="shared" si="100"/>
        <v>0</v>
      </c>
    </row>
    <row r="370" spans="2:40">
      <c r="B370" s="43" t="str">
        <f t="shared" si="93"/>
        <v>Asset 82</v>
      </c>
      <c r="F370" s="43" t="str">
        <f t="shared" ref="F370:L370" si="122">F122</f>
        <v>08 Inrichting gebouwen</v>
      </c>
      <c r="G370" s="43">
        <f t="shared" si="122"/>
        <v>1999</v>
      </c>
      <c r="H370" s="58">
        <f t="shared" si="122"/>
        <v>41263.56</v>
      </c>
      <c r="I370" s="43">
        <f t="shared" si="122"/>
        <v>2021</v>
      </c>
      <c r="J370" s="58">
        <f t="shared" si="122"/>
        <v>10</v>
      </c>
      <c r="K370" s="188">
        <f t="shared" si="122"/>
        <v>0</v>
      </c>
      <c r="L370" s="58">
        <f t="shared" si="122"/>
        <v>0</v>
      </c>
      <c r="N370" s="49">
        <f t="shared" si="104"/>
        <v>0</v>
      </c>
      <c r="P370" s="44">
        <f t="shared" si="95"/>
        <v>0</v>
      </c>
      <c r="R370" s="49">
        <f t="shared" si="81"/>
        <v>0</v>
      </c>
      <c r="S370" s="49">
        <f t="shared" si="81"/>
        <v>0</v>
      </c>
      <c r="T370" s="49">
        <f t="shared" si="81"/>
        <v>0</v>
      </c>
      <c r="U370" s="49">
        <f t="shared" si="81"/>
        <v>0</v>
      </c>
      <c r="V370" s="49">
        <f t="shared" si="81"/>
        <v>0</v>
      </c>
      <c r="X370" s="49">
        <f t="shared" si="82"/>
        <v>0</v>
      </c>
      <c r="Y370" s="49">
        <f t="shared" si="82"/>
        <v>0</v>
      </c>
      <c r="Z370" s="49">
        <f t="shared" si="82"/>
        <v>0</v>
      </c>
      <c r="AA370" s="49">
        <f t="shared" si="82"/>
        <v>0</v>
      </c>
      <c r="AB370" s="49">
        <f t="shared" si="82"/>
        <v>0</v>
      </c>
      <c r="AD370" s="49">
        <f t="shared" si="105"/>
        <v>0</v>
      </c>
      <c r="AE370" s="49">
        <f t="shared" si="106"/>
        <v>0</v>
      </c>
      <c r="AF370" s="49">
        <f t="shared" si="107"/>
        <v>0</v>
      </c>
      <c r="AG370" s="49">
        <f t="shared" si="108"/>
        <v>0</v>
      </c>
      <c r="AH370" s="49">
        <f t="shared" si="109"/>
        <v>0</v>
      </c>
      <c r="AJ370" s="49">
        <f t="shared" si="96"/>
        <v>0</v>
      </c>
      <c r="AK370" s="49">
        <f t="shared" si="97"/>
        <v>0</v>
      </c>
      <c r="AL370" s="49">
        <f t="shared" si="98"/>
        <v>0</v>
      </c>
      <c r="AM370" s="49">
        <f t="shared" si="99"/>
        <v>0</v>
      </c>
      <c r="AN370" s="49">
        <f t="shared" si="100"/>
        <v>0</v>
      </c>
    </row>
    <row r="371" spans="2:40">
      <c r="B371" s="43" t="str">
        <f t="shared" si="93"/>
        <v>Asset 83</v>
      </c>
      <c r="F371" s="43" t="str">
        <f t="shared" ref="F371:L371" si="123">F123</f>
        <v>09 Bedrijfsinventaris</v>
      </c>
      <c r="G371" s="43">
        <f t="shared" si="123"/>
        <v>2000</v>
      </c>
      <c r="H371" s="58">
        <f t="shared" si="123"/>
        <v>5312.4</v>
      </c>
      <c r="I371" s="43">
        <f t="shared" si="123"/>
        <v>2021</v>
      </c>
      <c r="J371" s="58">
        <f t="shared" si="123"/>
        <v>10</v>
      </c>
      <c r="K371" s="188">
        <f t="shared" si="123"/>
        <v>1</v>
      </c>
      <c r="L371" s="58">
        <f t="shared" si="123"/>
        <v>0</v>
      </c>
      <c r="N371" s="49">
        <f t="shared" si="104"/>
        <v>0</v>
      </c>
      <c r="P371" s="44">
        <f t="shared" si="95"/>
        <v>0</v>
      </c>
      <c r="R371" s="49">
        <f t="shared" si="81"/>
        <v>0</v>
      </c>
      <c r="S371" s="49">
        <f t="shared" si="81"/>
        <v>0</v>
      </c>
      <c r="T371" s="49">
        <f t="shared" si="81"/>
        <v>0</v>
      </c>
      <c r="U371" s="49">
        <f t="shared" si="81"/>
        <v>0</v>
      </c>
      <c r="V371" s="49">
        <f t="shared" si="81"/>
        <v>0</v>
      </c>
      <c r="X371" s="49">
        <f t="shared" si="82"/>
        <v>0</v>
      </c>
      <c r="Y371" s="49">
        <f t="shared" si="82"/>
        <v>0</v>
      </c>
      <c r="Z371" s="49">
        <f t="shared" si="82"/>
        <v>0</v>
      </c>
      <c r="AA371" s="49">
        <f t="shared" si="82"/>
        <v>0</v>
      </c>
      <c r="AB371" s="49">
        <f t="shared" si="82"/>
        <v>0</v>
      </c>
      <c r="AD371" s="49">
        <f t="shared" si="105"/>
        <v>0</v>
      </c>
      <c r="AE371" s="49">
        <f t="shared" si="106"/>
        <v>0</v>
      </c>
      <c r="AF371" s="49">
        <f t="shared" si="107"/>
        <v>0</v>
      </c>
      <c r="AG371" s="49">
        <f t="shared" si="108"/>
        <v>0</v>
      </c>
      <c r="AH371" s="49">
        <f t="shared" si="109"/>
        <v>0</v>
      </c>
      <c r="AJ371" s="49">
        <f t="shared" si="96"/>
        <v>0</v>
      </c>
      <c r="AK371" s="49">
        <f t="shared" si="97"/>
        <v>0</v>
      </c>
      <c r="AL371" s="49">
        <f t="shared" si="98"/>
        <v>0</v>
      </c>
      <c r="AM371" s="49">
        <f t="shared" si="99"/>
        <v>0</v>
      </c>
      <c r="AN371" s="49">
        <f t="shared" si="100"/>
        <v>0</v>
      </c>
    </row>
    <row r="372" spans="2:40">
      <c r="B372" s="43" t="str">
        <f t="shared" si="93"/>
        <v>Asset 84</v>
      </c>
      <c r="F372" s="43" t="str">
        <f t="shared" ref="F372:L372" si="124">F124</f>
        <v>37 ICT middelen 1</v>
      </c>
      <c r="G372" s="43">
        <f t="shared" si="124"/>
        <v>2001</v>
      </c>
      <c r="H372" s="58">
        <f t="shared" si="124"/>
        <v>1754908.7700000003</v>
      </c>
      <c r="I372" s="43">
        <f t="shared" si="124"/>
        <v>2021</v>
      </c>
      <c r="J372" s="58">
        <f t="shared" si="124"/>
        <v>5</v>
      </c>
      <c r="K372" s="188">
        <f t="shared" si="124"/>
        <v>1</v>
      </c>
      <c r="L372" s="58">
        <f t="shared" si="124"/>
        <v>0</v>
      </c>
      <c r="N372" s="49">
        <f t="shared" si="104"/>
        <v>0</v>
      </c>
      <c r="P372" s="44">
        <f t="shared" si="95"/>
        <v>0</v>
      </c>
      <c r="R372" s="49">
        <f t="shared" si="81"/>
        <v>0</v>
      </c>
      <c r="S372" s="49">
        <f t="shared" si="81"/>
        <v>0</v>
      </c>
      <c r="T372" s="49">
        <f t="shared" si="81"/>
        <v>0</v>
      </c>
      <c r="U372" s="49">
        <f t="shared" si="81"/>
        <v>0</v>
      </c>
      <c r="V372" s="49">
        <f t="shared" si="81"/>
        <v>0</v>
      </c>
      <c r="X372" s="49">
        <f t="shared" si="82"/>
        <v>0</v>
      </c>
      <c r="Y372" s="49">
        <f t="shared" si="82"/>
        <v>0</v>
      </c>
      <c r="Z372" s="49">
        <f t="shared" si="82"/>
        <v>0</v>
      </c>
      <c r="AA372" s="49">
        <f t="shared" si="82"/>
        <v>0</v>
      </c>
      <c r="AB372" s="49">
        <f t="shared" si="82"/>
        <v>0</v>
      </c>
      <c r="AD372" s="49">
        <f t="shared" si="105"/>
        <v>0</v>
      </c>
      <c r="AE372" s="49">
        <f t="shared" si="106"/>
        <v>0</v>
      </c>
      <c r="AF372" s="49">
        <f t="shared" si="107"/>
        <v>0</v>
      </c>
      <c r="AG372" s="49">
        <f t="shared" si="108"/>
        <v>0</v>
      </c>
      <c r="AH372" s="49">
        <f t="shared" si="109"/>
        <v>0</v>
      </c>
      <c r="AJ372" s="49">
        <f t="shared" si="96"/>
        <v>0</v>
      </c>
      <c r="AK372" s="49">
        <f t="shared" si="97"/>
        <v>0</v>
      </c>
      <c r="AL372" s="49">
        <f t="shared" si="98"/>
        <v>0</v>
      </c>
      <c r="AM372" s="49">
        <f t="shared" si="99"/>
        <v>0</v>
      </c>
      <c r="AN372" s="49">
        <f t="shared" si="100"/>
        <v>0</v>
      </c>
    </row>
    <row r="373" spans="2:40">
      <c r="B373" s="43" t="str">
        <f t="shared" si="93"/>
        <v>Asset 85</v>
      </c>
      <c r="F373" s="43" t="str">
        <f t="shared" ref="F373:L373" si="125">F125</f>
        <v>11 Werktuigen</v>
      </c>
      <c r="G373" s="43">
        <f t="shared" si="125"/>
        <v>2000</v>
      </c>
      <c r="H373" s="58">
        <f t="shared" si="125"/>
        <v>86461.709999999992</v>
      </c>
      <c r="I373" s="43">
        <f t="shared" si="125"/>
        <v>2021</v>
      </c>
      <c r="J373" s="58">
        <f t="shared" si="125"/>
        <v>10</v>
      </c>
      <c r="K373" s="188">
        <f t="shared" si="125"/>
        <v>1</v>
      </c>
      <c r="L373" s="58">
        <f t="shared" si="125"/>
        <v>0</v>
      </c>
      <c r="N373" s="49">
        <f t="shared" si="104"/>
        <v>0</v>
      </c>
      <c r="P373" s="44">
        <f t="shared" si="95"/>
        <v>0</v>
      </c>
      <c r="R373" s="49">
        <f t="shared" si="81"/>
        <v>0</v>
      </c>
      <c r="S373" s="49">
        <f t="shared" si="81"/>
        <v>0</v>
      </c>
      <c r="T373" s="49">
        <f t="shared" si="81"/>
        <v>0</v>
      </c>
      <c r="U373" s="49">
        <f t="shared" si="81"/>
        <v>0</v>
      </c>
      <c r="V373" s="49">
        <f t="shared" si="81"/>
        <v>0</v>
      </c>
      <c r="X373" s="49">
        <f t="shared" si="82"/>
        <v>0</v>
      </c>
      <c r="Y373" s="49">
        <f t="shared" si="82"/>
        <v>0</v>
      </c>
      <c r="Z373" s="49">
        <f t="shared" si="82"/>
        <v>0</v>
      </c>
      <c r="AA373" s="49">
        <f t="shared" si="82"/>
        <v>0</v>
      </c>
      <c r="AB373" s="49">
        <f t="shared" si="82"/>
        <v>0</v>
      </c>
      <c r="AD373" s="49">
        <f t="shared" si="105"/>
        <v>0</v>
      </c>
      <c r="AE373" s="49">
        <f t="shared" si="106"/>
        <v>0</v>
      </c>
      <c r="AF373" s="49">
        <f t="shared" si="107"/>
        <v>0</v>
      </c>
      <c r="AG373" s="49">
        <f t="shared" si="108"/>
        <v>0</v>
      </c>
      <c r="AH373" s="49">
        <f t="shared" si="109"/>
        <v>0</v>
      </c>
      <c r="AJ373" s="49">
        <f t="shared" si="96"/>
        <v>0</v>
      </c>
      <c r="AK373" s="49">
        <f t="shared" si="97"/>
        <v>0</v>
      </c>
      <c r="AL373" s="49">
        <f t="shared" si="98"/>
        <v>0</v>
      </c>
      <c r="AM373" s="49">
        <f t="shared" si="99"/>
        <v>0</v>
      </c>
      <c r="AN373" s="49">
        <f t="shared" si="100"/>
        <v>0</v>
      </c>
    </row>
    <row r="374" spans="2:40">
      <c r="B374" s="43" t="str">
        <f t="shared" si="93"/>
        <v>Asset 86</v>
      </c>
      <c r="F374" s="43" t="str">
        <f t="shared" ref="F374:L374" si="126">F126</f>
        <v>13 Aanhangwagens</v>
      </c>
      <c r="G374" s="43">
        <f t="shared" si="126"/>
        <v>1998</v>
      </c>
      <c r="H374" s="58">
        <f t="shared" si="126"/>
        <v>3630.24</v>
      </c>
      <c r="I374" s="43">
        <f t="shared" si="126"/>
        <v>2021</v>
      </c>
      <c r="J374" s="58">
        <f t="shared" si="126"/>
        <v>10</v>
      </c>
      <c r="K374" s="188">
        <f t="shared" si="126"/>
        <v>1</v>
      </c>
      <c r="L374" s="58">
        <f t="shared" si="126"/>
        <v>0</v>
      </c>
      <c r="N374" s="49">
        <f t="shared" si="104"/>
        <v>0</v>
      </c>
      <c r="P374" s="44">
        <f t="shared" si="95"/>
        <v>0</v>
      </c>
      <c r="R374" s="49">
        <f t="shared" si="81"/>
        <v>0</v>
      </c>
      <c r="S374" s="49">
        <f t="shared" si="81"/>
        <v>0</v>
      </c>
      <c r="T374" s="49">
        <f t="shared" si="81"/>
        <v>0</v>
      </c>
      <c r="U374" s="49">
        <f t="shared" si="81"/>
        <v>0</v>
      </c>
      <c r="V374" s="49">
        <f t="shared" si="81"/>
        <v>0</v>
      </c>
      <c r="X374" s="49">
        <f t="shared" si="82"/>
        <v>0</v>
      </c>
      <c r="Y374" s="49">
        <f t="shared" si="82"/>
        <v>0</v>
      </c>
      <c r="Z374" s="49">
        <f t="shared" si="82"/>
        <v>0</v>
      </c>
      <c r="AA374" s="49">
        <f t="shared" si="82"/>
        <v>0</v>
      </c>
      <c r="AB374" s="49">
        <f t="shared" si="82"/>
        <v>0</v>
      </c>
      <c r="AD374" s="49">
        <f t="shared" si="105"/>
        <v>0</v>
      </c>
      <c r="AE374" s="49">
        <f t="shared" si="106"/>
        <v>0</v>
      </c>
      <c r="AF374" s="49">
        <f t="shared" si="107"/>
        <v>0</v>
      </c>
      <c r="AG374" s="49">
        <f t="shared" si="108"/>
        <v>0</v>
      </c>
      <c r="AH374" s="49">
        <f t="shared" si="109"/>
        <v>0</v>
      </c>
      <c r="AJ374" s="49">
        <f t="shared" si="96"/>
        <v>0</v>
      </c>
      <c r="AK374" s="49">
        <f t="shared" si="97"/>
        <v>0</v>
      </c>
      <c r="AL374" s="49">
        <f t="shared" si="98"/>
        <v>0</v>
      </c>
      <c r="AM374" s="49">
        <f t="shared" si="99"/>
        <v>0</v>
      </c>
      <c r="AN374" s="49">
        <f t="shared" si="100"/>
        <v>0</v>
      </c>
    </row>
    <row r="375" spans="2:40">
      <c r="B375" s="43" t="str">
        <f t="shared" si="93"/>
        <v>Asset 87</v>
      </c>
      <c r="F375" s="43" t="str">
        <f t="shared" ref="F375:L375" si="127">F127</f>
        <v>37 ICT middelen 1</v>
      </c>
      <c r="G375" s="43">
        <f t="shared" si="127"/>
        <v>2000</v>
      </c>
      <c r="H375" s="58">
        <f t="shared" si="127"/>
        <v>63690.75</v>
      </c>
      <c r="I375" s="43">
        <f t="shared" si="127"/>
        <v>2021</v>
      </c>
      <c r="J375" s="58">
        <f t="shared" si="127"/>
        <v>5</v>
      </c>
      <c r="K375" s="188">
        <f t="shared" si="127"/>
        <v>1</v>
      </c>
      <c r="L375" s="58">
        <f t="shared" si="127"/>
        <v>0</v>
      </c>
      <c r="N375" s="49">
        <f t="shared" si="104"/>
        <v>0</v>
      </c>
      <c r="P375" s="44">
        <f t="shared" si="95"/>
        <v>0</v>
      </c>
      <c r="R375" s="49">
        <f t="shared" si="81"/>
        <v>0</v>
      </c>
      <c r="S375" s="49">
        <f t="shared" si="81"/>
        <v>0</v>
      </c>
      <c r="T375" s="49">
        <f t="shared" si="81"/>
        <v>0</v>
      </c>
      <c r="U375" s="49">
        <f t="shared" si="81"/>
        <v>0</v>
      </c>
      <c r="V375" s="49">
        <f t="shared" si="81"/>
        <v>0</v>
      </c>
      <c r="X375" s="49">
        <f t="shared" si="82"/>
        <v>0</v>
      </c>
      <c r="Y375" s="49">
        <f t="shared" si="82"/>
        <v>0</v>
      </c>
      <c r="Z375" s="49">
        <f t="shared" si="82"/>
        <v>0</v>
      </c>
      <c r="AA375" s="49">
        <f t="shared" si="82"/>
        <v>0</v>
      </c>
      <c r="AB375" s="49">
        <f t="shared" si="82"/>
        <v>0</v>
      </c>
      <c r="AD375" s="49">
        <f t="shared" si="105"/>
        <v>0</v>
      </c>
      <c r="AE375" s="49">
        <f t="shared" si="106"/>
        <v>0</v>
      </c>
      <c r="AF375" s="49">
        <f t="shared" si="107"/>
        <v>0</v>
      </c>
      <c r="AG375" s="49">
        <f t="shared" si="108"/>
        <v>0</v>
      </c>
      <c r="AH375" s="49">
        <f t="shared" si="109"/>
        <v>0</v>
      </c>
      <c r="AJ375" s="49">
        <f t="shared" si="96"/>
        <v>0</v>
      </c>
      <c r="AK375" s="49">
        <f t="shared" si="97"/>
        <v>0</v>
      </c>
      <c r="AL375" s="49">
        <f t="shared" si="98"/>
        <v>0</v>
      </c>
      <c r="AM375" s="49">
        <f t="shared" si="99"/>
        <v>0</v>
      </c>
      <c r="AN375" s="49">
        <f t="shared" si="100"/>
        <v>0</v>
      </c>
    </row>
    <row r="376" spans="2:40">
      <c r="B376" s="43" t="str">
        <f t="shared" si="93"/>
        <v>Asset 88</v>
      </c>
      <c r="F376" s="43" t="str">
        <f t="shared" ref="F376:L376" si="128">F128</f>
        <v>08 Inrichting gebouwen</v>
      </c>
      <c r="G376" s="43">
        <f t="shared" si="128"/>
        <v>2000</v>
      </c>
      <c r="H376" s="58">
        <f t="shared" si="128"/>
        <v>53314.77</v>
      </c>
      <c r="I376" s="43">
        <f t="shared" si="128"/>
        <v>2021</v>
      </c>
      <c r="J376" s="58">
        <f t="shared" si="128"/>
        <v>10</v>
      </c>
      <c r="K376" s="188">
        <f t="shared" si="128"/>
        <v>0</v>
      </c>
      <c r="L376" s="58">
        <f t="shared" si="128"/>
        <v>0</v>
      </c>
      <c r="N376" s="49">
        <f t="shared" si="104"/>
        <v>0</v>
      </c>
      <c r="P376" s="44">
        <f t="shared" si="95"/>
        <v>0</v>
      </c>
      <c r="R376" s="49">
        <f t="shared" si="81"/>
        <v>0</v>
      </c>
      <c r="S376" s="49">
        <f t="shared" si="81"/>
        <v>0</v>
      </c>
      <c r="T376" s="49">
        <f t="shared" si="81"/>
        <v>0</v>
      </c>
      <c r="U376" s="49">
        <f t="shared" si="81"/>
        <v>0</v>
      </c>
      <c r="V376" s="49">
        <f t="shared" si="81"/>
        <v>0</v>
      </c>
      <c r="X376" s="49">
        <f t="shared" si="82"/>
        <v>0</v>
      </c>
      <c r="Y376" s="49">
        <f t="shared" si="82"/>
        <v>0</v>
      </c>
      <c r="Z376" s="49">
        <f t="shared" si="82"/>
        <v>0</v>
      </c>
      <c r="AA376" s="49">
        <f t="shared" si="82"/>
        <v>0</v>
      </c>
      <c r="AB376" s="49">
        <f t="shared" si="82"/>
        <v>0</v>
      </c>
      <c r="AD376" s="49">
        <f t="shared" si="105"/>
        <v>0</v>
      </c>
      <c r="AE376" s="49">
        <f t="shared" si="106"/>
        <v>0</v>
      </c>
      <c r="AF376" s="49">
        <f t="shared" si="107"/>
        <v>0</v>
      </c>
      <c r="AG376" s="49">
        <f t="shared" si="108"/>
        <v>0</v>
      </c>
      <c r="AH376" s="49">
        <f t="shared" si="109"/>
        <v>0</v>
      </c>
      <c r="AJ376" s="49">
        <f t="shared" si="96"/>
        <v>0</v>
      </c>
      <c r="AK376" s="49">
        <f t="shared" si="97"/>
        <v>0</v>
      </c>
      <c r="AL376" s="49">
        <f t="shared" si="98"/>
        <v>0</v>
      </c>
      <c r="AM376" s="49">
        <f t="shared" si="99"/>
        <v>0</v>
      </c>
      <c r="AN376" s="49">
        <f t="shared" si="100"/>
        <v>0</v>
      </c>
    </row>
    <row r="377" spans="2:40">
      <c r="B377" s="43" t="str">
        <f t="shared" si="93"/>
        <v>Asset 89</v>
      </c>
      <c r="F377" s="43" t="str">
        <f t="shared" ref="F377:L377" si="129">F129</f>
        <v>14 Overig rollend materieel</v>
      </c>
      <c r="G377" s="43">
        <f t="shared" si="129"/>
        <v>2000</v>
      </c>
      <c r="H377" s="58">
        <f t="shared" si="129"/>
        <v>36334.86</v>
      </c>
      <c r="I377" s="43">
        <f t="shared" si="129"/>
        <v>2021</v>
      </c>
      <c r="J377" s="58">
        <f t="shared" si="129"/>
        <v>10</v>
      </c>
      <c r="K377" s="188">
        <f t="shared" si="129"/>
        <v>1</v>
      </c>
      <c r="L377" s="58">
        <f t="shared" si="129"/>
        <v>0</v>
      </c>
      <c r="N377" s="49">
        <f t="shared" si="104"/>
        <v>0</v>
      </c>
      <c r="P377" s="44">
        <f t="shared" si="95"/>
        <v>0</v>
      </c>
      <c r="R377" s="49">
        <f t="shared" si="81"/>
        <v>0</v>
      </c>
      <c r="S377" s="49">
        <f t="shared" si="81"/>
        <v>0</v>
      </c>
      <c r="T377" s="49">
        <f t="shared" si="81"/>
        <v>0</v>
      </c>
      <c r="U377" s="49">
        <f t="shared" si="81"/>
        <v>0</v>
      </c>
      <c r="V377" s="49">
        <f t="shared" si="81"/>
        <v>0</v>
      </c>
      <c r="X377" s="49">
        <f t="shared" si="82"/>
        <v>0</v>
      </c>
      <c r="Y377" s="49">
        <f t="shared" si="82"/>
        <v>0</v>
      </c>
      <c r="Z377" s="49">
        <f t="shared" si="82"/>
        <v>0</v>
      </c>
      <c r="AA377" s="49">
        <f t="shared" si="82"/>
        <v>0</v>
      </c>
      <c r="AB377" s="49">
        <f t="shared" si="82"/>
        <v>0</v>
      </c>
      <c r="AD377" s="49">
        <f t="shared" si="105"/>
        <v>0</v>
      </c>
      <c r="AE377" s="49">
        <f t="shared" si="106"/>
        <v>0</v>
      </c>
      <c r="AF377" s="49">
        <f t="shared" si="107"/>
        <v>0</v>
      </c>
      <c r="AG377" s="49">
        <f t="shared" si="108"/>
        <v>0</v>
      </c>
      <c r="AH377" s="49">
        <f t="shared" si="109"/>
        <v>0</v>
      </c>
      <c r="AJ377" s="49">
        <f t="shared" si="96"/>
        <v>0</v>
      </c>
      <c r="AK377" s="49">
        <f t="shared" si="97"/>
        <v>0</v>
      </c>
      <c r="AL377" s="49">
        <f t="shared" si="98"/>
        <v>0</v>
      </c>
      <c r="AM377" s="49">
        <f t="shared" si="99"/>
        <v>0</v>
      </c>
      <c r="AN377" s="49">
        <f t="shared" si="100"/>
        <v>0</v>
      </c>
    </row>
    <row r="378" spans="2:40">
      <c r="B378" s="43" t="str">
        <f t="shared" si="93"/>
        <v>Asset 90</v>
      </c>
      <c r="F378" s="43" t="str">
        <f t="shared" ref="F378:L378" si="130">F130</f>
        <v>06 Utiliteitsgebouwen</v>
      </c>
      <c r="G378" s="43">
        <f t="shared" si="130"/>
        <v>2000</v>
      </c>
      <c r="H378" s="58">
        <f t="shared" si="130"/>
        <v>61022.52</v>
      </c>
      <c r="I378" s="43">
        <f t="shared" si="130"/>
        <v>2021</v>
      </c>
      <c r="J378" s="58">
        <f t="shared" si="130"/>
        <v>30</v>
      </c>
      <c r="K378" s="188">
        <f t="shared" si="130"/>
        <v>0</v>
      </c>
      <c r="L378" s="58">
        <f t="shared" si="130"/>
        <v>25541.383007029126</v>
      </c>
      <c r="N378" s="49">
        <f t="shared" si="104"/>
        <v>25541.383007029126</v>
      </c>
      <c r="P378" s="44">
        <f t="shared" si="95"/>
        <v>8.5</v>
      </c>
      <c r="R378" s="49">
        <f t="shared" si="81"/>
        <v>3515.6962492028333</v>
      </c>
      <c r="S378" s="49">
        <f t="shared" si="81"/>
        <v>2978.0015287365177</v>
      </c>
      <c r="T378" s="49">
        <f t="shared" si="81"/>
        <v>2537.4687582133638</v>
      </c>
      <c r="U378" s="49">
        <f t="shared" si="81"/>
        <v>2537.4687582133638</v>
      </c>
      <c r="V378" s="49">
        <f t="shared" si="81"/>
        <v>2537.4687582133638</v>
      </c>
      <c r="X378" s="49">
        <f t="shared" si="82"/>
        <v>300.486858906225</v>
      </c>
      <c r="Y378" s="49">
        <f t="shared" si="82"/>
        <v>300.48685890622505</v>
      </c>
      <c r="Z378" s="49">
        <f t="shared" si="82"/>
        <v>300.48685890622505</v>
      </c>
      <c r="AA378" s="49">
        <f t="shared" si="82"/>
        <v>300.48685890622505</v>
      </c>
      <c r="AB378" s="49">
        <f t="shared" si="82"/>
        <v>300.48685890622505</v>
      </c>
      <c r="AD378" s="49">
        <f t="shared" si="105"/>
        <v>21725.199898920069</v>
      </c>
      <c r="AE378" s="49">
        <f t="shared" si="106"/>
        <v>18446.711511277328</v>
      </c>
      <c r="AF378" s="49">
        <f t="shared" si="107"/>
        <v>15608.755894157741</v>
      </c>
      <c r="AG378" s="49">
        <f t="shared" si="108"/>
        <v>12770.800277038154</v>
      </c>
      <c r="AH378" s="49">
        <f t="shared" si="109"/>
        <v>9932.8446599185663</v>
      </c>
      <c r="AJ378" s="49">
        <f t="shared" si="96"/>
        <v>4489.6643049755803</v>
      </c>
      <c r="AK378" s="49">
        <f t="shared" si="97"/>
        <v>3831.8897329810629</v>
      </c>
      <c r="AL378" s="49">
        <f t="shared" si="98"/>
        <v>3306.2182939443214</v>
      </c>
      <c r="AM378" s="49">
        <f t="shared" si="99"/>
        <v>3221.0796254307338</v>
      </c>
      <c r="AN378" s="49">
        <f t="shared" si="100"/>
        <v>3135.9409569171462</v>
      </c>
    </row>
    <row r="379" spans="2:40">
      <c r="B379" s="43" t="str">
        <f t="shared" si="93"/>
        <v>Asset 91</v>
      </c>
      <c r="F379" s="43" t="str">
        <f t="shared" ref="F379:L379" si="131">F131</f>
        <v>11 Werktuigen</v>
      </c>
      <c r="G379" s="43">
        <f t="shared" si="131"/>
        <v>2001</v>
      </c>
      <c r="H379" s="58">
        <f t="shared" si="131"/>
        <v>11928.48</v>
      </c>
      <c r="I379" s="43">
        <f t="shared" si="131"/>
        <v>2021</v>
      </c>
      <c r="J379" s="58">
        <f t="shared" si="131"/>
        <v>10</v>
      </c>
      <c r="K379" s="188">
        <f t="shared" si="131"/>
        <v>1</v>
      </c>
      <c r="L379" s="58">
        <f t="shared" si="131"/>
        <v>0</v>
      </c>
      <c r="N379" s="49">
        <f t="shared" si="104"/>
        <v>0</v>
      </c>
      <c r="P379" s="44">
        <f t="shared" si="95"/>
        <v>0</v>
      </c>
      <c r="R379" s="49">
        <f t="shared" si="81"/>
        <v>0</v>
      </c>
      <c r="S379" s="49">
        <f t="shared" si="81"/>
        <v>0</v>
      </c>
      <c r="T379" s="49">
        <f t="shared" si="81"/>
        <v>0</v>
      </c>
      <c r="U379" s="49">
        <f t="shared" si="81"/>
        <v>0</v>
      </c>
      <c r="V379" s="49">
        <f t="shared" si="81"/>
        <v>0</v>
      </c>
      <c r="X379" s="49">
        <f t="shared" si="82"/>
        <v>0</v>
      </c>
      <c r="Y379" s="49">
        <f t="shared" si="82"/>
        <v>0</v>
      </c>
      <c r="Z379" s="49">
        <f t="shared" si="82"/>
        <v>0</v>
      </c>
      <c r="AA379" s="49">
        <f t="shared" si="82"/>
        <v>0</v>
      </c>
      <c r="AB379" s="49">
        <f t="shared" si="82"/>
        <v>0</v>
      </c>
      <c r="AD379" s="49">
        <f t="shared" si="105"/>
        <v>0</v>
      </c>
      <c r="AE379" s="49">
        <f t="shared" si="106"/>
        <v>0</v>
      </c>
      <c r="AF379" s="49">
        <f t="shared" si="107"/>
        <v>0</v>
      </c>
      <c r="AG379" s="49">
        <f t="shared" si="108"/>
        <v>0</v>
      </c>
      <c r="AH379" s="49">
        <f t="shared" si="109"/>
        <v>0</v>
      </c>
      <c r="AJ379" s="49">
        <f t="shared" si="96"/>
        <v>0</v>
      </c>
      <c r="AK379" s="49">
        <f t="shared" si="97"/>
        <v>0</v>
      </c>
      <c r="AL379" s="49">
        <f t="shared" si="98"/>
        <v>0</v>
      </c>
      <c r="AM379" s="49">
        <f t="shared" si="99"/>
        <v>0</v>
      </c>
      <c r="AN379" s="49">
        <f t="shared" si="100"/>
        <v>0</v>
      </c>
    </row>
    <row r="380" spans="2:40">
      <c r="B380" s="43" t="str">
        <f t="shared" si="93"/>
        <v>Asset 92</v>
      </c>
      <c r="F380" s="43" t="str">
        <f t="shared" ref="F380:L380" si="132">F132</f>
        <v>14 Overig rollend materieel</v>
      </c>
      <c r="G380" s="43">
        <f t="shared" si="132"/>
        <v>2001</v>
      </c>
      <c r="H380" s="58">
        <f t="shared" si="132"/>
        <v>70639.289999999994</v>
      </c>
      <c r="I380" s="43">
        <f t="shared" si="132"/>
        <v>2021</v>
      </c>
      <c r="J380" s="58">
        <f t="shared" si="132"/>
        <v>10</v>
      </c>
      <c r="K380" s="188">
        <f t="shared" si="132"/>
        <v>1</v>
      </c>
      <c r="L380" s="58">
        <f t="shared" si="132"/>
        <v>0</v>
      </c>
      <c r="N380" s="49">
        <f t="shared" si="104"/>
        <v>0</v>
      </c>
      <c r="P380" s="44">
        <f t="shared" si="95"/>
        <v>0</v>
      </c>
      <c r="R380" s="49">
        <f t="shared" si="81"/>
        <v>0</v>
      </c>
      <c r="S380" s="49">
        <f t="shared" si="81"/>
        <v>0</v>
      </c>
      <c r="T380" s="49">
        <f t="shared" si="81"/>
        <v>0</v>
      </c>
      <c r="U380" s="49">
        <f t="shared" si="81"/>
        <v>0</v>
      </c>
      <c r="V380" s="49">
        <f t="shared" si="81"/>
        <v>0</v>
      </c>
      <c r="X380" s="49">
        <f t="shared" si="82"/>
        <v>0</v>
      </c>
      <c r="Y380" s="49">
        <f t="shared" si="82"/>
        <v>0</v>
      </c>
      <c r="Z380" s="49">
        <f t="shared" si="82"/>
        <v>0</v>
      </c>
      <c r="AA380" s="49">
        <f t="shared" si="82"/>
        <v>0</v>
      </c>
      <c r="AB380" s="49">
        <f t="shared" si="82"/>
        <v>0</v>
      </c>
      <c r="AD380" s="49">
        <f t="shared" si="105"/>
        <v>0</v>
      </c>
      <c r="AE380" s="49">
        <f t="shared" si="106"/>
        <v>0</v>
      </c>
      <c r="AF380" s="49">
        <f t="shared" si="107"/>
        <v>0</v>
      </c>
      <c r="AG380" s="49">
        <f t="shared" si="108"/>
        <v>0</v>
      </c>
      <c r="AH380" s="49">
        <f t="shared" si="109"/>
        <v>0</v>
      </c>
      <c r="AJ380" s="49">
        <f t="shared" si="96"/>
        <v>0</v>
      </c>
      <c r="AK380" s="49">
        <f t="shared" si="97"/>
        <v>0</v>
      </c>
      <c r="AL380" s="49">
        <f t="shared" si="98"/>
        <v>0</v>
      </c>
      <c r="AM380" s="49">
        <f t="shared" si="99"/>
        <v>0</v>
      </c>
      <c r="AN380" s="49">
        <f t="shared" si="100"/>
        <v>0</v>
      </c>
    </row>
    <row r="381" spans="2:40">
      <c r="B381" s="43" t="str">
        <f t="shared" si="93"/>
        <v>Asset 93</v>
      </c>
      <c r="F381" s="43" t="str">
        <f t="shared" ref="F381:L381" si="133">F133</f>
        <v>09 Bedrijfsinventaris</v>
      </c>
      <c r="G381" s="43">
        <f t="shared" si="133"/>
        <v>2001</v>
      </c>
      <c r="H381" s="58">
        <f t="shared" si="133"/>
        <v>55051.729999999996</v>
      </c>
      <c r="I381" s="43">
        <f t="shared" si="133"/>
        <v>2021</v>
      </c>
      <c r="J381" s="58">
        <f t="shared" si="133"/>
        <v>10</v>
      </c>
      <c r="K381" s="188">
        <f t="shared" si="133"/>
        <v>1</v>
      </c>
      <c r="L381" s="58">
        <f t="shared" si="133"/>
        <v>0</v>
      </c>
      <c r="N381" s="49">
        <f t="shared" si="104"/>
        <v>0</v>
      </c>
      <c r="P381" s="44">
        <f t="shared" si="95"/>
        <v>0</v>
      </c>
      <c r="R381" s="49">
        <f t="shared" si="81"/>
        <v>0</v>
      </c>
      <c r="S381" s="49">
        <f t="shared" si="81"/>
        <v>0</v>
      </c>
      <c r="T381" s="49">
        <f t="shared" si="81"/>
        <v>0</v>
      </c>
      <c r="U381" s="49">
        <f t="shared" si="81"/>
        <v>0</v>
      </c>
      <c r="V381" s="49">
        <f t="shared" si="81"/>
        <v>0</v>
      </c>
      <c r="X381" s="49">
        <f t="shared" si="82"/>
        <v>0</v>
      </c>
      <c r="Y381" s="49">
        <f t="shared" si="82"/>
        <v>0</v>
      </c>
      <c r="Z381" s="49">
        <f t="shared" si="82"/>
        <v>0</v>
      </c>
      <c r="AA381" s="49">
        <f t="shared" si="82"/>
        <v>0</v>
      </c>
      <c r="AB381" s="49">
        <f t="shared" si="82"/>
        <v>0</v>
      </c>
      <c r="AD381" s="49">
        <f t="shared" si="105"/>
        <v>0</v>
      </c>
      <c r="AE381" s="49">
        <f t="shared" si="106"/>
        <v>0</v>
      </c>
      <c r="AF381" s="49">
        <f t="shared" si="107"/>
        <v>0</v>
      </c>
      <c r="AG381" s="49">
        <f t="shared" si="108"/>
        <v>0</v>
      </c>
      <c r="AH381" s="49">
        <f t="shared" si="109"/>
        <v>0</v>
      </c>
      <c r="AJ381" s="49">
        <f t="shared" si="96"/>
        <v>0</v>
      </c>
      <c r="AK381" s="49">
        <f t="shared" si="97"/>
        <v>0</v>
      </c>
      <c r="AL381" s="49">
        <f t="shared" si="98"/>
        <v>0</v>
      </c>
      <c r="AM381" s="49">
        <f t="shared" si="99"/>
        <v>0</v>
      </c>
      <c r="AN381" s="49">
        <f t="shared" si="100"/>
        <v>0</v>
      </c>
    </row>
    <row r="382" spans="2:40">
      <c r="B382" s="43" t="str">
        <f t="shared" si="93"/>
        <v>Asset 94</v>
      </c>
      <c r="F382" s="43" t="str">
        <f t="shared" ref="F382:L382" si="134">F134</f>
        <v>10 Gereedschap</v>
      </c>
      <c r="G382" s="43">
        <f t="shared" si="134"/>
        <v>2002</v>
      </c>
      <c r="H382" s="58">
        <f t="shared" si="134"/>
        <v>26546</v>
      </c>
      <c r="I382" s="43">
        <f t="shared" si="134"/>
        <v>2021</v>
      </c>
      <c r="J382" s="58">
        <f t="shared" si="134"/>
        <v>10</v>
      </c>
      <c r="K382" s="188">
        <f t="shared" si="134"/>
        <v>1</v>
      </c>
      <c r="L382" s="58">
        <f t="shared" si="134"/>
        <v>0</v>
      </c>
      <c r="N382" s="49">
        <f t="shared" si="104"/>
        <v>0</v>
      </c>
      <c r="P382" s="44">
        <f t="shared" si="95"/>
        <v>0</v>
      </c>
      <c r="R382" s="49">
        <f t="shared" si="81"/>
        <v>0</v>
      </c>
      <c r="S382" s="49">
        <f t="shared" si="81"/>
        <v>0</v>
      </c>
      <c r="T382" s="49">
        <f t="shared" si="81"/>
        <v>0</v>
      </c>
      <c r="U382" s="49">
        <f t="shared" si="81"/>
        <v>0</v>
      </c>
      <c r="V382" s="49">
        <f t="shared" si="81"/>
        <v>0</v>
      </c>
      <c r="X382" s="49">
        <f t="shared" si="82"/>
        <v>0</v>
      </c>
      <c r="Y382" s="49">
        <f t="shared" si="82"/>
        <v>0</v>
      </c>
      <c r="Z382" s="49">
        <f t="shared" si="82"/>
        <v>0</v>
      </c>
      <c r="AA382" s="49">
        <f t="shared" si="82"/>
        <v>0</v>
      </c>
      <c r="AB382" s="49">
        <f t="shared" si="82"/>
        <v>0</v>
      </c>
      <c r="AD382" s="49">
        <f t="shared" si="105"/>
        <v>0</v>
      </c>
      <c r="AE382" s="49">
        <f t="shared" si="106"/>
        <v>0</v>
      </c>
      <c r="AF382" s="49">
        <f t="shared" si="107"/>
        <v>0</v>
      </c>
      <c r="AG382" s="49">
        <f t="shared" si="108"/>
        <v>0</v>
      </c>
      <c r="AH382" s="49">
        <f t="shared" si="109"/>
        <v>0</v>
      </c>
      <c r="AJ382" s="49">
        <f t="shared" si="96"/>
        <v>0</v>
      </c>
      <c r="AK382" s="49">
        <f t="shared" si="97"/>
        <v>0</v>
      </c>
      <c r="AL382" s="49">
        <f t="shared" si="98"/>
        <v>0</v>
      </c>
      <c r="AM382" s="49">
        <f t="shared" si="99"/>
        <v>0</v>
      </c>
      <c r="AN382" s="49">
        <f t="shared" si="100"/>
        <v>0</v>
      </c>
    </row>
    <row r="383" spans="2:40">
      <c r="B383" s="43" t="str">
        <f t="shared" si="93"/>
        <v>Asset 95</v>
      </c>
      <c r="F383" s="43" t="str">
        <f t="shared" ref="F383:L383" si="135">F135</f>
        <v>03 Verremeting</v>
      </c>
      <c r="G383" s="43">
        <f t="shared" si="135"/>
        <v>2001</v>
      </c>
      <c r="H383" s="58">
        <f t="shared" si="135"/>
        <v>16968.61</v>
      </c>
      <c r="I383" s="43">
        <f t="shared" si="135"/>
        <v>2021</v>
      </c>
      <c r="J383" s="58">
        <f t="shared" si="135"/>
        <v>5</v>
      </c>
      <c r="K383" s="188">
        <f t="shared" si="135"/>
        <v>1</v>
      </c>
      <c r="L383" s="58">
        <f t="shared" si="135"/>
        <v>0</v>
      </c>
      <c r="N383" s="49">
        <f t="shared" si="104"/>
        <v>0</v>
      </c>
      <c r="P383" s="44">
        <f t="shared" si="95"/>
        <v>0</v>
      </c>
      <c r="R383" s="49">
        <f t="shared" si="81"/>
        <v>0</v>
      </c>
      <c r="S383" s="49">
        <f t="shared" si="81"/>
        <v>0</v>
      </c>
      <c r="T383" s="49">
        <f t="shared" si="81"/>
        <v>0</v>
      </c>
      <c r="U383" s="49">
        <f t="shared" si="81"/>
        <v>0</v>
      </c>
      <c r="V383" s="49">
        <f t="shared" si="81"/>
        <v>0</v>
      </c>
      <c r="X383" s="49">
        <f t="shared" si="82"/>
        <v>0</v>
      </c>
      <c r="Y383" s="49">
        <f t="shared" si="82"/>
        <v>0</v>
      </c>
      <c r="Z383" s="49">
        <f t="shared" si="82"/>
        <v>0</v>
      </c>
      <c r="AA383" s="49">
        <f t="shared" si="82"/>
        <v>0</v>
      </c>
      <c r="AB383" s="49">
        <f t="shared" si="82"/>
        <v>0</v>
      </c>
      <c r="AD383" s="49">
        <f t="shared" si="105"/>
        <v>0</v>
      </c>
      <c r="AE383" s="49">
        <f t="shared" si="106"/>
        <v>0</v>
      </c>
      <c r="AF383" s="49">
        <f t="shared" si="107"/>
        <v>0</v>
      </c>
      <c r="AG383" s="49">
        <f t="shared" si="108"/>
        <v>0</v>
      </c>
      <c r="AH383" s="49">
        <f t="shared" si="109"/>
        <v>0</v>
      </c>
      <c r="AJ383" s="49">
        <f t="shared" si="96"/>
        <v>0</v>
      </c>
      <c r="AK383" s="49">
        <f t="shared" si="97"/>
        <v>0</v>
      </c>
      <c r="AL383" s="49">
        <f t="shared" si="98"/>
        <v>0</v>
      </c>
      <c r="AM383" s="49">
        <f t="shared" si="99"/>
        <v>0</v>
      </c>
      <c r="AN383" s="49">
        <f t="shared" si="100"/>
        <v>0</v>
      </c>
    </row>
    <row r="384" spans="2:40">
      <c r="B384" s="43" t="str">
        <f t="shared" si="93"/>
        <v>Asset 96</v>
      </c>
      <c r="F384" s="43" t="str">
        <f t="shared" ref="F384:L384" si="136">F136</f>
        <v>08 Inrichting gebouwen</v>
      </c>
      <c r="G384" s="43">
        <f t="shared" si="136"/>
        <v>2001</v>
      </c>
      <c r="H384" s="58">
        <f t="shared" si="136"/>
        <v>7752.83</v>
      </c>
      <c r="I384" s="43">
        <f t="shared" si="136"/>
        <v>2021</v>
      </c>
      <c r="J384" s="58">
        <f t="shared" si="136"/>
        <v>10</v>
      </c>
      <c r="K384" s="188">
        <f t="shared" si="136"/>
        <v>0</v>
      </c>
      <c r="L384" s="58">
        <f t="shared" si="136"/>
        <v>0</v>
      </c>
      <c r="N384" s="49">
        <f t="shared" si="104"/>
        <v>0</v>
      </c>
      <c r="P384" s="44">
        <f t="shared" si="95"/>
        <v>0</v>
      </c>
      <c r="R384" s="49">
        <f t="shared" si="81"/>
        <v>0</v>
      </c>
      <c r="S384" s="49">
        <f t="shared" si="81"/>
        <v>0</v>
      </c>
      <c r="T384" s="49">
        <f t="shared" si="81"/>
        <v>0</v>
      </c>
      <c r="U384" s="49">
        <f t="shared" si="81"/>
        <v>0</v>
      </c>
      <c r="V384" s="49">
        <f t="shared" si="81"/>
        <v>0</v>
      </c>
      <c r="X384" s="49">
        <f t="shared" si="82"/>
        <v>0</v>
      </c>
      <c r="Y384" s="49">
        <f t="shared" si="82"/>
        <v>0</v>
      </c>
      <c r="Z384" s="49">
        <f t="shared" si="82"/>
        <v>0</v>
      </c>
      <c r="AA384" s="49">
        <f t="shared" si="82"/>
        <v>0</v>
      </c>
      <c r="AB384" s="49">
        <f t="shared" si="82"/>
        <v>0</v>
      </c>
      <c r="AD384" s="49">
        <f t="shared" si="105"/>
        <v>0</v>
      </c>
      <c r="AE384" s="49">
        <f t="shared" si="106"/>
        <v>0</v>
      </c>
      <c r="AF384" s="49">
        <f t="shared" si="107"/>
        <v>0</v>
      </c>
      <c r="AG384" s="49">
        <f t="shared" si="108"/>
        <v>0</v>
      </c>
      <c r="AH384" s="49">
        <f t="shared" si="109"/>
        <v>0</v>
      </c>
      <c r="AJ384" s="49">
        <f t="shared" si="96"/>
        <v>0</v>
      </c>
      <c r="AK384" s="49">
        <f t="shared" si="97"/>
        <v>0</v>
      </c>
      <c r="AL384" s="49">
        <f t="shared" si="98"/>
        <v>0</v>
      </c>
      <c r="AM384" s="49">
        <f t="shared" si="99"/>
        <v>0</v>
      </c>
      <c r="AN384" s="49">
        <f t="shared" si="100"/>
        <v>0</v>
      </c>
    </row>
    <row r="385" spans="2:40">
      <c r="B385" s="43" t="str">
        <f t="shared" si="93"/>
        <v>Asset 97</v>
      </c>
      <c r="F385" s="43" t="str">
        <f t="shared" ref="F385:L385" si="137">F137</f>
        <v>37 ICT middelen 1 (gaschromatografen en comptabele meting)</v>
      </c>
      <c r="G385" s="43">
        <f t="shared" si="137"/>
        <v>2001</v>
      </c>
      <c r="H385" s="58">
        <f t="shared" si="137"/>
        <v>757040.92</v>
      </c>
      <c r="I385" s="43">
        <f t="shared" si="137"/>
        <v>2021</v>
      </c>
      <c r="J385" s="58">
        <f t="shared" si="137"/>
        <v>5</v>
      </c>
      <c r="K385" s="188">
        <f t="shared" si="137"/>
        <v>0</v>
      </c>
      <c r="L385" s="58">
        <f t="shared" si="137"/>
        <v>0</v>
      </c>
      <c r="N385" s="49">
        <f t="shared" si="104"/>
        <v>0</v>
      </c>
      <c r="P385" s="44">
        <f t="shared" si="95"/>
        <v>0</v>
      </c>
      <c r="R385" s="49">
        <f t="shared" si="81"/>
        <v>0</v>
      </c>
      <c r="S385" s="49">
        <f t="shared" si="81"/>
        <v>0</v>
      </c>
      <c r="T385" s="49">
        <f t="shared" si="81"/>
        <v>0</v>
      </c>
      <c r="U385" s="49">
        <f t="shared" si="81"/>
        <v>0</v>
      </c>
      <c r="V385" s="49">
        <f t="shared" si="81"/>
        <v>0</v>
      </c>
      <c r="X385" s="49">
        <f t="shared" si="82"/>
        <v>0</v>
      </c>
      <c r="Y385" s="49">
        <f t="shared" si="82"/>
        <v>0</v>
      </c>
      <c r="Z385" s="49">
        <f t="shared" si="82"/>
        <v>0</v>
      </c>
      <c r="AA385" s="49">
        <f t="shared" si="82"/>
        <v>0</v>
      </c>
      <c r="AB385" s="49">
        <f t="shared" si="82"/>
        <v>0</v>
      </c>
      <c r="AD385" s="49">
        <f t="shared" si="105"/>
        <v>0</v>
      </c>
      <c r="AE385" s="49">
        <f t="shared" si="106"/>
        <v>0</v>
      </c>
      <c r="AF385" s="49">
        <f t="shared" si="107"/>
        <v>0</v>
      </c>
      <c r="AG385" s="49">
        <f t="shared" si="108"/>
        <v>0</v>
      </c>
      <c r="AH385" s="49">
        <f t="shared" si="109"/>
        <v>0</v>
      </c>
      <c r="AJ385" s="49">
        <f t="shared" si="96"/>
        <v>0</v>
      </c>
      <c r="AK385" s="49">
        <f t="shared" si="97"/>
        <v>0</v>
      </c>
      <c r="AL385" s="49">
        <f t="shared" si="98"/>
        <v>0</v>
      </c>
      <c r="AM385" s="49">
        <f t="shared" si="99"/>
        <v>0</v>
      </c>
      <c r="AN385" s="49">
        <f t="shared" si="100"/>
        <v>0</v>
      </c>
    </row>
    <row r="386" spans="2:40">
      <c r="B386" s="43" t="str">
        <f t="shared" si="93"/>
        <v>Asset 98</v>
      </c>
      <c r="F386" s="43" t="str">
        <f t="shared" ref="F386:L386" si="138">F138</f>
        <v>13 Aanhangwagens</v>
      </c>
      <c r="G386" s="43">
        <f t="shared" si="138"/>
        <v>2001</v>
      </c>
      <c r="H386" s="58">
        <f t="shared" si="138"/>
        <v>2746.92</v>
      </c>
      <c r="I386" s="43">
        <f t="shared" si="138"/>
        <v>2021</v>
      </c>
      <c r="J386" s="58">
        <f t="shared" si="138"/>
        <v>10</v>
      </c>
      <c r="K386" s="188">
        <f t="shared" si="138"/>
        <v>1</v>
      </c>
      <c r="L386" s="58">
        <f t="shared" si="138"/>
        <v>0</v>
      </c>
      <c r="N386" s="49">
        <f t="shared" si="104"/>
        <v>0</v>
      </c>
      <c r="P386" s="44">
        <f t="shared" si="95"/>
        <v>0</v>
      </c>
      <c r="R386" s="49">
        <f t="shared" si="81"/>
        <v>0</v>
      </c>
      <c r="S386" s="49">
        <f t="shared" si="81"/>
        <v>0</v>
      </c>
      <c r="T386" s="49">
        <f t="shared" si="81"/>
        <v>0</v>
      </c>
      <c r="U386" s="49">
        <f t="shared" si="81"/>
        <v>0</v>
      </c>
      <c r="V386" s="49">
        <f t="shared" si="81"/>
        <v>0</v>
      </c>
      <c r="X386" s="49">
        <f t="shared" si="82"/>
        <v>0</v>
      </c>
      <c r="Y386" s="49">
        <f t="shared" si="82"/>
        <v>0</v>
      </c>
      <c r="Z386" s="49">
        <f t="shared" si="82"/>
        <v>0</v>
      </c>
      <c r="AA386" s="49">
        <f t="shared" si="82"/>
        <v>0</v>
      </c>
      <c r="AB386" s="49">
        <f t="shared" si="82"/>
        <v>0</v>
      </c>
      <c r="AD386" s="49">
        <f t="shared" si="105"/>
        <v>0</v>
      </c>
      <c r="AE386" s="49">
        <f t="shared" si="106"/>
        <v>0</v>
      </c>
      <c r="AF386" s="49">
        <f t="shared" si="107"/>
        <v>0</v>
      </c>
      <c r="AG386" s="49">
        <f t="shared" si="108"/>
        <v>0</v>
      </c>
      <c r="AH386" s="49">
        <f t="shared" si="109"/>
        <v>0</v>
      </c>
      <c r="AJ386" s="49">
        <f t="shared" si="96"/>
        <v>0</v>
      </c>
      <c r="AK386" s="49">
        <f t="shared" si="97"/>
        <v>0</v>
      </c>
      <c r="AL386" s="49">
        <f t="shared" si="98"/>
        <v>0</v>
      </c>
      <c r="AM386" s="49">
        <f t="shared" si="99"/>
        <v>0</v>
      </c>
      <c r="AN386" s="49">
        <f t="shared" si="100"/>
        <v>0</v>
      </c>
    </row>
    <row r="387" spans="2:40">
      <c r="B387" s="43" t="str">
        <f t="shared" si="93"/>
        <v>Asset 99</v>
      </c>
      <c r="F387" s="43" t="str">
        <f t="shared" ref="F387:L387" si="139">F139</f>
        <v>11 Werktuigen</v>
      </c>
      <c r="G387" s="43">
        <f t="shared" si="139"/>
        <v>2002</v>
      </c>
      <c r="H387" s="58">
        <f t="shared" si="139"/>
        <v>108571.05</v>
      </c>
      <c r="I387" s="43">
        <f t="shared" si="139"/>
        <v>2021</v>
      </c>
      <c r="J387" s="58">
        <f t="shared" si="139"/>
        <v>10</v>
      </c>
      <c r="K387" s="188">
        <f t="shared" si="139"/>
        <v>1</v>
      </c>
      <c r="L387" s="58">
        <f t="shared" si="139"/>
        <v>0</v>
      </c>
      <c r="N387" s="49">
        <f t="shared" si="104"/>
        <v>0</v>
      </c>
      <c r="P387" s="44">
        <f t="shared" si="95"/>
        <v>0</v>
      </c>
      <c r="R387" s="49">
        <f t="shared" si="81"/>
        <v>0</v>
      </c>
      <c r="S387" s="49">
        <f t="shared" si="81"/>
        <v>0</v>
      </c>
      <c r="T387" s="49">
        <f t="shared" si="81"/>
        <v>0</v>
      </c>
      <c r="U387" s="49">
        <f t="shared" si="81"/>
        <v>0</v>
      </c>
      <c r="V387" s="49">
        <f t="shared" si="81"/>
        <v>0</v>
      </c>
      <c r="X387" s="49">
        <f t="shared" si="82"/>
        <v>0</v>
      </c>
      <c r="Y387" s="49">
        <f t="shared" si="82"/>
        <v>0</v>
      </c>
      <c r="Z387" s="49">
        <f t="shared" si="82"/>
        <v>0</v>
      </c>
      <c r="AA387" s="49">
        <f t="shared" si="82"/>
        <v>0</v>
      </c>
      <c r="AB387" s="49">
        <f t="shared" si="82"/>
        <v>0</v>
      </c>
      <c r="AD387" s="49">
        <f t="shared" si="105"/>
        <v>0</v>
      </c>
      <c r="AE387" s="49">
        <f t="shared" si="106"/>
        <v>0</v>
      </c>
      <c r="AF387" s="49">
        <f t="shared" si="107"/>
        <v>0</v>
      </c>
      <c r="AG387" s="49">
        <f t="shared" si="108"/>
        <v>0</v>
      </c>
      <c r="AH387" s="49">
        <f t="shared" si="109"/>
        <v>0</v>
      </c>
      <c r="AJ387" s="49">
        <f t="shared" si="96"/>
        <v>0</v>
      </c>
      <c r="AK387" s="49">
        <f t="shared" si="97"/>
        <v>0</v>
      </c>
      <c r="AL387" s="49">
        <f t="shared" si="98"/>
        <v>0</v>
      </c>
      <c r="AM387" s="49">
        <f t="shared" si="99"/>
        <v>0</v>
      </c>
      <c r="AN387" s="49">
        <f t="shared" si="100"/>
        <v>0</v>
      </c>
    </row>
    <row r="388" spans="2:40">
      <c r="B388" s="43" t="str">
        <f t="shared" si="93"/>
        <v>Asset 100</v>
      </c>
      <c r="F388" s="43" t="str">
        <f t="shared" ref="F388:L388" si="140">F140</f>
        <v>37 ICT middelen 1 (gaschromatografen en comptabele meting)</v>
      </c>
      <c r="G388" s="43">
        <f t="shared" si="140"/>
        <v>2002</v>
      </c>
      <c r="H388" s="58">
        <f t="shared" si="140"/>
        <v>27589.78</v>
      </c>
      <c r="I388" s="43">
        <f t="shared" si="140"/>
        <v>2021</v>
      </c>
      <c r="J388" s="58">
        <f t="shared" si="140"/>
        <v>5</v>
      </c>
      <c r="K388" s="188">
        <f t="shared" si="140"/>
        <v>0</v>
      </c>
      <c r="L388" s="58">
        <f t="shared" si="140"/>
        <v>0</v>
      </c>
      <c r="N388" s="49">
        <f t="shared" si="104"/>
        <v>0</v>
      </c>
      <c r="P388" s="44">
        <f t="shared" si="95"/>
        <v>0</v>
      </c>
      <c r="R388" s="49">
        <f t="shared" si="81"/>
        <v>0</v>
      </c>
      <c r="S388" s="49">
        <f t="shared" si="81"/>
        <v>0</v>
      </c>
      <c r="T388" s="49">
        <f t="shared" si="81"/>
        <v>0</v>
      </c>
      <c r="U388" s="49">
        <f t="shared" si="81"/>
        <v>0</v>
      </c>
      <c r="V388" s="49">
        <f t="shared" si="81"/>
        <v>0</v>
      </c>
      <c r="X388" s="49">
        <f t="shared" si="82"/>
        <v>0</v>
      </c>
      <c r="Y388" s="49">
        <f t="shared" si="82"/>
        <v>0</v>
      </c>
      <c r="Z388" s="49">
        <f t="shared" si="82"/>
        <v>0</v>
      </c>
      <c r="AA388" s="49">
        <f t="shared" si="82"/>
        <v>0</v>
      </c>
      <c r="AB388" s="49">
        <f t="shared" si="82"/>
        <v>0</v>
      </c>
      <c r="AD388" s="49">
        <f t="shared" si="105"/>
        <v>0</v>
      </c>
      <c r="AE388" s="49">
        <f t="shared" si="106"/>
        <v>0</v>
      </c>
      <c r="AF388" s="49">
        <f t="shared" si="107"/>
        <v>0</v>
      </c>
      <c r="AG388" s="49">
        <f t="shared" si="108"/>
        <v>0</v>
      </c>
      <c r="AH388" s="49">
        <f t="shared" si="109"/>
        <v>0</v>
      </c>
      <c r="AJ388" s="49">
        <f t="shared" si="96"/>
        <v>0</v>
      </c>
      <c r="AK388" s="49">
        <f t="shared" si="97"/>
        <v>0</v>
      </c>
      <c r="AL388" s="49">
        <f t="shared" si="98"/>
        <v>0</v>
      </c>
      <c r="AM388" s="49">
        <f t="shared" si="99"/>
        <v>0</v>
      </c>
      <c r="AN388" s="49">
        <f t="shared" si="100"/>
        <v>0</v>
      </c>
    </row>
    <row r="389" spans="2:40">
      <c r="B389" s="43" t="str">
        <f t="shared" si="93"/>
        <v>Asset 101</v>
      </c>
      <c r="F389" s="43" t="str">
        <f t="shared" ref="F389:L389" si="141">F141</f>
        <v>14 Overig rollend materieel</v>
      </c>
      <c r="G389" s="43">
        <f t="shared" si="141"/>
        <v>2002</v>
      </c>
      <c r="H389" s="58">
        <f t="shared" si="141"/>
        <v>7905</v>
      </c>
      <c r="I389" s="43">
        <f t="shared" si="141"/>
        <v>2021</v>
      </c>
      <c r="J389" s="58">
        <f t="shared" si="141"/>
        <v>10</v>
      </c>
      <c r="K389" s="188">
        <f t="shared" si="141"/>
        <v>1</v>
      </c>
      <c r="L389" s="58">
        <f t="shared" si="141"/>
        <v>0</v>
      </c>
      <c r="N389" s="49">
        <f t="shared" si="104"/>
        <v>0</v>
      </c>
      <c r="P389" s="44">
        <f t="shared" si="95"/>
        <v>0</v>
      </c>
      <c r="R389" s="49">
        <f t="shared" si="81"/>
        <v>0</v>
      </c>
      <c r="S389" s="49">
        <f t="shared" si="81"/>
        <v>0</v>
      </c>
      <c r="T389" s="49">
        <f t="shared" si="81"/>
        <v>0</v>
      </c>
      <c r="U389" s="49">
        <f t="shared" si="81"/>
        <v>0</v>
      </c>
      <c r="V389" s="49">
        <f t="shared" si="81"/>
        <v>0</v>
      </c>
      <c r="X389" s="49">
        <f t="shared" si="82"/>
        <v>0</v>
      </c>
      <c r="Y389" s="49">
        <f t="shared" si="82"/>
        <v>0</v>
      </c>
      <c r="Z389" s="49">
        <f t="shared" si="82"/>
        <v>0</v>
      </c>
      <c r="AA389" s="49">
        <f t="shared" si="82"/>
        <v>0</v>
      </c>
      <c r="AB389" s="49">
        <f t="shared" si="82"/>
        <v>0</v>
      </c>
      <c r="AD389" s="49">
        <f t="shared" si="105"/>
        <v>0</v>
      </c>
      <c r="AE389" s="49">
        <f t="shared" si="106"/>
        <v>0</v>
      </c>
      <c r="AF389" s="49">
        <f t="shared" si="107"/>
        <v>0</v>
      </c>
      <c r="AG389" s="49">
        <f t="shared" si="108"/>
        <v>0</v>
      </c>
      <c r="AH389" s="49">
        <f t="shared" si="109"/>
        <v>0</v>
      </c>
      <c r="AJ389" s="49">
        <f t="shared" si="96"/>
        <v>0</v>
      </c>
      <c r="AK389" s="49">
        <f t="shared" si="97"/>
        <v>0</v>
      </c>
      <c r="AL389" s="49">
        <f t="shared" si="98"/>
        <v>0</v>
      </c>
      <c r="AM389" s="49">
        <f t="shared" si="99"/>
        <v>0</v>
      </c>
      <c r="AN389" s="49">
        <f t="shared" si="100"/>
        <v>0</v>
      </c>
    </row>
    <row r="390" spans="2:40">
      <c r="B390" s="43" t="str">
        <f t="shared" si="93"/>
        <v>Asset 102</v>
      </c>
      <c r="F390" s="43" t="str">
        <f t="shared" ref="F390:L390" si="142">F142</f>
        <v>13 Aanhangwagens</v>
      </c>
      <c r="G390" s="43">
        <f t="shared" si="142"/>
        <v>2002</v>
      </c>
      <c r="H390" s="58">
        <f t="shared" si="142"/>
        <v>1243</v>
      </c>
      <c r="I390" s="43">
        <f t="shared" si="142"/>
        <v>2021</v>
      </c>
      <c r="J390" s="58">
        <f t="shared" si="142"/>
        <v>10</v>
      </c>
      <c r="K390" s="188">
        <f t="shared" si="142"/>
        <v>1</v>
      </c>
      <c r="L390" s="58">
        <f t="shared" si="142"/>
        <v>0</v>
      </c>
      <c r="N390" s="49">
        <f t="shared" si="104"/>
        <v>0</v>
      </c>
      <c r="P390" s="44">
        <f t="shared" si="95"/>
        <v>0</v>
      </c>
      <c r="R390" s="49">
        <f t="shared" si="81"/>
        <v>0</v>
      </c>
      <c r="S390" s="49">
        <f t="shared" si="81"/>
        <v>0</v>
      </c>
      <c r="T390" s="49">
        <f t="shared" si="81"/>
        <v>0</v>
      </c>
      <c r="U390" s="49">
        <f t="shared" si="81"/>
        <v>0</v>
      </c>
      <c r="V390" s="49">
        <f t="shared" si="81"/>
        <v>0</v>
      </c>
      <c r="X390" s="49">
        <f t="shared" si="82"/>
        <v>0</v>
      </c>
      <c r="Y390" s="49">
        <f t="shared" si="82"/>
        <v>0</v>
      </c>
      <c r="Z390" s="49">
        <f t="shared" si="82"/>
        <v>0</v>
      </c>
      <c r="AA390" s="49">
        <f t="shared" si="82"/>
        <v>0</v>
      </c>
      <c r="AB390" s="49">
        <f t="shared" si="82"/>
        <v>0</v>
      </c>
      <c r="AD390" s="49">
        <f t="shared" si="105"/>
        <v>0</v>
      </c>
      <c r="AE390" s="49">
        <f t="shared" si="106"/>
        <v>0</v>
      </c>
      <c r="AF390" s="49">
        <f t="shared" si="107"/>
        <v>0</v>
      </c>
      <c r="AG390" s="49">
        <f t="shared" si="108"/>
        <v>0</v>
      </c>
      <c r="AH390" s="49">
        <f t="shared" si="109"/>
        <v>0</v>
      </c>
      <c r="AJ390" s="49">
        <f t="shared" si="96"/>
        <v>0</v>
      </c>
      <c r="AK390" s="49">
        <f t="shared" si="97"/>
        <v>0</v>
      </c>
      <c r="AL390" s="49">
        <f t="shared" si="98"/>
        <v>0</v>
      </c>
      <c r="AM390" s="49">
        <f t="shared" si="99"/>
        <v>0</v>
      </c>
      <c r="AN390" s="49">
        <f t="shared" si="100"/>
        <v>0</v>
      </c>
    </row>
    <row r="391" spans="2:40">
      <c r="B391" s="43" t="str">
        <f t="shared" si="93"/>
        <v>Asset 103</v>
      </c>
      <c r="F391" s="43" t="str">
        <f t="shared" ref="F391:L391" si="143">F143</f>
        <v>06 Utiliteitsgebouwen</v>
      </c>
      <c r="G391" s="43">
        <f t="shared" si="143"/>
        <v>2002</v>
      </c>
      <c r="H391" s="58">
        <f t="shared" si="143"/>
        <v>68637.27</v>
      </c>
      <c r="I391" s="43">
        <f t="shared" si="143"/>
        <v>2021</v>
      </c>
      <c r="J391" s="58">
        <f t="shared" si="143"/>
        <v>30</v>
      </c>
      <c r="K391" s="188">
        <f t="shared" si="143"/>
        <v>0</v>
      </c>
      <c r="L391" s="58">
        <f t="shared" si="143"/>
        <v>33068.469795601901</v>
      </c>
      <c r="N391" s="49">
        <f t="shared" si="104"/>
        <v>33068.469795601901</v>
      </c>
      <c r="P391" s="44">
        <f t="shared" si="95"/>
        <v>10.5</v>
      </c>
      <c r="R391" s="49">
        <f t="shared" si="81"/>
        <v>3684.7723486527834</v>
      </c>
      <c r="S391" s="49">
        <f t="shared" si="81"/>
        <v>3228.562438819582</v>
      </c>
      <c r="T391" s="49">
        <f t="shared" si="81"/>
        <v>2828.8356606800144</v>
      </c>
      <c r="U391" s="49">
        <f t="shared" si="81"/>
        <v>2669.2603157185777</v>
      </c>
      <c r="V391" s="49">
        <f t="shared" si="81"/>
        <v>2669.2603157185777</v>
      </c>
      <c r="X391" s="49">
        <f t="shared" si="82"/>
        <v>314.93780757716098</v>
      </c>
      <c r="Y391" s="49">
        <f t="shared" si="82"/>
        <v>314.93780757716098</v>
      </c>
      <c r="Z391" s="49">
        <f t="shared" si="82"/>
        <v>314.93780757716098</v>
      </c>
      <c r="AA391" s="49">
        <f t="shared" si="82"/>
        <v>314.93780757716098</v>
      </c>
      <c r="AB391" s="49">
        <f t="shared" si="82"/>
        <v>314.93780757716098</v>
      </c>
      <c r="AD391" s="49">
        <f t="shared" si="105"/>
        <v>29068.759639371958</v>
      </c>
      <c r="AE391" s="49">
        <f t="shared" si="106"/>
        <v>25525.259392975215</v>
      </c>
      <c r="AF391" s="49">
        <f t="shared" si="107"/>
        <v>22381.485924718039</v>
      </c>
      <c r="AG391" s="49">
        <f t="shared" si="108"/>
        <v>19397.287801422302</v>
      </c>
      <c r="AH391" s="49">
        <f t="shared" si="109"/>
        <v>16413.089678126566</v>
      </c>
      <c r="AJ391" s="49">
        <f t="shared" si="96"/>
        <v>4900.841705050475</v>
      </c>
      <c r="AK391" s="49">
        <f t="shared" si="97"/>
        <v>4309.2580281859991</v>
      </c>
      <c r="AL391" s="49">
        <f t="shared" si="98"/>
        <v>3815.2180459987167</v>
      </c>
      <c r="AM391" s="49">
        <f t="shared" si="99"/>
        <v>3566.1167573384078</v>
      </c>
      <c r="AN391" s="49">
        <f t="shared" si="100"/>
        <v>3476.5908136395356</v>
      </c>
    </row>
    <row r="392" spans="2:40">
      <c r="B392" s="43" t="str">
        <f t="shared" si="93"/>
        <v>Asset 104</v>
      </c>
      <c r="F392" s="43" t="str">
        <f t="shared" ref="F392:L392" si="144">F144</f>
        <v>09 Bedrijfsinventaris</v>
      </c>
      <c r="G392" s="43">
        <f t="shared" si="144"/>
        <v>2003</v>
      </c>
      <c r="H392" s="58">
        <f t="shared" si="144"/>
        <v>108222.26</v>
      </c>
      <c r="I392" s="43">
        <f t="shared" si="144"/>
        <v>2021</v>
      </c>
      <c r="J392" s="58">
        <f t="shared" si="144"/>
        <v>10</v>
      </c>
      <c r="K392" s="188">
        <f t="shared" si="144"/>
        <v>1</v>
      </c>
      <c r="L392" s="58">
        <f t="shared" si="144"/>
        <v>0</v>
      </c>
      <c r="N392" s="49">
        <f t="shared" si="104"/>
        <v>0</v>
      </c>
      <c r="P392" s="44">
        <f t="shared" si="95"/>
        <v>0</v>
      </c>
      <c r="R392" s="49">
        <f t="shared" si="81"/>
        <v>0</v>
      </c>
      <c r="S392" s="49">
        <f t="shared" si="81"/>
        <v>0</v>
      </c>
      <c r="T392" s="49">
        <f t="shared" si="81"/>
        <v>0</v>
      </c>
      <c r="U392" s="49">
        <f t="shared" si="81"/>
        <v>0</v>
      </c>
      <c r="V392" s="49">
        <f t="shared" si="81"/>
        <v>0</v>
      </c>
      <c r="X392" s="49">
        <f t="shared" si="82"/>
        <v>0</v>
      </c>
      <c r="Y392" s="49">
        <f t="shared" si="82"/>
        <v>0</v>
      </c>
      <c r="Z392" s="49">
        <f t="shared" si="82"/>
        <v>0</v>
      </c>
      <c r="AA392" s="49">
        <f t="shared" si="82"/>
        <v>0</v>
      </c>
      <c r="AB392" s="49">
        <f t="shared" si="82"/>
        <v>0</v>
      </c>
      <c r="AD392" s="49">
        <f t="shared" si="105"/>
        <v>0</v>
      </c>
      <c r="AE392" s="49">
        <f t="shared" si="106"/>
        <v>0</v>
      </c>
      <c r="AF392" s="49">
        <f t="shared" si="107"/>
        <v>0</v>
      </c>
      <c r="AG392" s="49">
        <f t="shared" si="108"/>
        <v>0</v>
      </c>
      <c r="AH392" s="49">
        <f t="shared" si="109"/>
        <v>0</v>
      </c>
      <c r="AJ392" s="49">
        <f t="shared" si="96"/>
        <v>0</v>
      </c>
      <c r="AK392" s="49">
        <f t="shared" si="97"/>
        <v>0</v>
      </c>
      <c r="AL392" s="49">
        <f t="shared" si="98"/>
        <v>0</v>
      </c>
      <c r="AM392" s="49">
        <f t="shared" si="99"/>
        <v>0</v>
      </c>
      <c r="AN392" s="49">
        <f t="shared" si="100"/>
        <v>0</v>
      </c>
    </row>
    <row r="393" spans="2:40">
      <c r="B393" s="43" t="str">
        <f t="shared" si="93"/>
        <v>Asset 105</v>
      </c>
      <c r="F393" s="43" t="str">
        <f t="shared" ref="F393:L393" si="145">F145</f>
        <v>11 Werktuigen</v>
      </c>
      <c r="G393" s="43">
        <f t="shared" si="145"/>
        <v>2003</v>
      </c>
      <c r="H393" s="58">
        <f t="shared" si="145"/>
        <v>135681.9</v>
      </c>
      <c r="I393" s="43">
        <f t="shared" si="145"/>
        <v>2021</v>
      </c>
      <c r="J393" s="58">
        <f t="shared" si="145"/>
        <v>10</v>
      </c>
      <c r="K393" s="188">
        <f t="shared" si="145"/>
        <v>1</v>
      </c>
      <c r="L393" s="58">
        <f t="shared" si="145"/>
        <v>0</v>
      </c>
      <c r="N393" s="49">
        <f t="shared" si="104"/>
        <v>0</v>
      </c>
      <c r="P393" s="44">
        <f t="shared" si="95"/>
        <v>0</v>
      </c>
      <c r="R393" s="49">
        <f t="shared" si="81"/>
        <v>0</v>
      </c>
      <c r="S393" s="49">
        <f t="shared" si="81"/>
        <v>0</v>
      </c>
      <c r="T393" s="49">
        <f t="shared" si="81"/>
        <v>0</v>
      </c>
      <c r="U393" s="49">
        <f t="shared" si="81"/>
        <v>0</v>
      </c>
      <c r="V393" s="49">
        <f t="shared" si="81"/>
        <v>0</v>
      </c>
      <c r="X393" s="49">
        <f t="shared" si="82"/>
        <v>0</v>
      </c>
      <c r="Y393" s="49">
        <f t="shared" si="82"/>
        <v>0</v>
      </c>
      <c r="Z393" s="49">
        <f t="shared" si="82"/>
        <v>0</v>
      </c>
      <c r="AA393" s="49">
        <f t="shared" si="82"/>
        <v>0</v>
      </c>
      <c r="AB393" s="49">
        <f t="shared" si="82"/>
        <v>0</v>
      </c>
      <c r="AD393" s="49">
        <f t="shared" si="105"/>
        <v>0</v>
      </c>
      <c r="AE393" s="49">
        <f t="shared" si="106"/>
        <v>0</v>
      </c>
      <c r="AF393" s="49">
        <f t="shared" si="107"/>
        <v>0</v>
      </c>
      <c r="AG393" s="49">
        <f t="shared" si="108"/>
        <v>0</v>
      </c>
      <c r="AH393" s="49">
        <f t="shared" si="109"/>
        <v>0</v>
      </c>
      <c r="AJ393" s="49">
        <f t="shared" si="96"/>
        <v>0</v>
      </c>
      <c r="AK393" s="49">
        <f t="shared" si="97"/>
        <v>0</v>
      </c>
      <c r="AL393" s="49">
        <f t="shared" si="98"/>
        <v>0</v>
      </c>
      <c r="AM393" s="49">
        <f t="shared" si="99"/>
        <v>0</v>
      </c>
      <c r="AN393" s="49">
        <f t="shared" si="100"/>
        <v>0</v>
      </c>
    </row>
    <row r="394" spans="2:40">
      <c r="B394" s="43" t="str">
        <f t="shared" si="93"/>
        <v>Asset 106</v>
      </c>
      <c r="F394" s="43" t="str">
        <f t="shared" ref="F394:L394" si="146">F146</f>
        <v>37 ICT middelen 1</v>
      </c>
      <c r="G394" s="43">
        <f t="shared" si="146"/>
        <v>2003</v>
      </c>
      <c r="H394" s="58">
        <f t="shared" si="146"/>
        <v>869353.66999999993</v>
      </c>
      <c r="I394" s="43">
        <f t="shared" si="146"/>
        <v>2021</v>
      </c>
      <c r="J394" s="58">
        <f t="shared" si="146"/>
        <v>5</v>
      </c>
      <c r="K394" s="188">
        <f t="shared" si="146"/>
        <v>1</v>
      </c>
      <c r="L394" s="58">
        <f t="shared" si="146"/>
        <v>0</v>
      </c>
      <c r="N394" s="49">
        <f t="shared" si="104"/>
        <v>0</v>
      </c>
      <c r="P394" s="44">
        <f t="shared" si="95"/>
        <v>0</v>
      </c>
      <c r="R394" s="49">
        <f t="shared" ref="R394:V444" si="147">IF(R$287&lt;=$G394+$J394,VDB($L394*(1-$F$25),0,$P394,R$287-2022,MIN(R$287-2021,$P394),$F$22),0)</f>
        <v>0</v>
      </c>
      <c r="S394" s="49">
        <f t="shared" si="147"/>
        <v>0</v>
      </c>
      <c r="T394" s="49">
        <f t="shared" si="147"/>
        <v>0</v>
      </c>
      <c r="U394" s="49">
        <f t="shared" si="147"/>
        <v>0</v>
      </c>
      <c r="V394" s="49">
        <f t="shared" si="147"/>
        <v>0</v>
      </c>
      <c r="X394" s="49">
        <f t="shared" ref="X394:AB444" si="148">IF(X$287&lt;=$G394+$J394,VDB($L394*$F$25,0,$P394,X$287-2022,MIN(X$287-2021,$P394),1),0)</f>
        <v>0</v>
      </c>
      <c r="Y394" s="49">
        <f t="shared" si="148"/>
        <v>0</v>
      </c>
      <c r="Z394" s="49">
        <f t="shared" si="148"/>
        <v>0</v>
      </c>
      <c r="AA394" s="49">
        <f t="shared" si="148"/>
        <v>0</v>
      </c>
      <c r="AB394" s="49">
        <f t="shared" si="148"/>
        <v>0</v>
      </c>
      <c r="AD394" s="49">
        <f t="shared" si="105"/>
        <v>0</v>
      </c>
      <c r="AE394" s="49">
        <f t="shared" si="106"/>
        <v>0</v>
      </c>
      <c r="AF394" s="49">
        <f t="shared" si="107"/>
        <v>0</v>
      </c>
      <c r="AG394" s="49">
        <f t="shared" si="108"/>
        <v>0</v>
      </c>
      <c r="AH394" s="49">
        <f t="shared" si="109"/>
        <v>0</v>
      </c>
      <c r="AJ394" s="49">
        <f t="shared" si="96"/>
        <v>0</v>
      </c>
      <c r="AK394" s="49">
        <f t="shared" si="97"/>
        <v>0</v>
      </c>
      <c r="AL394" s="49">
        <f t="shared" si="98"/>
        <v>0</v>
      </c>
      <c r="AM394" s="49">
        <f t="shared" si="99"/>
        <v>0</v>
      </c>
      <c r="AN394" s="49">
        <f t="shared" si="100"/>
        <v>0</v>
      </c>
    </row>
    <row r="395" spans="2:40">
      <c r="B395" s="43" t="str">
        <f t="shared" si="93"/>
        <v>Asset 107</v>
      </c>
      <c r="F395" s="43" t="str">
        <f t="shared" ref="F395:L395" si="149">F147</f>
        <v>37 ICT middelen 1 (gaschromatografen en comptabele meting)</v>
      </c>
      <c r="G395" s="43">
        <f t="shared" si="149"/>
        <v>2003</v>
      </c>
      <c r="H395" s="58">
        <f t="shared" si="149"/>
        <v>1210667.97</v>
      </c>
      <c r="I395" s="43">
        <f t="shared" si="149"/>
        <v>2021</v>
      </c>
      <c r="J395" s="58">
        <f t="shared" si="149"/>
        <v>5</v>
      </c>
      <c r="K395" s="188">
        <f t="shared" si="149"/>
        <v>0</v>
      </c>
      <c r="L395" s="58">
        <f t="shared" si="149"/>
        <v>0</v>
      </c>
      <c r="N395" s="49">
        <f t="shared" si="104"/>
        <v>0</v>
      </c>
      <c r="P395" s="44">
        <f t="shared" si="95"/>
        <v>0</v>
      </c>
      <c r="R395" s="49">
        <f t="shared" si="147"/>
        <v>0</v>
      </c>
      <c r="S395" s="49">
        <f t="shared" si="147"/>
        <v>0</v>
      </c>
      <c r="T395" s="49">
        <f t="shared" si="147"/>
        <v>0</v>
      </c>
      <c r="U395" s="49">
        <f t="shared" si="147"/>
        <v>0</v>
      </c>
      <c r="V395" s="49">
        <f t="shared" si="147"/>
        <v>0</v>
      </c>
      <c r="X395" s="49">
        <f t="shared" si="148"/>
        <v>0</v>
      </c>
      <c r="Y395" s="49">
        <f t="shared" si="148"/>
        <v>0</v>
      </c>
      <c r="Z395" s="49">
        <f t="shared" si="148"/>
        <v>0</v>
      </c>
      <c r="AA395" s="49">
        <f t="shared" si="148"/>
        <v>0</v>
      </c>
      <c r="AB395" s="49">
        <f t="shared" si="148"/>
        <v>0</v>
      </c>
      <c r="AD395" s="49">
        <f t="shared" si="105"/>
        <v>0</v>
      </c>
      <c r="AE395" s="49">
        <f t="shared" si="106"/>
        <v>0</v>
      </c>
      <c r="AF395" s="49">
        <f t="shared" si="107"/>
        <v>0</v>
      </c>
      <c r="AG395" s="49">
        <f t="shared" si="108"/>
        <v>0</v>
      </c>
      <c r="AH395" s="49">
        <f t="shared" si="109"/>
        <v>0</v>
      </c>
      <c r="AJ395" s="49">
        <f t="shared" si="96"/>
        <v>0</v>
      </c>
      <c r="AK395" s="49">
        <f t="shared" si="97"/>
        <v>0</v>
      </c>
      <c r="AL395" s="49">
        <f t="shared" si="98"/>
        <v>0</v>
      </c>
      <c r="AM395" s="49">
        <f t="shared" si="99"/>
        <v>0</v>
      </c>
      <c r="AN395" s="49">
        <f t="shared" si="100"/>
        <v>0</v>
      </c>
    </row>
    <row r="396" spans="2:40">
      <c r="B396" s="43" t="str">
        <f t="shared" si="93"/>
        <v>Asset 108</v>
      </c>
      <c r="F396" s="43" t="str">
        <f t="shared" ref="F396:L396" si="150">F148</f>
        <v>10 Gereedschap</v>
      </c>
      <c r="G396" s="43">
        <f t="shared" si="150"/>
        <v>2003</v>
      </c>
      <c r="H396" s="58">
        <f t="shared" si="150"/>
        <v>62325</v>
      </c>
      <c r="I396" s="43">
        <f t="shared" si="150"/>
        <v>2021</v>
      </c>
      <c r="J396" s="58">
        <f t="shared" si="150"/>
        <v>10</v>
      </c>
      <c r="K396" s="188">
        <f t="shared" si="150"/>
        <v>1</v>
      </c>
      <c r="L396" s="58">
        <f t="shared" si="150"/>
        <v>0</v>
      </c>
      <c r="N396" s="49">
        <f t="shared" si="104"/>
        <v>0</v>
      </c>
      <c r="P396" s="44">
        <f t="shared" si="95"/>
        <v>0</v>
      </c>
      <c r="R396" s="49">
        <f t="shared" si="147"/>
        <v>0</v>
      </c>
      <c r="S396" s="49">
        <f t="shared" si="147"/>
        <v>0</v>
      </c>
      <c r="T396" s="49">
        <f t="shared" si="147"/>
        <v>0</v>
      </c>
      <c r="U396" s="49">
        <f t="shared" si="147"/>
        <v>0</v>
      </c>
      <c r="V396" s="49">
        <f t="shared" si="147"/>
        <v>0</v>
      </c>
      <c r="X396" s="49">
        <f t="shared" si="148"/>
        <v>0</v>
      </c>
      <c r="Y396" s="49">
        <f t="shared" si="148"/>
        <v>0</v>
      </c>
      <c r="Z396" s="49">
        <f t="shared" si="148"/>
        <v>0</v>
      </c>
      <c r="AA396" s="49">
        <f t="shared" si="148"/>
        <v>0</v>
      </c>
      <c r="AB396" s="49">
        <f t="shared" si="148"/>
        <v>0</v>
      </c>
      <c r="AD396" s="49">
        <f t="shared" si="105"/>
        <v>0</v>
      </c>
      <c r="AE396" s="49">
        <f t="shared" si="106"/>
        <v>0</v>
      </c>
      <c r="AF396" s="49">
        <f t="shared" si="107"/>
        <v>0</v>
      </c>
      <c r="AG396" s="49">
        <f t="shared" si="108"/>
        <v>0</v>
      </c>
      <c r="AH396" s="49">
        <f t="shared" si="109"/>
        <v>0</v>
      </c>
      <c r="AJ396" s="49">
        <f t="shared" si="96"/>
        <v>0</v>
      </c>
      <c r="AK396" s="49">
        <f t="shared" si="97"/>
        <v>0</v>
      </c>
      <c r="AL396" s="49">
        <f t="shared" si="98"/>
        <v>0</v>
      </c>
      <c r="AM396" s="49">
        <f t="shared" si="99"/>
        <v>0</v>
      </c>
      <c r="AN396" s="49">
        <f t="shared" si="100"/>
        <v>0</v>
      </c>
    </row>
    <row r="397" spans="2:40">
      <c r="B397" s="43" t="str">
        <f t="shared" si="93"/>
        <v>Asset 109</v>
      </c>
      <c r="F397" s="43" t="str">
        <f t="shared" ref="F397:L397" si="151">F149</f>
        <v>06 Utiliteitsgebouwen</v>
      </c>
      <c r="G397" s="43">
        <f t="shared" si="151"/>
        <v>2003</v>
      </c>
      <c r="H397" s="58">
        <f t="shared" si="151"/>
        <v>206366.74</v>
      </c>
      <c r="I397" s="43">
        <f t="shared" si="151"/>
        <v>2021</v>
      </c>
      <c r="J397" s="58">
        <f t="shared" si="151"/>
        <v>30</v>
      </c>
      <c r="K397" s="188">
        <f t="shared" si="151"/>
        <v>0</v>
      </c>
      <c r="L397" s="58">
        <f t="shared" si="151"/>
        <v>105414.90479883776</v>
      </c>
      <c r="N397" s="49">
        <f t="shared" si="104"/>
        <v>105414.90479883776</v>
      </c>
      <c r="P397" s="44">
        <f t="shared" si="95"/>
        <v>11.5</v>
      </c>
      <c r="R397" s="49">
        <f t="shared" si="147"/>
        <v>10724.820749099146</v>
      </c>
      <c r="S397" s="49">
        <f t="shared" si="147"/>
        <v>9512.4497078966342</v>
      </c>
      <c r="T397" s="49">
        <f t="shared" si="147"/>
        <v>8437.1293061344059</v>
      </c>
      <c r="U397" s="49">
        <f t="shared" si="147"/>
        <v>7788.1193595086825</v>
      </c>
      <c r="V397" s="49">
        <f t="shared" si="147"/>
        <v>7788.1193595086825</v>
      </c>
      <c r="X397" s="49">
        <f t="shared" si="148"/>
        <v>916.65134607685013</v>
      </c>
      <c r="Y397" s="49">
        <f t="shared" si="148"/>
        <v>916.65134607685013</v>
      </c>
      <c r="Z397" s="49">
        <f t="shared" si="148"/>
        <v>916.65134607685013</v>
      </c>
      <c r="AA397" s="49">
        <f t="shared" si="148"/>
        <v>916.65134607685013</v>
      </c>
      <c r="AB397" s="49">
        <f t="shared" si="148"/>
        <v>916.65134607685013</v>
      </c>
      <c r="AD397" s="49">
        <f t="shared" si="105"/>
        <v>93773.432703661761</v>
      </c>
      <c r="AE397" s="49">
        <f t="shared" si="106"/>
        <v>83344.331649688276</v>
      </c>
      <c r="AF397" s="49">
        <f t="shared" si="107"/>
        <v>73990.550997477025</v>
      </c>
      <c r="AG397" s="49">
        <f t="shared" si="108"/>
        <v>65285.780291891497</v>
      </c>
      <c r="AH397" s="49">
        <f t="shared" si="109"/>
        <v>56581.009586305969</v>
      </c>
      <c r="AJ397" s="49">
        <f t="shared" si="96"/>
        <v>14548.44850898951</v>
      </c>
      <c r="AK397" s="49">
        <f t="shared" si="97"/>
        <v>12929.431003464133</v>
      </c>
      <c r="AL397" s="49">
        <f t="shared" si="98"/>
        <v>11573.497182135565</v>
      </c>
      <c r="AM397" s="49">
        <f t="shared" si="99"/>
        <v>10663.344114342277</v>
      </c>
      <c r="AN397" s="49">
        <f t="shared" si="100"/>
        <v>10402.200993174711</v>
      </c>
    </row>
    <row r="398" spans="2:40">
      <c r="B398" s="43" t="str">
        <f t="shared" si="93"/>
        <v>Asset 110</v>
      </c>
      <c r="F398" s="43" t="str">
        <f t="shared" ref="F398:L398" si="152">F150</f>
        <v>13 Aanhangwagens</v>
      </c>
      <c r="G398" s="43">
        <f t="shared" si="152"/>
        <v>2003</v>
      </c>
      <c r="H398" s="58">
        <f t="shared" si="152"/>
        <v>1830.54</v>
      </c>
      <c r="I398" s="43">
        <f t="shared" si="152"/>
        <v>2021</v>
      </c>
      <c r="J398" s="58">
        <f t="shared" si="152"/>
        <v>10</v>
      </c>
      <c r="K398" s="188">
        <f t="shared" si="152"/>
        <v>1</v>
      </c>
      <c r="L398" s="58">
        <f t="shared" si="152"/>
        <v>0</v>
      </c>
      <c r="N398" s="49">
        <f t="shared" si="104"/>
        <v>0</v>
      </c>
      <c r="P398" s="44">
        <f t="shared" si="95"/>
        <v>0</v>
      </c>
      <c r="R398" s="49">
        <f t="shared" si="147"/>
        <v>0</v>
      </c>
      <c r="S398" s="49">
        <f t="shared" si="147"/>
        <v>0</v>
      </c>
      <c r="T398" s="49">
        <f t="shared" si="147"/>
        <v>0</v>
      </c>
      <c r="U398" s="49">
        <f t="shared" si="147"/>
        <v>0</v>
      </c>
      <c r="V398" s="49">
        <f t="shared" si="147"/>
        <v>0</v>
      </c>
      <c r="X398" s="49">
        <f t="shared" si="148"/>
        <v>0</v>
      </c>
      <c r="Y398" s="49">
        <f t="shared" si="148"/>
        <v>0</v>
      </c>
      <c r="Z398" s="49">
        <f t="shared" si="148"/>
        <v>0</v>
      </c>
      <c r="AA398" s="49">
        <f t="shared" si="148"/>
        <v>0</v>
      </c>
      <c r="AB398" s="49">
        <f t="shared" si="148"/>
        <v>0</v>
      </c>
      <c r="AD398" s="49">
        <f t="shared" si="105"/>
        <v>0</v>
      </c>
      <c r="AE398" s="49">
        <f t="shared" si="106"/>
        <v>0</v>
      </c>
      <c r="AF398" s="49">
        <f t="shared" si="107"/>
        <v>0</v>
      </c>
      <c r="AG398" s="49">
        <f t="shared" si="108"/>
        <v>0</v>
      </c>
      <c r="AH398" s="49">
        <f t="shared" si="109"/>
        <v>0</v>
      </c>
      <c r="AJ398" s="49">
        <f t="shared" si="96"/>
        <v>0</v>
      </c>
      <c r="AK398" s="49">
        <f t="shared" si="97"/>
        <v>0</v>
      </c>
      <c r="AL398" s="49">
        <f t="shared" si="98"/>
        <v>0</v>
      </c>
      <c r="AM398" s="49">
        <f t="shared" si="99"/>
        <v>0</v>
      </c>
      <c r="AN398" s="49">
        <f t="shared" si="100"/>
        <v>0</v>
      </c>
    </row>
    <row r="399" spans="2:40">
      <c r="B399" s="43" t="str">
        <f t="shared" si="93"/>
        <v>Asset 111</v>
      </c>
      <c r="F399" s="43" t="str">
        <f t="shared" ref="F399:L399" si="153">F151</f>
        <v>37 ICT middelen 1</v>
      </c>
      <c r="G399" s="43">
        <f t="shared" si="153"/>
        <v>2004</v>
      </c>
      <c r="H399" s="58">
        <f t="shared" si="153"/>
        <v>2583848.4300000002</v>
      </c>
      <c r="I399" s="43">
        <f t="shared" si="153"/>
        <v>2021</v>
      </c>
      <c r="J399" s="58">
        <f t="shared" si="153"/>
        <v>5</v>
      </c>
      <c r="K399" s="188">
        <f t="shared" si="153"/>
        <v>1</v>
      </c>
      <c r="L399" s="58">
        <f t="shared" si="153"/>
        <v>0</v>
      </c>
      <c r="N399" s="49">
        <f t="shared" si="104"/>
        <v>0</v>
      </c>
      <c r="P399" s="44">
        <f t="shared" si="95"/>
        <v>0</v>
      </c>
      <c r="R399" s="49">
        <f t="shared" si="147"/>
        <v>0</v>
      </c>
      <c r="S399" s="49">
        <f t="shared" si="147"/>
        <v>0</v>
      </c>
      <c r="T399" s="49">
        <f t="shared" si="147"/>
        <v>0</v>
      </c>
      <c r="U399" s="49">
        <f t="shared" si="147"/>
        <v>0</v>
      </c>
      <c r="V399" s="49">
        <f t="shared" si="147"/>
        <v>0</v>
      </c>
      <c r="X399" s="49">
        <f t="shared" si="148"/>
        <v>0</v>
      </c>
      <c r="Y399" s="49">
        <f t="shared" si="148"/>
        <v>0</v>
      </c>
      <c r="Z399" s="49">
        <f t="shared" si="148"/>
        <v>0</v>
      </c>
      <c r="AA399" s="49">
        <f t="shared" si="148"/>
        <v>0</v>
      </c>
      <c r="AB399" s="49">
        <f t="shared" si="148"/>
        <v>0</v>
      </c>
      <c r="AD399" s="49">
        <f t="shared" si="105"/>
        <v>0</v>
      </c>
      <c r="AE399" s="49">
        <f t="shared" si="106"/>
        <v>0</v>
      </c>
      <c r="AF399" s="49">
        <f t="shared" si="107"/>
        <v>0</v>
      </c>
      <c r="AG399" s="49">
        <f t="shared" si="108"/>
        <v>0</v>
      </c>
      <c r="AH399" s="49">
        <f t="shared" si="109"/>
        <v>0</v>
      </c>
      <c r="AJ399" s="49">
        <f t="shared" si="96"/>
        <v>0</v>
      </c>
      <c r="AK399" s="49">
        <f t="shared" si="97"/>
        <v>0</v>
      </c>
      <c r="AL399" s="49">
        <f t="shared" si="98"/>
        <v>0</v>
      </c>
      <c r="AM399" s="49">
        <f t="shared" si="99"/>
        <v>0</v>
      </c>
      <c r="AN399" s="49">
        <f t="shared" si="100"/>
        <v>0</v>
      </c>
    </row>
    <row r="400" spans="2:40">
      <c r="B400" s="43" t="str">
        <f t="shared" si="93"/>
        <v>Asset 112</v>
      </c>
      <c r="F400" s="43" t="str">
        <f t="shared" ref="F400:L400" si="154">F152</f>
        <v>37 ICT middelen 1 (gaschromatografen en comptabele meting)</v>
      </c>
      <c r="G400" s="43">
        <f t="shared" si="154"/>
        <v>2004</v>
      </c>
      <c r="H400" s="58">
        <f t="shared" si="154"/>
        <v>263122.5</v>
      </c>
      <c r="I400" s="43">
        <f t="shared" si="154"/>
        <v>2021</v>
      </c>
      <c r="J400" s="58">
        <f t="shared" si="154"/>
        <v>5</v>
      </c>
      <c r="K400" s="188">
        <f t="shared" si="154"/>
        <v>0</v>
      </c>
      <c r="L400" s="58">
        <f t="shared" si="154"/>
        <v>0</v>
      </c>
      <c r="N400" s="49">
        <f t="shared" si="104"/>
        <v>0</v>
      </c>
      <c r="P400" s="44">
        <f t="shared" si="95"/>
        <v>0</v>
      </c>
      <c r="R400" s="49">
        <f t="shared" si="147"/>
        <v>0</v>
      </c>
      <c r="S400" s="49">
        <f t="shared" si="147"/>
        <v>0</v>
      </c>
      <c r="T400" s="49">
        <f t="shared" si="147"/>
        <v>0</v>
      </c>
      <c r="U400" s="49">
        <f t="shared" si="147"/>
        <v>0</v>
      </c>
      <c r="V400" s="49">
        <f t="shared" si="147"/>
        <v>0</v>
      </c>
      <c r="X400" s="49">
        <f t="shared" si="148"/>
        <v>0</v>
      </c>
      <c r="Y400" s="49">
        <f t="shared" si="148"/>
        <v>0</v>
      </c>
      <c r="Z400" s="49">
        <f t="shared" si="148"/>
        <v>0</v>
      </c>
      <c r="AA400" s="49">
        <f t="shared" si="148"/>
        <v>0</v>
      </c>
      <c r="AB400" s="49">
        <f t="shared" si="148"/>
        <v>0</v>
      </c>
      <c r="AD400" s="49">
        <f t="shared" si="105"/>
        <v>0</v>
      </c>
      <c r="AE400" s="49">
        <f t="shared" si="106"/>
        <v>0</v>
      </c>
      <c r="AF400" s="49">
        <f t="shared" si="107"/>
        <v>0</v>
      </c>
      <c r="AG400" s="49">
        <f t="shared" si="108"/>
        <v>0</v>
      </c>
      <c r="AH400" s="49">
        <f t="shared" si="109"/>
        <v>0</v>
      </c>
      <c r="AJ400" s="49">
        <f t="shared" si="96"/>
        <v>0</v>
      </c>
      <c r="AK400" s="49">
        <f t="shared" si="97"/>
        <v>0</v>
      </c>
      <c r="AL400" s="49">
        <f t="shared" si="98"/>
        <v>0</v>
      </c>
      <c r="AM400" s="49">
        <f t="shared" si="99"/>
        <v>0</v>
      </c>
      <c r="AN400" s="49">
        <f t="shared" si="100"/>
        <v>0</v>
      </c>
    </row>
    <row r="401" spans="2:40">
      <c r="B401" s="43" t="str">
        <f t="shared" si="93"/>
        <v>Asset 113</v>
      </c>
      <c r="F401" s="43" t="str">
        <f t="shared" ref="F401:L401" si="155">F153</f>
        <v>09 Bedrijfsinventaris</v>
      </c>
      <c r="G401" s="43">
        <f t="shared" si="155"/>
        <v>2004</v>
      </c>
      <c r="H401" s="58">
        <f t="shared" si="155"/>
        <v>142655</v>
      </c>
      <c r="I401" s="43">
        <f t="shared" si="155"/>
        <v>2021</v>
      </c>
      <c r="J401" s="58">
        <f t="shared" si="155"/>
        <v>10</v>
      </c>
      <c r="K401" s="188">
        <f t="shared" si="155"/>
        <v>1</v>
      </c>
      <c r="L401" s="58">
        <f t="shared" si="155"/>
        <v>0</v>
      </c>
      <c r="N401" s="49">
        <f t="shared" si="104"/>
        <v>0</v>
      </c>
      <c r="P401" s="44">
        <f t="shared" si="95"/>
        <v>0</v>
      </c>
      <c r="R401" s="49">
        <f t="shared" si="147"/>
        <v>0</v>
      </c>
      <c r="S401" s="49">
        <f t="shared" si="147"/>
        <v>0</v>
      </c>
      <c r="T401" s="49">
        <f t="shared" si="147"/>
        <v>0</v>
      </c>
      <c r="U401" s="49">
        <f t="shared" si="147"/>
        <v>0</v>
      </c>
      <c r="V401" s="49">
        <f t="shared" si="147"/>
        <v>0</v>
      </c>
      <c r="X401" s="49">
        <f t="shared" si="148"/>
        <v>0</v>
      </c>
      <c r="Y401" s="49">
        <f t="shared" si="148"/>
        <v>0</v>
      </c>
      <c r="Z401" s="49">
        <f t="shared" si="148"/>
        <v>0</v>
      </c>
      <c r="AA401" s="49">
        <f t="shared" si="148"/>
        <v>0</v>
      </c>
      <c r="AB401" s="49">
        <f t="shared" si="148"/>
        <v>0</v>
      </c>
      <c r="AD401" s="49">
        <f t="shared" si="105"/>
        <v>0</v>
      </c>
      <c r="AE401" s="49">
        <f t="shared" si="106"/>
        <v>0</v>
      </c>
      <c r="AF401" s="49">
        <f t="shared" si="107"/>
        <v>0</v>
      </c>
      <c r="AG401" s="49">
        <f t="shared" si="108"/>
        <v>0</v>
      </c>
      <c r="AH401" s="49">
        <f t="shared" si="109"/>
        <v>0</v>
      </c>
      <c r="AJ401" s="49">
        <f t="shared" si="96"/>
        <v>0</v>
      </c>
      <c r="AK401" s="49">
        <f t="shared" si="97"/>
        <v>0</v>
      </c>
      <c r="AL401" s="49">
        <f t="shared" si="98"/>
        <v>0</v>
      </c>
      <c r="AM401" s="49">
        <f t="shared" si="99"/>
        <v>0</v>
      </c>
      <c r="AN401" s="49">
        <f t="shared" si="100"/>
        <v>0</v>
      </c>
    </row>
    <row r="402" spans="2:40">
      <c r="B402" s="43" t="str">
        <f t="shared" si="93"/>
        <v>Asset 114</v>
      </c>
      <c r="F402" s="43" t="str">
        <f t="shared" ref="F402:L402" si="156">F154</f>
        <v>11 Werktuigen</v>
      </c>
      <c r="G402" s="43">
        <f t="shared" si="156"/>
        <v>2004</v>
      </c>
      <c r="H402" s="58">
        <f t="shared" si="156"/>
        <v>77020.09</v>
      </c>
      <c r="I402" s="43">
        <f t="shared" si="156"/>
        <v>2021</v>
      </c>
      <c r="J402" s="58">
        <f t="shared" si="156"/>
        <v>10</v>
      </c>
      <c r="K402" s="188">
        <f t="shared" si="156"/>
        <v>1</v>
      </c>
      <c r="L402" s="58">
        <f t="shared" si="156"/>
        <v>0</v>
      </c>
      <c r="N402" s="49">
        <f t="shared" si="104"/>
        <v>0</v>
      </c>
      <c r="P402" s="44">
        <f t="shared" si="95"/>
        <v>0</v>
      </c>
      <c r="R402" s="49">
        <f t="shared" si="147"/>
        <v>0</v>
      </c>
      <c r="S402" s="49">
        <f t="shared" si="147"/>
        <v>0</v>
      </c>
      <c r="T402" s="49">
        <f t="shared" si="147"/>
        <v>0</v>
      </c>
      <c r="U402" s="49">
        <f t="shared" si="147"/>
        <v>0</v>
      </c>
      <c r="V402" s="49">
        <f t="shared" si="147"/>
        <v>0</v>
      </c>
      <c r="X402" s="49">
        <f t="shared" si="148"/>
        <v>0</v>
      </c>
      <c r="Y402" s="49">
        <f t="shared" si="148"/>
        <v>0</v>
      </c>
      <c r="Z402" s="49">
        <f t="shared" si="148"/>
        <v>0</v>
      </c>
      <c r="AA402" s="49">
        <f t="shared" si="148"/>
        <v>0</v>
      </c>
      <c r="AB402" s="49">
        <f t="shared" si="148"/>
        <v>0</v>
      </c>
      <c r="AD402" s="49">
        <f t="shared" si="105"/>
        <v>0</v>
      </c>
      <c r="AE402" s="49">
        <f t="shared" si="106"/>
        <v>0</v>
      </c>
      <c r="AF402" s="49">
        <f t="shared" si="107"/>
        <v>0</v>
      </c>
      <c r="AG402" s="49">
        <f t="shared" si="108"/>
        <v>0</v>
      </c>
      <c r="AH402" s="49">
        <f t="shared" si="109"/>
        <v>0</v>
      </c>
      <c r="AJ402" s="49">
        <f t="shared" si="96"/>
        <v>0</v>
      </c>
      <c r="AK402" s="49">
        <f t="shared" si="97"/>
        <v>0</v>
      </c>
      <c r="AL402" s="49">
        <f t="shared" si="98"/>
        <v>0</v>
      </c>
      <c r="AM402" s="49">
        <f t="shared" si="99"/>
        <v>0</v>
      </c>
      <c r="AN402" s="49">
        <f t="shared" si="100"/>
        <v>0</v>
      </c>
    </row>
    <row r="403" spans="2:40">
      <c r="B403" s="43" t="str">
        <f t="shared" si="93"/>
        <v>Asset 115</v>
      </c>
      <c r="F403" s="43" t="str">
        <f t="shared" ref="F403:L403" si="157">F155</f>
        <v>14 Overig rollend materieel</v>
      </c>
      <c r="G403" s="43">
        <f t="shared" si="157"/>
        <v>2004</v>
      </c>
      <c r="H403" s="58">
        <f t="shared" si="157"/>
        <v>195332.07</v>
      </c>
      <c r="I403" s="43">
        <f t="shared" si="157"/>
        <v>2021</v>
      </c>
      <c r="J403" s="58">
        <f t="shared" si="157"/>
        <v>10</v>
      </c>
      <c r="K403" s="188">
        <f t="shared" si="157"/>
        <v>1</v>
      </c>
      <c r="L403" s="58">
        <f t="shared" si="157"/>
        <v>0</v>
      </c>
      <c r="N403" s="49">
        <f t="shared" si="104"/>
        <v>0</v>
      </c>
      <c r="P403" s="44">
        <f t="shared" si="95"/>
        <v>0</v>
      </c>
      <c r="R403" s="49">
        <f t="shared" si="147"/>
        <v>0</v>
      </c>
      <c r="S403" s="49">
        <f t="shared" si="147"/>
        <v>0</v>
      </c>
      <c r="T403" s="49">
        <f t="shared" si="147"/>
        <v>0</v>
      </c>
      <c r="U403" s="49">
        <f t="shared" si="147"/>
        <v>0</v>
      </c>
      <c r="V403" s="49">
        <f t="shared" si="147"/>
        <v>0</v>
      </c>
      <c r="X403" s="49">
        <f t="shared" si="148"/>
        <v>0</v>
      </c>
      <c r="Y403" s="49">
        <f t="shared" si="148"/>
        <v>0</v>
      </c>
      <c r="Z403" s="49">
        <f t="shared" si="148"/>
        <v>0</v>
      </c>
      <c r="AA403" s="49">
        <f t="shared" si="148"/>
        <v>0</v>
      </c>
      <c r="AB403" s="49">
        <f t="shared" si="148"/>
        <v>0</v>
      </c>
      <c r="AD403" s="49">
        <f t="shared" si="105"/>
        <v>0</v>
      </c>
      <c r="AE403" s="49">
        <f t="shared" si="106"/>
        <v>0</v>
      </c>
      <c r="AF403" s="49">
        <f t="shared" si="107"/>
        <v>0</v>
      </c>
      <c r="AG403" s="49">
        <f t="shared" si="108"/>
        <v>0</v>
      </c>
      <c r="AH403" s="49">
        <f t="shared" si="109"/>
        <v>0</v>
      </c>
      <c r="AJ403" s="49">
        <f t="shared" si="96"/>
        <v>0</v>
      </c>
      <c r="AK403" s="49">
        <f t="shared" si="97"/>
        <v>0</v>
      </c>
      <c r="AL403" s="49">
        <f t="shared" si="98"/>
        <v>0</v>
      </c>
      <c r="AM403" s="49">
        <f t="shared" si="99"/>
        <v>0</v>
      </c>
      <c r="AN403" s="49">
        <f t="shared" si="100"/>
        <v>0</v>
      </c>
    </row>
    <row r="404" spans="2:40">
      <c r="B404" s="43" t="str">
        <f t="shared" si="93"/>
        <v>Asset 116</v>
      </c>
      <c r="F404" s="43" t="str">
        <f t="shared" ref="F404:L404" si="158">F156</f>
        <v>13 Aanhangwagens</v>
      </c>
      <c r="G404" s="43">
        <f t="shared" si="158"/>
        <v>2004</v>
      </c>
      <c r="H404" s="58">
        <f t="shared" si="158"/>
        <v>1265</v>
      </c>
      <c r="I404" s="43">
        <f t="shared" si="158"/>
        <v>2021</v>
      </c>
      <c r="J404" s="58">
        <f t="shared" si="158"/>
        <v>10</v>
      </c>
      <c r="K404" s="188">
        <f t="shared" si="158"/>
        <v>1</v>
      </c>
      <c r="L404" s="58">
        <f t="shared" si="158"/>
        <v>0</v>
      </c>
      <c r="N404" s="49">
        <f t="shared" si="104"/>
        <v>0</v>
      </c>
      <c r="P404" s="44">
        <f t="shared" si="95"/>
        <v>0</v>
      </c>
      <c r="R404" s="49">
        <f t="shared" si="147"/>
        <v>0</v>
      </c>
      <c r="S404" s="49">
        <f t="shared" si="147"/>
        <v>0</v>
      </c>
      <c r="T404" s="49">
        <f t="shared" si="147"/>
        <v>0</v>
      </c>
      <c r="U404" s="49">
        <f t="shared" si="147"/>
        <v>0</v>
      </c>
      <c r="V404" s="49">
        <f t="shared" si="147"/>
        <v>0</v>
      </c>
      <c r="X404" s="49">
        <f t="shared" si="148"/>
        <v>0</v>
      </c>
      <c r="Y404" s="49">
        <f t="shared" si="148"/>
        <v>0</v>
      </c>
      <c r="Z404" s="49">
        <f t="shared" si="148"/>
        <v>0</v>
      </c>
      <c r="AA404" s="49">
        <f t="shared" si="148"/>
        <v>0</v>
      </c>
      <c r="AB404" s="49">
        <f t="shared" si="148"/>
        <v>0</v>
      </c>
      <c r="AD404" s="49">
        <f t="shared" si="105"/>
        <v>0</v>
      </c>
      <c r="AE404" s="49">
        <f t="shared" si="106"/>
        <v>0</v>
      </c>
      <c r="AF404" s="49">
        <f t="shared" si="107"/>
        <v>0</v>
      </c>
      <c r="AG404" s="49">
        <f t="shared" si="108"/>
        <v>0</v>
      </c>
      <c r="AH404" s="49">
        <f t="shared" si="109"/>
        <v>0</v>
      </c>
      <c r="AJ404" s="49">
        <f t="shared" si="96"/>
        <v>0</v>
      </c>
      <c r="AK404" s="49">
        <f t="shared" si="97"/>
        <v>0</v>
      </c>
      <c r="AL404" s="49">
        <f t="shared" si="98"/>
        <v>0</v>
      </c>
      <c r="AM404" s="49">
        <f t="shared" si="99"/>
        <v>0</v>
      </c>
      <c r="AN404" s="49">
        <f t="shared" si="100"/>
        <v>0</v>
      </c>
    </row>
    <row r="405" spans="2:40">
      <c r="B405" s="43" t="str">
        <f t="shared" si="93"/>
        <v>Asset 117</v>
      </c>
      <c r="F405" s="43" t="str">
        <f t="shared" ref="F405:L405" si="159">F157</f>
        <v>08 Inrichting gebouwen</v>
      </c>
      <c r="G405" s="43">
        <f t="shared" si="159"/>
        <v>2004</v>
      </c>
      <c r="H405" s="58">
        <f t="shared" si="159"/>
        <v>62865.23</v>
      </c>
      <c r="I405" s="43">
        <f t="shared" si="159"/>
        <v>2021</v>
      </c>
      <c r="J405" s="58">
        <f t="shared" si="159"/>
        <v>10</v>
      </c>
      <c r="K405" s="188">
        <f t="shared" si="159"/>
        <v>0</v>
      </c>
      <c r="L405" s="58">
        <f t="shared" si="159"/>
        <v>0</v>
      </c>
      <c r="N405" s="49">
        <f t="shared" si="104"/>
        <v>0</v>
      </c>
      <c r="P405" s="44">
        <f t="shared" si="95"/>
        <v>0</v>
      </c>
      <c r="R405" s="49">
        <f t="shared" si="147"/>
        <v>0</v>
      </c>
      <c r="S405" s="49">
        <f t="shared" si="147"/>
        <v>0</v>
      </c>
      <c r="T405" s="49">
        <f t="shared" si="147"/>
        <v>0</v>
      </c>
      <c r="U405" s="49">
        <f t="shared" si="147"/>
        <v>0</v>
      </c>
      <c r="V405" s="49">
        <f t="shared" si="147"/>
        <v>0</v>
      </c>
      <c r="X405" s="49">
        <f t="shared" si="148"/>
        <v>0</v>
      </c>
      <c r="Y405" s="49">
        <f t="shared" si="148"/>
        <v>0</v>
      </c>
      <c r="Z405" s="49">
        <f t="shared" si="148"/>
        <v>0</v>
      </c>
      <c r="AA405" s="49">
        <f t="shared" si="148"/>
        <v>0</v>
      </c>
      <c r="AB405" s="49">
        <f t="shared" si="148"/>
        <v>0</v>
      </c>
      <c r="AD405" s="49">
        <f t="shared" si="105"/>
        <v>0</v>
      </c>
      <c r="AE405" s="49">
        <f t="shared" si="106"/>
        <v>0</v>
      </c>
      <c r="AF405" s="49">
        <f t="shared" si="107"/>
        <v>0</v>
      </c>
      <c r="AG405" s="49">
        <f t="shared" si="108"/>
        <v>0</v>
      </c>
      <c r="AH405" s="49">
        <f t="shared" si="109"/>
        <v>0</v>
      </c>
      <c r="AJ405" s="49">
        <f t="shared" si="96"/>
        <v>0</v>
      </c>
      <c r="AK405" s="49">
        <f t="shared" si="97"/>
        <v>0</v>
      </c>
      <c r="AL405" s="49">
        <f t="shared" si="98"/>
        <v>0</v>
      </c>
      <c r="AM405" s="49">
        <f t="shared" si="99"/>
        <v>0</v>
      </c>
      <c r="AN405" s="49">
        <f t="shared" si="100"/>
        <v>0</v>
      </c>
    </row>
    <row r="406" spans="2:40">
      <c r="B406" s="43" t="str">
        <f t="shared" si="93"/>
        <v>Asset 118</v>
      </c>
      <c r="F406" s="43" t="str">
        <f t="shared" ref="F406:L406" si="160">F158</f>
        <v>12 Motorvoertuigen</v>
      </c>
      <c r="G406" s="43">
        <f t="shared" si="160"/>
        <v>2004</v>
      </c>
      <c r="H406" s="58">
        <f t="shared" si="160"/>
        <v>47369.03</v>
      </c>
      <c r="I406" s="43">
        <f t="shared" si="160"/>
        <v>2021</v>
      </c>
      <c r="J406" s="58">
        <f t="shared" si="160"/>
        <v>10</v>
      </c>
      <c r="K406" s="188">
        <f t="shared" si="160"/>
        <v>1</v>
      </c>
      <c r="L406" s="58">
        <f t="shared" si="160"/>
        <v>0</v>
      </c>
      <c r="N406" s="49">
        <f t="shared" si="104"/>
        <v>0</v>
      </c>
      <c r="P406" s="44">
        <f t="shared" si="95"/>
        <v>0</v>
      </c>
      <c r="R406" s="49">
        <f t="shared" si="147"/>
        <v>0</v>
      </c>
      <c r="S406" s="49">
        <f t="shared" si="147"/>
        <v>0</v>
      </c>
      <c r="T406" s="49">
        <f t="shared" si="147"/>
        <v>0</v>
      </c>
      <c r="U406" s="49">
        <f t="shared" si="147"/>
        <v>0</v>
      </c>
      <c r="V406" s="49">
        <f t="shared" si="147"/>
        <v>0</v>
      </c>
      <c r="X406" s="49">
        <f t="shared" si="148"/>
        <v>0</v>
      </c>
      <c r="Y406" s="49">
        <f t="shared" si="148"/>
        <v>0</v>
      </c>
      <c r="Z406" s="49">
        <f t="shared" si="148"/>
        <v>0</v>
      </c>
      <c r="AA406" s="49">
        <f t="shared" si="148"/>
        <v>0</v>
      </c>
      <c r="AB406" s="49">
        <f t="shared" si="148"/>
        <v>0</v>
      </c>
      <c r="AD406" s="49">
        <f t="shared" si="105"/>
        <v>0</v>
      </c>
      <c r="AE406" s="49">
        <f t="shared" si="106"/>
        <v>0</v>
      </c>
      <c r="AF406" s="49">
        <f t="shared" si="107"/>
        <v>0</v>
      </c>
      <c r="AG406" s="49">
        <f t="shared" si="108"/>
        <v>0</v>
      </c>
      <c r="AH406" s="49">
        <f t="shared" si="109"/>
        <v>0</v>
      </c>
      <c r="AJ406" s="49">
        <f t="shared" si="96"/>
        <v>0</v>
      </c>
      <c r="AK406" s="49">
        <f t="shared" si="97"/>
        <v>0</v>
      </c>
      <c r="AL406" s="49">
        <f t="shared" si="98"/>
        <v>0</v>
      </c>
      <c r="AM406" s="49">
        <f t="shared" si="99"/>
        <v>0</v>
      </c>
      <c r="AN406" s="49">
        <f t="shared" si="100"/>
        <v>0</v>
      </c>
    </row>
    <row r="407" spans="2:40">
      <c r="B407" s="43" t="str">
        <f t="shared" si="93"/>
        <v>Asset 119</v>
      </c>
      <c r="F407" s="43" t="str">
        <f t="shared" ref="F407:L407" si="161">F159</f>
        <v>06 Utiliteitsgebouwen</v>
      </c>
      <c r="G407" s="43">
        <f t="shared" si="161"/>
        <v>2005</v>
      </c>
      <c r="H407" s="58">
        <f t="shared" si="161"/>
        <v>13716.41</v>
      </c>
      <c r="I407" s="43">
        <f t="shared" si="161"/>
        <v>2021</v>
      </c>
      <c r="J407" s="58">
        <f t="shared" si="161"/>
        <v>30</v>
      </c>
      <c r="K407" s="188">
        <f t="shared" si="161"/>
        <v>0</v>
      </c>
      <c r="L407" s="58">
        <f t="shared" si="161"/>
        <v>7968.2289834864932</v>
      </c>
      <c r="N407" s="49">
        <f t="shared" si="104"/>
        <v>7968.2289834864932</v>
      </c>
      <c r="P407" s="44">
        <f t="shared" si="95"/>
        <v>13.5</v>
      </c>
      <c r="R407" s="49">
        <f t="shared" si="147"/>
        <v>690.57984523549612</v>
      </c>
      <c r="S407" s="49">
        <f t="shared" si="147"/>
        <v>624.07956384244835</v>
      </c>
      <c r="T407" s="49">
        <f t="shared" si="147"/>
        <v>563.98301325021259</v>
      </c>
      <c r="U407" s="49">
        <f t="shared" si="147"/>
        <v>509.67353790019206</v>
      </c>
      <c r="V407" s="49">
        <f t="shared" si="147"/>
        <v>503.48317104310473</v>
      </c>
      <c r="X407" s="49">
        <f t="shared" si="148"/>
        <v>59.023918396196251</v>
      </c>
      <c r="Y407" s="49">
        <f t="shared" si="148"/>
        <v>59.023918396196251</v>
      </c>
      <c r="Z407" s="49">
        <f t="shared" si="148"/>
        <v>59.023918396196251</v>
      </c>
      <c r="AA407" s="49">
        <f t="shared" si="148"/>
        <v>59.023918396196251</v>
      </c>
      <c r="AB407" s="49">
        <f t="shared" si="148"/>
        <v>59.023918396196251</v>
      </c>
      <c r="AD407" s="49">
        <f t="shared" si="105"/>
        <v>7218.6252198548009</v>
      </c>
      <c r="AE407" s="49">
        <f t="shared" si="106"/>
        <v>6535.5217376161563</v>
      </c>
      <c r="AF407" s="49">
        <f t="shared" si="107"/>
        <v>5912.5148059697467</v>
      </c>
      <c r="AG407" s="49">
        <f t="shared" si="108"/>
        <v>5343.817349673358</v>
      </c>
      <c r="AH407" s="49">
        <f t="shared" si="109"/>
        <v>4781.3102602340568</v>
      </c>
      <c r="AJ407" s="49">
        <f t="shared" si="96"/>
        <v>973.3811454471911</v>
      </c>
      <c r="AK407" s="49">
        <f t="shared" si="97"/>
        <v>879.16913436712923</v>
      </c>
      <c r="AL407" s="49">
        <f t="shared" si="98"/>
        <v>800.38237582550119</v>
      </c>
      <c r="AM407" s="49">
        <f t="shared" si="99"/>
        <v>729.011976786589</v>
      </c>
      <c r="AN407" s="49">
        <f t="shared" si="100"/>
        <v>705.9463972463227</v>
      </c>
    </row>
    <row r="408" spans="2:40">
      <c r="B408" s="43" t="str">
        <f t="shared" si="93"/>
        <v>Asset 120</v>
      </c>
      <c r="F408" s="43" t="str">
        <f t="shared" ref="F408:L408" si="162">F160</f>
        <v>13 Aanhangwagens</v>
      </c>
      <c r="G408" s="43">
        <f t="shared" si="162"/>
        <v>2005</v>
      </c>
      <c r="H408" s="58">
        <f t="shared" si="162"/>
        <v>5690.5</v>
      </c>
      <c r="I408" s="43">
        <f t="shared" si="162"/>
        <v>2021</v>
      </c>
      <c r="J408" s="58">
        <f t="shared" si="162"/>
        <v>10</v>
      </c>
      <c r="K408" s="188">
        <f t="shared" si="162"/>
        <v>1</v>
      </c>
      <c r="L408" s="58">
        <f t="shared" si="162"/>
        <v>0</v>
      </c>
      <c r="N408" s="49">
        <f t="shared" si="104"/>
        <v>0</v>
      </c>
      <c r="P408" s="44">
        <f t="shared" si="95"/>
        <v>0</v>
      </c>
      <c r="R408" s="49">
        <f t="shared" si="147"/>
        <v>0</v>
      </c>
      <c r="S408" s="49">
        <f t="shared" si="147"/>
        <v>0</v>
      </c>
      <c r="T408" s="49">
        <f t="shared" si="147"/>
        <v>0</v>
      </c>
      <c r="U408" s="49">
        <f t="shared" si="147"/>
        <v>0</v>
      </c>
      <c r="V408" s="49">
        <f t="shared" si="147"/>
        <v>0</v>
      </c>
      <c r="X408" s="49">
        <f t="shared" si="148"/>
        <v>0</v>
      </c>
      <c r="Y408" s="49">
        <f t="shared" si="148"/>
        <v>0</v>
      </c>
      <c r="Z408" s="49">
        <f t="shared" si="148"/>
        <v>0</v>
      </c>
      <c r="AA408" s="49">
        <f t="shared" si="148"/>
        <v>0</v>
      </c>
      <c r="AB408" s="49">
        <f t="shared" si="148"/>
        <v>0</v>
      </c>
      <c r="AD408" s="49">
        <f t="shared" si="105"/>
        <v>0</v>
      </c>
      <c r="AE408" s="49">
        <f t="shared" si="106"/>
        <v>0</v>
      </c>
      <c r="AF408" s="49">
        <f t="shared" si="107"/>
        <v>0</v>
      </c>
      <c r="AG408" s="49">
        <f t="shared" si="108"/>
        <v>0</v>
      </c>
      <c r="AH408" s="49">
        <f t="shared" si="109"/>
        <v>0</v>
      </c>
      <c r="AJ408" s="49">
        <f t="shared" si="96"/>
        <v>0</v>
      </c>
      <c r="AK408" s="49">
        <f t="shared" si="97"/>
        <v>0</v>
      </c>
      <c r="AL408" s="49">
        <f t="shared" si="98"/>
        <v>0</v>
      </c>
      <c r="AM408" s="49">
        <f t="shared" si="99"/>
        <v>0</v>
      </c>
      <c r="AN408" s="49">
        <f t="shared" si="100"/>
        <v>0</v>
      </c>
    </row>
    <row r="409" spans="2:40">
      <c r="B409" s="43" t="str">
        <f t="shared" si="93"/>
        <v>Asset 121</v>
      </c>
      <c r="F409" s="43" t="str">
        <f t="shared" ref="F409:L409" si="163">F161</f>
        <v>08 Inrichting gebouwen</v>
      </c>
      <c r="G409" s="43">
        <f t="shared" si="163"/>
        <v>2005</v>
      </c>
      <c r="H409" s="58">
        <f t="shared" si="163"/>
        <v>149702.98000000001</v>
      </c>
      <c r="I409" s="43">
        <f t="shared" si="163"/>
        <v>2021</v>
      </c>
      <c r="J409" s="58">
        <f t="shared" si="163"/>
        <v>10</v>
      </c>
      <c r="K409" s="188">
        <f t="shared" si="163"/>
        <v>0</v>
      </c>
      <c r="L409" s="58">
        <f t="shared" si="163"/>
        <v>0</v>
      </c>
      <c r="N409" s="49">
        <f t="shared" si="104"/>
        <v>0</v>
      </c>
      <c r="P409" s="44">
        <f t="shared" si="95"/>
        <v>0</v>
      </c>
      <c r="R409" s="49">
        <f t="shared" si="147"/>
        <v>0</v>
      </c>
      <c r="S409" s="49">
        <f t="shared" si="147"/>
        <v>0</v>
      </c>
      <c r="T409" s="49">
        <f t="shared" si="147"/>
        <v>0</v>
      </c>
      <c r="U409" s="49">
        <f t="shared" si="147"/>
        <v>0</v>
      </c>
      <c r="V409" s="49">
        <f t="shared" si="147"/>
        <v>0</v>
      </c>
      <c r="X409" s="49">
        <f t="shared" si="148"/>
        <v>0</v>
      </c>
      <c r="Y409" s="49">
        <f t="shared" si="148"/>
        <v>0</v>
      </c>
      <c r="Z409" s="49">
        <f t="shared" si="148"/>
        <v>0</v>
      </c>
      <c r="AA409" s="49">
        <f t="shared" si="148"/>
        <v>0</v>
      </c>
      <c r="AB409" s="49">
        <f t="shared" si="148"/>
        <v>0</v>
      </c>
      <c r="AD409" s="49">
        <f t="shared" si="105"/>
        <v>0</v>
      </c>
      <c r="AE409" s="49">
        <f t="shared" si="106"/>
        <v>0</v>
      </c>
      <c r="AF409" s="49">
        <f t="shared" si="107"/>
        <v>0</v>
      </c>
      <c r="AG409" s="49">
        <f t="shared" si="108"/>
        <v>0</v>
      </c>
      <c r="AH409" s="49">
        <f t="shared" si="109"/>
        <v>0</v>
      </c>
      <c r="AJ409" s="49">
        <f t="shared" si="96"/>
        <v>0</v>
      </c>
      <c r="AK409" s="49">
        <f t="shared" si="97"/>
        <v>0</v>
      </c>
      <c r="AL409" s="49">
        <f t="shared" si="98"/>
        <v>0</v>
      </c>
      <c r="AM409" s="49">
        <f t="shared" si="99"/>
        <v>0</v>
      </c>
      <c r="AN409" s="49">
        <f t="shared" si="100"/>
        <v>0</v>
      </c>
    </row>
    <row r="410" spans="2:40">
      <c r="B410" s="43" t="str">
        <f t="shared" si="93"/>
        <v>Asset 122</v>
      </c>
      <c r="F410" s="43" t="str">
        <f t="shared" ref="F410:L410" si="164">F162</f>
        <v>12 Motorvoertuigen</v>
      </c>
      <c r="G410" s="43">
        <f t="shared" si="164"/>
        <v>2005</v>
      </c>
      <c r="H410" s="58">
        <f t="shared" si="164"/>
        <v>144500</v>
      </c>
      <c r="I410" s="43">
        <f t="shared" si="164"/>
        <v>2021</v>
      </c>
      <c r="J410" s="58">
        <f t="shared" si="164"/>
        <v>10</v>
      </c>
      <c r="K410" s="188">
        <f t="shared" si="164"/>
        <v>1</v>
      </c>
      <c r="L410" s="58">
        <f t="shared" si="164"/>
        <v>0</v>
      </c>
      <c r="N410" s="49">
        <f t="shared" si="104"/>
        <v>0</v>
      </c>
      <c r="P410" s="44">
        <f t="shared" si="95"/>
        <v>0</v>
      </c>
      <c r="R410" s="49">
        <f t="shared" si="147"/>
        <v>0</v>
      </c>
      <c r="S410" s="49">
        <f t="shared" si="147"/>
        <v>0</v>
      </c>
      <c r="T410" s="49">
        <f t="shared" si="147"/>
        <v>0</v>
      </c>
      <c r="U410" s="49">
        <f t="shared" si="147"/>
        <v>0</v>
      </c>
      <c r="V410" s="49">
        <f t="shared" si="147"/>
        <v>0</v>
      </c>
      <c r="X410" s="49">
        <f t="shared" si="148"/>
        <v>0</v>
      </c>
      <c r="Y410" s="49">
        <f t="shared" si="148"/>
        <v>0</v>
      </c>
      <c r="Z410" s="49">
        <f t="shared" si="148"/>
        <v>0</v>
      </c>
      <c r="AA410" s="49">
        <f t="shared" si="148"/>
        <v>0</v>
      </c>
      <c r="AB410" s="49">
        <f t="shared" si="148"/>
        <v>0</v>
      </c>
      <c r="AD410" s="49">
        <f t="shared" si="105"/>
        <v>0</v>
      </c>
      <c r="AE410" s="49">
        <f t="shared" si="106"/>
        <v>0</v>
      </c>
      <c r="AF410" s="49">
        <f t="shared" si="107"/>
        <v>0</v>
      </c>
      <c r="AG410" s="49">
        <f t="shared" si="108"/>
        <v>0</v>
      </c>
      <c r="AH410" s="49">
        <f t="shared" si="109"/>
        <v>0</v>
      </c>
      <c r="AJ410" s="49">
        <f t="shared" si="96"/>
        <v>0</v>
      </c>
      <c r="AK410" s="49">
        <f t="shared" si="97"/>
        <v>0</v>
      </c>
      <c r="AL410" s="49">
        <f t="shared" si="98"/>
        <v>0</v>
      </c>
      <c r="AM410" s="49">
        <f t="shared" si="99"/>
        <v>0</v>
      </c>
      <c r="AN410" s="49">
        <f t="shared" si="100"/>
        <v>0</v>
      </c>
    </row>
    <row r="411" spans="2:40">
      <c r="B411" s="43" t="str">
        <f t="shared" si="93"/>
        <v>Asset 123</v>
      </c>
      <c r="F411" s="43" t="str">
        <f t="shared" ref="F411:L411" si="165">F163</f>
        <v>09 Bedrijfsinventaris</v>
      </c>
      <c r="G411" s="43">
        <f t="shared" si="165"/>
        <v>2005</v>
      </c>
      <c r="H411" s="58">
        <f t="shared" si="165"/>
        <v>22500</v>
      </c>
      <c r="I411" s="43">
        <f t="shared" si="165"/>
        <v>2021</v>
      </c>
      <c r="J411" s="58">
        <f t="shared" si="165"/>
        <v>10</v>
      </c>
      <c r="K411" s="188">
        <f t="shared" si="165"/>
        <v>1</v>
      </c>
      <c r="L411" s="58">
        <f t="shared" si="165"/>
        <v>0</v>
      </c>
      <c r="N411" s="49">
        <f t="shared" si="104"/>
        <v>0</v>
      </c>
      <c r="P411" s="44">
        <f t="shared" si="95"/>
        <v>0</v>
      </c>
      <c r="R411" s="49">
        <f t="shared" si="147"/>
        <v>0</v>
      </c>
      <c r="S411" s="49">
        <f t="shared" si="147"/>
        <v>0</v>
      </c>
      <c r="T411" s="49">
        <f t="shared" si="147"/>
        <v>0</v>
      </c>
      <c r="U411" s="49">
        <f t="shared" si="147"/>
        <v>0</v>
      </c>
      <c r="V411" s="49">
        <f t="shared" si="147"/>
        <v>0</v>
      </c>
      <c r="X411" s="49">
        <f t="shared" si="148"/>
        <v>0</v>
      </c>
      <c r="Y411" s="49">
        <f t="shared" si="148"/>
        <v>0</v>
      </c>
      <c r="Z411" s="49">
        <f t="shared" si="148"/>
        <v>0</v>
      </c>
      <c r="AA411" s="49">
        <f t="shared" si="148"/>
        <v>0</v>
      </c>
      <c r="AB411" s="49">
        <f t="shared" si="148"/>
        <v>0</v>
      </c>
      <c r="AD411" s="49">
        <f t="shared" si="105"/>
        <v>0</v>
      </c>
      <c r="AE411" s="49">
        <f t="shared" si="106"/>
        <v>0</v>
      </c>
      <c r="AF411" s="49">
        <f t="shared" si="107"/>
        <v>0</v>
      </c>
      <c r="AG411" s="49">
        <f t="shared" si="108"/>
        <v>0</v>
      </c>
      <c r="AH411" s="49">
        <f t="shared" si="109"/>
        <v>0</v>
      </c>
      <c r="AJ411" s="49">
        <f t="shared" si="96"/>
        <v>0</v>
      </c>
      <c r="AK411" s="49">
        <f t="shared" si="97"/>
        <v>0</v>
      </c>
      <c r="AL411" s="49">
        <f t="shared" si="98"/>
        <v>0</v>
      </c>
      <c r="AM411" s="49">
        <f t="shared" si="99"/>
        <v>0</v>
      </c>
      <c r="AN411" s="49">
        <f t="shared" si="100"/>
        <v>0</v>
      </c>
    </row>
    <row r="412" spans="2:40">
      <c r="B412" s="43" t="str">
        <f t="shared" si="93"/>
        <v>Asset 124</v>
      </c>
      <c r="F412" s="43" t="str">
        <f t="shared" ref="F412:L412" si="166">F164</f>
        <v>14 Overig rollend materieel</v>
      </c>
      <c r="G412" s="43">
        <f t="shared" si="166"/>
        <v>2006</v>
      </c>
      <c r="H412" s="58">
        <f t="shared" si="166"/>
        <v>23374</v>
      </c>
      <c r="I412" s="43">
        <f t="shared" si="166"/>
        <v>2021</v>
      </c>
      <c r="J412" s="58">
        <f t="shared" si="166"/>
        <v>10</v>
      </c>
      <c r="K412" s="188">
        <f t="shared" si="166"/>
        <v>1</v>
      </c>
      <c r="L412" s="58">
        <f t="shared" si="166"/>
        <v>0</v>
      </c>
      <c r="N412" s="49">
        <f t="shared" si="104"/>
        <v>0</v>
      </c>
      <c r="P412" s="44">
        <f t="shared" si="95"/>
        <v>0</v>
      </c>
      <c r="R412" s="49">
        <f t="shared" si="147"/>
        <v>0</v>
      </c>
      <c r="S412" s="49">
        <f t="shared" si="147"/>
        <v>0</v>
      </c>
      <c r="T412" s="49">
        <f t="shared" si="147"/>
        <v>0</v>
      </c>
      <c r="U412" s="49">
        <f t="shared" si="147"/>
        <v>0</v>
      </c>
      <c r="V412" s="49">
        <f t="shared" si="147"/>
        <v>0</v>
      </c>
      <c r="X412" s="49">
        <f t="shared" si="148"/>
        <v>0</v>
      </c>
      <c r="Y412" s="49">
        <f t="shared" si="148"/>
        <v>0</v>
      </c>
      <c r="Z412" s="49">
        <f t="shared" si="148"/>
        <v>0</v>
      </c>
      <c r="AA412" s="49">
        <f t="shared" si="148"/>
        <v>0</v>
      </c>
      <c r="AB412" s="49">
        <f t="shared" si="148"/>
        <v>0</v>
      </c>
      <c r="AD412" s="49">
        <f t="shared" si="105"/>
        <v>0</v>
      </c>
      <c r="AE412" s="49">
        <f t="shared" si="106"/>
        <v>0</v>
      </c>
      <c r="AF412" s="49">
        <f t="shared" si="107"/>
        <v>0</v>
      </c>
      <c r="AG412" s="49">
        <f t="shared" si="108"/>
        <v>0</v>
      </c>
      <c r="AH412" s="49">
        <f t="shared" si="109"/>
        <v>0</v>
      </c>
      <c r="AJ412" s="49">
        <f t="shared" si="96"/>
        <v>0</v>
      </c>
      <c r="AK412" s="49">
        <f t="shared" si="97"/>
        <v>0</v>
      </c>
      <c r="AL412" s="49">
        <f t="shared" si="98"/>
        <v>0</v>
      </c>
      <c r="AM412" s="49">
        <f t="shared" si="99"/>
        <v>0</v>
      </c>
      <c r="AN412" s="49">
        <f t="shared" si="100"/>
        <v>0</v>
      </c>
    </row>
    <row r="413" spans="2:40">
      <c r="B413" s="43" t="str">
        <f t="shared" si="93"/>
        <v>Asset 125</v>
      </c>
      <c r="F413" s="43" t="str">
        <f t="shared" ref="F413:L413" si="167">F165</f>
        <v>06 Utiliteitsgebouwen</v>
      </c>
      <c r="G413" s="43">
        <f t="shared" si="167"/>
        <v>2006</v>
      </c>
      <c r="H413" s="58">
        <f t="shared" si="167"/>
        <v>216791.4</v>
      </c>
      <c r="I413" s="43">
        <f t="shared" si="167"/>
        <v>2021</v>
      </c>
      <c r="J413" s="58">
        <f t="shared" si="167"/>
        <v>30</v>
      </c>
      <c r="K413" s="188">
        <f t="shared" si="167"/>
        <v>0</v>
      </c>
      <c r="L413" s="58">
        <f t="shared" si="167"/>
        <v>132877.0119526372</v>
      </c>
      <c r="N413" s="49">
        <f t="shared" si="104"/>
        <v>132877.0119526372</v>
      </c>
      <c r="P413" s="44">
        <f t="shared" si="95"/>
        <v>14.5</v>
      </c>
      <c r="R413" s="49">
        <f t="shared" si="147"/>
        <v>10721.800274799003</v>
      </c>
      <c r="S413" s="49">
        <f t="shared" si="147"/>
        <v>9760.5354225756437</v>
      </c>
      <c r="T413" s="49">
        <f t="shared" si="147"/>
        <v>8885.4529364136888</v>
      </c>
      <c r="U413" s="49">
        <f t="shared" si="147"/>
        <v>8088.8261214248769</v>
      </c>
      <c r="V413" s="49">
        <f t="shared" si="147"/>
        <v>7822.1615240152651</v>
      </c>
      <c r="X413" s="49">
        <f t="shared" si="148"/>
        <v>916.39318588025662</v>
      </c>
      <c r="Y413" s="49">
        <f t="shared" si="148"/>
        <v>916.39318588025662</v>
      </c>
      <c r="Z413" s="49">
        <f t="shared" si="148"/>
        <v>916.39318588025662</v>
      </c>
      <c r="AA413" s="49">
        <f t="shared" si="148"/>
        <v>916.39318588025662</v>
      </c>
      <c r="AB413" s="49">
        <f t="shared" si="148"/>
        <v>916.39318588025662</v>
      </c>
      <c r="AD413" s="49">
        <f t="shared" si="105"/>
        <v>121238.81849195795</v>
      </c>
      <c r="AE413" s="49">
        <f t="shared" si="106"/>
        <v>110561.88988350205</v>
      </c>
      <c r="AF413" s="49">
        <f t="shared" si="107"/>
        <v>100760.04376120812</v>
      </c>
      <c r="AG413" s="49">
        <f t="shared" si="108"/>
        <v>91754.824453902984</v>
      </c>
      <c r="AH413" s="49">
        <f t="shared" si="109"/>
        <v>83016.26974400747</v>
      </c>
      <c r="AJ413" s="49">
        <f t="shared" si="96"/>
        <v>15396.596833929956</v>
      </c>
      <c r="AK413" s="49">
        <f t="shared" si="97"/>
        <v>13993.785304960962</v>
      </c>
      <c r="AL413" s="49">
        <f t="shared" si="98"/>
        <v>12824.647435130189</v>
      </c>
      <c r="AM413" s="49">
        <f t="shared" si="99"/>
        <v>11757.864040922223</v>
      </c>
      <c r="AN413" s="49">
        <f t="shared" si="100"/>
        <v>11229.042802215745</v>
      </c>
    </row>
    <row r="414" spans="2:40">
      <c r="B414" s="43" t="str">
        <f t="shared" si="93"/>
        <v>Asset 126</v>
      </c>
      <c r="F414" s="43" t="str">
        <f t="shared" ref="F414:L414" si="168">F166</f>
        <v>11 Werktuigen</v>
      </c>
      <c r="G414" s="43">
        <f t="shared" si="168"/>
        <v>2006</v>
      </c>
      <c r="H414" s="58">
        <f t="shared" si="168"/>
        <v>39984.959999999999</v>
      </c>
      <c r="I414" s="43">
        <f t="shared" si="168"/>
        <v>2021</v>
      </c>
      <c r="J414" s="58">
        <f t="shared" si="168"/>
        <v>10</v>
      </c>
      <c r="K414" s="188">
        <f t="shared" si="168"/>
        <v>1</v>
      </c>
      <c r="L414" s="58">
        <f t="shared" si="168"/>
        <v>0</v>
      </c>
      <c r="N414" s="49">
        <f t="shared" si="104"/>
        <v>0</v>
      </c>
      <c r="P414" s="44">
        <f t="shared" si="95"/>
        <v>0</v>
      </c>
      <c r="R414" s="49">
        <f t="shared" si="147"/>
        <v>0</v>
      </c>
      <c r="S414" s="49">
        <f t="shared" si="147"/>
        <v>0</v>
      </c>
      <c r="T414" s="49">
        <f t="shared" si="147"/>
        <v>0</v>
      </c>
      <c r="U414" s="49">
        <f t="shared" si="147"/>
        <v>0</v>
      </c>
      <c r="V414" s="49">
        <f t="shared" si="147"/>
        <v>0</v>
      </c>
      <c r="X414" s="49">
        <f t="shared" si="148"/>
        <v>0</v>
      </c>
      <c r="Y414" s="49">
        <f t="shared" si="148"/>
        <v>0</v>
      </c>
      <c r="Z414" s="49">
        <f t="shared" si="148"/>
        <v>0</v>
      </c>
      <c r="AA414" s="49">
        <f t="shared" si="148"/>
        <v>0</v>
      </c>
      <c r="AB414" s="49">
        <f t="shared" si="148"/>
        <v>0</v>
      </c>
      <c r="AD414" s="49">
        <f t="shared" si="105"/>
        <v>0</v>
      </c>
      <c r="AE414" s="49">
        <f t="shared" si="106"/>
        <v>0</v>
      </c>
      <c r="AF414" s="49">
        <f t="shared" si="107"/>
        <v>0</v>
      </c>
      <c r="AG414" s="49">
        <f t="shared" si="108"/>
        <v>0</v>
      </c>
      <c r="AH414" s="49">
        <f t="shared" si="109"/>
        <v>0</v>
      </c>
      <c r="AJ414" s="49">
        <f t="shared" si="96"/>
        <v>0</v>
      </c>
      <c r="AK414" s="49">
        <f t="shared" si="97"/>
        <v>0</v>
      </c>
      <c r="AL414" s="49">
        <f t="shared" si="98"/>
        <v>0</v>
      </c>
      <c r="AM414" s="49">
        <f t="shared" si="99"/>
        <v>0</v>
      </c>
      <c r="AN414" s="49">
        <f t="shared" si="100"/>
        <v>0</v>
      </c>
    </row>
    <row r="415" spans="2:40">
      <c r="B415" s="43" t="str">
        <f t="shared" si="93"/>
        <v>Asset 127</v>
      </c>
      <c r="F415" s="43" t="str">
        <f t="shared" ref="F415:L415" si="169">F167</f>
        <v>06 Utiliteitsgebouwen</v>
      </c>
      <c r="G415" s="43">
        <f t="shared" si="169"/>
        <v>2007</v>
      </c>
      <c r="H415" s="58">
        <f t="shared" si="169"/>
        <v>25858.771191949236</v>
      </c>
      <c r="I415" s="43">
        <f t="shared" si="169"/>
        <v>2021</v>
      </c>
      <c r="J415" s="58">
        <f t="shared" si="169"/>
        <v>30</v>
      </c>
      <c r="K415" s="188">
        <f t="shared" si="169"/>
        <v>0</v>
      </c>
      <c r="L415" s="58">
        <f t="shared" si="169"/>
        <v>16708.652536273155</v>
      </c>
      <c r="N415" s="49">
        <f t="shared" si="104"/>
        <v>16708.652536273155</v>
      </c>
      <c r="P415" s="44">
        <f t="shared" si="95"/>
        <v>15.5</v>
      </c>
      <c r="R415" s="49">
        <f t="shared" si="147"/>
        <v>1261.233772092877</v>
      </c>
      <c r="S415" s="49">
        <f t="shared" si="147"/>
        <v>1155.4528750786358</v>
      </c>
      <c r="T415" s="49">
        <f t="shared" si="147"/>
        <v>1058.5439242655889</v>
      </c>
      <c r="U415" s="49">
        <f t="shared" si="147"/>
        <v>969.76282094008786</v>
      </c>
      <c r="V415" s="49">
        <f t="shared" si="147"/>
        <v>921.11251219727399</v>
      </c>
      <c r="X415" s="49">
        <f t="shared" si="148"/>
        <v>107.79775829853649</v>
      </c>
      <c r="Y415" s="49">
        <f t="shared" si="148"/>
        <v>107.79775829853649</v>
      </c>
      <c r="Z415" s="49">
        <f t="shared" si="148"/>
        <v>107.79775829853649</v>
      </c>
      <c r="AA415" s="49">
        <f t="shared" si="148"/>
        <v>107.79775829853649</v>
      </c>
      <c r="AB415" s="49">
        <f t="shared" si="148"/>
        <v>107.79775829853649</v>
      </c>
      <c r="AD415" s="49">
        <f t="shared" si="105"/>
        <v>15339.621005881741</v>
      </c>
      <c r="AE415" s="49">
        <f t="shared" si="106"/>
        <v>14076.370372504569</v>
      </c>
      <c r="AF415" s="49">
        <f t="shared" si="107"/>
        <v>12910.028689940444</v>
      </c>
      <c r="AG415" s="49">
        <f t="shared" si="108"/>
        <v>11832.468110701819</v>
      </c>
      <c r="AH415" s="49">
        <f t="shared" si="109"/>
        <v>10803.557840206007</v>
      </c>
      <c r="AJ415" s="49">
        <f t="shared" si="96"/>
        <v>1844.5597815737474</v>
      </c>
      <c r="AK415" s="49">
        <f t="shared" si="97"/>
        <v>1685.5417445523094</v>
      </c>
      <c r="AL415" s="49">
        <f t="shared" si="98"/>
        <v>1553.6425432623387</v>
      </c>
      <c r="AM415" s="49">
        <f t="shared" si="99"/>
        <v>1432.5346225596788</v>
      </c>
      <c r="AN415" s="49">
        <f t="shared" si="100"/>
        <v>1353.0170057019907</v>
      </c>
    </row>
    <row r="416" spans="2:40">
      <c r="B416" s="43" t="str">
        <f t="shared" si="93"/>
        <v>Asset 128</v>
      </c>
      <c r="F416" s="43" t="str">
        <f t="shared" ref="F416:L416" si="170">F168</f>
        <v>11 Werktuigen</v>
      </c>
      <c r="G416" s="43">
        <f t="shared" si="170"/>
        <v>2007</v>
      </c>
      <c r="H416" s="58">
        <f t="shared" si="170"/>
        <v>1088351.8199999998</v>
      </c>
      <c r="I416" s="43">
        <f t="shared" si="170"/>
        <v>2021</v>
      </c>
      <c r="J416" s="58">
        <f t="shared" si="170"/>
        <v>10</v>
      </c>
      <c r="K416" s="188">
        <f t="shared" si="170"/>
        <v>1</v>
      </c>
      <c r="L416" s="58">
        <f t="shared" si="170"/>
        <v>0</v>
      </c>
      <c r="N416" s="49">
        <f t="shared" si="104"/>
        <v>0</v>
      </c>
      <c r="P416" s="44">
        <f t="shared" si="95"/>
        <v>0</v>
      </c>
      <c r="R416" s="49">
        <f t="shared" si="147"/>
        <v>0</v>
      </c>
      <c r="S416" s="49">
        <f t="shared" si="147"/>
        <v>0</v>
      </c>
      <c r="T416" s="49">
        <f t="shared" si="147"/>
        <v>0</v>
      </c>
      <c r="U416" s="49">
        <f t="shared" si="147"/>
        <v>0</v>
      </c>
      <c r="V416" s="49">
        <f t="shared" si="147"/>
        <v>0</v>
      </c>
      <c r="X416" s="49">
        <f t="shared" si="148"/>
        <v>0</v>
      </c>
      <c r="Y416" s="49">
        <f t="shared" si="148"/>
        <v>0</v>
      </c>
      <c r="Z416" s="49">
        <f t="shared" si="148"/>
        <v>0</v>
      </c>
      <c r="AA416" s="49">
        <f t="shared" si="148"/>
        <v>0</v>
      </c>
      <c r="AB416" s="49">
        <f t="shared" si="148"/>
        <v>0</v>
      </c>
      <c r="AD416" s="49">
        <f t="shared" si="105"/>
        <v>0</v>
      </c>
      <c r="AE416" s="49">
        <f t="shared" si="106"/>
        <v>0</v>
      </c>
      <c r="AF416" s="49">
        <f t="shared" si="107"/>
        <v>0</v>
      </c>
      <c r="AG416" s="49">
        <f t="shared" si="108"/>
        <v>0</v>
      </c>
      <c r="AH416" s="49">
        <f t="shared" si="109"/>
        <v>0</v>
      </c>
      <c r="AJ416" s="49">
        <f t="shared" si="96"/>
        <v>0</v>
      </c>
      <c r="AK416" s="49">
        <f t="shared" si="97"/>
        <v>0</v>
      </c>
      <c r="AL416" s="49">
        <f t="shared" si="98"/>
        <v>0</v>
      </c>
      <c r="AM416" s="49">
        <f t="shared" si="99"/>
        <v>0</v>
      </c>
      <c r="AN416" s="49">
        <f t="shared" si="100"/>
        <v>0</v>
      </c>
    </row>
    <row r="417" spans="2:40">
      <c r="B417" s="43" t="str">
        <f t="shared" si="93"/>
        <v>Asset 129</v>
      </c>
      <c r="F417" s="43" t="str">
        <f t="shared" ref="F417:L417" si="171">F169</f>
        <v>14 Overig rollend materieel</v>
      </c>
      <c r="G417" s="43">
        <f t="shared" si="171"/>
        <v>2007</v>
      </c>
      <c r="H417" s="58">
        <f t="shared" si="171"/>
        <v>661943.85</v>
      </c>
      <c r="I417" s="43">
        <f t="shared" si="171"/>
        <v>2021</v>
      </c>
      <c r="J417" s="58">
        <f t="shared" si="171"/>
        <v>10</v>
      </c>
      <c r="K417" s="188">
        <f t="shared" si="171"/>
        <v>1</v>
      </c>
      <c r="L417" s="58">
        <f t="shared" si="171"/>
        <v>0</v>
      </c>
      <c r="N417" s="49">
        <f t="shared" si="104"/>
        <v>0</v>
      </c>
      <c r="P417" s="44">
        <f t="shared" si="95"/>
        <v>0</v>
      </c>
      <c r="R417" s="49">
        <f t="shared" si="147"/>
        <v>0</v>
      </c>
      <c r="S417" s="49">
        <f t="shared" si="147"/>
        <v>0</v>
      </c>
      <c r="T417" s="49">
        <f t="shared" si="147"/>
        <v>0</v>
      </c>
      <c r="U417" s="49">
        <f t="shared" si="147"/>
        <v>0</v>
      </c>
      <c r="V417" s="49">
        <f t="shared" si="147"/>
        <v>0</v>
      </c>
      <c r="X417" s="49">
        <f t="shared" si="148"/>
        <v>0</v>
      </c>
      <c r="Y417" s="49">
        <f t="shared" si="148"/>
        <v>0</v>
      </c>
      <c r="Z417" s="49">
        <f t="shared" si="148"/>
        <v>0</v>
      </c>
      <c r="AA417" s="49">
        <f t="shared" si="148"/>
        <v>0</v>
      </c>
      <c r="AB417" s="49">
        <f t="shared" si="148"/>
        <v>0</v>
      </c>
      <c r="AD417" s="49">
        <f t="shared" si="105"/>
        <v>0</v>
      </c>
      <c r="AE417" s="49">
        <f t="shared" si="106"/>
        <v>0</v>
      </c>
      <c r="AF417" s="49">
        <f t="shared" si="107"/>
        <v>0</v>
      </c>
      <c r="AG417" s="49">
        <f t="shared" si="108"/>
        <v>0</v>
      </c>
      <c r="AH417" s="49">
        <f t="shared" si="109"/>
        <v>0</v>
      </c>
      <c r="AJ417" s="49">
        <f t="shared" si="96"/>
        <v>0</v>
      </c>
      <c r="AK417" s="49">
        <f t="shared" si="97"/>
        <v>0</v>
      </c>
      <c r="AL417" s="49">
        <f t="shared" si="98"/>
        <v>0</v>
      </c>
      <c r="AM417" s="49">
        <f t="shared" si="99"/>
        <v>0</v>
      </c>
      <c r="AN417" s="49">
        <f t="shared" si="100"/>
        <v>0</v>
      </c>
    </row>
    <row r="418" spans="2:40">
      <c r="B418" s="43" t="str">
        <f t="shared" ref="B418:B481" si="172">B170</f>
        <v>Asset 130</v>
      </c>
      <c r="F418" s="43" t="str">
        <f t="shared" ref="F418:L418" si="173">F170</f>
        <v>12 Motorvoertuigen</v>
      </c>
      <c r="G418" s="43">
        <f t="shared" si="173"/>
        <v>2007</v>
      </c>
      <c r="H418" s="58">
        <f t="shared" si="173"/>
        <v>154091.65000000002</v>
      </c>
      <c r="I418" s="43">
        <f t="shared" si="173"/>
        <v>2021</v>
      </c>
      <c r="J418" s="58">
        <f t="shared" si="173"/>
        <v>10</v>
      </c>
      <c r="K418" s="188">
        <f t="shared" si="173"/>
        <v>1</v>
      </c>
      <c r="L418" s="58">
        <f t="shared" si="173"/>
        <v>0</v>
      </c>
      <c r="N418" s="49">
        <f t="shared" si="104"/>
        <v>0</v>
      </c>
      <c r="P418" s="44">
        <f t="shared" ref="P418:P481" si="174">MAX(0,IF(G418&lt;=2021, J418-2021+G418-0.5,J418))</f>
        <v>0</v>
      </c>
      <c r="R418" s="49">
        <f t="shared" si="147"/>
        <v>0</v>
      </c>
      <c r="S418" s="49">
        <f t="shared" si="147"/>
        <v>0</v>
      </c>
      <c r="T418" s="49">
        <f t="shared" si="147"/>
        <v>0</v>
      </c>
      <c r="U418" s="49">
        <f t="shared" si="147"/>
        <v>0</v>
      </c>
      <c r="V418" s="49">
        <f t="shared" si="147"/>
        <v>0</v>
      </c>
      <c r="X418" s="49">
        <f t="shared" si="148"/>
        <v>0</v>
      </c>
      <c r="Y418" s="49">
        <f t="shared" si="148"/>
        <v>0</v>
      </c>
      <c r="Z418" s="49">
        <f t="shared" si="148"/>
        <v>0</v>
      </c>
      <c r="AA418" s="49">
        <f t="shared" si="148"/>
        <v>0</v>
      </c>
      <c r="AB418" s="49">
        <f t="shared" si="148"/>
        <v>0</v>
      </c>
      <c r="AD418" s="49">
        <f t="shared" si="105"/>
        <v>0</v>
      </c>
      <c r="AE418" s="49">
        <f t="shared" si="106"/>
        <v>0</v>
      </c>
      <c r="AF418" s="49">
        <f t="shared" si="107"/>
        <v>0</v>
      </c>
      <c r="AG418" s="49">
        <f t="shared" si="108"/>
        <v>0</v>
      </c>
      <c r="AH418" s="49">
        <f t="shared" si="109"/>
        <v>0</v>
      </c>
      <c r="AJ418" s="49">
        <f t="shared" ref="AJ418:AJ481" si="175">(R418+X418+AD418*I$16)*IF($K418=1,$F$19,1)</f>
        <v>0</v>
      </c>
      <c r="AK418" s="49">
        <f t="shared" ref="AK418:AK481" si="176">(S418+Y418+AE418*J$16)*IF($K418=1,$F$19,1)</f>
        <v>0</v>
      </c>
      <c r="AL418" s="49">
        <f t="shared" ref="AL418:AL481" si="177">(T418+Z418+AF418*K$16)*IF($K418=1,$F$19,1)</f>
        <v>0</v>
      </c>
      <c r="AM418" s="49">
        <f t="shared" ref="AM418:AM481" si="178">(U418+AA418+AG418*L$16)*IF($K418=1,$F$19,1)</f>
        <v>0</v>
      </c>
      <c r="AN418" s="49">
        <f t="shared" ref="AN418:AN481" si="179">(V418+AB418+AH418*M$16)*IF($K418=1,$F$19,1)</f>
        <v>0</v>
      </c>
    </row>
    <row r="419" spans="2:40">
      <c r="B419" s="43" t="str">
        <f t="shared" si="172"/>
        <v>Asset 131</v>
      </c>
      <c r="F419" s="43" t="str">
        <f t="shared" ref="F419:L419" si="180">F171</f>
        <v>05 Wegen en terreinvoorzieningen</v>
      </c>
      <c r="G419" s="43">
        <f t="shared" si="180"/>
        <v>2007</v>
      </c>
      <c r="H419" s="58">
        <f t="shared" si="180"/>
        <v>79744.08</v>
      </c>
      <c r="I419" s="43">
        <f t="shared" si="180"/>
        <v>2021</v>
      </c>
      <c r="J419" s="58">
        <f t="shared" si="180"/>
        <v>10</v>
      </c>
      <c r="K419" s="188">
        <f t="shared" si="180"/>
        <v>0</v>
      </c>
      <c r="L419" s="58">
        <f t="shared" si="180"/>
        <v>0</v>
      </c>
      <c r="N419" s="49">
        <f t="shared" si="104"/>
        <v>0</v>
      </c>
      <c r="P419" s="44">
        <f t="shared" si="174"/>
        <v>0</v>
      </c>
      <c r="R419" s="49">
        <f t="shared" si="147"/>
        <v>0</v>
      </c>
      <c r="S419" s="49">
        <f t="shared" si="147"/>
        <v>0</v>
      </c>
      <c r="T419" s="49">
        <f t="shared" si="147"/>
        <v>0</v>
      </c>
      <c r="U419" s="49">
        <f t="shared" si="147"/>
        <v>0</v>
      </c>
      <c r="V419" s="49">
        <f t="shared" si="147"/>
        <v>0</v>
      </c>
      <c r="X419" s="49">
        <f t="shared" si="148"/>
        <v>0</v>
      </c>
      <c r="Y419" s="49">
        <f t="shared" si="148"/>
        <v>0</v>
      </c>
      <c r="Z419" s="49">
        <f t="shared" si="148"/>
        <v>0</v>
      </c>
      <c r="AA419" s="49">
        <f t="shared" si="148"/>
        <v>0</v>
      </c>
      <c r="AB419" s="49">
        <f t="shared" si="148"/>
        <v>0</v>
      </c>
      <c r="AD419" s="49">
        <f t="shared" si="105"/>
        <v>0</v>
      </c>
      <c r="AE419" s="49">
        <f t="shared" si="106"/>
        <v>0</v>
      </c>
      <c r="AF419" s="49">
        <f t="shared" si="107"/>
        <v>0</v>
      </c>
      <c r="AG419" s="49">
        <f t="shared" si="108"/>
        <v>0</v>
      </c>
      <c r="AH419" s="49">
        <f t="shared" si="109"/>
        <v>0</v>
      </c>
      <c r="AJ419" s="49">
        <f t="shared" si="175"/>
        <v>0</v>
      </c>
      <c r="AK419" s="49">
        <f t="shared" si="176"/>
        <v>0</v>
      </c>
      <c r="AL419" s="49">
        <f t="shared" si="177"/>
        <v>0</v>
      </c>
      <c r="AM419" s="49">
        <f t="shared" si="178"/>
        <v>0</v>
      </c>
      <c r="AN419" s="49">
        <f t="shared" si="179"/>
        <v>0</v>
      </c>
    </row>
    <row r="420" spans="2:40">
      <c r="B420" s="43" t="str">
        <f t="shared" si="172"/>
        <v>Asset 132</v>
      </c>
      <c r="F420" s="43" t="str">
        <f t="shared" ref="F420:L420" si="181">F172</f>
        <v>20 Kantoorgebouwen</v>
      </c>
      <c r="G420" s="43">
        <f t="shared" si="181"/>
        <v>2008</v>
      </c>
      <c r="H420" s="58">
        <f t="shared" si="181"/>
        <v>4978200.5000000009</v>
      </c>
      <c r="I420" s="43">
        <f t="shared" si="181"/>
        <v>2021</v>
      </c>
      <c r="J420" s="58">
        <f t="shared" si="181"/>
        <v>30</v>
      </c>
      <c r="K420" s="188">
        <f t="shared" si="181"/>
        <v>0</v>
      </c>
      <c r="L420" s="58">
        <f t="shared" si="181"/>
        <v>3386936.2239016104</v>
      </c>
      <c r="N420" s="49">
        <f t="shared" si="104"/>
        <v>3386936.2239016104</v>
      </c>
      <c r="P420" s="44">
        <f t="shared" si="174"/>
        <v>16.5</v>
      </c>
      <c r="R420" s="49">
        <f t="shared" si="147"/>
        <v>240164.56860393242</v>
      </c>
      <c r="S420" s="49">
        <f t="shared" si="147"/>
        <v>221242.51168362258</v>
      </c>
      <c r="T420" s="49">
        <f t="shared" si="147"/>
        <v>203811.2834903675</v>
      </c>
      <c r="U420" s="49">
        <f t="shared" si="147"/>
        <v>187753.4247911264</v>
      </c>
      <c r="V420" s="49">
        <f t="shared" si="147"/>
        <v>175621.66503539204</v>
      </c>
      <c r="X420" s="49">
        <f t="shared" si="148"/>
        <v>20526.886205464307</v>
      </c>
      <c r="Y420" s="49">
        <f t="shared" si="148"/>
        <v>20526.886205464303</v>
      </c>
      <c r="Z420" s="49">
        <f t="shared" si="148"/>
        <v>20526.886205464303</v>
      </c>
      <c r="AA420" s="49">
        <f t="shared" si="148"/>
        <v>20526.886205464303</v>
      </c>
      <c r="AB420" s="49">
        <f t="shared" si="148"/>
        <v>20526.886205464303</v>
      </c>
      <c r="AD420" s="49">
        <f t="shared" si="105"/>
        <v>3126244.7690922138</v>
      </c>
      <c r="AE420" s="49">
        <f t="shared" si="106"/>
        <v>2884475.3712031273</v>
      </c>
      <c r="AF420" s="49">
        <f t="shared" si="107"/>
        <v>2660137.2015072955</v>
      </c>
      <c r="AG420" s="49">
        <f t="shared" si="108"/>
        <v>2451856.8905107048</v>
      </c>
      <c r="AH420" s="49">
        <f t="shared" si="109"/>
        <v>2255708.3392698485</v>
      </c>
      <c r="AJ420" s="49">
        <f t="shared" si="175"/>
        <v>357605.04265125538</v>
      </c>
      <c r="AK420" s="49">
        <f t="shared" si="176"/>
        <v>328303.65902518074</v>
      </c>
      <c r="AL420" s="49">
        <f t="shared" si="177"/>
        <v>304142.28574105067</v>
      </c>
      <c r="AM420" s="49">
        <f t="shared" si="178"/>
        <v>281836.01771191182</v>
      </c>
      <c r="AN420" s="49">
        <f t="shared" si="179"/>
        <v>263819.80141895183</v>
      </c>
    </row>
    <row r="421" spans="2:40">
      <c r="B421" s="43" t="str">
        <f t="shared" si="172"/>
        <v>Asset 133</v>
      </c>
      <c r="F421" s="43" t="str">
        <f t="shared" ref="F421:L421" si="182">F173</f>
        <v>06 Utiliteitsgebouwen</v>
      </c>
      <c r="G421" s="43">
        <f t="shared" si="182"/>
        <v>2008</v>
      </c>
      <c r="H421" s="58">
        <f t="shared" si="182"/>
        <v>233293.04544821067</v>
      </c>
      <c r="I421" s="43">
        <f t="shared" si="182"/>
        <v>2021</v>
      </c>
      <c r="J421" s="58">
        <f t="shared" si="182"/>
        <v>30</v>
      </c>
      <c r="K421" s="188">
        <f t="shared" si="182"/>
        <v>0</v>
      </c>
      <c r="L421" s="58">
        <f t="shared" si="182"/>
        <v>158721.74421517763</v>
      </c>
      <c r="N421" s="49">
        <f t="shared" ref="N421:N484" si="183">L421*IF(K421=1,$F$19,1)</f>
        <v>158721.74421517763</v>
      </c>
      <c r="P421" s="44">
        <f t="shared" si="174"/>
        <v>16.5</v>
      </c>
      <c r="R421" s="49">
        <f t="shared" si="147"/>
        <v>11254.814589803505</v>
      </c>
      <c r="S421" s="49">
        <f t="shared" si="147"/>
        <v>10368.071622122017</v>
      </c>
      <c r="T421" s="49">
        <f t="shared" si="147"/>
        <v>9551.1932518942212</v>
      </c>
      <c r="U421" s="49">
        <f t="shared" si="147"/>
        <v>8798.6749956843742</v>
      </c>
      <c r="V421" s="49">
        <f t="shared" si="147"/>
        <v>8230.1452267324603</v>
      </c>
      <c r="X421" s="49">
        <f t="shared" si="148"/>
        <v>961.94996494047064</v>
      </c>
      <c r="Y421" s="49">
        <f t="shared" si="148"/>
        <v>961.94996494047052</v>
      </c>
      <c r="Z421" s="49">
        <f t="shared" si="148"/>
        <v>961.94996494047052</v>
      </c>
      <c r="AA421" s="49">
        <f t="shared" si="148"/>
        <v>961.94996494047052</v>
      </c>
      <c r="AB421" s="49">
        <f t="shared" si="148"/>
        <v>961.94996494047052</v>
      </c>
      <c r="AD421" s="49">
        <f t="shared" ref="AD421:AD484" si="184">IF(OR(AD$287&lt;=$G421+$J421,$J421=0),IF(AC421=0,$L421,AC421)-R421-X421,0)</f>
        <v>146504.97966043366</v>
      </c>
      <c r="AE421" s="49">
        <f t="shared" ref="AE421:AE484" si="185">IF(OR(AE$287&lt;=$G421+$J421,$J421=0),IF(AD421=0,$L421,AD421)-S421-Y421,0)</f>
        <v>135174.95807337118</v>
      </c>
      <c r="AF421" s="49">
        <f t="shared" ref="AF421:AF484" si="186">IF(OR(AF$287&lt;=$G421+$J421,$J421=0),IF(AE421=0,$L421,AE421)-T421-Z421,0)</f>
        <v>124661.81485653648</v>
      </c>
      <c r="AG421" s="49">
        <f t="shared" ref="AG421:AG484" si="187">IF(OR(AG$287&lt;=$G421+$J421,$J421=0),IF(AF421=0,$L421,AF421)-U421-AA421,0)</f>
        <v>114901.18989591164</v>
      </c>
      <c r="AH421" s="49">
        <f t="shared" ref="AH421:AH484" si="188">IF(OR(AH$287&lt;=$G421+$J421,$J421=0),IF(AG421=0,$L421,AG421)-V421-AB421,0)</f>
        <v>105709.0947042387</v>
      </c>
      <c r="AJ421" s="49">
        <f t="shared" si="175"/>
        <v>16758.418924217418</v>
      </c>
      <c r="AK421" s="49">
        <f t="shared" si="176"/>
        <v>15385.270329263622</v>
      </c>
      <c r="AL421" s="49">
        <f t="shared" si="177"/>
        <v>14252.997662530786</v>
      </c>
      <c r="AM421" s="49">
        <f t="shared" si="178"/>
        <v>13207.660657502192</v>
      </c>
      <c r="AN421" s="49">
        <f t="shared" si="179"/>
        <v>12363.368032800092</v>
      </c>
    </row>
    <row r="422" spans="2:40">
      <c r="B422" s="43" t="str">
        <f t="shared" si="172"/>
        <v>Asset 134</v>
      </c>
      <c r="F422" s="43" t="str">
        <f t="shared" ref="F422:L422" si="189">F174</f>
        <v>10 Gereedschap</v>
      </c>
      <c r="G422" s="43">
        <f t="shared" si="189"/>
        <v>2008</v>
      </c>
      <c r="H422" s="58">
        <f t="shared" si="189"/>
        <v>178157.88</v>
      </c>
      <c r="I422" s="43">
        <f t="shared" si="189"/>
        <v>2021</v>
      </c>
      <c r="J422" s="58">
        <f t="shared" si="189"/>
        <v>10</v>
      </c>
      <c r="K422" s="188">
        <f t="shared" si="189"/>
        <v>1</v>
      </c>
      <c r="L422" s="58">
        <f t="shared" si="189"/>
        <v>0</v>
      </c>
      <c r="N422" s="49">
        <f t="shared" si="183"/>
        <v>0</v>
      </c>
      <c r="P422" s="44">
        <f t="shared" si="174"/>
        <v>0</v>
      </c>
      <c r="R422" s="49">
        <f t="shared" si="147"/>
        <v>0</v>
      </c>
      <c r="S422" s="49">
        <f t="shared" si="147"/>
        <v>0</v>
      </c>
      <c r="T422" s="49">
        <f t="shared" si="147"/>
        <v>0</v>
      </c>
      <c r="U422" s="49">
        <f t="shared" si="147"/>
        <v>0</v>
      </c>
      <c r="V422" s="49">
        <f t="shared" si="147"/>
        <v>0</v>
      </c>
      <c r="X422" s="49">
        <f t="shared" si="148"/>
        <v>0</v>
      </c>
      <c r="Y422" s="49">
        <f t="shared" si="148"/>
        <v>0</v>
      </c>
      <c r="Z422" s="49">
        <f t="shared" si="148"/>
        <v>0</v>
      </c>
      <c r="AA422" s="49">
        <f t="shared" si="148"/>
        <v>0</v>
      </c>
      <c r="AB422" s="49">
        <f t="shared" si="148"/>
        <v>0</v>
      </c>
      <c r="AD422" s="49">
        <f t="shared" si="184"/>
        <v>0</v>
      </c>
      <c r="AE422" s="49">
        <f t="shared" si="185"/>
        <v>0</v>
      </c>
      <c r="AF422" s="49">
        <f t="shared" si="186"/>
        <v>0</v>
      </c>
      <c r="AG422" s="49">
        <f t="shared" si="187"/>
        <v>0</v>
      </c>
      <c r="AH422" s="49">
        <f t="shared" si="188"/>
        <v>0</v>
      </c>
      <c r="AJ422" s="49">
        <f t="shared" si="175"/>
        <v>0</v>
      </c>
      <c r="AK422" s="49">
        <f t="shared" si="176"/>
        <v>0</v>
      </c>
      <c r="AL422" s="49">
        <f t="shared" si="177"/>
        <v>0</v>
      </c>
      <c r="AM422" s="49">
        <f t="shared" si="178"/>
        <v>0</v>
      </c>
      <c r="AN422" s="49">
        <f t="shared" si="179"/>
        <v>0</v>
      </c>
    </row>
    <row r="423" spans="2:40">
      <c r="B423" s="43" t="str">
        <f t="shared" si="172"/>
        <v>Asset 135</v>
      </c>
      <c r="F423" s="43" t="str">
        <f t="shared" ref="F423:L423" si="190">F175</f>
        <v>14 Overig rollend materieel</v>
      </c>
      <c r="G423" s="43">
        <f t="shared" si="190"/>
        <v>2008</v>
      </c>
      <c r="H423" s="58">
        <f t="shared" si="190"/>
        <v>1299449.8500000001</v>
      </c>
      <c r="I423" s="43">
        <f t="shared" si="190"/>
        <v>2021</v>
      </c>
      <c r="J423" s="58">
        <f t="shared" si="190"/>
        <v>10</v>
      </c>
      <c r="K423" s="188">
        <f t="shared" si="190"/>
        <v>1</v>
      </c>
      <c r="L423" s="58">
        <f t="shared" si="190"/>
        <v>0</v>
      </c>
      <c r="N423" s="49">
        <f t="shared" si="183"/>
        <v>0</v>
      </c>
      <c r="P423" s="44">
        <f t="shared" si="174"/>
        <v>0</v>
      </c>
      <c r="R423" s="49">
        <f t="shared" si="147"/>
        <v>0</v>
      </c>
      <c r="S423" s="49">
        <f t="shared" si="147"/>
        <v>0</v>
      </c>
      <c r="T423" s="49">
        <f t="shared" si="147"/>
        <v>0</v>
      </c>
      <c r="U423" s="49">
        <f t="shared" si="147"/>
        <v>0</v>
      </c>
      <c r="V423" s="49">
        <f t="shared" si="147"/>
        <v>0</v>
      </c>
      <c r="X423" s="49">
        <f t="shared" si="148"/>
        <v>0</v>
      </c>
      <c r="Y423" s="49">
        <f t="shared" si="148"/>
        <v>0</v>
      </c>
      <c r="Z423" s="49">
        <f t="shared" si="148"/>
        <v>0</v>
      </c>
      <c r="AA423" s="49">
        <f t="shared" si="148"/>
        <v>0</v>
      </c>
      <c r="AB423" s="49">
        <f t="shared" si="148"/>
        <v>0</v>
      </c>
      <c r="AD423" s="49">
        <f t="shared" si="184"/>
        <v>0</v>
      </c>
      <c r="AE423" s="49">
        <f t="shared" si="185"/>
        <v>0</v>
      </c>
      <c r="AF423" s="49">
        <f t="shared" si="186"/>
        <v>0</v>
      </c>
      <c r="AG423" s="49">
        <f t="shared" si="187"/>
        <v>0</v>
      </c>
      <c r="AH423" s="49">
        <f t="shared" si="188"/>
        <v>0</v>
      </c>
      <c r="AJ423" s="49">
        <f t="shared" si="175"/>
        <v>0</v>
      </c>
      <c r="AK423" s="49">
        <f t="shared" si="176"/>
        <v>0</v>
      </c>
      <c r="AL423" s="49">
        <f t="shared" si="177"/>
        <v>0</v>
      </c>
      <c r="AM423" s="49">
        <f t="shared" si="178"/>
        <v>0</v>
      </c>
      <c r="AN423" s="49">
        <f t="shared" si="179"/>
        <v>0</v>
      </c>
    </row>
    <row r="424" spans="2:40">
      <c r="B424" s="43" t="str">
        <f t="shared" si="172"/>
        <v>Asset 136</v>
      </c>
      <c r="F424" s="43" t="str">
        <f t="shared" ref="F424:L424" si="191">F176</f>
        <v>37 ICT middelen 1 (gaschromatografen en comptabele meting)</v>
      </c>
      <c r="G424" s="43">
        <f t="shared" si="191"/>
        <v>2008</v>
      </c>
      <c r="H424" s="58">
        <f t="shared" si="191"/>
        <v>8310.1200000000008</v>
      </c>
      <c r="I424" s="43">
        <f t="shared" si="191"/>
        <v>2021</v>
      </c>
      <c r="J424" s="58">
        <f t="shared" si="191"/>
        <v>5</v>
      </c>
      <c r="K424" s="188">
        <f t="shared" si="191"/>
        <v>0</v>
      </c>
      <c r="L424" s="58">
        <f t="shared" si="191"/>
        <v>0</v>
      </c>
      <c r="N424" s="49">
        <f t="shared" si="183"/>
        <v>0</v>
      </c>
      <c r="P424" s="44">
        <f t="shared" si="174"/>
        <v>0</v>
      </c>
      <c r="R424" s="49">
        <f t="shared" si="147"/>
        <v>0</v>
      </c>
      <c r="S424" s="49">
        <f t="shared" si="147"/>
        <v>0</v>
      </c>
      <c r="T424" s="49">
        <f t="shared" si="147"/>
        <v>0</v>
      </c>
      <c r="U424" s="49">
        <f t="shared" si="147"/>
        <v>0</v>
      </c>
      <c r="V424" s="49">
        <f t="shared" si="147"/>
        <v>0</v>
      </c>
      <c r="X424" s="49">
        <f t="shared" si="148"/>
        <v>0</v>
      </c>
      <c r="Y424" s="49">
        <f t="shared" si="148"/>
        <v>0</v>
      </c>
      <c r="Z424" s="49">
        <f t="shared" si="148"/>
        <v>0</v>
      </c>
      <c r="AA424" s="49">
        <f t="shared" si="148"/>
        <v>0</v>
      </c>
      <c r="AB424" s="49">
        <f t="shared" si="148"/>
        <v>0</v>
      </c>
      <c r="AD424" s="49">
        <f t="shared" si="184"/>
        <v>0</v>
      </c>
      <c r="AE424" s="49">
        <f t="shared" si="185"/>
        <v>0</v>
      </c>
      <c r="AF424" s="49">
        <f t="shared" si="186"/>
        <v>0</v>
      </c>
      <c r="AG424" s="49">
        <f t="shared" si="187"/>
        <v>0</v>
      </c>
      <c r="AH424" s="49">
        <f t="shared" si="188"/>
        <v>0</v>
      </c>
      <c r="AJ424" s="49">
        <f t="shared" si="175"/>
        <v>0</v>
      </c>
      <c r="AK424" s="49">
        <f t="shared" si="176"/>
        <v>0</v>
      </c>
      <c r="AL424" s="49">
        <f t="shared" si="177"/>
        <v>0</v>
      </c>
      <c r="AM424" s="49">
        <f t="shared" si="178"/>
        <v>0</v>
      </c>
      <c r="AN424" s="49">
        <f t="shared" si="179"/>
        <v>0</v>
      </c>
    </row>
    <row r="425" spans="2:40">
      <c r="B425" s="43" t="str">
        <f t="shared" si="172"/>
        <v>Asset 137</v>
      </c>
      <c r="F425" s="43" t="str">
        <f t="shared" ref="F425:L425" si="192">F177</f>
        <v>11 Werktuigen</v>
      </c>
      <c r="G425" s="43">
        <f t="shared" si="192"/>
        <v>2008</v>
      </c>
      <c r="H425" s="58">
        <f t="shared" si="192"/>
        <v>427546.18</v>
      </c>
      <c r="I425" s="43">
        <f t="shared" si="192"/>
        <v>2021</v>
      </c>
      <c r="J425" s="58">
        <f t="shared" si="192"/>
        <v>10</v>
      </c>
      <c r="K425" s="188">
        <f t="shared" si="192"/>
        <v>1</v>
      </c>
      <c r="L425" s="58">
        <f t="shared" si="192"/>
        <v>0</v>
      </c>
      <c r="N425" s="49">
        <f t="shared" si="183"/>
        <v>0</v>
      </c>
      <c r="P425" s="44">
        <f t="shared" si="174"/>
        <v>0</v>
      </c>
      <c r="R425" s="49">
        <f t="shared" si="147"/>
        <v>0</v>
      </c>
      <c r="S425" s="49">
        <f t="shared" si="147"/>
        <v>0</v>
      </c>
      <c r="T425" s="49">
        <f t="shared" si="147"/>
        <v>0</v>
      </c>
      <c r="U425" s="49">
        <f t="shared" si="147"/>
        <v>0</v>
      </c>
      <c r="V425" s="49">
        <f t="shared" si="147"/>
        <v>0</v>
      </c>
      <c r="X425" s="49">
        <f t="shared" si="148"/>
        <v>0</v>
      </c>
      <c r="Y425" s="49">
        <f t="shared" si="148"/>
        <v>0</v>
      </c>
      <c r="Z425" s="49">
        <f t="shared" si="148"/>
        <v>0</v>
      </c>
      <c r="AA425" s="49">
        <f t="shared" si="148"/>
        <v>0</v>
      </c>
      <c r="AB425" s="49">
        <f t="shared" si="148"/>
        <v>0</v>
      </c>
      <c r="AD425" s="49">
        <f t="shared" si="184"/>
        <v>0</v>
      </c>
      <c r="AE425" s="49">
        <f t="shared" si="185"/>
        <v>0</v>
      </c>
      <c r="AF425" s="49">
        <f t="shared" si="186"/>
        <v>0</v>
      </c>
      <c r="AG425" s="49">
        <f t="shared" si="187"/>
        <v>0</v>
      </c>
      <c r="AH425" s="49">
        <f t="shared" si="188"/>
        <v>0</v>
      </c>
      <c r="AJ425" s="49">
        <f t="shared" si="175"/>
        <v>0</v>
      </c>
      <c r="AK425" s="49">
        <f t="shared" si="176"/>
        <v>0</v>
      </c>
      <c r="AL425" s="49">
        <f t="shared" si="177"/>
        <v>0</v>
      </c>
      <c r="AM425" s="49">
        <f t="shared" si="178"/>
        <v>0</v>
      </c>
      <c r="AN425" s="49">
        <f t="shared" si="179"/>
        <v>0</v>
      </c>
    </row>
    <row r="426" spans="2:40">
      <c r="B426" s="43" t="str">
        <f t="shared" si="172"/>
        <v>Asset 138</v>
      </c>
      <c r="F426" s="43" t="str">
        <f t="shared" ref="F426:L426" si="193">F178</f>
        <v>08 Inrichting gebouwen</v>
      </c>
      <c r="G426" s="43">
        <f t="shared" si="193"/>
        <v>2008</v>
      </c>
      <c r="H426" s="58">
        <f t="shared" si="193"/>
        <v>1194171.3899999999</v>
      </c>
      <c r="I426" s="43">
        <f t="shared" si="193"/>
        <v>2021</v>
      </c>
      <c r="J426" s="58">
        <f t="shared" si="193"/>
        <v>10</v>
      </c>
      <c r="K426" s="188">
        <f t="shared" si="193"/>
        <v>0</v>
      </c>
      <c r="L426" s="58">
        <f t="shared" si="193"/>
        <v>0</v>
      </c>
      <c r="N426" s="49">
        <f t="shared" si="183"/>
        <v>0</v>
      </c>
      <c r="P426" s="44">
        <f t="shared" si="174"/>
        <v>0</v>
      </c>
      <c r="R426" s="49">
        <f t="shared" si="147"/>
        <v>0</v>
      </c>
      <c r="S426" s="49">
        <f t="shared" si="147"/>
        <v>0</v>
      </c>
      <c r="T426" s="49">
        <f t="shared" si="147"/>
        <v>0</v>
      </c>
      <c r="U426" s="49">
        <f t="shared" si="147"/>
        <v>0</v>
      </c>
      <c r="V426" s="49">
        <f t="shared" si="147"/>
        <v>0</v>
      </c>
      <c r="X426" s="49">
        <f t="shared" si="148"/>
        <v>0</v>
      </c>
      <c r="Y426" s="49">
        <f t="shared" si="148"/>
        <v>0</v>
      </c>
      <c r="Z426" s="49">
        <f t="shared" si="148"/>
        <v>0</v>
      </c>
      <c r="AA426" s="49">
        <f t="shared" si="148"/>
        <v>0</v>
      </c>
      <c r="AB426" s="49">
        <f t="shared" si="148"/>
        <v>0</v>
      </c>
      <c r="AD426" s="49">
        <f t="shared" si="184"/>
        <v>0</v>
      </c>
      <c r="AE426" s="49">
        <f t="shared" si="185"/>
        <v>0</v>
      </c>
      <c r="AF426" s="49">
        <f t="shared" si="186"/>
        <v>0</v>
      </c>
      <c r="AG426" s="49">
        <f t="shared" si="187"/>
        <v>0</v>
      </c>
      <c r="AH426" s="49">
        <f t="shared" si="188"/>
        <v>0</v>
      </c>
      <c r="AJ426" s="49">
        <f t="shared" si="175"/>
        <v>0</v>
      </c>
      <c r="AK426" s="49">
        <f t="shared" si="176"/>
        <v>0</v>
      </c>
      <c r="AL426" s="49">
        <f t="shared" si="177"/>
        <v>0</v>
      </c>
      <c r="AM426" s="49">
        <f t="shared" si="178"/>
        <v>0</v>
      </c>
      <c r="AN426" s="49">
        <f t="shared" si="179"/>
        <v>0</v>
      </c>
    </row>
    <row r="427" spans="2:40">
      <c r="B427" s="43" t="str">
        <f t="shared" si="172"/>
        <v>Asset 139</v>
      </c>
      <c r="F427" s="43" t="str">
        <f t="shared" ref="F427:L427" si="194">F179</f>
        <v>08 Inrichting gebouwen</v>
      </c>
      <c r="G427" s="43">
        <f t="shared" si="194"/>
        <v>2009</v>
      </c>
      <c r="H427" s="58">
        <f t="shared" si="194"/>
        <v>124506.82</v>
      </c>
      <c r="I427" s="43">
        <f t="shared" si="194"/>
        <v>2021</v>
      </c>
      <c r="J427" s="58">
        <f t="shared" si="194"/>
        <v>10</v>
      </c>
      <c r="K427" s="188">
        <f t="shared" si="194"/>
        <v>0</v>
      </c>
      <c r="L427" s="58">
        <f t="shared" si="194"/>
        <v>0</v>
      </c>
      <c r="N427" s="49">
        <f t="shared" si="183"/>
        <v>0</v>
      </c>
      <c r="P427" s="44">
        <f t="shared" si="174"/>
        <v>0</v>
      </c>
      <c r="R427" s="49">
        <f t="shared" si="147"/>
        <v>0</v>
      </c>
      <c r="S427" s="49">
        <f t="shared" si="147"/>
        <v>0</v>
      </c>
      <c r="T427" s="49">
        <f t="shared" si="147"/>
        <v>0</v>
      </c>
      <c r="U427" s="49">
        <f t="shared" si="147"/>
        <v>0</v>
      </c>
      <c r="V427" s="49">
        <f t="shared" si="147"/>
        <v>0</v>
      </c>
      <c r="X427" s="49">
        <f t="shared" si="148"/>
        <v>0</v>
      </c>
      <c r="Y427" s="49">
        <f t="shared" si="148"/>
        <v>0</v>
      </c>
      <c r="Z427" s="49">
        <f t="shared" si="148"/>
        <v>0</v>
      </c>
      <c r="AA427" s="49">
        <f t="shared" si="148"/>
        <v>0</v>
      </c>
      <c r="AB427" s="49">
        <f t="shared" si="148"/>
        <v>0</v>
      </c>
      <c r="AD427" s="49">
        <f t="shared" si="184"/>
        <v>0</v>
      </c>
      <c r="AE427" s="49">
        <f t="shared" si="185"/>
        <v>0</v>
      </c>
      <c r="AF427" s="49">
        <f t="shared" si="186"/>
        <v>0</v>
      </c>
      <c r="AG427" s="49">
        <f t="shared" si="187"/>
        <v>0</v>
      </c>
      <c r="AH427" s="49">
        <f t="shared" si="188"/>
        <v>0</v>
      </c>
      <c r="AJ427" s="49">
        <f t="shared" si="175"/>
        <v>0</v>
      </c>
      <c r="AK427" s="49">
        <f t="shared" si="176"/>
        <v>0</v>
      </c>
      <c r="AL427" s="49">
        <f t="shared" si="177"/>
        <v>0</v>
      </c>
      <c r="AM427" s="49">
        <f t="shared" si="178"/>
        <v>0</v>
      </c>
      <c r="AN427" s="49">
        <f t="shared" si="179"/>
        <v>0</v>
      </c>
    </row>
    <row r="428" spans="2:40">
      <c r="B428" s="43" t="str">
        <f t="shared" si="172"/>
        <v>Asset 140</v>
      </c>
      <c r="F428" s="43" t="str">
        <f t="shared" ref="F428:L428" si="195">F180</f>
        <v>14 Overig rollend materieel</v>
      </c>
      <c r="G428" s="43">
        <f t="shared" si="195"/>
        <v>2009</v>
      </c>
      <c r="H428" s="58">
        <f t="shared" si="195"/>
        <v>285378.59999999998</v>
      </c>
      <c r="I428" s="43">
        <f t="shared" si="195"/>
        <v>2021</v>
      </c>
      <c r="J428" s="58">
        <f t="shared" si="195"/>
        <v>10</v>
      </c>
      <c r="K428" s="188">
        <f t="shared" si="195"/>
        <v>1</v>
      </c>
      <c r="L428" s="58">
        <f t="shared" si="195"/>
        <v>0</v>
      </c>
      <c r="N428" s="49">
        <f t="shared" si="183"/>
        <v>0</v>
      </c>
      <c r="P428" s="44">
        <f t="shared" si="174"/>
        <v>0</v>
      </c>
      <c r="R428" s="49">
        <f t="shared" si="147"/>
        <v>0</v>
      </c>
      <c r="S428" s="49">
        <f t="shared" si="147"/>
        <v>0</v>
      </c>
      <c r="T428" s="49">
        <f t="shared" si="147"/>
        <v>0</v>
      </c>
      <c r="U428" s="49">
        <f t="shared" si="147"/>
        <v>0</v>
      </c>
      <c r="V428" s="49">
        <f t="shared" si="147"/>
        <v>0</v>
      </c>
      <c r="X428" s="49">
        <f t="shared" si="148"/>
        <v>0</v>
      </c>
      <c r="Y428" s="49">
        <f t="shared" si="148"/>
        <v>0</v>
      </c>
      <c r="Z428" s="49">
        <f t="shared" si="148"/>
        <v>0</v>
      </c>
      <c r="AA428" s="49">
        <f t="shared" si="148"/>
        <v>0</v>
      </c>
      <c r="AB428" s="49">
        <f t="shared" si="148"/>
        <v>0</v>
      </c>
      <c r="AD428" s="49">
        <f t="shared" si="184"/>
        <v>0</v>
      </c>
      <c r="AE428" s="49">
        <f t="shared" si="185"/>
        <v>0</v>
      </c>
      <c r="AF428" s="49">
        <f t="shared" si="186"/>
        <v>0</v>
      </c>
      <c r="AG428" s="49">
        <f t="shared" si="187"/>
        <v>0</v>
      </c>
      <c r="AH428" s="49">
        <f t="shared" si="188"/>
        <v>0</v>
      </c>
      <c r="AJ428" s="49">
        <f t="shared" si="175"/>
        <v>0</v>
      </c>
      <c r="AK428" s="49">
        <f t="shared" si="176"/>
        <v>0</v>
      </c>
      <c r="AL428" s="49">
        <f t="shared" si="177"/>
        <v>0</v>
      </c>
      <c r="AM428" s="49">
        <f t="shared" si="178"/>
        <v>0</v>
      </c>
      <c r="AN428" s="49">
        <f t="shared" si="179"/>
        <v>0</v>
      </c>
    </row>
    <row r="429" spans="2:40">
      <c r="B429" s="43" t="str">
        <f t="shared" si="172"/>
        <v>Asset 141</v>
      </c>
      <c r="F429" s="43" t="str">
        <f t="shared" ref="F429:L429" si="196">F181</f>
        <v>06 Utiliteitsgebouwen</v>
      </c>
      <c r="G429" s="43">
        <f t="shared" si="196"/>
        <v>2009</v>
      </c>
      <c r="H429" s="58">
        <f t="shared" si="196"/>
        <v>35389.120000000003</v>
      </c>
      <c r="I429" s="43">
        <f t="shared" si="196"/>
        <v>2021</v>
      </c>
      <c r="J429" s="58">
        <f t="shared" si="196"/>
        <v>30</v>
      </c>
      <c r="K429" s="188">
        <f t="shared" si="196"/>
        <v>0</v>
      </c>
      <c r="L429" s="58">
        <f t="shared" si="196"/>
        <v>24744.506996892218</v>
      </c>
      <c r="N429" s="49">
        <f t="shared" si="183"/>
        <v>24744.506996892218</v>
      </c>
      <c r="P429" s="44">
        <f t="shared" si="174"/>
        <v>17.5</v>
      </c>
      <c r="R429" s="49">
        <f t="shared" si="147"/>
        <v>1654.3470392207942</v>
      </c>
      <c r="S429" s="49">
        <f t="shared" si="147"/>
        <v>1531.452687735821</v>
      </c>
      <c r="T429" s="49">
        <f t="shared" si="147"/>
        <v>1417.6876309325885</v>
      </c>
      <c r="U429" s="49">
        <f t="shared" si="147"/>
        <v>1312.373692634739</v>
      </c>
      <c r="V429" s="49">
        <f t="shared" si="147"/>
        <v>1214.8830754675871</v>
      </c>
      <c r="X429" s="49">
        <f t="shared" si="148"/>
        <v>141.3971828393841</v>
      </c>
      <c r="Y429" s="49">
        <f t="shared" si="148"/>
        <v>141.3971828393841</v>
      </c>
      <c r="Z429" s="49">
        <f t="shared" si="148"/>
        <v>141.3971828393841</v>
      </c>
      <c r="AA429" s="49">
        <f t="shared" si="148"/>
        <v>141.3971828393841</v>
      </c>
      <c r="AB429" s="49">
        <f t="shared" si="148"/>
        <v>141.3971828393841</v>
      </c>
      <c r="AD429" s="49">
        <f t="shared" si="184"/>
        <v>22948.762774832041</v>
      </c>
      <c r="AE429" s="49">
        <f t="shared" si="185"/>
        <v>21275.912904256835</v>
      </c>
      <c r="AF429" s="49">
        <f t="shared" si="186"/>
        <v>19716.828090484862</v>
      </c>
      <c r="AG429" s="49">
        <f t="shared" si="187"/>
        <v>18263.05721501074</v>
      </c>
      <c r="AH429" s="49">
        <f t="shared" si="188"/>
        <v>16906.776956703769</v>
      </c>
      <c r="AJ429" s="49">
        <f t="shared" si="175"/>
        <v>2507.1558680799717</v>
      </c>
      <c r="AK429" s="49">
        <f t="shared" si="176"/>
        <v>2311.1272577029104</v>
      </c>
      <c r="AL429" s="49">
        <f t="shared" si="177"/>
        <v>2150.5896564865184</v>
      </c>
      <c r="AM429" s="49">
        <f t="shared" si="178"/>
        <v>2001.6625919244452</v>
      </c>
      <c r="AN429" s="49">
        <f t="shared" si="179"/>
        <v>1863.4835670080843</v>
      </c>
    </row>
    <row r="430" spans="2:40">
      <c r="B430" s="43" t="str">
        <f t="shared" si="172"/>
        <v>Asset 142</v>
      </c>
      <c r="F430" s="43" t="str">
        <f t="shared" ref="F430:L430" si="197">F182</f>
        <v>09 Bedrijfsinventaris</v>
      </c>
      <c r="G430" s="43">
        <f t="shared" si="197"/>
        <v>2009</v>
      </c>
      <c r="H430" s="58">
        <f t="shared" si="197"/>
        <v>537011.27</v>
      </c>
      <c r="I430" s="43">
        <f t="shared" si="197"/>
        <v>2021</v>
      </c>
      <c r="J430" s="58">
        <f t="shared" si="197"/>
        <v>10</v>
      </c>
      <c r="K430" s="188">
        <f t="shared" si="197"/>
        <v>1</v>
      </c>
      <c r="L430" s="58">
        <f t="shared" si="197"/>
        <v>0</v>
      </c>
      <c r="N430" s="49">
        <f t="shared" si="183"/>
        <v>0</v>
      </c>
      <c r="P430" s="44">
        <f t="shared" si="174"/>
        <v>0</v>
      </c>
      <c r="R430" s="49">
        <f t="shared" si="147"/>
        <v>0</v>
      </c>
      <c r="S430" s="49">
        <f t="shared" si="147"/>
        <v>0</v>
      </c>
      <c r="T430" s="49">
        <f t="shared" si="147"/>
        <v>0</v>
      </c>
      <c r="U430" s="49">
        <f t="shared" si="147"/>
        <v>0</v>
      </c>
      <c r="V430" s="49">
        <f t="shared" si="147"/>
        <v>0</v>
      </c>
      <c r="X430" s="49">
        <f t="shared" si="148"/>
        <v>0</v>
      </c>
      <c r="Y430" s="49">
        <f t="shared" si="148"/>
        <v>0</v>
      </c>
      <c r="Z430" s="49">
        <f t="shared" si="148"/>
        <v>0</v>
      </c>
      <c r="AA430" s="49">
        <f t="shared" si="148"/>
        <v>0</v>
      </c>
      <c r="AB430" s="49">
        <f t="shared" si="148"/>
        <v>0</v>
      </c>
      <c r="AD430" s="49">
        <f t="shared" si="184"/>
        <v>0</v>
      </c>
      <c r="AE430" s="49">
        <f t="shared" si="185"/>
        <v>0</v>
      </c>
      <c r="AF430" s="49">
        <f t="shared" si="186"/>
        <v>0</v>
      </c>
      <c r="AG430" s="49">
        <f t="shared" si="187"/>
        <v>0</v>
      </c>
      <c r="AH430" s="49">
        <f t="shared" si="188"/>
        <v>0</v>
      </c>
      <c r="AJ430" s="49">
        <f t="shared" si="175"/>
        <v>0</v>
      </c>
      <c r="AK430" s="49">
        <f t="shared" si="176"/>
        <v>0</v>
      </c>
      <c r="AL430" s="49">
        <f t="shared" si="177"/>
        <v>0</v>
      </c>
      <c r="AM430" s="49">
        <f t="shared" si="178"/>
        <v>0</v>
      </c>
      <c r="AN430" s="49">
        <f t="shared" si="179"/>
        <v>0</v>
      </c>
    </row>
    <row r="431" spans="2:40">
      <c r="B431" s="43" t="str">
        <f t="shared" si="172"/>
        <v>Asset 143</v>
      </c>
      <c r="F431" s="43" t="str">
        <f t="shared" ref="F431:L431" si="198">F183</f>
        <v>20 Kantoorgebouwen</v>
      </c>
      <c r="G431" s="43">
        <f t="shared" si="198"/>
        <v>2009</v>
      </c>
      <c r="H431" s="58">
        <f t="shared" si="198"/>
        <v>2416053.9300000006</v>
      </c>
      <c r="I431" s="43">
        <f t="shared" si="198"/>
        <v>2021</v>
      </c>
      <c r="J431" s="58">
        <f t="shared" si="198"/>
        <v>30</v>
      </c>
      <c r="K431" s="188">
        <f t="shared" si="198"/>
        <v>0</v>
      </c>
      <c r="L431" s="58">
        <f t="shared" si="198"/>
        <v>1689334.5575067692</v>
      </c>
      <c r="N431" s="49">
        <f t="shared" si="183"/>
        <v>1689334.5575067692</v>
      </c>
      <c r="P431" s="44">
        <f t="shared" si="174"/>
        <v>17.5</v>
      </c>
      <c r="R431" s="49">
        <f t="shared" si="147"/>
        <v>112944.08184473829</v>
      </c>
      <c r="S431" s="49">
        <f t="shared" si="147"/>
        <v>104553.95005055775</v>
      </c>
      <c r="T431" s="49">
        <f t="shared" si="147"/>
        <v>96787.085189659163</v>
      </c>
      <c r="U431" s="49">
        <f t="shared" si="147"/>
        <v>89597.187432713064</v>
      </c>
      <c r="V431" s="49">
        <f t="shared" si="147"/>
        <v>82941.396366282948</v>
      </c>
      <c r="X431" s="49">
        <f t="shared" si="148"/>
        <v>9653.3403286101093</v>
      </c>
      <c r="Y431" s="49">
        <f t="shared" si="148"/>
        <v>9653.3403286101111</v>
      </c>
      <c r="Z431" s="49">
        <f t="shared" si="148"/>
        <v>9653.3403286101111</v>
      </c>
      <c r="AA431" s="49">
        <f t="shared" si="148"/>
        <v>9653.3403286101111</v>
      </c>
      <c r="AB431" s="49">
        <f t="shared" si="148"/>
        <v>9653.3403286101111</v>
      </c>
      <c r="AD431" s="49">
        <f t="shared" si="184"/>
        <v>1566737.1353334209</v>
      </c>
      <c r="AE431" s="49">
        <f t="shared" si="185"/>
        <v>1452529.8449542532</v>
      </c>
      <c r="AF431" s="49">
        <f t="shared" si="186"/>
        <v>1346089.419435984</v>
      </c>
      <c r="AG431" s="49">
        <f t="shared" si="187"/>
        <v>1246838.8916746608</v>
      </c>
      <c r="AH431" s="49">
        <f t="shared" si="188"/>
        <v>1154244.1549797677</v>
      </c>
      <c r="AJ431" s="49">
        <f t="shared" si="175"/>
        <v>171166.27336868446</v>
      </c>
      <c r="AK431" s="49">
        <f t="shared" si="176"/>
        <v>157783.18572779544</v>
      </c>
      <c r="AL431" s="49">
        <f t="shared" si="177"/>
        <v>146823.1081013488</v>
      </c>
      <c r="AM431" s="49">
        <f t="shared" si="178"/>
        <v>136655.69451156299</v>
      </c>
      <c r="AN431" s="49">
        <f t="shared" si="179"/>
        <v>127222.06134428609</v>
      </c>
    </row>
    <row r="432" spans="2:40">
      <c r="B432" s="43" t="str">
        <f t="shared" si="172"/>
        <v>Asset 144</v>
      </c>
      <c r="F432" s="43" t="str">
        <f t="shared" ref="F432:L432" si="199">F184</f>
        <v>05 Wegen en terreinvoorzieningen</v>
      </c>
      <c r="G432" s="43">
        <f t="shared" si="199"/>
        <v>2009</v>
      </c>
      <c r="H432" s="58">
        <f t="shared" si="199"/>
        <v>97690.9</v>
      </c>
      <c r="I432" s="43">
        <f t="shared" si="199"/>
        <v>2021</v>
      </c>
      <c r="J432" s="58">
        <f t="shared" si="199"/>
        <v>10</v>
      </c>
      <c r="K432" s="188">
        <f t="shared" si="199"/>
        <v>0</v>
      </c>
      <c r="L432" s="58">
        <f t="shared" si="199"/>
        <v>0</v>
      </c>
      <c r="N432" s="49">
        <f t="shared" si="183"/>
        <v>0</v>
      </c>
      <c r="P432" s="44">
        <f t="shared" si="174"/>
        <v>0</v>
      </c>
      <c r="R432" s="49">
        <f t="shared" si="147"/>
        <v>0</v>
      </c>
      <c r="S432" s="49">
        <f t="shared" si="147"/>
        <v>0</v>
      </c>
      <c r="T432" s="49">
        <f t="shared" si="147"/>
        <v>0</v>
      </c>
      <c r="U432" s="49">
        <f t="shared" si="147"/>
        <v>0</v>
      </c>
      <c r="V432" s="49">
        <f t="shared" si="147"/>
        <v>0</v>
      </c>
      <c r="X432" s="49">
        <f t="shared" si="148"/>
        <v>0</v>
      </c>
      <c r="Y432" s="49">
        <f t="shared" si="148"/>
        <v>0</v>
      </c>
      <c r="Z432" s="49">
        <f t="shared" si="148"/>
        <v>0</v>
      </c>
      <c r="AA432" s="49">
        <f t="shared" si="148"/>
        <v>0</v>
      </c>
      <c r="AB432" s="49">
        <f t="shared" si="148"/>
        <v>0</v>
      </c>
      <c r="AD432" s="49">
        <f t="shared" si="184"/>
        <v>0</v>
      </c>
      <c r="AE432" s="49">
        <f t="shared" si="185"/>
        <v>0</v>
      </c>
      <c r="AF432" s="49">
        <f t="shared" si="186"/>
        <v>0</v>
      </c>
      <c r="AG432" s="49">
        <f t="shared" si="187"/>
        <v>0</v>
      </c>
      <c r="AH432" s="49">
        <f t="shared" si="188"/>
        <v>0</v>
      </c>
      <c r="AJ432" s="49">
        <f t="shared" si="175"/>
        <v>0</v>
      </c>
      <c r="AK432" s="49">
        <f t="shared" si="176"/>
        <v>0</v>
      </c>
      <c r="AL432" s="49">
        <f t="shared" si="177"/>
        <v>0</v>
      </c>
      <c r="AM432" s="49">
        <f t="shared" si="178"/>
        <v>0</v>
      </c>
      <c r="AN432" s="49">
        <f t="shared" si="179"/>
        <v>0</v>
      </c>
    </row>
    <row r="433" spans="2:40">
      <c r="B433" s="43" t="str">
        <f t="shared" si="172"/>
        <v>Asset 145</v>
      </c>
      <c r="F433" s="43" t="str">
        <f t="shared" ref="F433:L433" si="200">F185</f>
        <v>13 Aanhangwagens</v>
      </c>
      <c r="G433" s="43">
        <f t="shared" si="200"/>
        <v>2009</v>
      </c>
      <c r="H433" s="58">
        <f t="shared" si="200"/>
        <v>655669.05999999994</v>
      </c>
      <c r="I433" s="43">
        <f t="shared" si="200"/>
        <v>2021</v>
      </c>
      <c r="J433" s="58">
        <f t="shared" si="200"/>
        <v>10</v>
      </c>
      <c r="K433" s="188">
        <f t="shared" si="200"/>
        <v>1</v>
      </c>
      <c r="L433" s="58">
        <f t="shared" si="200"/>
        <v>0</v>
      </c>
      <c r="N433" s="49">
        <f t="shared" si="183"/>
        <v>0</v>
      </c>
      <c r="P433" s="44">
        <f t="shared" si="174"/>
        <v>0</v>
      </c>
      <c r="R433" s="49">
        <f t="shared" si="147"/>
        <v>0</v>
      </c>
      <c r="S433" s="49">
        <f t="shared" si="147"/>
        <v>0</v>
      </c>
      <c r="T433" s="49">
        <f t="shared" si="147"/>
        <v>0</v>
      </c>
      <c r="U433" s="49">
        <f t="shared" si="147"/>
        <v>0</v>
      </c>
      <c r="V433" s="49">
        <f t="shared" si="147"/>
        <v>0</v>
      </c>
      <c r="X433" s="49">
        <f t="shared" si="148"/>
        <v>0</v>
      </c>
      <c r="Y433" s="49">
        <f t="shared" si="148"/>
        <v>0</v>
      </c>
      <c r="Z433" s="49">
        <f t="shared" si="148"/>
        <v>0</v>
      </c>
      <c r="AA433" s="49">
        <f t="shared" si="148"/>
        <v>0</v>
      </c>
      <c r="AB433" s="49">
        <f t="shared" si="148"/>
        <v>0</v>
      </c>
      <c r="AD433" s="49">
        <f t="shared" si="184"/>
        <v>0</v>
      </c>
      <c r="AE433" s="49">
        <f t="shared" si="185"/>
        <v>0</v>
      </c>
      <c r="AF433" s="49">
        <f t="shared" si="186"/>
        <v>0</v>
      </c>
      <c r="AG433" s="49">
        <f t="shared" si="187"/>
        <v>0</v>
      </c>
      <c r="AH433" s="49">
        <f t="shared" si="188"/>
        <v>0</v>
      </c>
      <c r="AJ433" s="49">
        <f t="shared" si="175"/>
        <v>0</v>
      </c>
      <c r="AK433" s="49">
        <f t="shared" si="176"/>
        <v>0</v>
      </c>
      <c r="AL433" s="49">
        <f t="shared" si="177"/>
        <v>0</v>
      </c>
      <c r="AM433" s="49">
        <f t="shared" si="178"/>
        <v>0</v>
      </c>
      <c r="AN433" s="49">
        <f t="shared" si="179"/>
        <v>0</v>
      </c>
    </row>
    <row r="434" spans="2:40">
      <c r="B434" s="43" t="str">
        <f t="shared" si="172"/>
        <v>Asset 146</v>
      </c>
      <c r="F434" s="43" t="str">
        <f t="shared" ref="F434:L434" si="201">F186</f>
        <v>11 Werktuigen</v>
      </c>
      <c r="G434" s="43">
        <f t="shared" si="201"/>
        <v>2010</v>
      </c>
      <c r="H434" s="58">
        <f t="shared" si="201"/>
        <v>453194.78213502961</v>
      </c>
      <c r="I434" s="43">
        <f t="shared" si="201"/>
        <v>2021</v>
      </c>
      <c r="J434" s="58">
        <f t="shared" si="201"/>
        <v>10</v>
      </c>
      <c r="K434" s="188">
        <f t="shared" si="201"/>
        <v>1</v>
      </c>
      <c r="L434" s="58">
        <f t="shared" si="201"/>
        <v>0</v>
      </c>
      <c r="N434" s="49">
        <f t="shared" si="183"/>
        <v>0</v>
      </c>
      <c r="P434" s="44">
        <f t="shared" si="174"/>
        <v>0</v>
      </c>
      <c r="R434" s="49">
        <f t="shared" si="147"/>
        <v>0</v>
      </c>
      <c r="S434" s="49">
        <f t="shared" si="147"/>
        <v>0</v>
      </c>
      <c r="T434" s="49">
        <f t="shared" si="147"/>
        <v>0</v>
      </c>
      <c r="U434" s="49">
        <f t="shared" si="147"/>
        <v>0</v>
      </c>
      <c r="V434" s="49">
        <f t="shared" si="147"/>
        <v>0</v>
      </c>
      <c r="X434" s="49">
        <f t="shared" si="148"/>
        <v>0</v>
      </c>
      <c r="Y434" s="49">
        <f t="shared" si="148"/>
        <v>0</v>
      </c>
      <c r="Z434" s="49">
        <f t="shared" si="148"/>
        <v>0</v>
      </c>
      <c r="AA434" s="49">
        <f t="shared" si="148"/>
        <v>0</v>
      </c>
      <c r="AB434" s="49">
        <f t="shared" si="148"/>
        <v>0</v>
      </c>
      <c r="AD434" s="49">
        <f t="shared" si="184"/>
        <v>0</v>
      </c>
      <c r="AE434" s="49">
        <f t="shared" si="185"/>
        <v>0</v>
      </c>
      <c r="AF434" s="49">
        <f t="shared" si="186"/>
        <v>0</v>
      </c>
      <c r="AG434" s="49">
        <f t="shared" si="187"/>
        <v>0</v>
      </c>
      <c r="AH434" s="49">
        <f t="shared" si="188"/>
        <v>0</v>
      </c>
      <c r="AJ434" s="49">
        <f t="shared" si="175"/>
        <v>0</v>
      </c>
      <c r="AK434" s="49">
        <f t="shared" si="176"/>
        <v>0</v>
      </c>
      <c r="AL434" s="49">
        <f t="shared" si="177"/>
        <v>0</v>
      </c>
      <c r="AM434" s="49">
        <f t="shared" si="178"/>
        <v>0</v>
      </c>
      <c r="AN434" s="49">
        <f t="shared" si="179"/>
        <v>0</v>
      </c>
    </row>
    <row r="435" spans="2:40">
      <c r="B435" s="43" t="str">
        <f t="shared" si="172"/>
        <v>Asset 147</v>
      </c>
      <c r="F435" s="43" t="str">
        <f t="shared" ref="F435:L435" si="202">F187</f>
        <v>14 Overig rollend materieel</v>
      </c>
      <c r="G435" s="43">
        <f t="shared" si="202"/>
        <v>2010</v>
      </c>
      <c r="H435" s="58">
        <f t="shared" si="202"/>
        <v>179634.02000000002</v>
      </c>
      <c r="I435" s="43">
        <f t="shared" si="202"/>
        <v>2021</v>
      </c>
      <c r="J435" s="58">
        <f t="shared" si="202"/>
        <v>10</v>
      </c>
      <c r="K435" s="188">
        <f t="shared" si="202"/>
        <v>1</v>
      </c>
      <c r="L435" s="58">
        <f t="shared" si="202"/>
        <v>0</v>
      </c>
      <c r="N435" s="49">
        <f t="shared" si="183"/>
        <v>0</v>
      </c>
      <c r="P435" s="44">
        <f t="shared" si="174"/>
        <v>0</v>
      </c>
      <c r="R435" s="49">
        <f t="shared" si="147"/>
        <v>0</v>
      </c>
      <c r="S435" s="49">
        <f t="shared" si="147"/>
        <v>0</v>
      </c>
      <c r="T435" s="49">
        <f t="shared" si="147"/>
        <v>0</v>
      </c>
      <c r="U435" s="49">
        <f t="shared" si="147"/>
        <v>0</v>
      </c>
      <c r="V435" s="49">
        <f t="shared" si="147"/>
        <v>0</v>
      </c>
      <c r="X435" s="49">
        <f t="shared" si="148"/>
        <v>0</v>
      </c>
      <c r="Y435" s="49">
        <f t="shared" si="148"/>
        <v>0</v>
      </c>
      <c r="Z435" s="49">
        <f t="shared" si="148"/>
        <v>0</v>
      </c>
      <c r="AA435" s="49">
        <f t="shared" si="148"/>
        <v>0</v>
      </c>
      <c r="AB435" s="49">
        <f t="shared" si="148"/>
        <v>0</v>
      </c>
      <c r="AD435" s="49">
        <f t="shared" si="184"/>
        <v>0</v>
      </c>
      <c r="AE435" s="49">
        <f t="shared" si="185"/>
        <v>0</v>
      </c>
      <c r="AF435" s="49">
        <f t="shared" si="186"/>
        <v>0</v>
      </c>
      <c r="AG435" s="49">
        <f t="shared" si="187"/>
        <v>0</v>
      </c>
      <c r="AH435" s="49">
        <f t="shared" si="188"/>
        <v>0</v>
      </c>
      <c r="AJ435" s="49">
        <f t="shared" si="175"/>
        <v>0</v>
      </c>
      <c r="AK435" s="49">
        <f t="shared" si="176"/>
        <v>0</v>
      </c>
      <c r="AL435" s="49">
        <f t="shared" si="177"/>
        <v>0</v>
      </c>
      <c r="AM435" s="49">
        <f t="shared" si="178"/>
        <v>0</v>
      </c>
      <c r="AN435" s="49">
        <f t="shared" si="179"/>
        <v>0</v>
      </c>
    </row>
    <row r="436" spans="2:40">
      <c r="B436" s="43" t="str">
        <f t="shared" si="172"/>
        <v>Asset 148</v>
      </c>
      <c r="F436" s="43" t="str">
        <f t="shared" ref="F436:L436" si="203">F188</f>
        <v>12 Motorvoertuigen</v>
      </c>
      <c r="G436" s="43">
        <f t="shared" si="203"/>
        <v>2011</v>
      </c>
      <c r="H436" s="58">
        <f t="shared" si="203"/>
        <v>293470.62269139342</v>
      </c>
      <c r="I436" s="43">
        <f t="shared" si="203"/>
        <v>2021</v>
      </c>
      <c r="J436" s="58">
        <f t="shared" si="203"/>
        <v>10</v>
      </c>
      <c r="K436" s="188">
        <f t="shared" si="203"/>
        <v>1</v>
      </c>
      <c r="L436" s="58">
        <f t="shared" si="203"/>
        <v>0</v>
      </c>
      <c r="N436" s="49">
        <f t="shared" si="183"/>
        <v>0</v>
      </c>
      <c r="P436" s="44">
        <f t="shared" si="174"/>
        <v>0</v>
      </c>
      <c r="R436" s="49">
        <f t="shared" si="147"/>
        <v>0</v>
      </c>
      <c r="S436" s="49">
        <f t="shared" si="147"/>
        <v>0</v>
      </c>
      <c r="T436" s="49">
        <f t="shared" si="147"/>
        <v>0</v>
      </c>
      <c r="U436" s="49">
        <f t="shared" si="147"/>
        <v>0</v>
      </c>
      <c r="V436" s="49">
        <f t="shared" si="147"/>
        <v>0</v>
      </c>
      <c r="X436" s="49">
        <f t="shared" si="148"/>
        <v>0</v>
      </c>
      <c r="Y436" s="49">
        <f t="shared" si="148"/>
        <v>0</v>
      </c>
      <c r="Z436" s="49">
        <f t="shared" si="148"/>
        <v>0</v>
      </c>
      <c r="AA436" s="49">
        <f t="shared" si="148"/>
        <v>0</v>
      </c>
      <c r="AB436" s="49">
        <f t="shared" si="148"/>
        <v>0</v>
      </c>
      <c r="AD436" s="49">
        <f t="shared" si="184"/>
        <v>0</v>
      </c>
      <c r="AE436" s="49">
        <f t="shared" si="185"/>
        <v>0</v>
      </c>
      <c r="AF436" s="49">
        <f t="shared" si="186"/>
        <v>0</v>
      </c>
      <c r="AG436" s="49">
        <f t="shared" si="187"/>
        <v>0</v>
      </c>
      <c r="AH436" s="49">
        <f t="shared" si="188"/>
        <v>0</v>
      </c>
      <c r="AJ436" s="49">
        <f t="shared" si="175"/>
        <v>0</v>
      </c>
      <c r="AK436" s="49">
        <f t="shared" si="176"/>
        <v>0</v>
      </c>
      <c r="AL436" s="49">
        <f t="shared" si="177"/>
        <v>0</v>
      </c>
      <c r="AM436" s="49">
        <f t="shared" si="178"/>
        <v>0</v>
      </c>
      <c r="AN436" s="49">
        <f t="shared" si="179"/>
        <v>0</v>
      </c>
    </row>
    <row r="437" spans="2:40">
      <c r="B437" s="43" t="str">
        <f t="shared" si="172"/>
        <v>Asset 149</v>
      </c>
      <c r="F437" s="43" t="str">
        <f t="shared" ref="F437:L437" si="204">F189</f>
        <v>08 Inrichting gebouwen</v>
      </c>
      <c r="G437" s="43">
        <f t="shared" si="204"/>
        <v>2011</v>
      </c>
      <c r="H437" s="58">
        <f t="shared" si="204"/>
        <v>309147.61872011481</v>
      </c>
      <c r="I437" s="43">
        <f t="shared" si="204"/>
        <v>2021</v>
      </c>
      <c r="J437" s="58">
        <f t="shared" si="204"/>
        <v>10</v>
      </c>
      <c r="K437" s="188">
        <f t="shared" si="204"/>
        <v>0</v>
      </c>
      <c r="L437" s="58">
        <f t="shared" si="204"/>
        <v>0</v>
      </c>
      <c r="N437" s="49">
        <f t="shared" si="183"/>
        <v>0</v>
      </c>
      <c r="P437" s="44">
        <f t="shared" si="174"/>
        <v>0</v>
      </c>
      <c r="R437" s="49">
        <f t="shared" si="147"/>
        <v>0</v>
      </c>
      <c r="S437" s="49">
        <f t="shared" si="147"/>
        <v>0</v>
      </c>
      <c r="T437" s="49">
        <f t="shared" si="147"/>
        <v>0</v>
      </c>
      <c r="U437" s="49">
        <f t="shared" si="147"/>
        <v>0</v>
      </c>
      <c r="V437" s="49">
        <f t="shared" si="147"/>
        <v>0</v>
      </c>
      <c r="X437" s="49">
        <f t="shared" si="148"/>
        <v>0</v>
      </c>
      <c r="Y437" s="49">
        <f t="shared" si="148"/>
        <v>0</v>
      </c>
      <c r="Z437" s="49">
        <f t="shared" si="148"/>
        <v>0</v>
      </c>
      <c r="AA437" s="49">
        <f t="shared" si="148"/>
        <v>0</v>
      </c>
      <c r="AB437" s="49">
        <f t="shared" si="148"/>
        <v>0</v>
      </c>
      <c r="AD437" s="49">
        <f t="shared" si="184"/>
        <v>0</v>
      </c>
      <c r="AE437" s="49">
        <f t="shared" si="185"/>
        <v>0</v>
      </c>
      <c r="AF437" s="49">
        <f t="shared" si="186"/>
        <v>0</v>
      </c>
      <c r="AG437" s="49">
        <f t="shared" si="187"/>
        <v>0</v>
      </c>
      <c r="AH437" s="49">
        <f t="shared" si="188"/>
        <v>0</v>
      </c>
      <c r="AJ437" s="49">
        <f t="shared" si="175"/>
        <v>0</v>
      </c>
      <c r="AK437" s="49">
        <f t="shared" si="176"/>
        <v>0</v>
      </c>
      <c r="AL437" s="49">
        <f t="shared" si="177"/>
        <v>0</v>
      </c>
      <c r="AM437" s="49">
        <f t="shared" si="178"/>
        <v>0</v>
      </c>
      <c r="AN437" s="49">
        <f t="shared" si="179"/>
        <v>0</v>
      </c>
    </row>
    <row r="438" spans="2:40">
      <c r="B438" s="43" t="str">
        <f t="shared" si="172"/>
        <v>Asset 150</v>
      </c>
      <c r="F438" s="43" t="str">
        <f t="shared" ref="F438:L438" si="205">F190</f>
        <v>38 ICT middelen 2</v>
      </c>
      <c r="G438" s="43">
        <f t="shared" si="205"/>
        <v>2011</v>
      </c>
      <c r="H438" s="58">
        <f t="shared" si="205"/>
        <v>24343500.983545668</v>
      </c>
      <c r="I438" s="43">
        <f t="shared" si="205"/>
        <v>2021</v>
      </c>
      <c r="J438" s="58">
        <f t="shared" si="205"/>
        <v>10</v>
      </c>
      <c r="K438" s="188">
        <f t="shared" si="205"/>
        <v>1</v>
      </c>
      <c r="L438" s="58">
        <f t="shared" si="205"/>
        <v>0</v>
      </c>
      <c r="N438" s="49">
        <f t="shared" si="183"/>
        <v>0</v>
      </c>
      <c r="P438" s="44">
        <f t="shared" si="174"/>
        <v>0</v>
      </c>
      <c r="R438" s="49">
        <f t="shared" si="147"/>
        <v>0</v>
      </c>
      <c r="S438" s="49">
        <f t="shared" si="147"/>
        <v>0</v>
      </c>
      <c r="T438" s="49">
        <f t="shared" si="147"/>
        <v>0</v>
      </c>
      <c r="U438" s="49">
        <f t="shared" si="147"/>
        <v>0</v>
      </c>
      <c r="V438" s="49">
        <f t="shared" si="147"/>
        <v>0</v>
      </c>
      <c r="X438" s="49">
        <f t="shared" si="148"/>
        <v>0</v>
      </c>
      <c r="Y438" s="49">
        <f t="shared" si="148"/>
        <v>0</v>
      </c>
      <c r="Z438" s="49">
        <f t="shared" si="148"/>
        <v>0</v>
      </c>
      <c r="AA438" s="49">
        <f t="shared" si="148"/>
        <v>0</v>
      </c>
      <c r="AB438" s="49">
        <f t="shared" si="148"/>
        <v>0</v>
      </c>
      <c r="AD438" s="49">
        <f t="shared" si="184"/>
        <v>0</v>
      </c>
      <c r="AE438" s="49">
        <f t="shared" si="185"/>
        <v>0</v>
      </c>
      <c r="AF438" s="49">
        <f t="shared" si="186"/>
        <v>0</v>
      </c>
      <c r="AG438" s="49">
        <f t="shared" si="187"/>
        <v>0</v>
      </c>
      <c r="AH438" s="49">
        <f t="shared" si="188"/>
        <v>0</v>
      </c>
      <c r="AJ438" s="49">
        <f t="shared" si="175"/>
        <v>0</v>
      </c>
      <c r="AK438" s="49">
        <f t="shared" si="176"/>
        <v>0</v>
      </c>
      <c r="AL438" s="49">
        <f t="shared" si="177"/>
        <v>0</v>
      </c>
      <c r="AM438" s="49">
        <f t="shared" si="178"/>
        <v>0</v>
      </c>
      <c r="AN438" s="49">
        <f t="shared" si="179"/>
        <v>0</v>
      </c>
    </row>
    <row r="439" spans="2:40">
      <c r="B439" s="43" t="str">
        <f t="shared" si="172"/>
        <v>Asset 151</v>
      </c>
      <c r="F439" s="43" t="str">
        <f t="shared" ref="F439:L439" si="206">F191</f>
        <v>11 Werktuigen</v>
      </c>
      <c r="G439" s="43">
        <f t="shared" si="206"/>
        <v>2011</v>
      </c>
      <c r="H439" s="58">
        <f t="shared" si="206"/>
        <v>345005.47060998465</v>
      </c>
      <c r="I439" s="43">
        <f t="shared" si="206"/>
        <v>2021</v>
      </c>
      <c r="J439" s="58">
        <f t="shared" si="206"/>
        <v>10</v>
      </c>
      <c r="K439" s="188">
        <f t="shared" si="206"/>
        <v>1</v>
      </c>
      <c r="L439" s="58">
        <f t="shared" si="206"/>
        <v>0</v>
      </c>
      <c r="N439" s="49">
        <f t="shared" si="183"/>
        <v>0</v>
      </c>
      <c r="P439" s="44">
        <f t="shared" si="174"/>
        <v>0</v>
      </c>
      <c r="R439" s="49">
        <f t="shared" si="147"/>
        <v>0</v>
      </c>
      <c r="S439" s="49">
        <f t="shared" si="147"/>
        <v>0</v>
      </c>
      <c r="T439" s="49">
        <f t="shared" si="147"/>
        <v>0</v>
      </c>
      <c r="U439" s="49">
        <f t="shared" si="147"/>
        <v>0</v>
      </c>
      <c r="V439" s="49">
        <f t="shared" si="147"/>
        <v>0</v>
      </c>
      <c r="X439" s="49">
        <f t="shared" si="148"/>
        <v>0</v>
      </c>
      <c r="Y439" s="49">
        <f t="shared" si="148"/>
        <v>0</v>
      </c>
      <c r="Z439" s="49">
        <f t="shared" si="148"/>
        <v>0</v>
      </c>
      <c r="AA439" s="49">
        <f t="shared" si="148"/>
        <v>0</v>
      </c>
      <c r="AB439" s="49">
        <f t="shared" si="148"/>
        <v>0</v>
      </c>
      <c r="AD439" s="49">
        <f t="shared" si="184"/>
        <v>0</v>
      </c>
      <c r="AE439" s="49">
        <f t="shared" si="185"/>
        <v>0</v>
      </c>
      <c r="AF439" s="49">
        <f t="shared" si="186"/>
        <v>0</v>
      </c>
      <c r="AG439" s="49">
        <f t="shared" si="187"/>
        <v>0</v>
      </c>
      <c r="AH439" s="49">
        <f t="shared" si="188"/>
        <v>0</v>
      </c>
      <c r="AJ439" s="49">
        <f t="shared" si="175"/>
        <v>0</v>
      </c>
      <c r="AK439" s="49">
        <f t="shared" si="176"/>
        <v>0</v>
      </c>
      <c r="AL439" s="49">
        <f t="shared" si="177"/>
        <v>0</v>
      </c>
      <c r="AM439" s="49">
        <f t="shared" si="178"/>
        <v>0</v>
      </c>
      <c r="AN439" s="49">
        <f t="shared" si="179"/>
        <v>0</v>
      </c>
    </row>
    <row r="440" spans="2:40">
      <c r="B440" s="43" t="str">
        <f t="shared" si="172"/>
        <v>Asset 152</v>
      </c>
      <c r="F440" s="43" t="str">
        <f t="shared" ref="F440:L440" si="207">F192</f>
        <v>13 Aanhangwagens</v>
      </c>
      <c r="G440" s="43">
        <f t="shared" si="207"/>
        <v>2011</v>
      </c>
      <c r="H440" s="58">
        <f t="shared" si="207"/>
        <v>10931.96</v>
      </c>
      <c r="I440" s="43">
        <f t="shared" si="207"/>
        <v>2021</v>
      </c>
      <c r="J440" s="58">
        <f t="shared" si="207"/>
        <v>10</v>
      </c>
      <c r="K440" s="188">
        <f t="shared" si="207"/>
        <v>1</v>
      </c>
      <c r="L440" s="58">
        <f t="shared" si="207"/>
        <v>0</v>
      </c>
      <c r="N440" s="49">
        <f t="shared" si="183"/>
        <v>0</v>
      </c>
      <c r="P440" s="44">
        <f t="shared" si="174"/>
        <v>0</v>
      </c>
      <c r="R440" s="49">
        <f t="shared" si="147"/>
        <v>0</v>
      </c>
      <c r="S440" s="49">
        <f t="shared" si="147"/>
        <v>0</v>
      </c>
      <c r="T440" s="49">
        <f t="shared" si="147"/>
        <v>0</v>
      </c>
      <c r="U440" s="49">
        <f t="shared" si="147"/>
        <v>0</v>
      </c>
      <c r="V440" s="49">
        <f t="shared" si="147"/>
        <v>0</v>
      </c>
      <c r="X440" s="49">
        <f t="shared" si="148"/>
        <v>0</v>
      </c>
      <c r="Y440" s="49">
        <f t="shared" si="148"/>
        <v>0</v>
      </c>
      <c r="Z440" s="49">
        <f t="shared" si="148"/>
        <v>0</v>
      </c>
      <c r="AA440" s="49">
        <f t="shared" si="148"/>
        <v>0</v>
      </c>
      <c r="AB440" s="49">
        <f t="shared" si="148"/>
        <v>0</v>
      </c>
      <c r="AD440" s="49">
        <f t="shared" si="184"/>
        <v>0</v>
      </c>
      <c r="AE440" s="49">
        <f t="shared" si="185"/>
        <v>0</v>
      </c>
      <c r="AF440" s="49">
        <f t="shared" si="186"/>
        <v>0</v>
      </c>
      <c r="AG440" s="49">
        <f t="shared" si="187"/>
        <v>0</v>
      </c>
      <c r="AH440" s="49">
        <f t="shared" si="188"/>
        <v>0</v>
      </c>
      <c r="AJ440" s="49">
        <f t="shared" si="175"/>
        <v>0</v>
      </c>
      <c r="AK440" s="49">
        <f t="shared" si="176"/>
        <v>0</v>
      </c>
      <c r="AL440" s="49">
        <f t="shared" si="177"/>
        <v>0</v>
      </c>
      <c r="AM440" s="49">
        <f t="shared" si="178"/>
        <v>0</v>
      </c>
      <c r="AN440" s="49">
        <f t="shared" si="179"/>
        <v>0</v>
      </c>
    </row>
    <row r="441" spans="2:40">
      <c r="B441" s="43" t="str">
        <f t="shared" si="172"/>
        <v>Asset 153</v>
      </c>
      <c r="F441" s="43" t="str">
        <f t="shared" ref="F441:L441" si="208">F193</f>
        <v>37 ICT middelen 1 (transparency)</v>
      </c>
      <c r="G441" s="43">
        <f t="shared" si="208"/>
        <v>2012</v>
      </c>
      <c r="H441" s="58">
        <f t="shared" si="208"/>
        <v>817297.73457401327</v>
      </c>
      <c r="I441" s="43">
        <f t="shared" si="208"/>
        <v>2021</v>
      </c>
      <c r="J441" s="58">
        <f t="shared" si="208"/>
        <v>5</v>
      </c>
      <c r="K441" s="188">
        <f t="shared" si="208"/>
        <v>0</v>
      </c>
      <c r="L441" s="58">
        <f t="shared" si="208"/>
        <v>0</v>
      </c>
      <c r="N441" s="49">
        <f t="shared" si="183"/>
        <v>0</v>
      </c>
      <c r="P441" s="44">
        <f t="shared" si="174"/>
        <v>0</v>
      </c>
      <c r="R441" s="49">
        <f t="shared" si="147"/>
        <v>0</v>
      </c>
      <c r="S441" s="49">
        <f t="shared" si="147"/>
        <v>0</v>
      </c>
      <c r="T441" s="49">
        <f t="shared" si="147"/>
        <v>0</v>
      </c>
      <c r="U441" s="49">
        <f t="shared" si="147"/>
        <v>0</v>
      </c>
      <c r="V441" s="49">
        <f t="shared" si="147"/>
        <v>0</v>
      </c>
      <c r="X441" s="49">
        <f t="shared" si="148"/>
        <v>0</v>
      </c>
      <c r="Y441" s="49">
        <f t="shared" si="148"/>
        <v>0</v>
      </c>
      <c r="Z441" s="49">
        <f t="shared" si="148"/>
        <v>0</v>
      </c>
      <c r="AA441" s="49">
        <f t="shared" si="148"/>
        <v>0</v>
      </c>
      <c r="AB441" s="49">
        <f t="shared" si="148"/>
        <v>0</v>
      </c>
      <c r="AD441" s="49">
        <f t="shared" si="184"/>
        <v>0</v>
      </c>
      <c r="AE441" s="49">
        <f t="shared" si="185"/>
        <v>0</v>
      </c>
      <c r="AF441" s="49">
        <f t="shared" si="186"/>
        <v>0</v>
      </c>
      <c r="AG441" s="49">
        <f t="shared" si="187"/>
        <v>0</v>
      </c>
      <c r="AH441" s="49">
        <f t="shared" si="188"/>
        <v>0</v>
      </c>
      <c r="AJ441" s="49">
        <f t="shared" si="175"/>
        <v>0</v>
      </c>
      <c r="AK441" s="49">
        <f t="shared" si="176"/>
        <v>0</v>
      </c>
      <c r="AL441" s="49">
        <f t="shared" si="177"/>
        <v>0</v>
      </c>
      <c r="AM441" s="49">
        <f t="shared" si="178"/>
        <v>0</v>
      </c>
      <c r="AN441" s="49">
        <f t="shared" si="179"/>
        <v>0</v>
      </c>
    </row>
    <row r="442" spans="2:40">
      <c r="B442" s="43" t="str">
        <f t="shared" si="172"/>
        <v>Asset 154</v>
      </c>
      <c r="F442" s="43" t="str">
        <f t="shared" ref="F442:L442" si="209">F194</f>
        <v>11 Werktuigen</v>
      </c>
      <c r="G442" s="43">
        <f t="shared" si="209"/>
        <v>2012</v>
      </c>
      <c r="H442" s="58">
        <f t="shared" si="209"/>
        <v>237528.30775638262</v>
      </c>
      <c r="I442" s="43">
        <f t="shared" si="209"/>
        <v>2021</v>
      </c>
      <c r="J442" s="58">
        <f t="shared" si="209"/>
        <v>10</v>
      </c>
      <c r="K442" s="188">
        <f t="shared" si="209"/>
        <v>1</v>
      </c>
      <c r="L442" s="58">
        <f t="shared" si="209"/>
        <v>13628.978016883706</v>
      </c>
      <c r="N442" s="49">
        <f t="shared" si="183"/>
        <v>12770.352401820033</v>
      </c>
      <c r="P442" s="44">
        <f t="shared" si="174"/>
        <v>0.5</v>
      </c>
      <c r="R442" s="49">
        <f t="shared" si="147"/>
        <v>12266.080215195336</v>
      </c>
      <c r="S442" s="49">
        <f t="shared" si="147"/>
        <v>0</v>
      </c>
      <c r="T442" s="49">
        <f t="shared" si="147"/>
        <v>0</v>
      </c>
      <c r="U442" s="49">
        <f t="shared" si="147"/>
        <v>0</v>
      </c>
      <c r="V442" s="49">
        <f t="shared" si="147"/>
        <v>0</v>
      </c>
      <c r="X442" s="49">
        <f t="shared" si="148"/>
        <v>1362.8978016883707</v>
      </c>
      <c r="Y442" s="49">
        <f t="shared" si="148"/>
        <v>0</v>
      </c>
      <c r="Z442" s="49">
        <f t="shared" si="148"/>
        <v>0</v>
      </c>
      <c r="AA442" s="49">
        <f t="shared" si="148"/>
        <v>0</v>
      </c>
      <c r="AB442" s="49">
        <f t="shared" si="148"/>
        <v>0</v>
      </c>
      <c r="AD442" s="49">
        <f t="shared" si="184"/>
        <v>-4.5474735088646412E-13</v>
      </c>
      <c r="AE442" s="49">
        <f t="shared" si="185"/>
        <v>0</v>
      </c>
      <c r="AF442" s="49">
        <f t="shared" si="186"/>
        <v>0</v>
      </c>
      <c r="AG442" s="49">
        <f t="shared" si="187"/>
        <v>0</v>
      </c>
      <c r="AH442" s="49">
        <f t="shared" si="188"/>
        <v>0</v>
      </c>
      <c r="AJ442" s="49">
        <f t="shared" si="175"/>
        <v>12770.352401820033</v>
      </c>
      <c r="AK442" s="49">
        <f t="shared" si="176"/>
        <v>0</v>
      </c>
      <c r="AL442" s="49">
        <f t="shared" si="177"/>
        <v>0</v>
      </c>
      <c r="AM442" s="49">
        <f t="shared" si="178"/>
        <v>0</v>
      </c>
      <c r="AN442" s="49">
        <f t="shared" si="179"/>
        <v>0</v>
      </c>
    </row>
    <row r="443" spans="2:40">
      <c r="B443" s="43" t="str">
        <f t="shared" si="172"/>
        <v>Asset 155</v>
      </c>
      <c r="F443" s="43" t="str">
        <f t="shared" ref="F443:L443" si="210">F195</f>
        <v>13 Aanhangwagens</v>
      </c>
      <c r="G443" s="43">
        <f t="shared" si="210"/>
        <v>2012</v>
      </c>
      <c r="H443" s="58">
        <f t="shared" si="210"/>
        <v>20000</v>
      </c>
      <c r="I443" s="43">
        <f t="shared" si="210"/>
        <v>2021</v>
      </c>
      <c r="J443" s="58">
        <f t="shared" si="210"/>
        <v>10</v>
      </c>
      <c r="K443" s="188">
        <f t="shared" si="210"/>
        <v>1</v>
      </c>
      <c r="L443" s="58">
        <f t="shared" si="210"/>
        <v>1147.5666328463135</v>
      </c>
      <c r="N443" s="49">
        <f t="shared" si="183"/>
        <v>1075.2699349769957</v>
      </c>
      <c r="P443" s="44">
        <f t="shared" si="174"/>
        <v>0.5</v>
      </c>
      <c r="R443" s="49">
        <f t="shared" si="147"/>
        <v>1032.8099695616822</v>
      </c>
      <c r="S443" s="49">
        <f t="shared" si="147"/>
        <v>0</v>
      </c>
      <c r="T443" s="49">
        <f t="shared" si="147"/>
        <v>0</v>
      </c>
      <c r="U443" s="49">
        <f t="shared" si="147"/>
        <v>0</v>
      </c>
      <c r="V443" s="49">
        <f t="shared" si="147"/>
        <v>0</v>
      </c>
      <c r="X443" s="49">
        <f t="shared" si="148"/>
        <v>114.75666328463136</v>
      </c>
      <c r="Y443" s="49">
        <f t="shared" si="148"/>
        <v>0</v>
      </c>
      <c r="Z443" s="49">
        <f t="shared" si="148"/>
        <v>0</v>
      </c>
      <c r="AA443" s="49">
        <f t="shared" si="148"/>
        <v>0</v>
      </c>
      <c r="AB443" s="49">
        <f t="shared" si="148"/>
        <v>0</v>
      </c>
      <c r="AD443" s="49">
        <f t="shared" si="184"/>
        <v>-9.9475983006414026E-14</v>
      </c>
      <c r="AE443" s="49">
        <f t="shared" si="185"/>
        <v>0</v>
      </c>
      <c r="AF443" s="49">
        <f t="shared" si="186"/>
        <v>0</v>
      </c>
      <c r="AG443" s="49">
        <f t="shared" si="187"/>
        <v>0</v>
      </c>
      <c r="AH443" s="49">
        <f t="shared" si="188"/>
        <v>0</v>
      </c>
      <c r="AJ443" s="49">
        <f t="shared" si="175"/>
        <v>1075.2699349769957</v>
      </c>
      <c r="AK443" s="49">
        <f t="shared" si="176"/>
        <v>0</v>
      </c>
      <c r="AL443" s="49">
        <f t="shared" si="177"/>
        <v>0</v>
      </c>
      <c r="AM443" s="49">
        <f t="shared" si="178"/>
        <v>0</v>
      </c>
      <c r="AN443" s="49">
        <f t="shared" si="179"/>
        <v>0</v>
      </c>
    </row>
    <row r="444" spans="2:40">
      <c r="B444" s="43" t="str">
        <f t="shared" si="172"/>
        <v>Asset 156</v>
      </c>
      <c r="F444" s="43" t="str">
        <f t="shared" ref="F444:L444" si="211">F196</f>
        <v>20 Kantoorgebouwen</v>
      </c>
      <c r="G444" s="43">
        <f t="shared" si="211"/>
        <v>2012</v>
      </c>
      <c r="H444" s="58">
        <f t="shared" si="211"/>
        <v>701380.67501665035</v>
      </c>
      <c r="I444" s="43">
        <f t="shared" si="211"/>
        <v>2021</v>
      </c>
      <c r="J444" s="58">
        <f t="shared" si="211"/>
        <v>30</v>
      </c>
      <c r="K444" s="188">
        <f t="shared" si="211"/>
        <v>0</v>
      </c>
      <c r="L444" s="58">
        <f t="shared" si="211"/>
        <v>550002.05737442558</v>
      </c>
      <c r="N444" s="49">
        <f t="shared" si="183"/>
        <v>550002.05737442558</v>
      </c>
      <c r="P444" s="44">
        <f t="shared" si="174"/>
        <v>20.5</v>
      </c>
      <c r="R444" s="49">
        <f t="shared" si="147"/>
        <v>31390.361323320878</v>
      </c>
      <c r="S444" s="49">
        <f t="shared" si="147"/>
        <v>29399.753044281017</v>
      </c>
      <c r="T444" s="49">
        <f t="shared" si="147"/>
        <v>27535.378460985143</v>
      </c>
      <c r="U444" s="49">
        <f t="shared" si="147"/>
        <v>25789.23250980072</v>
      </c>
      <c r="V444" s="49">
        <f t="shared" si="147"/>
        <v>24153.817765276774</v>
      </c>
      <c r="X444" s="49">
        <f t="shared" si="148"/>
        <v>2682.9368652411008</v>
      </c>
      <c r="Y444" s="49">
        <f t="shared" si="148"/>
        <v>2682.9368652411008</v>
      </c>
      <c r="Z444" s="49">
        <f t="shared" si="148"/>
        <v>2682.9368652411008</v>
      </c>
      <c r="AA444" s="49">
        <f t="shared" si="148"/>
        <v>2682.9368652411008</v>
      </c>
      <c r="AB444" s="49">
        <f t="shared" si="148"/>
        <v>2682.9368652411008</v>
      </c>
      <c r="AD444" s="49">
        <f t="shared" si="184"/>
        <v>515928.7591858636</v>
      </c>
      <c r="AE444" s="49">
        <f t="shared" si="185"/>
        <v>483846.06927634147</v>
      </c>
      <c r="AF444" s="49">
        <f t="shared" si="186"/>
        <v>453627.75395011524</v>
      </c>
      <c r="AG444" s="49">
        <f t="shared" si="187"/>
        <v>425155.58457507344</v>
      </c>
      <c r="AH444" s="49">
        <f t="shared" si="188"/>
        <v>398318.82994455559</v>
      </c>
      <c r="AJ444" s="49">
        <f t="shared" si="175"/>
        <v>50067.089723323748</v>
      </c>
      <c r="AK444" s="49">
        <f t="shared" si="176"/>
        <v>46598.071987812364</v>
      </c>
      <c r="AL444" s="49">
        <f t="shared" si="177"/>
        <v>43827.147944729702</v>
      </c>
      <c r="AM444" s="49">
        <f t="shared" si="178"/>
        <v>41226.83691229402</v>
      </c>
      <c r="AN444" s="49">
        <f t="shared" si="179"/>
        <v>38786.319528854539</v>
      </c>
    </row>
    <row r="445" spans="2:40">
      <c r="B445" s="43" t="str">
        <f t="shared" si="172"/>
        <v>Asset 157</v>
      </c>
      <c r="F445" s="43" t="str">
        <f t="shared" ref="F445:L445" si="212">F197</f>
        <v>10 Gereedschap</v>
      </c>
      <c r="G445" s="43">
        <f t="shared" si="212"/>
        <v>2012</v>
      </c>
      <c r="H445" s="58">
        <f t="shared" si="212"/>
        <v>102288.01000000001</v>
      </c>
      <c r="I445" s="43">
        <f t="shared" si="212"/>
        <v>2021</v>
      </c>
      <c r="J445" s="58">
        <f t="shared" si="212"/>
        <v>10</v>
      </c>
      <c r="K445" s="188">
        <f t="shared" si="212"/>
        <v>1</v>
      </c>
      <c r="L445" s="58">
        <f t="shared" si="212"/>
        <v>5869.1153608124732</v>
      </c>
      <c r="N445" s="49">
        <f t="shared" si="183"/>
        <v>5499.3610930812874</v>
      </c>
      <c r="P445" s="44">
        <f t="shared" si="174"/>
        <v>0.5</v>
      </c>
      <c r="R445" s="49">
        <f t="shared" ref="R445:V495" si="213">IF(R$287&lt;=$G445+$J445,VDB($L445*(1-$F$25),0,$P445,R$287-2022,MIN(R$287-2021,$P445),$F$22),0)</f>
        <v>5282.2038247312257</v>
      </c>
      <c r="S445" s="49">
        <f t="shared" si="213"/>
        <v>0</v>
      </c>
      <c r="T445" s="49">
        <f t="shared" si="213"/>
        <v>0</v>
      </c>
      <c r="U445" s="49">
        <f t="shared" si="213"/>
        <v>0</v>
      </c>
      <c r="V445" s="49">
        <f t="shared" si="213"/>
        <v>0</v>
      </c>
      <c r="X445" s="49">
        <f t="shared" ref="X445:AB495" si="214">IF(X$287&lt;=$G445+$J445,VDB($L445*$F$25,0,$P445,X$287-2022,MIN(X$287-2021,$P445),1),0)</f>
        <v>586.91153608124739</v>
      </c>
      <c r="Y445" s="49">
        <f t="shared" si="214"/>
        <v>0</v>
      </c>
      <c r="Z445" s="49">
        <f t="shared" si="214"/>
        <v>0</v>
      </c>
      <c r="AA445" s="49">
        <f t="shared" si="214"/>
        <v>0</v>
      </c>
      <c r="AB445" s="49">
        <f t="shared" si="214"/>
        <v>0</v>
      </c>
      <c r="AD445" s="49">
        <f t="shared" si="184"/>
        <v>1.1368683772161603E-13</v>
      </c>
      <c r="AE445" s="49">
        <f t="shared" si="185"/>
        <v>0</v>
      </c>
      <c r="AF445" s="49">
        <f t="shared" si="186"/>
        <v>0</v>
      </c>
      <c r="AG445" s="49">
        <f t="shared" si="187"/>
        <v>0</v>
      </c>
      <c r="AH445" s="49">
        <f t="shared" si="188"/>
        <v>0</v>
      </c>
      <c r="AJ445" s="49">
        <f t="shared" si="175"/>
        <v>5499.3610930812874</v>
      </c>
      <c r="AK445" s="49">
        <f t="shared" si="176"/>
        <v>0</v>
      </c>
      <c r="AL445" s="49">
        <f t="shared" si="177"/>
        <v>0</v>
      </c>
      <c r="AM445" s="49">
        <f t="shared" si="178"/>
        <v>0</v>
      </c>
      <c r="AN445" s="49">
        <f t="shared" si="179"/>
        <v>0</v>
      </c>
    </row>
    <row r="446" spans="2:40">
      <c r="B446" s="43" t="str">
        <f t="shared" si="172"/>
        <v>Asset 158</v>
      </c>
      <c r="F446" s="43" t="str">
        <f t="shared" ref="F446:L446" si="215">F198</f>
        <v>09 Bedrijfsinventaris</v>
      </c>
      <c r="G446" s="43">
        <f t="shared" si="215"/>
        <v>2012</v>
      </c>
      <c r="H446" s="58">
        <f t="shared" si="215"/>
        <v>321753.96830222307</v>
      </c>
      <c r="I446" s="43">
        <f t="shared" si="215"/>
        <v>2021</v>
      </c>
      <c r="J446" s="58">
        <f t="shared" si="215"/>
        <v>10</v>
      </c>
      <c r="K446" s="188">
        <f t="shared" si="215"/>
        <v>1</v>
      </c>
      <c r="L446" s="58">
        <f t="shared" si="215"/>
        <v>18461.705900476001</v>
      </c>
      <c r="N446" s="49">
        <f t="shared" si="183"/>
        <v>17298.618428746013</v>
      </c>
      <c r="P446" s="44">
        <f t="shared" si="174"/>
        <v>0.5</v>
      </c>
      <c r="R446" s="49">
        <f t="shared" si="213"/>
        <v>16615.5353104284</v>
      </c>
      <c r="S446" s="49">
        <f t="shared" si="213"/>
        <v>0</v>
      </c>
      <c r="T446" s="49">
        <f t="shared" si="213"/>
        <v>0</v>
      </c>
      <c r="U446" s="49">
        <f t="shared" si="213"/>
        <v>0</v>
      </c>
      <c r="V446" s="49">
        <f t="shared" si="213"/>
        <v>0</v>
      </c>
      <c r="X446" s="49">
        <f t="shared" si="214"/>
        <v>1846.1705900476002</v>
      </c>
      <c r="Y446" s="49">
        <f t="shared" si="214"/>
        <v>0</v>
      </c>
      <c r="Z446" s="49">
        <f t="shared" si="214"/>
        <v>0</v>
      </c>
      <c r="AA446" s="49">
        <f t="shared" si="214"/>
        <v>0</v>
      </c>
      <c r="AB446" s="49">
        <f t="shared" si="214"/>
        <v>0</v>
      </c>
      <c r="AD446" s="49">
        <f t="shared" si="184"/>
        <v>6.8212102632969618E-13</v>
      </c>
      <c r="AE446" s="49">
        <f t="shared" si="185"/>
        <v>0</v>
      </c>
      <c r="AF446" s="49">
        <f t="shared" si="186"/>
        <v>0</v>
      </c>
      <c r="AG446" s="49">
        <f t="shared" si="187"/>
        <v>0</v>
      </c>
      <c r="AH446" s="49">
        <f t="shared" si="188"/>
        <v>0</v>
      </c>
      <c r="AJ446" s="49">
        <f t="shared" si="175"/>
        <v>17298.618428746013</v>
      </c>
      <c r="AK446" s="49">
        <f t="shared" si="176"/>
        <v>0</v>
      </c>
      <c r="AL446" s="49">
        <f t="shared" si="177"/>
        <v>0</v>
      </c>
      <c r="AM446" s="49">
        <f t="shared" si="178"/>
        <v>0</v>
      </c>
      <c r="AN446" s="49">
        <f t="shared" si="179"/>
        <v>0</v>
      </c>
    </row>
    <row r="447" spans="2:40">
      <c r="B447" s="43" t="str">
        <f t="shared" si="172"/>
        <v>Asset 159</v>
      </c>
      <c r="F447" s="43" t="str">
        <f t="shared" ref="F447:L447" si="216">F199</f>
        <v>14 Overig rollend materieel</v>
      </c>
      <c r="G447" s="43">
        <f t="shared" si="216"/>
        <v>2012</v>
      </c>
      <c r="H447" s="58">
        <f t="shared" si="216"/>
        <v>341738.83030935976</v>
      </c>
      <c r="I447" s="43">
        <f t="shared" si="216"/>
        <v>2021</v>
      </c>
      <c r="J447" s="58">
        <f t="shared" si="216"/>
        <v>10</v>
      </c>
      <c r="K447" s="188">
        <f t="shared" si="216"/>
        <v>1</v>
      </c>
      <c r="L447" s="58">
        <f t="shared" si="216"/>
        <v>19608.403940547396</v>
      </c>
      <c r="N447" s="49">
        <f t="shared" si="183"/>
        <v>18373.074492292912</v>
      </c>
      <c r="P447" s="44">
        <f t="shared" si="174"/>
        <v>0.5</v>
      </c>
      <c r="R447" s="49">
        <f t="shared" si="213"/>
        <v>17647.563546492656</v>
      </c>
      <c r="S447" s="49">
        <f t="shared" si="213"/>
        <v>0</v>
      </c>
      <c r="T447" s="49">
        <f t="shared" si="213"/>
        <v>0</v>
      </c>
      <c r="U447" s="49">
        <f t="shared" si="213"/>
        <v>0</v>
      </c>
      <c r="V447" s="49">
        <f t="shared" si="213"/>
        <v>0</v>
      </c>
      <c r="X447" s="49">
        <f t="shared" si="214"/>
        <v>1960.8403940547396</v>
      </c>
      <c r="Y447" s="49">
        <f t="shared" si="214"/>
        <v>0</v>
      </c>
      <c r="Z447" s="49">
        <f t="shared" si="214"/>
        <v>0</v>
      </c>
      <c r="AA447" s="49">
        <f t="shared" si="214"/>
        <v>0</v>
      </c>
      <c r="AB447" s="49">
        <f t="shared" si="214"/>
        <v>0</v>
      </c>
      <c r="AD447" s="49">
        <f t="shared" si="184"/>
        <v>0</v>
      </c>
      <c r="AE447" s="49">
        <f t="shared" si="185"/>
        <v>0</v>
      </c>
      <c r="AF447" s="49">
        <f t="shared" si="186"/>
        <v>0</v>
      </c>
      <c r="AG447" s="49">
        <f t="shared" si="187"/>
        <v>0</v>
      </c>
      <c r="AH447" s="49">
        <f t="shared" si="188"/>
        <v>0</v>
      </c>
      <c r="AJ447" s="49">
        <f t="shared" si="175"/>
        <v>18373.074492292912</v>
      </c>
      <c r="AK447" s="49">
        <f t="shared" si="176"/>
        <v>0</v>
      </c>
      <c r="AL447" s="49">
        <f t="shared" si="177"/>
        <v>0</v>
      </c>
      <c r="AM447" s="49">
        <f t="shared" si="178"/>
        <v>0</v>
      </c>
      <c r="AN447" s="49">
        <f t="shared" si="179"/>
        <v>0</v>
      </c>
    </row>
    <row r="448" spans="2:40">
      <c r="B448" s="43" t="str">
        <f t="shared" si="172"/>
        <v>Asset 160</v>
      </c>
      <c r="F448" s="43" t="str">
        <f t="shared" ref="F448:L448" si="217">F200</f>
        <v>08 Inrichting gebouwen</v>
      </c>
      <c r="G448" s="43">
        <f t="shared" si="217"/>
        <v>2012</v>
      </c>
      <c r="H448" s="58">
        <f t="shared" si="217"/>
        <v>737114.28212566266</v>
      </c>
      <c r="I448" s="43">
        <f t="shared" si="217"/>
        <v>2021</v>
      </c>
      <c r="J448" s="58">
        <f t="shared" si="217"/>
        <v>10</v>
      </c>
      <c r="K448" s="188">
        <f t="shared" si="217"/>
        <v>0</v>
      </c>
      <c r="L448" s="58">
        <f t="shared" si="217"/>
        <v>42294.387738093574</v>
      </c>
      <c r="N448" s="49">
        <f t="shared" si="183"/>
        <v>42294.387738093574</v>
      </c>
      <c r="P448" s="44">
        <f t="shared" si="174"/>
        <v>0.5</v>
      </c>
      <c r="R448" s="49">
        <f t="shared" si="213"/>
        <v>38064.948964284216</v>
      </c>
      <c r="S448" s="49">
        <f t="shared" si="213"/>
        <v>0</v>
      </c>
      <c r="T448" s="49">
        <f t="shared" si="213"/>
        <v>0</v>
      </c>
      <c r="U448" s="49">
        <f t="shared" si="213"/>
        <v>0</v>
      </c>
      <c r="V448" s="49">
        <f t="shared" si="213"/>
        <v>0</v>
      </c>
      <c r="X448" s="49">
        <f t="shared" si="214"/>
        <v>4229.4387738093574</v>
      </c>
      <c r="Y448" s="49">
        <f t="shared" si="214"/>
        <v>0</v>
      </c>
      <c r="Z448" s="49">
        <f t="shared" si="214"/>
        <v>0</v>
      </c>
      <c r="AA448" s="49">
        <f t="shared" si="214"/>
        <v>0</v>
      </c>
      <c r="AB448" s="49">
        <f t="shared" si="214"/>
        <v>0</v>
      </c>
      <c r="AD448" s="49">
        <f t="shared" si="184"/>
        <v>0</v>
      </c>
      <c r="AE448" s="49">
        <f t="shared" si="185"/>
        <v>0</v>
      </c>
      <c r="AF448" s="49">
        <f t="shared" si="186"/>
        <v>0</v>
      </c>
      <c r="AG448" s="49">
        <f t="shared" si="187"/>
        <v>0</v>
      </c>
      <c r="AH448" s="49">
        <f t="shared" si="188"/>
        <v>0</v>
      </c>
      <c r="AJ448" s="49">
        <f t="shared" si="175"/>
        <v>42294.387738093574</v>
      </c>
      <c r="AK448" s="49">
        <f t="shared" si="176"/>
        <v>0</v>
      </c>
      <c r="AL448" s="49">
        <f t="shared" si="177"/>
        <v>0</v>
      </c>
      <c r="AM448" s="49">
        <f t="shared" si="178"/>
        <v>0</v>
      </c>
      <c r="AN448" s="49">
        <f t="shared" si="179"/>
        <v>0</v>
      </c>
    </row>
    <row r="449" spans="2:40">
      <c r="B449" s="43" t="str">
        <f t="shared" si="172"/>
        <v>Asset 161</v>
      </c>
      <c r="F449" s="43" t="str">
        <f t="shared" ref="F449:L449" si="218">F201</f>
        <v>11 Werktuigen</v>
      </c>
      <c r="G449" s="43">
        <f t="shared" si="218"/>
        <v>2013</v>
      </c>
      <c r="H449" s="58">
        <f t="shared" si="218"/>
        <v>5005059.40396435</v>
      </c>
      <c r="I449" s="43">
        <f t="shared" si="218"/>
        <v>2021</v>
      </c>
      <c r="J449" s="58">
        <f t="shared" si="218"/>
        <v>10</v>
      </c>
      <c r="K449" s="188">
        <f t="shared" si="218"/>
        <v>1</v>
      </c>
      <c r="L449" s="58">
        <f t="shared" si="218"/>
        <v>842175.83099752699</v>
      </c>
      <c r="N449" s="49">
        <f t="shared" si="183"/>
        <v>789118.75364468282</v>
      </c>
      <c r="P449" s="44">
        <f t="shared" si="174"/>
        <v>1.5</v>
      </c>
      <c r="R449" s="49">
        <f t="shared" si="213"/>
        <v>656897.14817807113</v>
      </c>
      <c r="S449" s="49">
        <f t="shared" si="213"/>
        <v>101061.0997197032</v>
      </c>
      <c r="T449" s="49">
        <f t="shared" si="213"/>
        <v>0</v>
      </c>
      <c r="U449" s="49">
        <f t="shared" si="213"/>
        <v>0</v>
      </c>
      <c r="V449" s="49">
        <f t="shared" si="213"/>
        <v>0</v>
      </c>
      <c r="X449" s="49">
        <f t="shared" si="214"/>
        <v>56145.055399835139</v>
      </c>
      <c r="Y449" s="49">
        <f t="shared" si="214"/>
        <v>28072.527699917569</v>
      </c>
      <c r="Z449" s="49">
        <f t="shared" si="214"/>
        <v>0</v>
      </c>
      <c r="AA449" s="49">
        <f t="shared" si="214"/>
        <v>0</v>
      </c>
      <c r="AB449" s="49">
        <f t="shared" si="214"/>
        <v>0</v>
      </c>
      <c r="AD449" s="49">
        <f t="shared" si="184"/>
        <v>129133.62741962072</v>
      </c>
      <c r="AE449" s="49">
        <f t="shared" si="185"/>
        <v>-4.3655745685100555E-11</v>
      </c>
      <c r="AF449" s="49">
        <f t="shared" si="186"/>
        <v>0</v>
      </c>
      <c r="AG449" s="49">
        <f t="shared" si="187"/>
        <v>0</v>
      </c>
      <c r="AH449" s="49">
        <f t="shared" si="188"/>
        <v>0</v>
      </c>
      <c r="AJ449" s="49">
        <f t="shared" si="175"/>
        <v>671871.48922815581</v>
      </c>
      <c r="AK449" s="49">
        <f t="shared" si="176"/>
        <v>120998.20889218466</v>
      </c>
      <c r="AL449" s="49">
        <f t="shared" si="177"/>
        <v>0</v>
      </c>
      <c r="AM449" s="49">
        <f t="shared" si="178"/>
        <v>0</v>
      </c>
      <c r="AN449" s="49">
        <f t="shared" si="179"/>
        <v>0</v>
      </c>
    </row>
    <row r="450" spans="2:40">
      <c r="B450" s="43" t="str">
        <f t="shared" si="172"/>
        <v>Asset 162</v>
      </c>
      <c r="F450" s="43" t="str">
        <f t="shared" ref="F450:L450" si="219">F202</f>
        <v>20 Kantoorgebouwen</v>
      </c>
      <c r="G450" s="43">
        <f t="shared" si="219"/>
        <v>2013</v>
      </c>
      <c r="H450" s="58">
        <f t="shared" si="219"/>
        <v>1237826.9064472313</v>
      </c>
      <c r="I450" s="43">
        <f t="shared" si="219"/>
        <v>2021</v>
      </c>
      <c r="J450" s="58">
        <f t="shared" si="219"/>
        <v>30</v>
      </c>
      <c r="K450" s="188">
        <f t="shared" si="219"/>
        <v>0</v>
      </c>
      <c r="L450" s="58">
        <f t="shared" si="219"/>
        <v>995129.04477620148</v>
      </c>
      <c r="N450" s="49">
        <f t="shared" si="183"/>
        <v>995129.04477620148</v>
      </c>
      <c r="P450" s="44">
        <f t="shared" si="174"/>
        <v>21.5</v>
      </c>
      <c r="R450" s="49">
        <f t="shared" si="213"/>
        <v>54153.534064565385</v>
      </c>
      <c r="S450" s="49">
        <f t="shared" si="213"/>
        <v>50879.134330428868</v>
      </c>
      <c r="T450" s="49">
        <f t="shared" si="213"/>
        <v>47802.721556961071</v>
      </c>
      <c r="U450" s="49">
        <f t="shared" si="213"/>
        <v>44912.324439563425</v>
      </c>
      <c r="V450" s="49">
        <f t="shared" si="213"/>
        <v>42196.695519961919</v>
      </c>
      <c r="X450" s="49">
        <f t="shared" si="214"/>
        <v>4628.5071850055883</v>
      </c>
      <c r="Y450" s="49">
        <f t="shared" si="214"/>
        <v>4628.5071850055883</v>
      </c>
      <c r="Z450" s="49">
        <f t="shared" si="214"/>
        <v>4628.5071850055883</v>
      </c>
      <c r="AA450" s="49">
        <f t="shared" si="214"/>
        <v>4628.5071850055883</v>
      </c>
      <c r="AB450" s="49">
        <f t="shared" si="214"/>
        <v>4628.5071850055883</v>
      </c>
      <c r="AD450" s="49">
        <f t="shared" si="184"/>
        <v>936347.00352663046</v>
      </c>
      <c r="AE450" s="49">
        <f t="shared" si="185"/>
        <v>880839.36201119598</v>
      </c>
      <c r="AF450" s="49">
        <f t="shared" si="186"/>
        <v>828408.13326922932</v>
      </c>
      <c r="AG450" s="49">
        <f t="shared" si="187"/>
        <v>778867.3016446603</v>
      </c>
      <c r="AH450" s="49">
        <f t="shared" si="188"/>
        <v>732042.09893969283</v>
      </c>
      <c r="AJ450" s="49">
        <f t="shared" si="175"/>
        <v>87808.798358896514</v>
      </c>
      <c r="AK450" s="49">
        <f t="shared" si="176"/>
        <v>81932.822375770338</v>
      </c>
      <c r="AL450" s="49">
        <f t="shared" si="177"/>
        <v>77283.472740043537</v>
      </c>
      <c r="AM450" s="49">
        <f t="shared" si="178"/>
        <v>72906.850673908819</v>
      </c>
      <c r="AN450" s="49">
        <f t="shared" si="179"/>
        <v>68786.465673158295</v>
      </c>
    </row>
    <row r="451" spans="2:40">
      <c r="B451" s="43" t="str">
        <f t="shared" si="172"/>
        <v>Asset 163</v>
      </c>
      <c r="F451" s="43" t="str">
        <f t="shared" ref="F451:L451" si="220">F203</f>
        <v>09 Bedrijfsinventaris</v>
      </c>
      <c r="G451" s="43">
        <f t="shared" si="220"/>
        <v>2013</v>
      </c>
      <c r="H451" s="58">
        <f t="shared" si="220"/>
        <v>292655.61609467439</v>
      </c>
      <c r="I451" s="43">
        <f t="shared" si="220"/>
        <v>2021</v>
      </c>
      <c r="J451" s="58">
        <f t="shared" si="220"/>
        <v>10</v>
      </c>
      <c r="K451" s="188">
        <f t="shared" si="220"/>
        <v>1</v>
      </c>
      <c r="L451" s="58">
        <f t="shared" si="220"/>
        <v>49243.668613684422</v>
      </c>
      <c r="N451" s="49">
        <f t="shared" si="183"/>
        <v>46141.317491022302</v>
      </c>
      <c r="P451" s="44">
        <f t="shared" si="174"/>
        <v>1.5</v>
      </c>
      <c r="R451" s="49">
        <f t="shared" si="213"/>
        <v>38410.061518673851</v>
      </c>
      <c r="S451" s="49">
        <f t="shared" si="213"/>
        <v>5909.2402336421292</v>
      </c>
      <c r="T451" s="49">
        <f t="shared" si="213"/>
        <v>0</v>
      </c>
      <c r="U451" s="49">
        <f t="shared" si="213"/>
        <v>0</v>
      </c>
      <c r="V451" s="49">
        <f t="shared" si="213"/>
        <v>0</v>
      </c>
      <c r="X451" s="49">
        <f t="shared" si="214"/>
        <v>3282.9112409122949</v>
      </c>
      <c r="Y451" s="49">
        <f t="shared" si="214"/>
        <v>1641.4556204561475</v>
      </c>
      <c r="Z451" s="49">
        <f t="shared" si="214"/>
        <v>0</v>
      </c>
      <c r="AA451" s="49">
        <f t="shared" si="214"/>
        <v>0</v>
      </c>
      <c r="AB451" s="49">
        <f t="shared" si="214"/>
        <v>0</v>
      </c>
      <c r="AD451" s="49">
        <f t="shared" si="184"/>
        <v>7550.695854098276</v>
      </c>
      <c r="AE451" s="49">
        <f t="shared" si="185"/>
        <v>-6.8212102632969618E-13</v>
      </c>
      <c r="AF451" s="49">
        <f t="shared" si="186"/>
        <v>0</v>
      </c>
      <c r="AG451" s="49">
        <f t="shared" si="187"/>
        <v>0</v>
      </c>
      <c r="AH451" s="49">
        <f t="shared" si="188"/>
        <v>0</v>
      </c>
      <c r="AJ451" s="49">
        <f t="shared" si="175"/>
        <v>39285.640538206215</v>
      </c>
      <c r="AK451" s="49">
        <f t="shared" si="176"/>
        <v>7075.0020152900861</v>
      </c>
      <c r="AL451" s="49">
        <f t="shared" si="177"/>
        <v>0</v>
      </c>
      <c r="AM451" s="49">
        <f t="shared" si="178"/>
        <v>0</v>
      </c>
      <c r="AN451" s="49">
        <f t="shared" si="179"/>
        <v>0</v>
      </c>
    </row>
    <row r="452" spans="2:40">
      <c r="B452" s="43" t="str">
        <f t="shared" si="172"/>
        <v>Asset 164</v>
      </c>
      <c r="F452" s="43" t="str">
        <f t="shared" ref="F452:L452" si="221">F204</f>
        <v>20 Kantoorgebouwen</v>
      </c>
      <c r="G452" s="43">
        <f t="shared" si="221"/>
        <v>2014</v>
      </c>
      <c r="H452" s="58">
        <f t="shared" si="221"/>
        <v>4973944.9463818558</v>
      </c>
      <c r="I452" s="43">
        <f t="shared" si="221"/>
        <v>2021</v>
      </c>
      <c r="J452" s="58">
        <f t="shared" si="221"/>
        <v>30</v>
      </c>
      <c r="K452" s="188">
        <f t="shared" si="221"/>
        <v>0</v>
      </c>
      <c r="L452" s="58">
        <f t="shared" si="221"/>
        <v>4070721.5945336674</v>
      </c>
      <c r="N452" s="49">
        <f t="shared" si="183"/>
        <v>4070721.5945336674</v>
      </c>
      <c r="P452" s="44">
        <f t="shared" si="174"/>
        <v>22.5</v>
      </c>
      <c r="R452" s="49">
        <f t="shared" si="213"/>
        <v>211677.52291575071</v>
      </c>
      <c r="S452" s="49">
        <f t="shared" si="213"/>
        <v>199447.266036174</v>
      </c>
      <c r="T452" s="49">
        <f t="shared" si="213"/>
        <v>187923.64622075064</v>
      </c>
      <c r="U452" s="49">
        <f t="shared" si="213"/>
        <v>177065.83555021835</v>
      </c>
      <c r="V452" s="49">
        <f t="shared" si="213"/>
        <v>166835.3650517613</v>
      </c>
      <c r="X452" s="49">
        <f t="shared" si="214"/>
        <v>18092.09597570519</v>
      </c>
      <c r="Y452" s="49">
        <f t="shared" si="214"/>
        <v>18092.09597570519</v>
      </c>
      <c r="Z452" s="49">
        <f t="shared" si="214"/>
        <v>18092.09597570519</v>
      </c>
      <c r="AA452" s="49">
        <f t="shared" si="214"/>
        <v>18092.09597570519</v>
      </c>
      <c r="AB452" s="49">
        <f t="shared" si="214"/>
        <v>18092.09597570519</v>
      </c>
      <c r="AD452" s="49">
        <f t="shared" si="184"/>
        <v>3840951.9756422117</v>
      </c>
      <c r="AE452" s="49">
        <f t="shared" si="185"/>
        <v>3623412.613630333</v>
      </c>
      <c r="AF452" s="49">
        <f t="shared" si="186"/>
        <v>3417396.8714338774</v>
      </c>
      <c r="AG452" s="49">
        <f t="shared" si="187"/>
        <v>3222238.9399079541</v>
      </c>
      <c r="AH452" s="49">
        <f t="shared" si="188"/>
        <v>3037311.4788804874</v>
      </c>
      <c r="AJ452" s="49">
        <f t="shared" si="175"/>
        <v>348839.13013636449</v>
      </c>
      <c r="AK452" s="49">
        <f t="shared" si="176"/>
        <v>326241.74042078917</v>
      </c>
      <c r="AL452" s="49">
        <f t="shared" si="177"/>
        <v>308537.64833947213</v>
      </c>
      <c r="AM452" s="49">
        <f t="shared" si="178"/>
        <v>291825.09972316213</v>
      </c>
      <c r="AN452" s="49">
        <f t="shared" si="179"/>
        <v>276046.80539388111</v>
      </c>
    </row>
    <row r="453" spans="2:40">
      <c r="B453" s="43" t="str">
        <f t="shared" si="172"/>
        <v>Asset 165</v>
      </c>
      <c r="F453" s="43" t="str">
        <f t="shared" ref="F453:L453" si="222">F205</f>
        <v>09 Bedrijfsinventaris</v>
      </c>
      <c r="G453" s="43">
        <f t="shared" si="222"/>
        <v>2014</v>
      </c>
      <c r="H453" s="58">
        <f t="shared" si="222"/>
        <v>332895.6529706032</v>
      </c>
      <c r="I453" s="43">
        <f t="shared" si="222"/>
        <v>2021</v>
      </c>
      <c r="J453" s="58">
        <f t="shared" si="222"/>
        <v>10</v>
      </c>
      <c r="K453" s="188">
        <f t="shared" si="222"/>
        <v>1</v>
      </c>
      <c r="L453" s="58">
        <f t="shared" si="222"/>
        <v>90814.939173486709</v>
      </c>
      <c r="N453" s="49">
        <f t="shared" si="183"/>
        <v>85093.598005557054</v>
      </c>
      <c r="P453" s="44">
        <f t="shared" si="174"/>
        <v>2.5</v>
      </c>
      <c r="R453" s="49">
        <f t="shared" si="213"/>
        <v>42501.391533191789</v>
      </c>
      <c r="S453" s="49">
        <f t="shared" si="213"/>
        <v>26154.70248196417</v>
      </c>
      <c r="T453" s="49">
        <f t="shared" si="213"/>
        <v>13077.351240982085</v>
      </c>
      <c r="U453" s="49">
        <f t="shared" si="213"/>
        <v>0</v>
      </c>
      <c r="V453" s="49">
        <f t="shared" si="213"/>
        <v>0</v>
      </c>
      <c r="X453" s="49">
        <f t="shared" si="214"/>
        <v>3632.5975669394684</v>
      </c>
      <c r="Y453" s="49">
        <f t="shared" si="214"/>
        <v>3632.5975669394684</v>
      </c>
      <c r="Z453" s="49">
        <f t="shared" si="214"/>
        <v>1816.2987834697342</v>
      </c>
      <c r="AA453" s="49">
        <f t="shared" si="214"/>
        <v>0</v>
      </c>
      <c r="AB453" s="49">
        <f t="shared" si="214"/>
        <v>0</v>
      </c>
      <c r="AD453" s="49">
        <f t="shared" si="184"/>
        <v>44680.950073355452</v>
      </c>
      <c r="AE453" s="49">
        <f t="shared" si="185"/>
        <v>14893.650024451814</v>
      </c>
      <c r="AF453" s="49">
        <f t="shared" si="186"/>
        <v>-5.4569682106375694E-12</v>
      </c>
      <c r="AG453" s="49">
        <f t="shared" si="187"/>
        <v>0</v>
      </c>
      <c r="AH453" s="49">
        <f t="shared" si="188"/>
        <v>0</v>
      </c>
      <c r="AJ453" s="49">
        <f t="shared" si="175"/>
        <v>44525.395343603741</v>
      </c>
      <c r="AK453" s="49">
        <f t="shared" si="176"/>
        <v>28329.36064801005</v>
      </c>
      <c r="AL453" s="49">
        <f t="shared" si="177"/>
        <v>13955.350072911355</v>
      </c>
      <c r="AM453" s="49">
        <f t="shared" si="178"/>
        <v>0</v>
      </c>
      <c r="AN453" s="49">
        <f t="shared" si="179"/>
        <v>0</v>
      </c>
    </row>
    <row r="454" spans="2:40">
      <c r="B454" s="43" t="str">
        <f t="shared" si="172"/>
        <v>Asset 166</v>
      </c>
      <c r="F454" s="43" t="str">
        <f t="shared" ref="F454:L454" si="223">F206</f>
        <v>10 Gereedschap</v>
      </c>
      <c r="G454" s="43">
        <f t="shared" si="223"/>
        <v>2014</v>
      </c>
      <c r="H454" s="58">
        <f t="shared" si="223"/>
        <v>294123.8734031191</v>
      </c>
      <c r="I454" s="43">
        <f t="shared" si="223"/>
        <v>2021</v>
      </c>
      <c r="J454" s="58">
        <f t="shared" si="223"/>
        <v>10</v>
      </c>
      <c r="K454" s="188">
        <f t="shared" si="223"/>
        <v>1</v>
      </c>
      <c r="L454" s="58">
        <f t="shared" si="223"/>
        <v>80237.880651848885</v>
      </c>
      <c r="N454" s="49">
        <f t="shared" si="183"/>
        <v>75182.894170782412</v>
      </c>
      <c r="P454" s="44">
        <f t="shared" si="174"/>
        <v>2.5</v>
      </c>
      <c r="R454" s="49">
        <f t="shared" si="213"/>
        <v>37551.328145065279</v>
      </c>
      <c r="S454" s="49">
        <f t="shared" si="213"/>
        <v>23108.509627732481</v>
      </c>
      <c r="T454" s="49">
        <f t="shared" si="213"/>
        <v>11554.254813866241</v>
      </c>
      <c r="U454" s="49">
        <f t="shared" si="213"/>
        <v>0</v>
      </c>
      <c r="V454" s="49">
        <f t="shared" si="213"/>
        <v>0</v>
      </c>
      <c r="X454" s="49">
        <f t="shared" si="214"/>
        <v>3209.515226073956</v>
      </c>
      <c r="Y454" s="49">
        <f t="shared" si="214"/>
        <v>3209.5152260739555</v>
      </c>
      <c r="Z454" s="49">
        <f t="shared" si="214"/>
        <v>1604.7576130369778</v>
      </c>
      <c r="AA454" s="49">
        <f t="shared" si="214"/>
        <v>0</v>
      </c>
      <c r="AB454" s="49">
        <f t="shared" si="214"/>
        <v>0</v>
      </c>
      <c r="AD454" s="49">
        <f t="shared" si="184"/>
        <v>39477.03728070965</v>
      </c>
      <c r="AE454" s="49">
        <f t="shared" si="185"/>
        <v>13159.012426903213</v>
      </c>
      <c r="AF454" s="49">
        <f t="shared" si="186"/>
        <v>-5.2295945351943374E-12</v>
      </c>
      <c r="AG454" s="49">
        <f t="shared" si="187"/>
        <v>0</v>
      </c>
      <c r="AH454" s="49">
        <f t="shared" si="188"/>
        <v>0</v>
      </c>
      <c r="AJ454" s="49">
        <f t="shared" si="175"/>
        <v>39339.599740650243</v>
      </c>
      <c r="AK454" s="49">
        <f t="shared" si="176"/>
        <v>25029.889127336883</v>
      </c>
      <c r="AL454" s="49">
        <f t="shared" si="177"/>
        <v>12329.994644008317</v>
      </c>
      <c r="AM454" s="49">
        <f t="shared" si="178"/>
        <v>0</v>
      </c>
      <c r="AN454" s="49">
        <f t="shared" si="179"/>
        <v>0</v>
      </c>
    </row>
    <row r="455" spans="2:40">
      <c r="B455" s="43" t="str">
        <f t="shared" si="172"/>
        <v>Asset 167</v>
      </c>
      <c r="F455" s="43" t="str">
        <f t="shared" ref="F455:L455" si="224">F207</f>
        <v>13 Aanhangwagens</v>
      </c>
      <c r="G455" s="43">
        <f t="shared" si="224"/>
        <v>2014</v>
      </c>
      <c r="H455" s="58">
        <f t="shared" si="224"/>
        <v>24919.261718386999</v>
      </c>
      <c r="I455" s="43">
        <f t="shared" si="224"/>
        <v>2021</v>
      </c>
      <c r="J455" s="58">
        <f t="shared" si="224"/>
        <v>10</v>
      </c>
      <c r="K455" s="188">
        <f t="shared" si="224"/>
        <v>1</v>
      </c>
      <c r="L455" s="58">
        <f t="shared" si="224"/>
        <v>6798.0498303573586</v>
      </c>
      <c r="N455" s="49">
        <f t="shared" si="183"/>
        <v>6369.7726910448455</v>
      </c>
      <c r="P455" s="44">
        <f t="shared" si="174"/>
        <v>2.5</v>
      </c>
      <c r="R455" s="49">
        <f t="shared" si="213"/>
        <v>3181.4873206072439</v>
      </c>
      <c r="S455" s="49">
        <f t="shared" si="213"/>
        <v>1957.8383511429192</v>
      </c>
      <c r="T455" s="49">
        <f t="shared" si="213"/>
        <v>978.91917557145962</v>
      </c>
      <c r="U455" s="49">
        <f t="shared" si="213"/>
        <v>0</v>
      </c>
      <c r="V455" s="49">
        <f t="shared" si="213"/>
        <v>0</v>
      </c>
      <c r="X455" s="49">
        <f t="shared" si="214"/>
        <v>271.92199321429433</v>
      </c>
      <c r="Y455" s="49">
        <f t="shared" si="214"/>
        <v>271.92199321429433</v>
      </c>
      <c r="Z455" s="49">
        <f t="shared" si="214"/>
        <v>135.96099660714717</v>
      </c>
      <c r="AA455" s="49">
        <f t="shared" si="214"/>
        <v>0</v>
      </c>
      <c r="AB455" s="49">
        <f t="shared" si="214"/>
        <v>0</v>
      </c>
      <c r="AD455" s="49">
        <f t="shared" si="184"/>
        <v>3344.6405165358206</v>
      </c>
      <c r="AE455" s="49">
        <f t="shared" si="185"/>
        <v>1114.8801721786069</v>
      </c>
      <c r="AF455" s="49">
        <f t="shared" si="186"/>
        <v>1.4210854715202004E-13</v>
      </c>
      <c r="AG455" s="49">
        <f t="shared" si="187"/>
        <v>0</v>
      </c>
      <c r="AH455" s="49">
        <f t="shared" si="188"/>
        <v>0</v>
      </c>
      <c r="AJ455" s="49">
        <f t="shared" si="175"/>
        <v>3332.9963001345973</v>
      </c>
      <c r="AK455" s="49">
        <f t="shared" si="176"/>
        <v>2120.6247243026496</v>
      </c>
      <c r="AL455" s="49">
        <f t="shared" si="177"/>
        <v>1044.6427213313546</v>
      </c>
      <c r="AM455" s="49">
        <f t="shared" si="178"/>
        <v>0</v>
      </c>
      <c r="AN455" s="49">
        <f t="shared" si="179"/>
        <v>0</v>
      </c>
    </row>
    <row r="456" spans="2:40">
      <c r="B456" s="43" t="str">
        <f t="shared" si="172"/>
        <v>Asset 168</v>
      </c>
      <c r="F456" s="43" t="str">
        <f t="shared" ref="F456:L456" si="225">F208</f>
        <v>11 Werktuigen</v>
      </c>
      <c r="G456" s="43">
        <f t="shared" si="225"/>
        <v>2014</v>
      </c>
      <c r="H456" s="58">
        <f t="shared" si="225"/>
        <v>264974.99557180319</v>
      </c>
      <c r="I456" s="43">
        <f t="shared" si="225"/>
        <v>2021</v>
      </c>
      <c r="J456" s="58">
        <f t="shared" si="225"/>
        <v>10</v>
      </c>
      <c r="K456" s="188">
        <f t="shared" si="225"/>
        <v>1</v>
      </c>
      <c r="L456" s="58">
        <f t="shared" si="225"/>
        <v>72285.978776277945</v>
      </c>
      <c r="N456" s="49">
        <f t="shared" si="183"/>
        <v>67731.962113372443</v>
      </c>
      <c r="P456" s="44">
        <f t="shared" si="174"/>
        <v>2.5</v>
      </c>
      <c r="R456" s="49">
        <f t="shared" si="213"/>
        <v>33829.838067298078</v>
      </c>
      <c r="S456" s="49">
        <f t="shared" si="213"/>
        <v>20818.361887568051</v>
      </c>
      <c r="T456" s="49">
        <f t="shared" si="213"/>
        <v>10409.180943784026</v>
      </c>
      <c r="U456" s="49">
        <f t="shared" si="213"/>
        <v>0</v>
      </c>
      <c r="V456" s="49">
        <f t="shared" si="213"/>
        <v>0</v>
      </c>
      <c r="X456" s="49">
        <f t="shared" si="214"/>
        <v>2891.4391510511182</v>
      </c>
      <c r="Y456" s="49">
        <f t="shared" si="214"/>
        <v>2891.4391510511182</v>
      </c>
      <c r="Z456" s="49">
        <f t="shared" si="214"/>
        <v>1445.7195755255591</v>
      </c>
      <c r="AA456" s="49">
        <f t="shared" si="214"/>
        <v>0</v>
      </c>
      <c r="AB456" s="49">
        <f t="shared" si="214"/>
        <v>0</v>
      </c>
      <c r="AD456" s="49">
        <f t="shared" si="184"/>
        <v>35564.701557928747</v>
      </c>
      <c r="AE456" s="49">
        <f t="shared" si="185"/>
        <v>11854.900519309578</v>
      </c>
      <c r="AF456" s="49">
        <f t="shared" si="186"/>
        <v>-6.5938365878537297E-12</v>
      </c>
      <c r="AG456" s="49">
        <f t="shared" si="187"/>
        <v>0</v>
      </c>
      <c r="AH456" s="49">
        <f t="shared" si="188"/>
        <v>0</v>
      </c>
      <c r="AJ456" s="49">
        <f t="shared" si="175"/>
        <v>35440.884639746357</v>
      </c>
      <c r="AK456" s="49">
        <f t="shared" si="176"/>
        <v>22549.324826783959</v>
      </c>
      <c r="AL456" s="49">
        <f t="shared" si="177"/>
        <v>11108.041786593083</v>
      </c>
      <c r="AM456" s="49">
        <f t="shared" si="178"/>
        <v>0</v>
      </c>
      <c r="AN456" s="49">
        <f t="shared" si="179"/>
        <v>0</v>
      </c>
    </row>
    <row r="457" spans="2:40">
      <c r="B457" s="43" t="str">
        <f t="shared" si="172"/>
        <v>Asset 169</v>
      </c>
      <c r="F457" s="43" t="str">
        <f t="shared" ref="F457:L457" si="226">F209</f>
        <v>08 Inrichting gebouwen</v>
      </c>
      <c r="G457" s="43">
        <f t="shared" si="226"/>
        <v>2014</v>
      </c>
      <c r="H457" s="58">
        <f t="shared" si="226"/>
        <v>724167.86511950963</v>
      </c>
      <c r="I457" s="43">
        <f t="shared" si="226"/>
        <v>2021</v>
      </c>
      <c r="J457" s="58">
        <f t="shared" si="226"/>
        <v>10</v>
      </c>
      <c r="K457" s="188">
        <f t="shared" si="226"/>
        <v>0</v>
      </c>
      <c r="L457" s="58">
        <f t="shared" si="226"/>
        <v>197555.1799351057</v>
      </c>
      <c r="N457" s="49">
        <f t="shared" si="183"/>
        <v>197555.1799351057</v>
      </c>
      <c r="P457" s="44">
        <f t="shared" si="174"/>
        <v>2.5</v>
      </c>
      <c r="R457" s="49">
        <f t="shared" si="213"/>
        <v>92455.824209629471</v>
      </c>
      <c r="S457" s="49">
        <f t="shared" si="213"/>
        <v>56895.891821310448</v>
      </c>
      <c r="T457" s="49">
        <f t="shared" si="213"/>
        <v>28447.945910655224</v>
      </c>
      <c r="U457" s="49">
        <f t="shared" si="213"/>
        <v>0</v>
      </c>
      <c r="V457" s="49">
        <f t="shared" si="213"/>
        <v>0</v>
      </c>
      <c r="X457" s="49">
        <f t="shared" si="214"/>
        <v>7902.2071974042283</v>
      </c>
      <c r="Y457" s="49">
        <f t="shared" si="214"/>
        <v>7902.2071974042274</v>
      </c>
      <c r="Z457" s="49">
        <f t="shared" si="214"/>
        <v>3951.1035987021137</v>
      </c>
      <c r="AA457" s="49">
        <f t="shared" si="214"/>
        <v>0</v>
      </c>
      <c r="AB457" s="49">
        <f t="shared" si="214"/>
        <v>0</v>
      </c>
      <c r="AD457" s="49">
        <f t="shared" si="184"/>
        <v>97197.148528071993</v>
      </c>
      <c r="AE457" s="49">
        <f t="shared" si="185"/>
        <v>32399.049509357319</v>
      </c>
      <c r="AF457" s="49">
        <f t="shared" si="186"/>
        <v>-1.8644641386345029E-11</v>
      </c>
      <c r="AG457" s="49">
        <f t="shared" si="187"/>
        <v>0</v>
      </c>
      <c r="AH457" s="49">
        <f t="shared" si="188"/>
        <v>0</v>
      </c>
      <c r="AJ457" s="49">
        <f t="shared" si="175"/>
        <v>103371.14301140394</v>
      </c>
      <c r="AK457" s="49">
        <f t="shared" si="176"/>
        <v>65770.07050399539</v>
      </c>
      <c r="AL457" s="49">
        <f t="shared" si="177"/>
        <v>32399.049509357337</v>
      </c>
      <c r="AM457" s="49">
        <f t="shared" si="178"/>
        <v>0</v>
      </c>
      <c r="AN457" s="49">
        <f t="shared" si="179"/>
        <v>0</v>
      </c>
    </row>
    <row r="458" spans="2:40">
      <c r="B458" s="43" t="str">
        <f t="shared" si="172"/>
        <v>Asset 170</v>
      </c>
      <c r="F458" s="43" t="str">
        <f t="shared" ref="F458:L458" si="227">F210</f>
        <v>14 Overig rollend materieel (odorisatie)</v>
      </c>
      <c r="G458" s="43">
        <f t="shared" si="227"/>
        <v>2014</v>
      </c>
      <c r="H458" s="58">
        <f t="shared" si="227"/>
        <v>1415.9999999999968</v>
      </c>
      <c r="I458" s="43">
        <f t="shared" si="227"/>
        <v>2021</v>
      </c>
      <c r="J458" s="58">
        <f t="shared" si="227"/>
        <v>10</v>
      </c>
      <c r="K458" s="188">
        <f t="shared" si="227"/>
        <v>0</v>
      </c>
      <c r="L458" s="58">
        <f t="shared" si="227"/>
        <v>386.28907503641284</v>
      </c>
      <c r="N458" s="49">
        <f t="shared" si="183"/>
        <v>386.28907503641284</v>
      </c>
      <c r="P458" s="44">
        <f t="shared" si="174"/>
        <v>2.5</v>
      </c>
      <c r="R458" s="49">
        <f t="shared" si="213"/>
        <v>180.7832871170412</v>
      </c>
      <c r="S458" s="49">
        <f t="shared" si="213"/>
        <v>111.2512536104869</v>
      </c>
      <c r="T458" s="49">
        <f t="shared" si="213"/>
        <v>55.625626805243449</v>
      </c>
      <c r="U458" s="49">
        <f t="shared" si="213"/>
        <v>0</v>
      </c>
      <c r="V458" s="49">
        <f t="shared" si="213"/>
        <v>0</v>
      </c>
      <c r="X458" s="49">
        <f t="shared" si="214"/>
        <v>15.451563001456515</v>
      </c>
      <c r="Y458" s="49">
        <f t="shared" si="214"/>
        <v>15.451563001456515</v>
      </c>
      <c r="Z458" s="49">
        <f t="shared" si="214"/>
        <v>7.7257815007282575</v>
      </c>
      <c r="AA458" s="49">
        <f t="shared" si="214"/>
        <v>0</v>
      </c>
      <c r="AB458" s="49">
        <f t="shared" si="214"/>
        <v>0</v>
      </c>
      <c r="AD458" s="49">
        <f t="shared" si="184"/>
        <v>190.05422491791512</v>
      </c>
      <c r="AE458" s="49">
        <f t="shared" si="185"/>
        <v>63.351408305971709</v>
      </c>
      <c r="AF458" s="49">
        <f t="shared" si="186"/>
        <v>2.6645352591003757E-15</v>
      </c>
      <c r="AG458" s="49">
        <f t="shared" si="187"/>
        <v>0</v>
      </c>
      <c r="AH458" s="49">
        <f t="shared" si="188"/>
        <v>0</v>
      </c>
      <c r="AJ458" s="49">
        <f t="shared" si="175"/>
        <v>202.12653109095308</v>
      </c>
      <c r="AK458" s="49">
        <f t="shared" si="176"/>
        <v>128.60335886112256</v>
      </c>
      <c r="AL458" s="49">
        <f t="shared" si="177"/>
        <v>63.351408305971709</v>
      </c>
      <c r="AM458" s="49">
        <f t="shared" si="178"/>
        <v>0</v>
      </c>
      <c r="AN458" s="49">
        <f t="shared" si="179"/>
        <v>0</v>
      </c>
    </row>
    <row r="459" spans="2:40">
      <c r="B459" s="43" t="str">
        <f t="shared" si="172"/>
        <v>Asset 171</v>
      </c>
      <c r="F459" s="43" t="str">
        <f t="shared" ref="F459:L459" si="228">F211</f>
        <v>14 Overig rollend materieel (odorisatie)</v>
      </c>
      <c r="G459" s="43">
        <f t="shared" si="228"/>
        <v>2015</v>
      </c>
      <c r="H459" s="58">
        <f t="shared" si="228"/>
        <v>43315.304046858677</v>
      </c>
      <c r="I459" s="43">
        <f t="shared" si="228"/>
        <v>2021</v>
      </c>
      <c r="J459" s="58">
        <f t="shared" si="228"/>
        <v>10</v>
      </c>
      <c r="K459" s="188">
        <f t="shared" si="228"/>
        <v>0</v>
      </c>
      <c r="L459" s="58">
        <f t="shared" si="228"/>
        <v>16379.370300704035</v>
      </c>
      <c r="N459" s="49">
        <f t="shared" si="183"/>
        <v>16379.370300704035</v>
      </c>
      <c r="P459" s="44">
        <f t="shared" si="174"/>
        <v>3.5</v>
      </c>
      <c r="R459" s="49">
        <f t="shared" si="213"/>
        <v>5475.3895005210634</v>
      </c>
      <c r="S459" s="49">
        <f t="shared" si="213"/>
        <v>3706.4175080450273</v>
      </c>
      <c r="T459" s="49">
        <f t="shared" si="213"/>
        <v>3706.4175080450273</v>
      </c>
      <c r="U459" s="49">
        <f t="shared" si="213"/>
        <v>1853.2087540225136</v>
      </c>
      <c r="V459" s="49">
        <f t="shared" si="213"/>
        <v>0</v>
      </c>
      <c r="X459" s="49">
        <f t="shared" si="214"/>
        <v>467.98200859154389</v>
      </c>
      <c r="Y459" s="49">
        <f t="shared" si="214"/>
        <v>467.98200859154389</v>
      </c>
      <c r="Z459" s="49">
        <f t="shared" si="214"/>
        <v>467.98200859154389</v>
      </c>
      <c r="AA459" s="49">
        <f t="shared" si="214"/>
        <v>233.99100429577194</v>
      </c>
      <c r="AB459" s="49">
        <f t="shared" si="214"/>
        <v>0</v>
      </c>
      <c r="AD459" s="49">
        <f t="shared" si="184"/>
        <v>10435.998791591428</v>
      </c>
      <c r="AE459" s="49">
        <f t="shared" si="185"/>
        <v>6261.5992749548568</v>
      </c>
      <c r="AF459" s="49">
        <f t="shared" si="186"/>
        <v>2087.1997583182856</v>
      </c>
      <c r="AG459" s="49">
        <f t="shared" si="187"/>
        <v>2.8421709430404007E-14</v>
      </c>
      <c r="AH459" s="49">
        <f t="shared" si="188"/>
        <v>0</v>
      </c>
      <c r="AJ459" s="49">
        <f t="shared" si="175"/>
        <v>6266.8874716519413</v>
      </c>
      <c r="AK459" s="49">
        <f t="shared" si="176"/>
        <v>4362.2474948852168</v>
      </c>
      <c r="AL459" s="49">
        <f t="shared" si="177"/>
        <v>4237.0155093861194</v>
      </c>
      <c r="AM459" s="49">
        <f t="shared" si="178"/>
        <v>2087.1997583182856</v>
      </c>
      <c r="AN459" s="49">
        <f t="shared" si="179"/>
        <v>0</v>
      </c>
    </row>
    <row r="460" spans="2:40">
      <c r="B460" s="43" t="str">
        <f t="shared" si="172"/>
        <v>Asset 172</v>
      </c>
      <c r="F460" s="43" t="str">
        <f t="shared" ref="F460:L460" si="229">F212</f>
        <v>13 Aanhangwagens</v>
      </c>
      <c r="G460" s="43">
        <f t="shared" si="229"/>
        <v>2015</v>
      </c>
      <c r="H460" s="58">
        <f t="shared" si="229"/>
        <v>78424.550748692549</v>
      </c>
      <c r="I460" s="43">
        <f t="shared" si="229"/>
        <v>2021</v>
      </c>
      <c r="J460" s="58">
        <f t="shared" si="229"/>
        <v>10</v>
      </c>
      <c r="K460" s="188">
        <f t="shared" si="229"/>
        <v>1</v>
      </c>
      <c r="L460" s="58">
        <f t="shared" si="229"/>
        <v>29655.679110310892</v>
      </c>
      <c r="N460" s="49">
        <f t="shared" si="183"/>
        <v>27787.371326361306</v>
      </c>
      <c r="P460" s="44">
        <f t="shared" si="174"/>
        <v>3.5</v>
      </c>
      <c r="R460" s="49">
        <f t="shared" si="213"/>
        <v>9913.4698740182139</v>
      </c>
      <c r="S460" s="49">
        <f t="shared" si="213"/>
        <v>6710.6565301046357</v>
      </c>
      <c r="T460" s="49">
        <f t="shared" si="213"/>
        <v>6710.6565301046357</v>
      </c>
      <c r="U460" s="49">
        <f t="shared" si="213"/>
        <v>3355.3282650523179</v>
      </c>
      <c r="V460" s="49">
        <f t="shared" si="213"/>
        <v>0</v>
      </c>
      <c r="X460" s="49">
        <f t="shared" si="214"/>
        <v>847.3051174374541</v>
      </c>
      <c r="Y460" s="49">
        <f t="shared" si="214"/>
        <v>847.3051174374541</v>
      </c>
      <c r="Z460" s="49">
        <f t="shared" si="214"/>
        <v>847.3051174374541</v>
      </c>
      <c r="AA460" s="49">
        <f t="shared" si="214"/>
        <v>423.65255871872705</v>
      </c>
      <c r="AB460" s="49">
        <f t="shared" si="214"/>
        <v>0</v>
      </c>
      <c r="AD460" s="49">
        <f t="shared" si="184"/>
        <v>18894.904118855222</v>
      </c>
      <c r="AE460" s="49">
        <f t="shared" si="185"/>
        <v>11336.942471313132</v>
      </c>
      <c r="AF460" s="49">
        <f t="shared" si="186"/>
        <v>3778.9808237710422</v>
      </c>
      <c r="AG460" s="49">
        <f t="shared" si="187"/>
        <v>-2.7284841053187847E-12</v>
      </c>
      <c r="AH460" s="49">
        <f t="shared" si="188"/>
        <v>0</v>
      </c>
      <c r="AJ460" s="49">
        <f t="shared" si="175"/>
        <v>10631.686446934349</v>
      </c>
      <c r="AK460" s="49">
        <f t="shared" si="176"/>
        <v>7400.4915166155506</v>
      </c>
      <c r="AL460" s="49">
        <f t="shared" si="177"/>
        <v>7188.037214703143</v>
      </c>
      <c r="AM460" s="49">
        <f t="shared" si="178"/>
        <v>3540.9050318734694</v>
      </c>
      <c r="AN460" s="49">
        <f t="shared" si="179"/>
        <v>0</v>
      </c>
    </row>
    <row r="461" spans="2:40">
      <c r="B461" s="43" t="str">
        <f t="shared" si="172"/>
        <v>Asset 173</v>
      </c>
      <c r="F461" s="43" t="str">
        <f t="shared" ref="F461:L461" si="230">F213</f>
        <v>11 Werktuigen</v>
      </c>
      <c r="G461" s="43">
        <f t="shared" si="230"/>
        <v>2015</v>
      </c>
      <c r="H461" s="58">
        <f t="shared" si="230"/>
        <v>481116.61247078225</v>
      </c>
      <c r="I461" s="43">
        <f t="shared" si="230"/>
        <v>2021</v>
      </c>
      <c r="J461" s="58">
        <f t="shared" si="230"/>
        <v>10</v>
      </c>
      <c r="K461" s="188">
        <f t="shared" si="230"/>
        <v>1</v>
      </c>
      <c r="L461" s="58">
        <f t="shared" si="230"/>
        <v>181930.78236168518</v>
      </c>
      <c r="N461" s="49">
        <f t="shared" si="183"/>
        <v>170469.14307289902</v>
      </c>
      <c r="P461" s="44">
        <f t="shared" si="174"/>
        <v>3.5</v>
      </c>
      <c r="R461" s="49">
        <f t="shared" si="213"/>
        <v>60816.861532334762</v>
      </c>
      <c r="S461" s="49">
        <f t="shared" si="213"/>
        <v>41168.337037272766</v>
      </c>
      <c r="T461" s="49">
        <f t="shared" si="213"/>
        <v>41168.337037272766</v>
      </c>
      <c r="U461" s="49">
        <f t="shared" si="213"/>
        <v>20584.168518636383</v>
      </c>
      <c r="V461" s="49">
        <f t="shared" si="213"/>
        <v>0</v>
      </c>
      <c r="X461" s="49">
        <f t="shared" si="214"/>
        <v>5198.022353191006</v>
      </c>
      <c r="Y461" s="49">
        <f t="shared" si="214"/>
        <v>5198.022353191006</v>
      </c>
      <c r="Z461" s="49">
        <f t="shared" si="214"/>
        <v>5198.022353191006</v>
      </c>
      <c r="AA461" s="49">
        <f t="shared" si="214"/>
        <v>2599.011176595503</v>
      </c>
      <c r="AB461" s="49">
        <f t="shared" si="214"/>
        <v>0</v>
      </c>
      <c r="AD461" s="49">
        <f t="shared" si="184"/>
        <v>115915.89847615942</v>
      </c>
      <c r="AE461" s="49">
        <f t="shared" si="185"/>
        <v>69549.539085695651</v>
      </c>
      <c r="AF461" s="49">
        <f t="shared" si="186"/>
        <v>23183.17969523188</v>
      </c>
      <c r="AG461" s="49">
        <f t="shared" si="187"/>
        <v>-5.9117155615240335E-12</v>
      </c>
      <c r="AH461" s="49">
        <f t="shared" si="188"/>
        <v>0</v>
      </c>
      <c r="AJ461" s="49">
        <f t="shared" si="175"/>
        <v>65222.955303774645</v>
      </c>
      <c r="AK461" s="49">
        <f t="shared" si="176"/>
        <v>45400.316292563461</v>
      </c>
      <c r="AL461" s="49">
        <f t="shared" si="177"/>
        <v>44096.957930097531</v>
      </c>
      <c r="AM461" s="49">
        <f t="shared" si="178"/>
        <v>21722.639374432281</v>
      </c>
      <c r="AN461" s="49">
        <f t="shared" si="179"/>
        <v>0</v>
      </c>
    </row>
    <row r="462" spans="2:40">
      <c r="B462" s="43" t="str">
        <f t="shared" si="172"/>
        <v>Asset 174</v>
      </c>
      <c r="F462" s="43" t="str">
        <f t="shared" ref="F462:L462" si="231">F214</f>
        <v>39 ICT middelen 3</v>
      </c>
      <c r="G462" s="43">
        <f t="shared" si="231"/>
        <v>2015</v>
      </c>
      <c r="H462" s="58">
        <f t="shared" si="231"/>
        <v>13785822.782425826</v>
      </c>
      <c r="I462" s="43">
        <f t="shared" si="231"/>
        <v>2021</v>
      </c>
      <c r="J462" s="58">
        <f t="shared" si="231"/>
        <v>15</v>
      </c>
      <c r="K462" s="188">
        <f t="shared" si="231"/>
        <v>1</v>
      </c>
      <c r="L462" s="58">
        <f t="shared" si="231"/>
        <v>8440110.7970265597</v>
      </c>
      <c r="N462" s="49">
        <f t="shared" si="183"/>
        <v>7908383.8168138871</v>
      </c>
      <c r="P462" s="44">
        <f t="shared" si="174"/>
        <v>8.5</v>
      </c>
      <c r="R462" s="49">
        <f t="shared" si="213"/>
        <v>1161756.4273554208</v>
      </c>
      <c r="S462" s="49">
        <f t="shared" si="213"/>
        <v>984076.03258341516</v>
      </c>
      <c r="T462" s="49">
        <f t="shared" si="213"/>
        <v>838502.65498231805</v>
      </c>
      <c r="U462" s="49">
        <f t="shared" si="213"/>
        <v>838502.65498231805</v>
      </c>
      <c r="V462" s="49">
        <f t="shared" si="213"/>
        <v>838502.65498231805</v>
      </c>
      <c r="X462" s="49">
        <f t="shared" si="214"/>
        <v>99295.421141488943</v>
      </c>
      <c r="Y462" s="49">
        <f t="shared" si="214"/>
        <v>99295.421141488943</v>
      </c>
      <c r="Z462" s="49">
        <f t="shared" si="214"/>
        <v>99295.421141488943</v>
      </c>
      <c r="AA462" s="49">
        <f t="shared" si="214"/>
        <v>99295.421141488943</v>
      </c>
      <c r="AB462" s="49">
        <f t="shared" si="214"/>
        <v>99295.421141488943</v>
      </c>
      <c r="AD462" s="49">
        <f t="shared" si="184"/>
        <v>7179058.9485296495</v>
      </c>
      <c r="AE462" s="49">
        <f t="shared" si="185"/>
        <v>6095687.4948047455</v>
      </c>
      <c r="AF462" s="49">
        <f t="shared" si="186"/>
        <v>5157889.418680938</v>
      </c>
      <c r="AG462" s="49">
        <f t="shared" si="187"/>
        <v>4220091.3425571304</v>
      </c>
      <c r="AH462" s="49">
        <f t="shared" si="188"/>
        <v>3282293.2664333233</v>
      </c>
      <c r="AJ462" s="49">
        <f t="shared" si="175"/>
        <v>1390135.7073195453</v>
      </c>
      <c r="AK462" s="49">
        <f t="shared" si="176"/>
        <v>1186468.8276191964</v>
      </c>
      <c r="AL462" s="49">
        <f t="shared" si="177"/>
        <v>1023705.0688871284</v>
      </c>
      <c r="AM462" s="49">
        <f t="shared" si="178"/>
        <v>997343.56496728817</v>
      </c>
      <c r="AN462" s="49">
        <f t="shared" si="179"/>
        <v>970982.06104744785</v>
      </c>
    </row>
    <row r="463" spans="2:40">
      <c r="B463" s="43" t="str">
        <f t="shared" si="172"/>
        <v>Asset 175</v>
      </c>
      <c r="F463" s="43" t="str">
        <f t="shared" ref="F463:L463" si="232">F215</f>
        <v>12 Motorvoertuigen</v>
      </c>
      <c r="G463" s="43">
        <f t="shared" si="232"/>
        <v>2015</v>
      </c>
      <c r="H463" s="58">
        <f t="shared" si="232"/>
        <v>43877.173224174046</v>
      </c>
      <c r="I463" s="43">
        <f t="shared" si="232"/>
        <v>2021</v>
      </c>
      <c r="J463" s="58">
        <f t="shared" si="232"/>
        <v>10</v>
      </c>
      <c r="K463" s="188">
        <f t="shared" si="232"/>
        <v>1</v>
      </c>
      <c r="L463" s="58">
        <f t="shared" si="232"/>
        <v>16591.837083941773</v>
      </c>
      <c r="N463" s="49">
        <f t="shared" si="183"/>
        <v>15546.551347653442</v>
      </c>
      <c r="P463" s="44">
        <f t="shared" si="174"/>
        <v>3.5</v>
      </c>
      <c r="R463" s="49">
        <f t="shared" si="213"/>
        <v>5546.414110917679</v>
      </c>
      <c r="S463" s="49">
        <f t="shared" si="213"/>
        <v>3754.4957058519662</v>
      </c>
      <c r="T463" s="49">
        <f t="shared" si="213"/>
        <v>3754.4957058519662</v>
      </c>
      <c r="U463" s="49">
        <f t="shared" si="213"/>
        <v>1877.2478529259831</v>
      </c>
      <c r="V463" s="49">
        <f t="shared" si="213"/>
        <v>0</v>
      </c>
      <c r="X463" s="49">
        <f t="shared" si="214"/>
        <v>474.05248811262209</v>
      </c>
      <c r="Y463" s="49">
        <f t="shared" si="214"/>
        <v>474.05248811262209</v>
      </c>
      <c r="Z463" s="49">
        <f t="shared" si="214"/>
        <v>474.05248811262209</v>
      </c>
      <c r="AA463" s="49">
        <f t="shared" si="214"/>
        <v>237.02624405631104</v>
      </c>
      <c r="AB463" s="49">
        <f t="shared" si="214"/>
        <v>0</v>
      </c>
      <c r="AD463" s="49">
        <f t="shared" si="184"/>
        <v>10571.370484911473</v>
      </c>
      <c r="AE463" s="49">
        <f t="shared" si="185"/>
        <v>6342.8222909468841</v>
      </c>
      <c r="AF463" s="49">
        <f t="shared" si="186"/>
        <v>2114.2740969822958</v>
      </c>
      <c r="AG463" s="49">
        <f t="shared" si="187"/>
        <v>1.5916157281026244E-12</v>
      </c>
      <c r="AH463" s="49">
        <f t="shared" si="188"/>
        <v>0</v>
      </c>
      <c r="AJ463" s="49">
        <f t="shared" si="175"/>
        <v>5948.2438017666154</v>
      </c>
      <c r="AK463" s="49">
        <f t="shared" si="176"/>
        <v>4140.4463923433368</v>
      </c>
      <c r="AL463" s="49">
        <f t="shared" si="177"/>
        <v>4021.5819026109921</v>
      </c>
      <c r="AM463" s="49">
        <f t="shared" si="178"/>
        <v>1981.0748288724099</v>
      </c>
      <c r="AN463" s="49">
        <f t="shared" si="179"/>
        <v>0</v>
      </c>
    </row>
    <row r="464" spans="2:40">
      <c r="B464" s="43" t="str">
        <f t="shared" si="172"/>
        <v>Asset 176</v>
      </c>
      <c r="F464" s="43" t="str">
        <f t="shared" ref="F464:L464" si="233">F216</f>
        <v>09 Bedrijfsinventaris</v>
      </c>
      <c r="G464" s="43">
        <f t="shared" si="233"/>
        <v>2015</v>
      </c>
      <c r="H464" s="58">
        <f t="shared" si="233"/>
        <v>153470.91831934603</v>
      </c>
      <c r="I464" s="43">
        <f t="shared" si="233"/>
        <v>2021</v>
      </c>
      <c r="J464" s="58">
        <f t="shared" si="233"/>
        <v>10</v>
      </c>
      <c r="K464" s="188">
        <f t="shared" si="233"/>
        <v>1</v>
      </c>
      <c r="L464" s="58">
        <f t="shared" si="233"/>
        <v>58033.922579009974</v>
      </c>
      <c r="N464" s="49">
        <f t="shared" si="183"/>
        <v>54377.785456532351</v>
      </c>
      <c r="P464" s="44">
        <f t="shared" si="174"/>
        <v>3.5</v>
      </c>
      <c r="R464" s="49">
        <f t="shared" si="213"/>
        <v>19399.911262126192</v>
      </c>
      <c r="S464" s="49">
        <f t="shared" si="213"/>
        <v>13132.247623593115</v>
      </c>
      <c r="T464" s="49">
        <f t="shared" si="213"/>
        <v>13132.247623593115</v>
      </c>
      <c r="U464" s="49">
        <f t="shared" si="213"/>
        <v>6566.1238117965577</v>
      </c>
      <c r="V464" s="49">
        <f t="shared" si="213"/>
        <v>0</v>
      </c>
      <c r="X464" s="49">
        <f t="shared" si="214"/>
        <v>1658.1120736859993</v>
      </c>
      <c r="Y464" s="49">
        <f t="shared" si="214"/>
        <v>1658.1120736859993</v>
      </c>
      <c r="Z464" s="49">
        <f t="shared" si="214"/>
        <v>1658.1120736859993</v>
      </c>
      <c r="AA464" s="49">
        <f t="shared" si="214"/>
        <v>829.05603684299967</v>
      </c>
      <c r="AB464" s="49">
        <f t="shared" si="214"/>
        <v>0</v>
      </c>
      <c r="AD464" s="49">
        <f t="shared" si="184"/>
        <v>36975.899243197782</v>
      </c>
      <c r="AE464" s="49">
        <f t="shared" si="185"/>
        <v>22185.539545918666</v>
      </c>
      <c r="AF464" s="49">
        <f t="shared" si="186"/>
        <v>7395.179848639551</v>
      </c>
      <c r="AG464" s="49">
        <f t="shared" si="187"/>
        <v>-6.3664629124104977E-12</v>
      </c>
      <c r="AH464" s="49">
        <f t="shared" si="188"/>
        <v>0</v>
      </c>
      <c r="AJ464" s="49">
        <f t="shared" si="175"/>
        <v>20805.406810973192</v>
      </c>
      <c r="AK464" s="49">
        <f t="shared" si="176"/>
        <v>14482.202552986306</v>
      </c>
      <c r="AL464" s="49">
        <f t="shared" si="177"/>
        <v>14066.44554189579</v>
      </c>
      <c r="AM464" s="49">
        <f t="shared" si="178"/>
        <v>6929.2835181752653</v>
      </c>
      <c r="AN464" s="49">
        <f t="shared" si="179"/>
        <v>0</v>
      </c>
    </row>
    <row r="465" spans="2:40">
      <c r="B465" s="43" t="str">
        <f t="shared" si="172"/>
        <v>Asset 177</v>
      </c>
      <c r="F465" s="43" t="str">
        <f t="shared" ref="F465:L465" si="234">F217</f>
        <v>20 Kantoorgebouwen</v>
      </c>
      <c r="G465" s="43">
        <f t="shared" si="234"/>
        <v>2015</v>
      </c>
      <c r="H465" s="58">
        <f t="shared" si="234"/>
        <v>2375369.7957282378</v>
      </c>
      <c r="I465" s="43">
        <f t="shared" si="234"/>
        <v>2021</v>
      </c>
      <c r="J465" s="58">
        <f t="shared" si="234"/>
        <v>30</v>
      </c>
      <c r="K465" s="188">
        <f t="shared" si="234"/>
        <v>0</v>
      </c>
      <c r="L465" s="58">
        <f t="shared" si="234"/>
        <v>2010322.0086927759</v>
      </c>
      <c r="N465" s="49">
        <f t="shared" si="183"/>
        <v>2010322.0086927759</v>
      </c>
      <c r="P465" s="44">
        <f t="shared" si="174"/>
        <v>23.5</v>
      </c>
      <c r="R465" s="49">
        <f t="shared" si="213"/>
        <v>100088.37234768289</v>
      </c>
      <c r="S465" s="49">
        <f t="shared" si="213"/>
        <v>94551.568771002552</v>
      </c>
      <c r="T465" s="49">
        <f t="shared" si="213"/>
        <v>89321.05645601092</v>
      </c>
      <c r="U465" s="49">
        <f t="shared" si="213"/>
        <v>84379.891630784783</v>
      </c>
      <c r="V465" s="49">
        <f t="shared" si="213"/>
        <v>79712.067838443487</v>
      </c>
      <c r="X465" s="49">
        <f t="shared" si="214"/>
        <v>8554.561739118195</v>
      </c>
      <c r="Y465" s="49">
        <f t="shared" si="214"/>
        <v>8554.561739118195</v>
      </c>
      <c r="Z465" s="49">
        <f t="shared" si="214"/>
        <v>8554.561739118195</v>
      </c>
      <c r="AA465" s="49">
        <f t="shared" si="214"/>
        <v>8554.561739118195</v>
      </c>
      <c r="AB465" s="49">
        <f t="shared" si="214"/>
        <v>8554.561739118195</v>
      </c>
      <c r="AD465" s="49">
        <f t="shared" si="184"/>
        <v>1901679.0746059746</v>
      </c>
      <c r="AE465" s="49">
        <f t="shared" si="185"/>
        <v>1798572.9440958537</v>
      </c>
      <c r="AF465" s="49">
        <f t="shared" si="186"/>
        <v>1700697.3259007244</v>
      </c>
      <c r="AG465" s="49">
        <f t="shared" si="187"/>
        <v>1607762.8725308212</v>
      </c>
      <c r="AH465" s="49">
        <f t="shared" si="188"/>
        <v>1519496.2429532595</v>
      </c>
      <c r="AJ465" s="49">
        <f t="shared" si="175"/>
        <v>167594.98539958629</v>
      </c>
      <c r="AK465" s="49">
        <f t="shared" si="176"/>
        <v>157063.31883299636</v>
      </c>
      <c r="AL465" s="49">
        <f t="shared" si="177"/>
        <v>148896.53797215084</v>
      </c>
      <c r="AM465" s="49">
        <f t="shared" si="178"/>
        <v>141167.33954582759</v>
      </c>
      <c r="AN465" s="49">
        <f t="shared" si="179"/>
        <v>133851.51686615948</v>
      </c>
    </row>
    <row r="466" spans="2:40">
      <c r="B466" s="43" t="str">
        <f t="shared" si="172"/>
        <v>Asset 178</v>
      </c>
      <c r="F466" s="43" t="str">
        <f t="shared" ref="F466:L466" si="235">F218</f>
        <v>06 Utiliteitsgebouwen</v>
      </c>
      <c r="G466" s="43">
        <f t="shared" si="235"/>
        <v>2015</v>
      </c>
      <c r="H466" s="58">
        <f t="shared" si="235"/>
        <v>516544.29057147249</v>
      </c>
      <c r="I466" s="43">
        <f t="shared" si="235"/>
        <v>2021</v>
      </c>
      <c r="J466" s="58">
        <f t="shared" si="235"/>
        <v>30</v>
      </c>
      <c r="K466" s="188">
        <f t="shared" si="235"/>
        <v>0</v>
      </c>
      <c r="L466" s="58">
        <f t="shared" si="235"/>
        <v>437161.55592610373</v>
      </c>
      <c r="N466" s="49">
        <f t="shared" si="183"/>
        <v>437161.55592610373</v>
      </c>
      <c r="P466" s="44">
        <f t="shared" si="174"/>
        <v>23.5</v>
      </c>
      <c r="R466" s="49">
        <f t="shared" si="213"/>
        <v>21765.064699299634</v>
      </c>
      <c r="S466" s="49">
        <f t="shared" si="213"/>
        <v>20561.039843593699</v>
      </c>
      <c r="T466" s="49">
        <f t="shared" si="213"/>
        <v>19423.620618203408</v>
      </c>
      <c r="U466" s="49">
        <f t="shared" si="213"/>
        <v>18349.122456345343</v>
      </c>
      <c r="V466" s="49">
        <f t="shared" si="213"/>
        <v>17334.064618334749</v>
      </c>
      <c r="X466" s="49">
        <f t="shared" si="214"/>
        <v>1860.2619401110799</v>
      </c>
      <c r="Y466" s="49">
        <f t="shared" si="214"/>
        <v>1860.2619401110799</v>
      </c>
      <c r="Z466" s="49">
        <f t="shared" si="214"/>
        <v>1860.2619401110799</v>
      </c>
      <c r="AA466" s="49">
        <f t="shared" si="214"/>
        <v>1860.2619401110799</v>
      </c>
      <c r="AB466" s="49">
        <f t="shared" si="214"/>
        <v>1860.2619401110799</v>
      </c>
      <c r="AD466" s="49">
        <f t="shared" si="184"/>
        <v>413536.22928669304</v>
      </c>
      <c r="AE466" s="49">
        <f t="shared" si="185"/>
        <v>391114.92750298826</v>
      </c>
      <c r="AF466" s="49">
        <f t="shared" si="186"/>
        <v>369831.04494467378</v>
      </c>
      <c r="AG466" s="49">
        <f t="shared" si="187"/>
        <v>349621.66054821736</v>
      </c>
      <c r="AH466" s="49">
        <f t="shared" si="188"/>
        <v>330427.33398977155</v>
      </c>
      <c r="AJ466" s="49">
        <f t="shared" si="175"/>
        <v>36444.949747298197</v>
      </c>
      <c r="AK466" s="49">
        <f t="shared" si="176"/>
        <v>34154.749608794424</v>
      </c>
      <c r="AL466" s="49">
        <f t="shared" si="177"/>
        <v>32378.813906654701</v>
      </c>
      <c r="AM466" s="49">
        <f t="shared" si="178"/>
        <v>30698.034212902945</v>
      </c>
      <c r="AN466" s="49">
        <f t="shared" si="179"/>
        <v>29107.146578138974</v>
      </c>
    </row>
    <row r="467" spans="2:40">
      <c r="B467" s="43" t="str">
        <f t="shared" si="172"/>
        <v>Asset 179</v>
      </c>
      <c r="F467" s="43" t="str">
        <f t="shared" ref="F467:L467" si="236">F219</f>
        <v>08 Inrichting gebouwen</v>
      </c>
      <c r="G467" s="43">
        <f t="shared" si="236"/>
        <v>2015</v>
      </c>
      <c r="H467" s="58">
        <f t="shared" si="236"/>
        <v>406758.82739129546</v>
      </c>
      <c r="I467" s="43">
        <f t="shared" si="236"/>
        <v>2021</v>
      </c>
      <c r="J467" s="58">
        <f t="shared" si="236"/>
        <v>10</v>
      </c>
      <c r="K467" s="188">
        <f t="shared" si="236"/>
        <v>0</v>
      </c>
      <c r="L467" s="58">
        <f t="shared" si="236"/>
        <v>153812.9214033616</v>
      </c>
      <c r="N467" s="49">
        <f t="shared" si="183"/>
        <v>153812.9214033616</v>
      </c>
      <c r="P467" s="44">
        <f t="shared" si="174"/>
        <v>3.5</v>
      </c>
      <c r="R467" s="49">
        <f t="shared" si="213"/>
        <v>51417.462297695165</v>
      </c>
      <c r="S467" s="49">
        <f t="shared" si="213"/>
        <v>34805.666786132111</v>
      </c>
      <c r="T467" s="49">
        <f t="shared" si="213"/>
        <v>34805.666786132111</v>
      </c>
      <c r="U467" s="49">
        <f t="shared" si="213"/>
        <v>17402.833393066056</v>
      </c>
      <c r="V467" s="49">
        <f t="shared" si="213"/>
        <v>0</v>
      </c>
      <c r="X467" s="49">
        <f t="shared" si="214"/>
        <v>4394.6548972389037</v>
      </c>
      <c r="Y467" s="49">
        <f t="shared" si="214"/>
        <v>4394.6548972389037</v>
      </c>
      <c r="Z467" s="49">
        <f t="shared" si="214"/>
        <v>4394.6548972389037</v>
      </c>
      <c r="AA467" s="49">
        <f t="shared" si="214"/>
        <v>2197.3274486194518</v>
      </c>
      <c r="AB467" s="49">
        <f t="shared" si="214"/>
        <v>0</v>
      </c>
      <c r="AD467" s="49">
        <f t="shared" si="184"/>
        <v>98000.804208427537</v>
      </c>
      <c r="AE467" s="49">
        <f t="shared" si="185"/>
        <v>58800.482525056519</v>
      </c>
      <c r="AF467" s="49">
        <f t="shared" si="186"/>
        <v>19600.160841685505</v>
      </c>
      <c r="AG467" s="49">
        <f t="shared" si="187"/>
        <v>-2.2737367544323206E-12</v>
      </c>
      <c r="AH467" s="49">
        <f t="shared" si="188"/>
        <v>0</v>
      </c>
      <c r="AJ467" s="49">
        <f t="shared" si="175"/>
        <v>58850.142125395323</v>
      </c>
      <c r="AK467" s="49">
        <f t="shared" si="176"/>
        <v>40964.336159122715</v>
      </c>
      <c r="AL467" s="49">
        <f t="shared" si="177"/>
        <v>39788.326508621583</v>
      </c>
      <c r="AM467" s="49">
        <f t="shared" si="178"/>
        <v>19600.160841685509</v>
      </c>
      <c r="AN467" s="49">
        <f t="shared" si="179"/>
        <v>0</v>
      </c>
    </row>
    <row r="468" spans="2:40">
      <c r="B468" s="43" t="str">
        <f t="shared" si="172"/>
        <v>Asset 180</v>
      </c>
      <c r="F468" s="43" t="str">
        <f t="shared" ref="F468:L468" si="237">F220</f>
        <v>20 Kantoorgebouwen</v>
      </c>
      <c r="G468" s="43">
        <f t="shared" si="237"/>
        <v>2016</v>
      </c>
      <c r="H468" s="58">
        <f t="shared" si="237"/>
        <v>229380.26938547671</v>
      </c>
      <c r="I468" s="43">
        <f t="shared" si="237"/>
        <v>2021</v>
      </c>
      <c r="J468" s="58">
        <f t="shared" si="237"/>
        <v>30</v>
      </c>
      <c r="K468" s="188">
        <f t="shared" si="237"/>
        <v>0</v>
      </c>
      <c r="L468" s="58">
        <f t="shared" si="237"/>
        <v>200783.5579674957</v>
      </c>
      <c r="N468" s="49">
        <f t="shared" si="183"/>
        <v>200783.5579674957</v>
      </c>
      <c r="P468" s="44">
        <f t="shared" si="174"/>
        <v>24.5</v>
      </c>
      <c r="R468" s="49">
        <f t="shared" si="213"/>
        <v>9588.4392988559193</v>
      </c>
      <c r="S468" s="49">
        <f t="shared" si="213"/>
        <v>9079.6649687125428</v>
      </c>
      <c r="T468" s="49">
        <f t="shared" si="213"/>
        <v>8597.886827515551</v>
      </c>
      <c r="U468" s="49">
        <f t="shared" si="213"/>
        <v>8141.6724244228881</v>
      </c>
      <c r="V468" s="49">
        <f t="shared" si="213"/>
        <v>7709.6653161882041</v>
      </c>
      <c r="X468" s="49">
        <f t="shared" si="214"/>
        <v>819.52472639794178</v>
      </c>
      <c r="Y468" s="49">
        <f t="shared" si="214"/>
        <v>819.52472639794178</v>
      </c>
      <c r="Z468" s="49">
        <f t="shared" si="214"/>
        <v>819.52472639794178</v>
      </c>
      <c r="AA468" s="49">
        <f t="shared" si="214"/>
        <v>819.52472639794178</v>
      </c>
      <c r="AB468" s="49">
        <f t="shared" si="214"/>
        <v>819.52472639794178</v>
      </c>
      <c r="AD468" s="49">
        <f t="shared" si="184"/>
        <v>190375.59394224183</v>
      </c>
      <c r="AE468" s="49">
        <f t="shared" si="185"/>
        <v>180476.40424713134</v>
      </c>
      <c r="AF468" s="49">
        <f t="shared" si="186"/>
        <v>171058.99269321785</v>
      </c>
      <c r="AG468" s="49">
        <f t="shared" si="187"/>
        <v>162097.79554239701</v>
      </c>
      <c r="AH468" s="49">
        <f t="shared" si="188"/>
        <v>153568.60549981086</v>
      </c>
      <c r="AJ468" s="49">
        <f t="shared" si="175"/>
        <v>16309.607437463357</v>
      </c>
      <c r="AK468" s="49">
        <f t="shared" si="176"/>
        <v>15313.481822524423</v>
      </c>
      <c r="AL468" s="49">
        <f t="shared" si="177"/>
        <v>14549.181334710029</v>
      </c>
      <c r="AM468" s="49">
        <f t="shared" si="178"/>
        <v>13824.131017092739</v>
      </c>
      <c r="AN468" s="49">
        <f t="shared" si="179"/>
        <v>13136.248207580473</v>
      </c>
    </row>
    <row r="469" spans="2:40">
      <c r="B469" s="43" t="str">
        <f t="shared" si="172"/>
        <v>Asset 181</v>
      </c>
      <c r="F469" s="43" t="str">
        <f t="shared" ref="F469:L469" si="238">F221</f>
        <v>39 ICT middelen 3</v>
      </c>
      <c r="G469" s="43">
        <f t="shared" si="238"/>
        <v>2016</v>
      </c>
      <c r="H469" s="58">
        <f t="shared" si="238"/>
        <v>529286.5107518764</v>
      </c>
      <c r="I469" s="43">
        <f t="shared" si="238"/>
        <v>2021</v>
      </c>
      <c r="J469" s="58">
        <f t="shared" si="238"/>
        <v>15</v>
      </c>
      <c r="K469" s="188">
        <f t="shared" si="238"/>
        <v>1</v>
      </c>
      <c r="L469" s="58">
        <f t="shared" si="238"/>
        <v>359294.38470756344</v>
      </c>
      <c r="N469" s="49">
        <f t="shared" si="183"/>
        <v>336658.83847098699</v>
      </c>
      <c r="P469" s="44">
        <f t="shared" si="174"/>
        <v>9.5</v>
      </c>
      <c r="R469" s="49">
        <f t="shared" si="213"/>
        <v>44249.940011352555</v>
      </c>
      <c r="S469" s="49">
        <f t="shared" si="213"/>
        <v>38194.685062430624</v>
      </c>
      <c r="T469" s="49">
        <f t="shared" si="213"/>
        <v>32968.043948624334</v>
      </c>
      <c r="U469" s="49">
        <f t="shared" si="213"/>
        <v>31992.658032984553</v>
      </c>
      <c r="V469" s="49">
        <f t="shared" si="213"/>
        <v>31992.658032984553</v>
      </c>
      <c r="X469" s="49">
        <f t="shared" si="214"/>
        <v>3782.0461548164571</v>
      </c>
      <c r="Y469" s="49">
        <f t="shared" si="214"/>
        <v>3782.0461548164571</v>
      </c>
      <c r="Z469" s="49">
        <f t="shared" si="214"/>
        <v>3782.0461548164571</v>
      </c>
      <c r="AA469" s="49">
        <f t="shared" si="214"/>
        <v>3782.0461548164571</v>
      </c>
      <c r="AB469" s="49">
        <f t="shared" si="214"/>
        <v>3782.0461548164571</v>
      </c>
      <c r="AD469" s="49">
        <f t="shared" si="184"/>
        <v>311262.39854139445</v>
      </c>
      <c r="AE469" s="49">
        <f t="shared" si="185"/>
        <v>269285.66732414736</v>
      </c>
      <c r="AF469" s="49">
        <f t="shared" si="186"/>
        <v>232535.57722070656</v>
      </c>
      <c r="AG469" s="49">
        <f t="shared" si="187"/>
        <v>196760.87303290554</v>
      </c>
      <c r="AH469" s="49">
        <f t="shared" si="188"/>
        <v>160986.16884510452</v>
      </c>
      <c r="AJ469" s="49">
        <f t="shared" si="175"/>
        <v>54047.209928132259</v>
      </c>
      <c r="AK469" s="49">
        <f t="shared" si="176"/>
        <v>46901.817259042306</v>
      </c>
      <c r="AL469" s="49">
        <f t="shared" si="177"/>
        <v>40971.409502598093</v>
      </c>
      <c r="AM469" s="49">
        <f t="shared" si="178"/>
        <v>39051.845964924527</v>
      </c>
      <c r="AN469" s="49">
        <f t="shared" si="179"/>
        <v>38046.219030205444</v>
      </c>
    </row>
    <row r="470" spans="2:40">
      <c r="B470" s="43" t="str">
        <f t="shared" si="172"/>
        <v>Asset 182</v>
      </c>
      <c r="F470" s="43" t="str">
        <f t="shared" ref="F470:L470" si="239">F222</f>
        <v>12 Motorvoertuigen</v>
      </c>
      <c r="G470" s="43">
        <f t="shared" si="239"/>
        <v>2016</v>
      </c>
      <c r="H470" s="58">
        <f t="shared" si="239"/>
        <v>28567.827468907908</v>
      </c>
      <c r="I470" s="43">
        <f t="shared" si="239"/>
        <v>2021</v>
      </c>
      <c r="J470" s="58">
        <f t="shared" si="239"/>
        <v>10</v>
      </c>
      <c r="K470" s="188">
        <f t="shared" si="239"/>
        <v>1</v>
      </c>
      <c r="L470" s="58">
        <f t="shared" si="239"/>
        <v>13778.977338155324</v>
      </c>
      <c r="N470" s="49">
        <f t="shared" si="183"/>
        <v>12910.901765851539</v>
      </c>
      <c r="P470" s="44">
        <f t="shared" si="174"/>
        <v>4.5</v>
      </c>
      <c r="R470" s="49">
        <f t="shared" si="213"/>
        <v>3582.5341079203845</v>
      </c>
      <c r="S470" s="49">
        <f t="shared" si="213"/>
        <v>2547.5798100767179</v>
      </c>
      <c r="T470" s="49">
        <f t="shared" si="213"/>
        <v>2508.3862745370757</v>
      </c>
      <c r="U470" s="49">
        <f t="shared" si="213"/>
        <v>2508.3862745370757</v>
      </c>
      <c r="V470" s="49">
        <f t="shared" si="213"/>
        <v>1254.1931372685378</v>
      </c>
      <c r="X470" s="49">
        <f t="shared" si="214"/>
        <v>306.19949640345169</v>
      </c>
      <c r="Y470" s="49">
        <f t="shared" si="214"/>
        <v>306.19949640345169</v>
      </c>
      <c r="Z470" s="49">
        <f t="shared" si="214"/>
        <v>306.19949640345169</v>
      </c>
      <c r="AA470" s="49">
        <f t="shared" si="214"/>
        <v>306.19949640345169</v>
      </c>
      <c r="AB470" s="49">
        <f t="shared" si="214"/>
        <v>153.09974820172584</v>
      </c>
      <c r="AD470" s="49">
        <f t="shared" si="184"/>
        <v>9890.2437338314885</v>
      </c>
      <c r="AE470" s="49">
        <f t="shared" si="185"/>
        <v>7036.4644273513186</v>
      </c>
      <c r="AF470" s="49">
        <f t="shared" si="186"/>
        <v>4221.8786564107913</v>
      </c>
      <c r="AG470" s="49">
        <f t="shared" si="187"/>
        <v>1407.2928854702641</v>
      </c>
      <c r="AH470" s="49">
        <f t="shared" si="188"/>
        <v>3.979039320256561E-13</v>
      </c>
      <c r="AJ470" s="49">
        <f t="shared" si="175"/>
        <v>3931.0252969880376</v>
      </c>
      <c r="AK470" s="49">
        <f t="shared" si="176"/>
        <v>2871.7862252247646</v>
      </c>
      <c r="AL470" s="49">
        <f t="shared" si="177"/>
        <v>2755.9438764029815</v>
      </c>
      <c r="AM470" s="49">
        <f t="shared" si="178"/>
        <v>2676.8258703818433</v>
      </c>
      <c r="AN470" s="49">
        <f t="shared" si="179"/>
        <v>1318.6334336856371</v>
      </c>
    </row>
    <row r="471" spans="2:40">
      <c r="B471" s="43" t="str">
        <f t="shared" si="172"/>
        <v>Asset 183</v>
      </c>
      <c r="F471" s="43" t="str">
        <f t="shared" ref="F471:L471" si="240">F223</f>
        <v>06 Utiliteitsgebouwen</v>
      </c>
      <c r="G471" s="43">
        <f t="shared" si="240"/>
        <v>2016</v>
      </c>
      <c r="H471" s="58">
        <f t="shared" si="240"/>
        <v>69569.550579382194</v>
      </c>
      <c r="I471" s="43">
        <f t="shared" si="240"/>
        <v>2021</v>
      </c>
      <c r="J471" s="58">
        <f t="shared" si="240"/>
        <v>30</v>
      </c>
      <c r="K471" s="188">
        <f t="shared" si="240"/>
        <v>0</v>
      </c>
      <c r="L471" s="58">
        <f t="shared" si="240"/>
        <v>60896.353156050573</v>
      </c>
      <c r="N471" s="49">
        <f t="shared" si="183"/>
        <v>60896.353156050573</v>
      </c>
      <c r="P471" s="44">
        <f t="shared" si="174"/>
        <v>24.5</v>
      </c>
      <c r="R471" s="49">
        <f t="shared" si="213"/>
        <v>2908.1115588807829</v>
      </c>
      <c r="S471" s="49">
        <f t="shared" si="213"/>
        <v>2753.8035986136392</v>
      </c>
      <c r="T471" s="49">
        <f t="shared" si="213"/>
        <v>2607.6834076667933</v>
      </c>
      <c r="U471" s="49">
        <f t="shared" si="213"/>
        <v>2469.3165329742696</v>
      </c>
      <c r="V471" s="49">
        <f t="shared" si="213"/>
        <v>2338.2915740817571</v>
      </c>
      <c r="X471" s="49">
        <f t="shared" si="214"/>
        <v>248.55654349408397</v>
      </c>
      <c r="Y471" s="49">
        <f t="shared" si="214"/>
        <v>248.55654349408397</v>
      </c>
      <c r="Z471" s="49">
        <f t="shared" si="214"/>
        <v>248.55654349408397</v>
      </c>
      <c r="AA471" s="49">
        <f t="shared" si="214"/>
        <v>248.55654349408397</v>
      </c>
      <c r="AB471" s="49">
        <f t="shared" si="214"/>
        <v>248.55654349408397</v>
      </c>
      <c r="AD471" s="49">
        <f t="shared" si="184"/>
        <v>57739.685053675705</v>
      </c>
      <c r="AE471" s="49">
        <f t="shared" si="185"/>
        <v>54737.324911567979</v>
      </c>
      <c r="AF471" s="49">
        <f t="shared" si="186"/>
        <v>51881.084960407097</v>
      </c>
      <c r="AG471" s="49">
        <f t="shared" si="187"/>
        <v>49163.21188393874</v>
      </c>
      <c r="AH471" s="49">
        <f t="shared" si="188"/>
        <v>46576.363766362898</v>
      </c>
      <c r="AJ471" s="49">
        <f t="shared" si="175"/>
        <v>4946.5983390388137</v>
      </c>
      <c r="AK471" s="49">
        <f t="shared" si="176"/>
        <v>4644.4798894547621</v>
      </c>
      <c r="AL471" s="49">
        <f t="shared" si="177"/>
        <v>4412.6724999730905</v>
      </c>
      <c r="AM471" s="49">
        <f t="shared" si="178"/>
        <v>4192.7694329865153</v>
      </c>
      <c r="AN471" s="49">
        <f t="shared" si="179"/>
        <v>3984.1390305667283</v>
      </c>
    </row>
    <row r="472" spans="2:40">
      <c r="B472" s="43" t="str">
        <f t="shared" si="172"/>
        <v>Asset 184</v>
      </c>
      <c r="F472" s="43" t="str">
        <f t="shared" ref="F472:L472" si="241">F224</f>
        <v>09 Bedrijfsinventaris</v>
      </c>
      <c r="G472" s="43">
        <f t="shared" si="241"/>
        <v>2016</v>
      </c>
      <c r="H472" s="58">
        <f t="shared" si="241"/>
        <v>285684.31746031862</v>
      </c>
      <c r="I472" s="43">
        <f t="shared" si="241"/>
        <v>2021</v>
      </c>
      <c r="J472" s="58">
        <f t="shared" si="241"/>
        <v>10</v>
      </c>
      <c r="K472" s="188">
        <f t="shared" si="241"/>
        <v>1</v>
      </c>
      <c r="L472" s="58">
        <f t="shared" si="241"/>
        <v>137792.68796118168</v>
      </c>
      <c r="N472" s="49">
        <f t="shared" si="183"/>
        <v>129111.74861962725</v>
      </c>
      <c r="P472" s="44">
        <f t="shared" si="174"/>
        <v>4.5</v>
      </c>
      <c r="R472" s="49">
        <f t="shared" si="213"/>
        <v>35826.09886990724</v>
      </c>
      <c r="S472" s="49">
        <f t="shared" si="213"/>
        <v>25476.33697415626</v>
      </c>
      <c r="T472" s="49">
        <f t="shared" si="213"/>
        <v>25084.393328400001</v>
      </c>
      <c r="U472" s="49">
        <f t="shared" si="213"/>
        <v>25084.393328400001</v>
      </c>
      <c r="V472" s="49">
        <f t="shared" si="213"/>
        <v>12542.196664200001</v>
      </c>
      <c r="X472" s="49">
        <f t="shared" si="214"/>
        <v>3062.0597324707041</v>
      </c>
      <c r="Y472" s="49">
        <f t="shared" si="214"/>
        <v>3062.0597324707041</v>
      </c>
      <c r="Z472" s="49">
        <f t="shared" si="214"/>
        <v>3062.0597324707041</v>
      </c>
      <c r="AA472" s="49">
        <f t="shared" si="214"/>
        <v>3062.0597324707041</v>
      </c>
      <c r="AB472" s="49">
        <f t="shared" si="214"/>
        <v>1531.0298662353521</v>
      </c>
      <c r="AD472" s="49">
        <f t="shared" si="184"/>
        <v>98904.529358803746</v>
      </c>
      <c r="AE472" s="49">
        <f t="shared" si="185"/>
        <v>70366.132652176777</v>
      </c>
      <c r="AF472" s="49">
        <f t="shared" si="186"/>
        <v>42219.679591306071</v>
      </c>
      <c r="AG472" s="49">
        <f t="shared" si="187"/>
        <v>14073.226530435364</v>
      </c>
      <c r="AH472" s="49">
        <f t="shared" si="188"/>
        <v>1.1368683772161603E-11</v>
      </c>
      <c r="AJ472" s="49">
        <f t="shared" si="175"/>
        <v>39311.084474713309</v>
      </c>
      <c r="AK472" s="49">
        <f t="shared" si="176"/>
        <v>28718.469702962157</v>
      </c>
      <c r="AL472" s="49">
        <f t="shared" si="177"/>
        <v>27560.021711347468</v>
      </c>
      <c r="AM472" s="49">
        <f t="shared" si="178"/>
        <v>26768.824915806392</v>
      </c>
      <c r="AN472" s="49">
        <f t="shared" si="179"/>
        <v>13186.613259017926</v>
      </c>
    </row>
    <row r="473" spans="2:40">
      <c r="B473" s="43" t="str">
        <f t="shared" si="172"/>
        <v>Asset 185</v>
      </c>
      <c r="F473" s="43" t="str">
        <f t="shared" ref="F473:L473" si="242">F225</f>
        <v>08 Inrichting gebouwen</v>
      </c>
      <c r="G473" s="43">
        <f t="shared" si="242"/>
        <v>2016</v>
      </c>
      <c r="H473" s="58">
        <f t="shared" si="242"/>
        <v>23169.006741347624</v>
      </c>
      <c r="I473" s="43">
        <f t="shared" si="242"/>
        <v>2021</v>
      </c>
      <c r="J473" s="58">
        <f t="shared" si="242"/>
        <v>10</v>
      </c>
      <c r="K473" s="188">
        <f t="shared" si="242"/>
        <v>0</v>
      </c>
      <c r="L473" s="58">
        <f t="shared" si="242"/>
        <v>11174.991139387506</v>
      </c>
      <c r="N473" s="49">
        <f t="shared" si="183"/>
        <v>11174.991139387506</v>
      </c>
      <c r="P473" s="44">
        <f t="shared" si="174"/>
        <v>4.5</v>
      </c>
      <c r="R473" s="49">
        <f t="shared" si="213"/>
        <v>2905.4976962407518</v>
      </c>
      <c r="S473" s="49">
        <f t="shared" si="213"/>
        <v>2066.1316951045346</v>
      </c>
      <c r="T473" s="49">
        <f t="shared" si="213"/>
        <v>2034.3450536413875</v>
      </c>
      <c r="U473" s="49">
        <f t="shared" si="213"/>
        <v>2034.3450536413875</v>
      </c>
      <c r="V473" s="49">
        <f t="shared" si="213"/>
        <v>1017.1725268206937</v>
      </c>
      <c r="X473" s="49">
        <f t="shared" si="214"/>
        <v>248.33313643083349</v>
      </c>
      <c r="Y473" s="49">
        <f t="shared" si="214"/>
        <v>248.33313643083349</v>
      </c>
      <c r="Z473" s="49">
        <f t="shared" si="214"/>
        <v>248.33313643083349</v>
      </c>
      <c r="AA473" s="49">
        <f t="shared" si="214"/>
        <v>248.33313643083349</v>
      </c>
      <c r="AB473" s="49">
        <f t="shared" si="214"/>
        <v>124.16656821541675</v>
      </c>
      <c r="AD473" s="49">
        <f t="shared" si="184"/>
        <v>8021.1603067159222</v>
      </c>
      <c r="AE473" s="49">
        <f t="shared" si="185"/>
        <v>5706.6954751805542</v>
      </c>
      <c r="AF473" s="49">
        <f t="shared" si="186"/>
        <v>3424.0172851083335</v>
      </c>
      <c r="AG473" s="49">
        <f t="shared" si="187"/>
        <v>1141.3390950361124</v>
      </c>
      <c r="AH473" s="49">
        <f t="shared" si="188"/>
        <v>1.9468870959826745E-12</v>
      </c>
      <c r="AJ473" s="49">
        <f t="shared" si="175"/>
        <v>3402.4868021797788</v>
      </c>
      <c r="AK473" s="49">
        <f t="shared" si="176"/>
        <v>2485.6656957907844</v>
      </c>
      <c r="AL473" s="49">
        <f t="shared" si="177"/>
        <v>2385.3987086254706</v>
      </c>
      <c r="AM473" s="49">
        <f t="shared" si="178"/>
        <v>2316.9183629233044</v>
      </c>
      <c r="AN473" s="49">
        <f t="shared" si="179"/>
        <v>1141.3390950361104</v>
      </c>
    </row>
    <row r="474" spans="2:40">
      <c r="B474" s="43" t="str">
        <f t="shared" si="172"/>
        <v>Asset 186</v>
      </c>
      <c r="F474" s="43" t="str">
        <f t="shared" ref="F474:L474" si="243">F226</f>
        <v>11 Werktuigen (KC)</v>
      </c>
      <c r="G474" s="43">
        <f t="shared" si="243"/>
        <v>2017</v>
      </c>
      <c r="H474" s="58">
        <f t="shared" si="243"/>
        <v>42505.139899436123</v>
      </c>
      <c r="I474" s="43">
        <f t="shared" si="243"/>
        <v>2021</v>
      </c>
      <c r="J474" s="58">
        <f t="shared" si="243"/>
        <v>10</v>
      </c>
      <c r="K474" s="188">
        <f t="shared" si="243"/>
        <v>0</v>
      </c>
      <c r="L474" s="58">
        <f t="shared" si="243"/>
        <v>25007.119857240814</v>
      </c>
      <c r="N474" s="49">
        <f t="shared" si="183"/>
        <v>25007.119857240814</v>
      </c>
      <c r="P474" s="44">
        <f t="shared" si="174"/>
        <v>5.5</v>
      </c>
      <c r="R474" s="49">
        <f t="shared" si="213"/>
        <v>5319.6964059948641</v>
      </c>
      <c r="S474" s="49">
        <f t="shared" si="213"/>
        <v>4062.3136191233507</v>
      </c>
      <c r="T474" s="49">
        <f t="shared" si="213"/>
        <v>3749.8279561138625</v>
      </c>
      <c r="U474" s="49">
        <f t="shared" si="213"/>
        <v>3749.8279561138625</v>
      </c>
      <c r="V474" s="49">
        <f t="shared" si="213"/>
        <v>3749.8279561138625</v>
      </c>
      <c r="X474" s="49">
        <f t="shared" si="214"/>
        <v>454.67490649528753</v>
      </c>
      <c r="Y474" s="49">
        <f t="shared" si="214"/>
        <v>454.67490649528753</v>
      </c>
      <c r="Z474" s="49">
        <f t="shared" si="214"/>
        <v>454.67490649528753</v>
      </c>
      <c r="AA474" s="49">
        <f t="shared" si="214"/>
        <v>454.67490649528753</v>
      </c>
      <c r="AB474" s="49">
        <f t="shared" si="214"/>
        <v>454.67490649528753</v>
      </c>
      <c r="AD474" s="49">
        <f t="shared" si="184"/>
        <v>19232.748544750662</v>
      </c>
      <c r="AE474" s="49">
        <f t="shared" si="185"/>
        <v>14715.760019132025</v>
      </c>
      <c r="AF474" s="49">
        <f t="shared" si="186"/>
        <v>10511.257156522875</v>
      </c>
      <c r="AG474" s="49">
        <f t="shared" si="187"/>
        <v>6306.7542939137256</v>
      </c>
      <c r="AH474" s="49">
        <f t="shared" si="188"/>
        <v>2102.2514313045758</v>
      </c>
      <c r="AJ474" s="49">
        <f t="shared" si="175"/>
        <v>6370.5865173774218</v>
      </c>
      <c r="AK474" s="49">
        <f t="shared" si="176"/>
        <v>4958.4613261925988</v>
      </c>
      <c r="AL474" s="49">
        <f t="shared" si="177"/>
        <v>4519.8405773048362</v>
      </c>
      <c r="AM474" s="49">
        <f t="shared" si="178"/>
        <v>4393.7054914265618</v>
      </c>
      <c r="AN474" s="49">
        <f t="shared" si="179"/>
        <v>4267.5704055482875</v>
      </c>
    </row>
    <row r="475" spans="2:40">
      <c r="B475" s="43" t="str">
        <f t="shared" si="172"/>
        <v>Asset 187</v>
      </c>
      <c r="F475" s="43" t="str">
        <f t="shared" ref="F475:L475" si="244">F227</f>
        <v>10 Gereedschap</v>
      </c>
      <c r="G475" s="43">
        <f t="shared" si="244"/>
        <v>2017</v>
      </c>
      <c r="H475" s="58">
        <f t="shared" si="244"/>
        <v>283180.78041617683</v>
      </c>
      <c r="I475" s="43">
        <f t="shared" si="244"/>
        <v>2021</v>
      </c>
      <c r="J475" s="58">
        <f t="shared" si="244"/>
        <v>10</v>
      </c>
      <c r="K475" s="188">
        <f t="shared" si="244"/>
        <v>1</v>
      </c>
      <c r="L475" s="58">
        <f t="shared" si="244"/>
        <v>166604.2208986652</v>
      </c>
      <c r="N475" s="49">
        <f t="shared" si="183"/>
        <v>156108.15498204931</v>
      </c>
      <c r="P475" s="44">
        <f t="shared" si="174"/>
        <v>5.5</v>
      </c>
      <c r="R475" s="49">
        <f t="shared" si="213"/>
        <v>35441.261536625141</v>
      </c>
      <c r="S475" s="49">
        <f t="shared" si="213"/>
        <v>27064.236082513748</v>
      </c>
      <c r="T475" s="49">
        <f t="shared" si="213"/>
        <v>24982.37176847423</v>
      </c>
      <c r="U475" s="49">
        <f t="shared" si="213"/>
        <v>24982.37176847423</v>
      </c>
      <c r="V475" s="49">
        <f t="shared" si="213"/>
        <v>24982.37176847423</v>
      </c>
      <c r="X475" s="49">
        <f t="shared" si="214"/>
        <v>3029.1676527030036</v>
      </c>
      <c r="Y475" s="49">
        <f t="shared" si="214"/>
        <v>3029.1676527030036</v>
      </c>
      <c r="Z475" s="49">
        <f t="shared" si="214"/>
        <v>3029.1676527030036</v>
      </c>
      <c r="AA475" s="49">
        <f t="shared" si="214"/>
        <v>3029.1676527030036</v>
      </c>
      <c r="AB475" s="49">
        <f t="shared" si="214"/>
        <v>3029.1676527030036</v>
      </c>
      <c r="AD475" s="49">
        <f t="shared" si="184"/>
        <v>128133.79170933703</v>
      </c>
      <c r="AE475" s="49">
        <f t="shared" si="185"/>
        <v>98040.387974120284</v>
      </c>
      <c r="AF475" s="49">
        <f t="shared" si="186"/>
        <v>70028.848552943047</v>
      </c>
      <c r="AG475" s="49">
        <f t="shared" si="187"/>
        <v>42017.309131765811</v>
      </c>
      <c r="AH475" s="49">
        <f t="shared" si="188"/>
        <v>14005.769710588578</v>
      </c>
      <c r="AJ475" s="49">
        <f t="shared" si="175"/>
        <v>39768.694398181593</v>
      </c>
      <c r="AK475" s="49">
        <f t="shared" si="176"/>
        <v>30953.434605850616</v>
      </c>
      <c r="AL475" s="49">
        <f t="shared" si="177"/>
        <v>28215.323370466296</v>
      </c>
      <c r="AM475" s="49">
        <f t="shared" si="178"/>
        <v>27427.918997337005</v>
      </c>
      <c r="AN475" s="49">
        <f t="shared" si="179"/>
        <v>26640.514624207713</v>
      </c>
    </row>
    <row r="476" spans="2:40">
      <c r="B476" s="43" t="str">
        <f t="shared" si="172"/>
        <v>Asset 188</v>
      </c>
      <c r="F476" s="43" t="str">
        <f t="shared" ref="F476:L476" si="245">F228</f>
        <v>10 Gereedschap</v>
      </c>
      <c r="G476" s="43">
        <f t="shared" si="245"/>
        <v>2016</v>
      </c>
      <c r="H476" s="58">
        <f t="shared" si="245"/>
        <v>59355.750635093973</v>
      </c>
      <c r="I476" s="43">
        <f t="shared" si="245"/>
        <v>2021</v>
      </c>
      <c r="J476" s="58">
        <f t="shared" si="245"/>
        <v>10</v>
      </c>
      <c r="K476" s="188">
        <f t="shared" si="245"/>
        <v>1</v>
      </c>
      <c r="L476" s="58">
        <f t="shared" si="245"/>
        <v>28628.76232994219</v>
      </c>
      <c r="N476" s="49">
        <f t="shared" si="183"/>
        <v>26825.150303155835</v>
      </c>
      <c r="P476" s="44">
        <f t="shared" si="174"/>
        <v>4.5</v>
      </c>
      <c r="R476" s="49">
        <f t="shared" si="213"/>
        <v>7443.4782057849707</v>
      </c>
      <c r="S476" s="49">
        <f t="shared" si="213"/>
        <v>5293.1400574470899</v>
      </c>
      <c r="T476" s="49">
        <f t="shared" si="213"/>
        <v>5211.7071334863649</v>
      </c>
      <c r="U476" s="49">
        <f t="shared" si="213"/>
        <v>5211.7071334863649</v>
      </c>
      <c r="V476" s="49">
        <f t="shared" si="213"/>
        <v>2605.8535667431825</v>
      </c>
      <c r="X476" s="49">
        <f t="shared" si="214"/>
        <v>636.19471844315979</v>
      </c>
      <c r="Y476" s="49">
        <f t="shared" si="214"/>
        <v>636.1947184431599</v>
      </c>
      <c r="Z476" s="49">
        <f t="shared" si="214"/>
        <v>636.1947184431599</v>
      </c>
      <c r="AA476" s="49">
        <f t="shared" si="214"/>
        <v>636.1947184431599</v>
      </c>
      <c r="AB476" s="49">
        <f t="shared" si="214"/>
        <v>318.09735922157995</v>
      </c>
      <c r="AD476" s="49">
        <f t="shared" si="184"/>
        <v>20549.089405714061</v>
      </c>
      <c r="AE476" s="49">
        <f t="shared" si="185"/>
        <v>14619.754629823812</v>
      </c>
      <c r="AF476" s="49">
        <f t="shared" si="186"/>
        <v>8771.852777894288</v>
      </c>
      <c r="AG476" s="49">
        <f t="shared" si="187"/>
        <v>2923.950925964763</v>
      </c>
      <c r="AH476" s="49">
        <f t="shared" si="188"/>
        <v>5.6843418860808015E-13</v>
      </c>
      <c r="AJ476" s="49">
        <f t="shared" si="175"/>
        <v>8167.5429299695352</v>
      </c>
      <c r="AK476" s="49">
        <f t="shared" si="176"/>
        <v>5966.7479876535126</v>
      </c>
      <c r="AL476" s="49">
        <f t="shared" si="177"/>
        <v>5726.0608168445733</v>
      </c>
      <c r="AM476" s="49">
        <f t="shared" si="178"/>
        <v>5561.676295786835</v>
      </c>
      <c r="AN476" s="49">
        <f t="shared" si="179"/>
        <v>2739.7420176289825</v>
      </c>
    </row>
    <row r="477" spans="2:40">
      <c r="B477" s="43" t="str">
        <f t="shared" si="172"/>
        <v>Asset 189</v>
      </c>
      <c r="F477" s="43" t="str">
        <f t="shared" ref="F477:L477" si="246">F229</f>
        <v>20 Kantoorgebouwen</v>
      </c>
      <c r="G477" s="43">
        <f t="shared" si="246"/>
        <v>2017</v>
      </c>
      <c r="H477" s="58">
        <f t="shared" si="246"/>
        <v>1235103.6006231268</v>
      </c>
      <c r="I477" s="43">
        <f t="shared" si="246"/>
        <v>2021</v>
      </c>
      <c r="J477" s="58">
        <f t="shared" si="246"/>
        <v>30</v>
      </c>
      <c r="K477" s="188">
        <f t="shared" si="246"/>
        <v>0</v>
      </c>
      <c r="L477" s="58">
        <f t="shared" si="246"/>
        <v>1123005.4133120223</v>
      </c>
      <c r="N477" s="49">
        <f t="shared" si="183"/>
        <v>1123005.4133120223</v>
      </c>
      <c r="P477" s="44">
        <f t="shared" si="174"/>
        <v>25.5</v>
      </c>
      <c r="R477" s="49">
        <f t="shared" si="213"/>
        <v>51526.130728433964</v>
      </c>
      <c r="S477" s="49">
        <f t="shared" si="213"/>
        <v>48899.308377572626</v>
      </c>
      <c r="T477" s="49">
        <f t="shared" si="213"/>
        <v>46406.402460284604</v>
      </c>
      <c r="U477" s="49">
        <f t="shared" si="213"/>
        <v>44040.585864270091</v>
      </c>
      <c r="V477" s="49">
        <f t="shared" si="213"/>
        <v>41795.379526091616</v>
      </c>
      <c r="X477" s="49">
        <f t="shared" si="214"/>
        <v>4403.9427973020483</v>
      </c>
      <c r="Y477" s="49">
        <f t="shared" si="214"/>
        <v>4403.9427973020483</v>
      </c>
      <c r="Z477" s="49">
        <f t="shared" si="214"/>
        <v>4403.9427973020483</v>
      </c>
      <c r="AA477" s="49">
        <f t="shared" si="214"/>
        <v>4403.9427973020483</v>
      </c>
      <c r="AB477" s="49">
        <f t="shared" si="214"/>
        <v>4403.9427973020483</v>
      </c>
      <c r="AD477" s="49">
        <f t="shared" si="184"/>
        <v>1067075.3397862862</v>
      </c>
      <c r="AE477" s="49">
        <f t="shared" si="185"/>
        <v>1013772.0886114116</v>
      </c>
      <c r="AF477" s="49">
        <f t="shared" si="186"/>
        <v>962961.74335382495</v>
      </c>
      <c r="AG477" s="49">
        <f t="shared" si="187"/>
        <v>914517.2146922528</v>
      </c>
      <c r="AH477" s="49">
        <f t="shared" si="188"/>
        <v>868317.89236885915</v>
      </c>
      <c r="AJ477" s="49">
        <f t="shared" si="175"/>
        <v>89009.409059110883</v>
      </c>
      <c r="AK477" s="49">
        <f t="shared" si="176"/>
        <v>83716.413833217026</v>
      </c>
      <c r="AL477" s="49">
        <f t="shared" si="177"/>
        <v>79699.197558201398</v>
      </c>
      <c r="AM477" s="49">
        <f t="shared" si="178"/>
        <v>75880.045102339733</v>
      </c>
      <c r="AN477" s="49">
        <f t="shared" si="179"/>
        <v>72248.859094459447</v>
      </c>
    </row>
    <row r="478" spans="2:40">
      <c r="B478" s="43" t="str">
        <f t="shared" si="172"/>
        <v>Asset 190</v>
      </c>
      <c r="F478" s="43" t="str">
        <f t="shared" ref="F478:L478" si="247">F230</f>
        <v>13 Aanhangwagens</v>
      </c>
      <c r="G478" s="43">
        <f t="shared" si="247"/>
        <v>2017</v>
      </c>
      <c r="H478" s="58">
        <f t="shared" si="247"/>
        <v>251242.94461834809</v>
      </c>
      <c r="I478" s="43">
        <f t="shared" si="247"/>
        <v>2021</v>
      </c>
      <c r="J478" s="58">
        <f t="shared" si="247"/>
        <v>10</v>
      </c>
      <c r="K478" s="188">
        <f t="shared" si="247"/>
        <v>1</v>
      </c>
      <c r="L478" s="58">
        <f t="shared" si="247"/>
        <v>147814.18069019204</v>
      </c>
      <c r="N478" s="49">
        <f t="shared" si="183"/>
        <v>138501.88730670995</v>
      </c>
      <c r="P478" s="44">
        <f t="shared" si="174"/>
        <v>5.5</v>
      </c>
      <c r="R478" s="49">
        <f t="shared" si="213"/>
        <v>31444.107528640856</v>
      </c>
      <c r="S478" s="49">
        <f t="shared" si="213"/>
        <v>24011.863930962107</v>
      </c>
      <c r="T478" s="49">
        <f t="shared" si="213"/>
        <v>22164.797474734252</v>
      </c>
      <c r="U478" s="49">
        <f t="shared" si="213"/>
        <v>22164.797474734252</v>
      </c>
      <c r="V478" s="49">
        <f t="shared" si="213"/>
        <v>22164.797474734252</v>
      </c>
      <c r="X478" s="49">
        <f t="shared" si="214"/>
        <v>2687.5305580034919</v>
      </c>
      <c r="Y478" s="49">
        <f t="shared" si="214"/>
        <v>2687.5305580034919</v>
      </c>
      <c r="Z478" s="49">
        <f t="shared" si="214"/>
        <v>2687.5305580034919</v>
      </c>
      <c r="AA478" s="49">
        <f t="shared" si="214"/>
        <v>2687.5305580034919</v>
      </c>
      <c r="AB478" s="49">
        <f t="shared" si="214"/>
        <v>2687.5305580034919</v>
      </c>
      <c r="AD478" s="49">
        <f t="shared" si="184"/>
        <v>113682.54260354768</v>
      </c>
      <c r="AE478" s="49">
        <f t="shared" si="185"/>
        <v>86983.148114582087</v>
      </c>
      <c r="AF478" s="49">
        <f t="shared" si="186"/>
        <v>62130.820081844344</v>
      </c>
      <c r="AG478" s="49">
        <f t="shared" si="187"/>
        <v>37278.4920491066</v>
      </c>
      <c r="AH478" s="49">
        <f t="shared" si="188"/>
        <v>12426.164016368857</v>
      </c>
      <c r="AJ478" s="49">
        <f t="shared" si="175"/>
        <v>35283.481702191006</v>
      </c>
      <c r="AK478" s="49">
        <f t="shared" si="176"/>
        <v>27462.42892966167</v>
      </c>
      <c r="AL478" s="49">
        <f t="shared" si="177"/>
        <v>25033.128719175911</v>
      </c>
      <c r="AM478" s="49">
        <f t="shared" si="178"/>
        <v>24334.529778175653</v>
      </c>
      <c r="AN478" s="49">
        <f t="shared" si="179"/>
        <v>23635.930837175398</v>
      </c>
    </row>
    <row r="479" spans="2:40">
      <c r="B479" s="43" t="str">
        <f t="shared" si="172"/>
        <v>Asset 191</v>
      </c>
      <c r="F479" s="43" t="str">
        <f t="shared" ref="F479:L479" si="248">F231</f>
        <v>12 Motorvoertuigen</v>
      </c>
      <c r="G479" s="43">
        <f t="shared" si="248"/>
        <v>2017</v>
      </c>
      <c r="H479" s="58">
        <f t="shared" si="248"/>
        <v>342149.84909853589</v>
      </c>
      <c r="I479" s="43">
        <f t="shared" si="248"/>
        <v>2021</v>
      </c>
      <c r="J479" s="58">
        <f t="shared" si="248"/>
        <v>10</v>
      </c>
      <c r="K479" s="188">
        <f t="shared" si="248"/>
        <v>1</v>
      </c>
      <c r="L479" s="58">
        <f t="shared" si="248"/>
        <v>201297.59143922853</v>
      </c>
      <c r="N479" s="49">
        <f t="shared" si="183"/>
        <v>188615.84317855714</v>
      </c>
      <c r="P479" s="44">
        <f t="shared" si="174"/>
        <v>5.5</v>
      </c>
      <c r="R479" s="49">
        <f t="shared" si="213"/>
        <v>42821.487633435885</v>
      </c>
      <c r="S479" s="49">
        <f t="shared" si="213"/>
        <v>32700.0451018965</v>
      </c>
      <c r="T479" s="49">
        <f t="shared" si="213"/>
        <v>30184.657017135232</v>
      </c>
      <c r="U479" s="49">
        <f t="shared" si="213"/>
        <v>30184.657017135232</v>
      </c>
      <c r="V479" s="49">
        <f t="shared" si="213"/>
        <v>30184.657017135232</v>
      </c>
      <c r="X479" s="49">
        <f t="shared" si="214"/>
        <v>3659.9562079859738</v>
      </c>
      <c r="Y479" s="49">
        <f t="shared" si="214"/>
        <v>3659.9562079859734</v>
      </c>
      <c r="Z479" s="49">
        <f t="shared" si="214"/>
        <v>3659.9562079859734</v>
      </c>
      <c r="AA479" s="49">
        <f t="shared" si="214"/>
        <v>3659.9562079859734</v>
      </c>
      <c r="AB479" s="49">
        <f t="shared" si="214"/>
        <v>3659.9562079859734</v>
      </c>
      <c r="AD479" s="49">
        <f t="shared" si="184"/>
        <v>154816.14759780667</v>
      </c>
      <c r="AE479" s="49">
        <f t="shared" si="185"/>
        <v>118456.1462879242</v>
      </c>
      <c r="AF479" s="49">
        <f t="shared" si="186"/>
        <v>84611.533062802991</v>
      </c>
      <c r="AG479" s="49">
        <f t="shared" si="187"/>
        <v>50766.91983768178</v>
      </c>
      <c r="AH479" s="49">
        <f t="shared" si="188"/>
        <v>16922.306612560576</v>
      </c>
      <c r="AJ479" s="49">
        <f t="shared" si="175"/>
        <v>48050.057518685775</v>
      </c>
      <c r="AK479" s="49">
        <f t="shared" si="176"/>
        <v>37399.123499513429</v>
      </c>
      <c r="AL479" s="49">
        <f t="shared" si="177"/>
        <v>34090.832786333958</v>
      </c>
      <c r="AM479" s="49">
        <f t="shared" si="178"/>
        <v>33139.460708575803</v>
      </c>
      <c r="AN479" s="49">
        <f t="shared" si="179"/>
        <v>32188.088630817649</v>
      </c>
    </row>
    <row r="480" spans="2:40">
      <c r="B480" s="43" t="str">
        <f t="shared" si="172"/>
        <v>Asset 192</v>
      </c>
      <c r="F480" s="43" t="str">
        <f t="shared" ref="F480:L480" si="249">F232</f>
        <v>10 Gereedschap (gaschromatografen en comptabele meters)</v>
      </c>
      <c r="G480" s="43">
        <f t="shared" si="249"/>
        <v>2017</v>
      </c>
      <c r="H480" s="58">
        <f t="shared" si="249"/>
        <v>492613.45921199484</v>
      </c>
      <c r="I480" s="43">
        <f t="shared" si="249"/>
        <v>2021</v>
      </c>
      <c r="J480" s="58">
        <f t="shared" si="249"/>
        <v>10</v>
      </c>
      <c r="K480" s="188">
        <f t="shared" si="249"/>
        <v>0</v>
      </c>
      <c r="L480" s="58">
        <f t="shared" si="249"/>
        <v>289820.09815635922</v>
      </c>
      <c r="N480" s="49">
        <f t="shared" si="183"/>
        <v>289820.09815635922</v>
      </c>
      <c r="P480" s="44">
        <f t="shared" si="174"/>
        <v>5.5</v>
      </c>
      <c r="R480" s="49">
        <f t="shared" si="213"/>
        <v>61652.639062352777</v>
      </c>
      <c r="S480" s="49">
        <f t="shared" si="213"/>
        <v>47080.197102160309</v>
      </c>
      <c r="T480" s="49">
        <f t="shared" si="213"/>
        <v>43458.643478917205</v>
      </c>
      <c r="U480" s="49">
        <f t="shared" si="213"/>
        <v>43458.643478917205</v>
      </c>
      <c r="V480" s="49">
        <f t="shared" si="213"/>
        <v>43458.643478917205</v>
      </c>
      <c r="X480" s="49">
        <f t="shared" si="214"/>
        <v>5269.4563301156222</v>
      </c>
      <c r="Y480" s="49">
        <f t="shared" si="214"/>
        <v>5269.4563301156222</v>
      </c>
      <c r="Z480" s="49">
        <f t="shared" si="214"/>
        <v>5269.4563301156222</v>
      </c>
      <c r="AA480" s="49">
        <f t="shared" si="214"/>
        <v>5269.4563301156222</v>
      </c>
      <c r="AB480" s="49">
        <f t="shared" si="214"/>
        <v>5269.4563301156222</v>
      </c>
      <c r="AD480" s="49">
        <f t="shared" si="184"/>
        <v>222898.00276389084</v>
      </c>
      <c r="AE480" s="49">
        <f t="shared" si="185"/>
        <v>170548.34933161491</v>
      </c>
      <c r="AF480" s="49">
        <f t="shared" si="186"/>
        <v>121820.24952258209</v>
      </c>
      <c r="AG480" s="49">
        <f t="shared" si="187"/>
        <v>73092.149713549268</v>
      </c>
      <c r="AH480" s="49">
        <f t="shared" si="188"/>
        <v>24364.04990451644</v>
      </c>
      <c r="AJ480" s="49">
        <f t="shared" si="175"/>
        <v>73831.933478149018</v>
      </c>
      <c r="AK480" s="49">
        <f t="shared" si="176"/>
        <v>57466.103912224382</v>
      </c>
      <c r="AL480" s="49">
        <f t="shared" si="177"/>
        <v>52382.707294710293</v>
      </c>
      <c r="AM480" s="49">
        <f t="shared" si="178"/>
        <v>50920.864300439309</v>
      </c>
      <c r="AN480" s="49">
        <f t="shared" si="179"/>
        <v>49459.021306168324</v>
      </c>
    </row>
    <row r="481" spans="2:40">
      <c r="B481" s="43" t="str">
        <f t="shared" si="172"/>
        <v>Asset 193</v>
      </c>
      <c r="F481" s="43" t="str">
        <f t="shared" ref="F481:L481" si="250">F233</f>
        <v>11 Werktuigen</v>
      </c>
      <c r="G481" s="43">
        <f t="shared" si="250"/>
        <v>2017</v>
      </c>
      <c r="H481" s="58">
        <f t="shared" si="250"/>
        <v>2185364.6124668787</v>
      </c>
      <c r="I481" s="43">
        <f t="shared" si="250"/>
        <v>2021</v>
      </c>
      <c r="J481" s="58">
        <f t="shared" si="250"/>
        <v>10</v>
      </c>
      <c r="K481" s="188">
        <f t="shared" si="250"/>
        <v>1</v>
      </c>
      <c r="L481" s="58">
        <f t="shared" si="250"/>
        <v>1285719.20772473</v>
      </c>
      <c r="N481" s="49">
        <f t="shared" si="183"/>
        <v>1204718.897638072</v>
      </c>
      <c r="P481" s="44">
        <f t="shared" si="174"/>
        <v>5.5</v>
      </c>
      <c r="R481" s="49">
        <f t="shared" si="213"/>
        <v>273507.54055235168</v>
      </c>
      <c r="S481" s="49">
        <f t="shared" si="213"/>
        <v>208860.30369452311</v>
      </c>
      <c r="T481" s="49">
        <f t="shared" si="213"/>
        <v>192794.1264872521</v>
      </c>
      <c r="U481" s="49">
        <f t="shared" si="213"/>
        <v>192794.1264872521</v>
      </c>
      <c r="V481" s="49">
        <f t="shared" si="213"/>
        <v>192794.1264872521</v>
      </c>
      <c r="X481" s="49">
        <f t="shared" si="214"/>
        <v>23376.712867722366</v>
      </c>
      <c r="Y481" s="49">
        <f t="shared" si="214"/>
        <v>23376.712867722366</v>
      </c>
      <c r="Z481" s="49">
        <f t="shared" si="214"/>
        <v>23376.712867722366</v>
      </c>
      <c r="AA481" s="49">
        <f t="shared" si="214"/>
        <v>23376.712867722366</v>
      </c>
      <c r="AB481" s="49">
        <f t="shared" si="214"/>
        <v>23376.712867722366</v>
      </c>
      <c r="AD481" s="49">
        <f t="shared" si="184"/>
        <v>988834.95430465601</v>
      </c>
      <c r="AE481" s="49">
        <f t="shared" si="185"/>
        <v>756597.93774241046</v>
      </c>
      <c r="AF481" s="49">
        <f t="shared" si="186"/>
        <v>540427.09838743601</v>
      </c>
      <c r="AG481" s="49">
        <f t="shared" si="187"/>
        <v>324256.25903246156</v>
      </c>
      <c r="AH481" s="49">
        <f t="shared" si="188"/>
        <v>108085.41967748709</v>
      </c>
      <c r="AJ481" s="49">
        <f t="shared" si="175"/>
        <v>306903.23437229678</v>
      </c>
      <c r="AK481" s="49">
        <f t="shared" si="176"/>
        <v>238874.0525487632</v>
      </c>
      <c r="AL481" s="49">
        <f t="shared" si="177"/>
        <v>217743.48221128189</v>
      </c>
      <c r="AM481" s="49">
        <f t="shared" si="178"/>
        <v>211666.91991701355</v>
      </c>
      <c r="AN481" s="49">
        <f t="shared" si="179"/>
        <v>205590.35762274524</v>
      </c>
    </row>
    <row r="482" spans="2:40">
      <c r="B482" s="43" t="str">
        <f t="shared" ref="B482:B531" si="251">B234</f>
        <v>Asset 194</v>
      </c>
      <c r="F482" s="43" t="str">
        <f t="shared" ref="F482:L482" si="252">F234</f>
        <v>14 Overig rollend materieel</v>
      </c>
      <c r="G482" s="43">
        <f t="shared" si="252"/>
        <v>2017</v>
      </c>
      <c r="H482" s="58">
        <f t="shared" si="252"/>
        <v>68624.022512808762</v>
      </c>
      <c r="I482" s="43">
        <f t="shared" si="252"/>
        <v>2021</v>
      </c>
      <c r="J482" s="58">
        <f t="shared" si="252"/>
        <v>10</v>
      </c>
      <c r="K482" s="188">
        <f t="shared" si="252"/>
        <v>1</v>
      </c>
      <c r="L482" s="58">
        <f t="shared" si="252"/>
        <v>40373.685632465487</v>
      </c>
      <c r="N482" s="49">
        <f t="shared" si="183"/>
        <v>37830.143437620165</v>
      </c>
      <c r="P482" s="44">
        <f t="shared" ref="P482:P531" si="253">MAX(0,IF(G482&lt;=2021, J482-2021+G482-0.5,J482))</f>
        <v>5.5</v>
      </c>
      <c r="R482" s="49">
        <f t="shared" si="213"/>
        <v>8588.5840345426586</v>
      </c>
      <c r="S482" s="49">
        <f t="shared" si="213"/>
        <v>6558.5550809234837</v>
      </c>
      <c r="T482" s="49">
        <f t="shared" si="213"/>
        <v>6054.0508439293699</v>
      </c>
      <c r="U482" s="49">
        <f t="shared" si="213"/>
        <v>6054.0508439293699</v>
      </c>
      <c r="V482" s="49">
        <f t="shared" si="213"/>
        <v>6054.0508439293699</v>
      </c>
      <c r="X482" s="49">
        <f t="shared" si="214"/>
        <v>734.0670114993726</v>
      </c>
      <c r="Y482" s="49">
        <f t="shared" si="214"/>
        <v>734.06701149937248</v>
      </c>
      <c r="Z482" s="49">
        <f t="shared" si="214"/>
        <v>734.06701149937248</v>
      </c>
      <c r="AA482" s="49">
        <f t="shared" si="214"/>
        <v>734.06701149937248</v>
      </c>
      <c r="AB482" s="49">
        <f t="shared" si="214"/>
        <v>734.06701149937248</v>
      </c>
      <c r="AD482" s="49">
        <f t="shared" si="184"/>
        <v>31051.034586423455</v>
      </c>
      <c r="AE482" s="49">
        <f t="shared" si="185"/>
        <v>23758.412494000597</v>
      </c>
      <c r="AF482" s="49">
        <f t="shared" si="186"/>
        <v>16970.294638571853</v>
      </c>
      <c r="AG482" s="49">
        <f t="shared" si="187"/>
        <v>10182.176783143112</v>
      </c>
      <c r="AH482" s="49">
        <f t="shared" si="188"/>
        <v>3394.058927714369</v>
      </c>
      <c r="AJ482" s="49">
        <f t="shared" ref="AJ482:AJ531" si="254">(R482+X482+AD482*I$16)*IF($K482=1,$F$19,1)</f>
        <v>9637.2634317732263</v>
      </c>
      <c r="AK482" s="49">
        <f t="shared" ref="AK482:AK531" si="255">(S482+Y482+AE482*J$16)*IF($K482=1,$F$19,1)</f>
        <v>7501.035875806574</v>
      </c>
      <c r="AL482" s="49">
        <f t="shared" ref="AL482:AL531" si="256">(T482+Z482+AF482*K$16)*IF($K482=1,$F$19,1)</f>
        <v>6837.5014128269868</v>
      </c>
      <c r="AM482" s="49">
        <f t="shared" ref="AM482:AM531" si="257">(U482+AA482+AG482*L$16)*IF($K482=1,$F$19,1)</f>
        <v>6646.6874199108852</v>
      </c>
      <c r="AN482" s="49">
        <f t="shared" ref="AN482:AN531" si="258">(V482+AB482+AH482*M$16)*IF($K482=1,$F$19,1)</f>
        <v>6455.8734269947836</v>
      </c>
    </row>
    <row r="483" spans="2:40">
      <c r="B483" s="43" t="str">
        <f t="shared" si="251"/>
        <v>Asset 195</v>
      </c>
      <c r="F483" s="43" t="str">
        <f t="shared" ref="F483:L483" si="259">F235</f>
        <v>09 Bedrijfsinventaris</v>
      </c>
      <c r="G483" s="43">
        <f t="shared" si="259"/>
        <v>2017</v>
      </c>
      <c r="H483" s="58">
        <f t="shared" si="259"/>
        <v>75086.588886849713</v>
      </c>
      <c r="I483" s="43">
        <f t="shared" si="259"/>
        <v>2021</v>
      </c>
      <c r="J483" s="58">
        <f t="shared" si="259"/>
        <v>10</v>
      </c>
      <c r="K483" s="188">
        <f t="shared" si="259"/>
        <v>1</v>
      </c>
      <c r="L483" s="58">
        <f t="shared" si="259"/>
        <v>44175.81808711389</v>
      </c>
      <c r="N483" s="49">
        <f t="shared" si="183"/>
        <v>41392.741547625716</v>
      </c>
      <c r="P483" s="44">
        <f t="shared" si="253"/>
        <v>5.5</v>
      </c>
      <c r="R483" s="49">
        <f t="shared" si="213"/>
        <v>9397.4013021678638</v>
      </c>
      <c r="S483" s="49">
        <f t="shared" si="213"/>
        <v>7176.197358019097</v>
      </c>
      <c r="T483" s="49">
        <f t="shared" si="213"/>
        <v>6624.1821766330122</v>
      </c>
      <c r="U483" s="49">
        <f t="shared" si="213"/>
        <v>6624.1821766330122</v>
      </c>
      <c r="V483" s="49">
        <f t="shared" si="213"/>
        <v>6624.1821766330122</v>
      </c>
      <c r="X483" s="49">
        <f t="shared" si="214"/>
        <v>803.19669249297988</v>
      </c>
      <c r="Y483" s="49">
        <f t="shared" si="214"/>
        <v>803.19669249297988</v>
      </c>
      <c r="Z483" s="49">
        <f t="shared" si="214"/>
        <v>803.19669249297988</v>
      </c>
      <c r="AA483" s="49">
        <f t="shared" si="214"/>
        <v>803.19669249297988</v>
      </c>
      <c r="AB483" s="49">
        <f t="shared" si="214"/>
        <v>803.19669249297988</v>
      </c>
      <c r="AD483" s="49">
        <f t="shared" si="184"/>
        <v>33975.220092453048</v>
      </c>
      <c r="AE483" s="49">
        <f t="shared" si="185"/>
        <v>25995.826041940971</v>
      </c>
      <c r="AF483" s="49">
        <f t="shared" si="186"/>
        <v>18568.44717281498</v>
      </c>
      <c r="AG483" s="49">
        <f t="shared" si="187"/>
        <v>11141.068303688988</v>
      </c>
      <c r="AH483" s="49">
        <f t="shared" si="188"/>
        <v>3713.6894345629958</v>
      </c>
      <c r="AJ483" s="49">
        <f t="shared" si="254"/>
        <v>10544.838539022696</v>
      </c>
      <c r="AK483" s="49">
        <f t="shared" si="255"/>
        <v>8207.4348953687786</v>
      </c>
      <c r="AL483" s="49">
        <f t="shared" si="256"/>
        <v>7481.4130503988845</v>
      </c>
      <c r="AM483" s="49">
        <f t="shared" si="257"/>
        <v>7272.6294303877521</v>
      </c>
      <c r="AN483" s="49">
        <f t="shared" si="258"/>
        <v>7063.8458103766216</v>
      </c>
    </row>
    <row r="484" spans="2:40">
      <c r="B484" s="43" t="str">
        <f t="shared" si="251"/>
        <v>Asset 196</v>
      </c>
      <c r="F484" s="43" t="str">
        <f t="shared" ref="F484:L484" si="260">F236</f>
        <v>08 Inrichting gebouwen</v>
      </c>
      <c r="G484" s="43">
        <f t="shared" si="260"/>
        <v>2017</v>
      </c>
      <c r="H484" s="58">
        <f t="shared" si="260"/>
        <v>894081.48176313401</v>
      </c>
      <c r="I484" s="43">
        <f t="shared" si="260"/>
        <v>2021</v>
      </c>
      <c r="J484" s="58">
        <f t="shared" si="260"/>
        <v>10</v>
      </c>
      <c r="K484" s="188">
        <f t="shared" si="260"/>
        <v>0</v>
      </c>
      <c r="L484" s="58">
        <f t="shared" si="260"/>
        <v>526016.44952794898</v>
      </c>
      <c r="N484" s="49">
        <f t="shared" si="183"/>
        <v>526016.44952794898</v>
      </c>
      <c r="P484" s="44">
        <f t="shared" si="253"/>
        <v>5.5</v>
      </c>
      <c r="R484" s="49">
        <f t="shared" si="213"/>
        <v>111898.0447177637</v>
      </c>
      <c r="S484" s="49">
        <f t="shared" si="213"/>
        <v>85449.415966292276</v>
      </c>
      <c r="T484" s="49">
        <f t="shared" si="213"/>
        <v>78876.383968885188</v>
      </c>
      <c r="U484" s="49">
        <f t="shared" si="213"/>
        <v>78876.383968885188</v>
      </c>
      <c r="V484" s="49">
        <f t="shared" si="213"/>
        <v>78876.383968885188</v>
      </c>
      <c r="X484" s="49">
        <f t="shared" si="214"/>
        <v>9563.9354459627102</v>
      </c>
      <c r="Y484" s="49">
        <f t="shared" si="214"/>
        <v>9563.9354459627102</v>
      </c>
      <c r="Z484" s="49">
        <f t="shared" si="214"/>
        <v>9563.9354459627102</v>
      </c>
      <c r="AA484" s="49">
        <f t="shared" si="214"/>
        <v>9563.9354459627102</v>
      </c>
      <c r="AB484" s="49">
        <f t="shared" si="214"/>
        <v>9563.9354459627102</v>
      </c>
      <c r="AD484" s="49">
        <f t="shared" si="184"/>
        <v>404554.4693642226</v>
      </c>
      <c r="AE484" s="49">
        <f t="shared" si="185"/>
        <v>309541.11795196764</v>
      </c>
      <c r="AF484" s="49">
        <f t="shared" si="186"/>
        <v>221100.79853711976</v>
      </c>
      <c r="AG484" s="49">
        <f t="shared" si="187"/>
        <v>132660.47912227188</v>
      </c>
      <c r="AH484" s="49">
        <f t="shared" si="188"/>
        <v>44220.159707423983</v>
      </c>
      <c r="AJ484" s="49">
        <f t="shared" si="254"/>
        <v>134003.16871401732</v>
      </c>
      <c r="AK484" s="49">
        <f t="shared" si="255"/>
        <v>104299.58495081401</v>
      </c>
      <c r="AL484" s="49">
        <f t="shared" si="256"/>
        <v>95073.343370961491</v>
      </c>
      <c r="AM484" s="49">
        <f t="shared" si="257"/>
        <v>92420.133788516046</v>
      </c>
      <c r="AN484" s="49">
        <f t="shared" si="258"/>
        <v>89766.924206070616</v>
      </c>
    </row>
    <row r="485" spans="2:40">
      <c r="B485" s="43" t="str">
        <f t="shared" si="251"/>
        <v>Asset 197</v>
      </c>
      <c r="F485" s="43" t="str">
        <f t="shared" ref="F485:L485" si="261">F237</f>
        <v>09 Bedrijfsinventaris</v>
      </c>
      <c r="G485" s="43">
        <f t="shared" si="261"/>
        <v>2018</v>
      </c>
      <c r="H485" s="58">
        <f t="shared" si="261"/>
        <v>490885.08786120504</v>
      </c>
      <c r="I485" s="43">
        <f t="shared" si="261"/>
        <v>2021</v>
      </c>
      <c r="J485" s="58">
        <f t="shared" si="261"/>
        <v>10</v>
      </c>
      <c r="K485" s="188">
        <f t="shared" si="261"/>
        <v>1</v>
      </c>
      <c r="L485" s="58">
        <f t="shared" si="261"/>
        <v>336600.51580018562</v>
      </c>
      <c r="N485" s="49">
        <f t="shared" ref="N485:N531" si="262">L485*IF(K485=1,$F$19,1)</f>
        <v>315394.68330477393</v>
      </c>
      <c r="P485" s="44">
        <f t="shared" si="253"/>
        <v>6.5</v>
      </c>
      <c r="R485" s="49">
        <f t="shared" si="213"/>
        <v>60588.092844033417</v>
      </c>
      <c r="S485" s="49">
        <f t="shared" si="213"/>
        <v>48470.474275226734</v>
      </c>
      <c r="T485" s="49">
        <f t="shared" si="213"/>
        <v>43084.866022423761</v>
      </c>
      <c r="U485" s="49">
        <f t="shared" si="213"/>
        <v>43084.866022423761</v>
      </c>
      <c r="V485" s="49">
        <f t="shared" si="213"/>
        <v>43084.866022423761</v>
      </c>
      <c r="X485" s="49">
        <f t="shared" si="214"/>
        <v>5178.4694738490098</v>
      </c>
      <c r="Y485" s="49">
        <f t="shared" si="214"/>
        <v>5178.4694738490089</v>
      </c>
      <c r="Z485" s="49">
        <f t="shared" si="214"/>
        <v>5178.4694738490089</v>
      </c>
      <c r="AA485" s="49">
        <f t="shared" si="214"/>
        <v>5178.4694738490089</v>
      </c>
      <c r="AB485" s="49">
        <f t="shared" si="214"/>
        <v>5178.4694738490089</v>
      </c>
      <c r="AD485" s="49">
        <f t="shared" ref="AD485:AD531" si="263">IF(OR(AD$287&lt;=$G485+$J485,$J485=0),IF(AC485=0,$L485,AC485)-R485-X485,0)</f>
        <v>270833.95348230319</v>
      </c>
      <c r="AE485" s="49">
        <f t="shared" ref="AE485:AE531" si="264">IF(OR(AE$287&lt;=$G485+$J485,$J485=0),IF(AD485=0,$L485,AD485)-S485-Y485,0)</f>
        <v>217185.00973322743</v>
      </c>
      <c r="AF485" s="49">
        <f t="shared" ref="AF485:AF531" si="265">IF(OR(AF$287&lt;=$G485+$J485,$J485=0),IF(AE485=0,$L485,AE485)-T485-Z485,0)</f>
        <v>168921.67423695466</v>
      </c>
      <c r="AG485" s="49">
        <f t="shared" ref="AG485:AG531" si="266">IF(OR(AG$287&lt;=$G485+$J485,$J485=0),IF(AF485=0,$L485,AF485)-U485-AA485,0)</f>
        <v>120658.33874068189</v>
      </c>
      <c r="AH485" s="49">
        <f t="shared" ref="AH485:AH531" si="267">IF(OR(AH$287&lt;=$G485+$J485,$J485=0),IF(AG485=0,$L485,AG485)-V485-AB485,0)</f>
        <v>72395.003244409119</v>
      </c>
      <c r="AJ485" s="49">
        <f t="shared" si="254"/>
        <v>69490.182738656295</v>
      </c>
      <c r="AK485" s="49">
        <f t="shared" si="255"/>
        <v>56374.130916484995</v>
      </c>
      <c r="AL485" s="49">
        <f t="shared" si="256"/>
        <v>49971.133622808382</v>
      </c>
      <c r="AM485" s="49">
        <f t="shared" si="257"/>
        <v>48614.451262008159</v>
      </c>
      <c r="AN485" s="49">
        <f t="shared" si="258"/>
        <v>47257.768901207928</v>
      </c>
    </row>
    <row r="486" spans="2:40">
      <c r="B486" s="43" t="str">
        <f t="shared" si="251"/>
        <v>Asset 198</v>
      </c>
      <c r="F486" s="43" t="str">
        <f t="shared" ref="F486:L486" si="268">F238</f>
        <v>08 Inrichting gebouwen</v>
      </c>
      <c r="G486" s="43">
        <f t="shared" si="268"/>
        <v>2018</v>
      </c>
      <c r="H486" s="58">
        <f t="shared" si="268"/>
        <v>533703.76265516167</v>
      </c>
      <c r="I486" s="43">
        <f t="shared" si="268"/>
        <v>2021</v>
      </c>
      <c r="J486" s="58">
        <f t="shared" si="268"/>
        <v>10</v>
      </c>
      <c r="K486" s="188">
        <f t="shared" si="268"/>
        <v>0</v>
      </c>
      <c r="L486" s="58">
        <f t="shared" si="268"/>
        <v>365961.33440708811</v>
      </c>
      <c r="N486" s="49">
        <f t="shared" si="262"/>
        <v>365961.33440708811</v>
      </c>
      <c r="P486" s="44">
        <f t="shared" si="253"/>
        <v>6.5</v>
      </c>
      <c r="R486" s="49">
        <f t="shared" si="213"/>
        <v>65873.040193275869</v>
      </c>
      <c r="S486" s="49">
        <f t="shared" si="213"/>
        <v>52698.432154620699</v>
      </c>
      <c r="T486" s="49">
        <f t="shared" si="213"/>
        <v>46843.050804107283</v>
      </c>
      <c r="U486" s="49">
        <f t="shared" si="213"/>
        <v>46843.050804107283</v>
      </c>
      <c r="V486" s="49">
        <f t="shared" si="213"/>
        <v>46843.050804107283</v>
      </c>
      <c r="X486" s="49">
        <f t="shared" si="214"/>
        <v>5630.1743754936642</v>
      </c>
      <c r="Y486" s="49">
        <f t="shared" si="214"/>
        <v>5630.1743754936633</v>
      </c>
      <c r="Z486" s="49">
        <f t="shared" si="214"/>
        <v>5630.1743754936633</v>
      </c>
      <c r="AA486" s="49">
        <f t="shared" si="214"/>
        <v>5630.1743754936633</v>
      </c>
      <c r="AB486" s="49">
        <f t="shared" si="214"/>
        <v>5630.1743754936633</v>
      </c>
      <c r="AD486" s="49">
        <f t="shared" si="263"/>
        <v>294458.11983831855</v>
      </c>
      <c r="AE486" s="49">
        <f t="shared" si="264"/>
        <v>236129.51330820419</v>
      </c>
      <c r="AF486" s="49">
        <f t="shared" si="265"/>
        <v>183656.28812860325</v>
      </c>
      <c r="AG486" s="49">
        <f t="shared" si="266"/>
        <v>131183.06294900231</v>
      </c>
      <c r="AH486" s="49">
        <f t="shared" si="267"/>
        <v>78709.837769401376</v>
      </c>
      <c r="AJ486" s="49">
        <f t="shared" si="254"/>
        <v>80631.416283757411</v>
      </c>
      <c r="AK486" s="49">
        <f t="shared" si="255"/>
        <v>65412.491929360483</v>
      </c>
      <c r="AL486" s="49">
        <f t="shared" si="256"/>
        <v>57982.913823459043</v>
      </c>
      <c r="AM486" s="49">
        <f t="shared" si="257"/>
        <v>56408.717068071011</v>
      </c>
      <c r="AN486" s="49">
        <f t="shared" si="258"/>
        <v>54834.520312682987</v>
      </c>
    </row>
    <row r="487" spans="2:40">
      <c r="B487" s="43" t="str">
        <f t="shared" si="251"/>
        <v>Asset 199</v>
      </c>
      <c r="F487" s="43" t="str">
        <f t="shared" ref="F487:L487" si="269">F239</f>
        <v>11 Werktuigen</v>
      </c>
      <c r="G487" s="43">
        <f t="shared" si="269"/>
        <v>2018</v>
      </c>
      <c r="H487" s="58">
        <f t="shared" si="269"/>
        <v>2619455.826851733</v>
      </c>
      <c r="I487" s="43">
        <f t="shared" si="269"/>
        <v>2021</v>
      </c>
      <c r="J487" s="58">
        <f t="shared" si="269"/>
        <v>10</v>
      </c>
      <c r="K487" s="188">
        <f t="shared" si="269"/>
        <v>1</v>
      </c>
      <c r="L487" s="58">
        <f t="shared" si="269"/>
        <v>1796164.1211708463</v>
      </c>
      <c r="N487" s="49">
        <f t="shared" si="262"/>
        <v>1683005.781537083</v>
      </c>
      <c r="P487" s="44">
        <f t="shared" si="253"/>
        <v>6.5</v>
      </c>
      <c r="R487" s="49">
        <f t="shared" si="213"/>
        <v>323309.54181075236</v>
      </c>
      <c r="S487" s="49">
        <f t="shared" si="213"/>
        <v>258647.6334486019</v>
      </c>
      <c r="T487" s="49">
        <f t="shared" si="213"/>
        <v>229909.00750986833</v>
      </c>
      <c r="U487" s="49">
        <f t="shared" si="213"/>
        <v>229909.00750986833</v>
      </c>
      <c r="V487" s="49">
        <f t="shared" si="213"/>
        <v>229909.00750986833</v>
      </c>
      <c r="X487" s="49">
        <f t="shared" si="214"/>
        <v>27633.294171859176</v>
      </c>
      <c r="Y487" s="49">
        <f t="shared" si="214"/>
        <v>27633.294171859172</v>
      </c>
      <c r="Z487" s="49">
        <f t="shared" si="214"/>
        <v>27633.294171859172</v>
      </c>
      <c r="AA487" s="49">
        <f t="shared" si="214"/>
        <v>27633.294171859172</v>
      </c>
      <c r="AB487" s="49">
        <f t="shared" si="214"/>
        <v>27633.294171859172</v>
      </c>
      <c r="AD487" s="49">
        <f t="shared" si="263"/>
        <v>1445221.2851882346</v>
      </c>
      <c r="AE487" s="49">
        <f t="shared" si="264"/>
        <v>1158940.3575677734</v>
      </c>
      <c r="AF487" s="49">
        <f t="shared" si="265"/>
        <v>901398.05588604591</v>
      </c>
      <c r="AG487" s="49">
        <f t="shared" si="266"/>
        <v>643855.75420431839</v>
      </c>
      <c r="AH487" s="49">
        <f t="shared" si="267"/>
        <v>386313.45252259087</v>
      </c>
      <c r="AJ487" s="49">
        <f t="shared" si="254"/>
        <v>370812.77998656966</v>
      </c>
      <c r="AK487" s="49">
        <f t="shared" si="255"/>
        <v>300823.04263160215</v>
      </c>
      <c r="AL487" s="49">
        <f t="shared" si="256"/>
        <v>266655.43602673541</v>
      </c>
      <c r="AM487" s="49">
        <f t="shared" si="257"/>
        <v>259415.92192646206</v>
      </c>
      <c r="AN487" s="49">
        <f t="shared" si="258"/>
        <v>252176.40782618872</v>
      </c>
    </row>
    <row r="488" spans="2:40">
      <c r="B488" s="43" t="str">
        <f t="shared" si="251"/>
        <v>Asset 200</v>
      </c>
      <c r="F488" s="43" t="str">
        <f t="shared" ref="F488:L488" si="270">F240</f>
        <v>10 Gereedschap</v>
      </c>
      <c r="G488" s="43">
        <f t="shared" si="270"/>
        <v>2018</v>
      </c>
      <c r="H488" s="58">
        <f t="shared" si="270"/>
        <v>252164.79428194632</v>
      </c>
      <c r="I488" s="43">
        <f t="shared" si="270"/>
        <v>2021</v>
      </c>
      <c r="J488" s="58">
        <f t="shared" si="270"/>
        <v>10</v>
      </c>
      <c r="K488" s="188">
        <f t="shared" si="270"/>
        <v>1</v>
      </c>
      <c r="L488" s="58">
        <f t="shared" si="270"/>
        <v>172909.7133338665</v>
      </c>
      <c r="N488" s="49">
        <f t="shared" si="262"/>
        <v>162016.40139383293</v>
      </c>
      <c r="P488" s="44">
        <f t="shared" si="253"/>
        <v>6.5</v>
      </c>
      <c r="R488" s="49">
        <f t="shared" si="213"/>
        <v>31123.748400095974</v>
      </c>
      <c r="S488" s="49">
        <f t="shared" si="213"/>
        <v>24898.998720076779</v>
      </c>
      <c r="T488" s="49">
        <f t="shared" si="213"/>
        <v>22132.443306734916</v>
      </c>
      <c r="U488" s="49">
        <f t="shared" si="213"/>
        <v>22132.443306734916</v>
      </c>
      <c r="V488" s="49">
        <f t="shared" si="213"/>
        <v>22132.443306734916</v>
      </c>
      <c r="X488" s="49">
        <f t="shared" si="214"/>
        <v>2660.1494359056387</v>
      </c>
      <c r="Y488" s="49">
        <f t="shared" si="214"/>
        <v>2660.1494359056383</v>
      </c>
      <c r="Z488" s="49">
        <f t="shared" si="214"/>
        <v>2660.1494359056383</v>
      </c>
      <c r="AA488" s="49">
        <f t="shared" si="214"/>
        <v>2660.1494359056383</v>
      </c>
      <c r="AB488" s="49">
        <f t="shared" si="214"/>
        <v>2660.1494359056383</v>
      </c>
      <c r="AD488" s="49">
        <f t="shared" si="263"/>
        <v>139125.81549786488</v>
      </c>
      <c r="AE488" s="49">
        <f t="shared" si="264"/>
        <v>111566.66734188246</v>
      </c>
      <c r="AF488" s="49">
        <f t="shared" si="265"/>
        <v>86774.074599241911</v>
      </c>
      <c r="AG488" s="49">
        <f t="shared" si="266"/>
        <v>61981.481856601356</v>
      </c>
      <c r="AH488" s="49">
        <f t="shared" si="267"/>
        <v>37188.889113960802</v>
      </c>
      <c r="AJ488" s="49">
        <f t="shared" si="254"/>
        <v>35696.699835099993</v>
      </c>
      <c r="AK488" s="49">
        <f t="shared" si="255"/>
        <v>28959.060841135841</v>
      </c>
      <c r="AL488" s="49">
        <f t="shared" si="256"/>
        <v>25669.87863683889</v>
      </c>
      <c r="AM488" s="49">
        <f t="shared" si="257"/>
        <v>24972.958854843266</v>
      </c>
      <c r="AN488" s="49">
        <f t="shared" si="258"/>
        <v>24276.039072847641</v>
      </c>
    </row>
    <row r="489" spans="2:40">
      <c r="B489" s="43" t="str">
        <f t="shared" si="251"/>
        <v>Asset 201</v>
      </c>
      <c r="F489" s="43" t="str">
        <f t="shared" ref="F489:L489" si="271">F241</f>
        <v>11 Werktuigen (KC)</v>
      </c>
      <c r="G489" s="43">
        <f t="shared" si="271"/>
        <v>2018</v>
      </c>
      <c r="H489" s="58">
        <f t="shared" si="271"/>
        <v>13021546.318391869</v>
      </c>
      <c r="I489" s="43">
        <f t="shared" si="271"/>
        <v>2021</v>
      </c>
      <c r="J489" s="58">
        <f t="shared" si="271"/>
        <v>10</v>
      </c>
      <c r="K489" s="188">
        <f t="shared" si="271"/>
        <v>0</v>
      </c>
      <c r="L489" s="58">
        <f t="shared" si="271"/>
        <v>8928890.519742161</v>
      </c>
      <c r="N489" s="49">
        <f t="shared" si="262"/>
        <v>8928890.519742161</v>
      </c>
      <c r="P489" s="44">
        <f t="shared" si="253"/>
        <v>6.5</v>
      </c>
      <c r="R489" s="49">
        <f t="shared" si="213"/>
        <v>1607200.2935535891</v>
      </c>
      <c r="S489" s="49">
        <f t="shared" si="213"/>
        <v>1285760.2348428713</v>
      </c>
      <c r="T489" s="49">
        <f t="shared" si="213"/>
        <v>1142897.9865269968</v>
      </c>
      <c r="U489" s="49">
        <f t="shared" si="213"/>
        <v>1142897.9865269968</v>
      </c>
      <c r="V489" s="49">
        <f t="shared" si="213"/>
        <v>1142897.9865269968</v>
      </c>
      <c r="X489" s="49">
        <f t="shared" si="214"/>
        <v>137367.54645757171</v>
      </c>
      <c r="Y489" s="49">
        <f t="shared" si="214"/>
        <v>137367.54645757171</v>
      </c>
      <c r="Z489" s="49">
        <f t="shared" si="214"/>
        <v>137367.54645757171</v>
      </c>
      <c r="AA489" s="49">
        <f t="shared" si="214"/>
        <v>137367.54645757171</v>
      </c>
      <c r="AB489" s="49">
        <f t="shared" si="214"/>
        <v>137367.54645757171</v>
      </c>
      <c r="AD489" s="49">
        <f t="shared" si="263"/>
        <v>7184322.6797310002</v>
      </c>
      <c r="AE489" s="49">
        <f t="shared" si="264"/>
        <v>5761194.898430557</v>
      </c>
      <c r="AF489" s="49">
        <f t="shared" si="265"/>
        <v>4480929.3654459883</v>
      </c>
      <c r="AG489" s="49">
        <f t="shared" si="266"/>
        <v>3200663.8324614195</v>
      </c>
      <c r="AH489" s="49">
        <f t="shared" si="267"/>
        <v>1920398.299476851</v>
      </c>
      <c r="AJ489" s="49">
        <f t="shared" si="254"/>
        <v>1967281.8430828219</v>
      </c>
      <c r="AK489" s="49">
        <f t="shared" si="255"/>
        <v>1595963.6282533598</v>
      </c>
      <c r="AL489" s="49">
        <f t="shared" si="256"/>
        <v>1414693.4139479483</v>
      </c>
      <c r="AM489" s="49">
        <f t="shared" si="257"/>
        <v>1376285.4479584112</v>
      </c>
      <c r="AN489" s="49">
        <f t="shared" si="258"/>
        <v>1337877.4819688741</v>
      </c>
    </row>
    <row r="490" spans="2:40">
      <c r="B490" s="43" t="str">
        <f t="shared" si="251"/>
        <v>Asset 202</v>
      </c>
      <c r="F490" s="43" t="str">
        <f t="shared" ref="F490:L490" si="272">F242</f>
        <v>20 Kantoorgebouwen</v>
      </c>
      <c r="G490" s="43">
        <f t="shared" si="272"/>
        <v>2018</v>
      </c>
      <c r="H490" s="58">
        <f t="shared" si="272"/>
        <v>5158473.573657441</v>
      </c>
      <c r="I490" s="43">
        <f t="shared" si="272"/>
        <v>2021</v>
      </c>
      <c r="J490" s="58">
        <f t="shared" si="272"/>
        <v>30</v>
      </c>
      <c r="K490" s="188">
        <f t="shared" si="272"/>
        <v>0</v>
      </c>
      <c r="L490" s="58">
        <f t="shared" si="272"/>
        <v>4806925.7125234623</v>
      </c>
      <c r="N490" s="49">
        <f t="shared" si="262"/>
        <v>4806925.7125234623</v>
      </c>
      <c r="P490" s="44">
        <f t="shared" si="253"/>
        <v>26.5</v>
      </c>
      <c r="R490" s="49">
        <f t="shared" si="213"/>
        <v>212230.30504348874</v>
      </c>
      <c r="S490" s="49">
        <f t="shared" si="213"/>
        <v>201819.00706022326</v>
      </c>
      <c r="T490" s="49">
        <f t="shared" si="213"/>
        <v>191918.45199689153</v>
      </c>
      <c r="U490" s="49">
        <f t="shared" si="213"/>
        <v>182503.58454044024</v>
      </c>
      <c r="V490" s="49">
        <f t="shared" si="213"/>
        <v>173550.5785063809</v>
      </c>
      <c r="X490" s="49">
        <f t="shared" si="214"/>
        <v>18139.342311409295</v>
      </c>
      <c r="Y490" s="49">
        <f t="shared" si="214"/>
        <v>18139.342311409295</v>
      </c>
      <c r="Z490" s="49">
        <f t="shared" si="214"/>
        <v>18139.342311409295</v>
      </c>
      <c r="AA490" s="49">
        <f t="shared" si="214"/>
        <v>18139.342311409295</v>
      </c>
      <c r="AB490" s="49">
        <f t="shared" si="214"/>
        <v>18139.342311409295</v>
      </c>
      <c r="AD490" s="49">
        <f t="shared" si="263"/>
        <v>4576556.0651685642</v>
      </c>
      <c r="AE490" s="49">
        <f t="shared" si="264"/>
        <v>4356597.7157969316</v>
      </c>
      <c r="AF490" s="49">
        <f t="shared" si="265"/>
        <v>4146539.9214886306</v>
      </c>
      <c r="AG490" s="49">
        <f t="shared" si="266"/>
        <v>3945896.994636781</v>
      </c>
      <c r="AH490" s="49">
        <f t="shared" si="267"/>
        <v>3754207.073818991</v>
      </c>
      <c r="AJ490" s="49">
        <f t="shared" si="254"/>
        <v>372242.88537512353</v>
      </c>
      <c r="AK490" s="49">
        <f t="shared" si="255"/>
        <v>350656.28084554052</v>
      </c>
      <c r="AL490" s="49">
        <f t="shared" si="256"/>
        <v>334453.99195295974</v>
      </c>
      <c r="AM490" s="49">
        <f t="shared" si="257"/>
        <v>319019.83669095294</v>
      </c>
      <c r="AN490" s="49">
        <f t="shared" si="258"/>
        <v>304316.13303235994</v>
      </c>
    </row>
    <row r="491" spans="2:40">
      <c r="B491" s="43" t="str">
        <f t="shared" si="251"/>
        <v>Asset 203</v>
      </c>
      <c r="F491" s="43" t="str">
        <f t="shared" ref="F491:L491" si="273">F243</f>
        <v>39 ICT middelen 3 (KC)</v>
      </c>
      <c r="G491" s="43">
        <f t="shared" si="273"/>
        <v>2018</v>
      </c>
      <c r="H491" s="58">
        <f t="shared" si="273"/>
        <v>21147142.000000007</v>
      </c>
      <c r="I491" s="43">
        <f t="shared" si="273"/>
        <v>2021</v>
      </c>
      <c r="J491" s="58">
        <f t="shared" si="273"/>
        <v>15</v>
      </c>
      <c r="K491" s="188">
        <f t="shared" si="273"/>
        <v>0</v>
      </c>
      <c r="L491" s="58">
        <f t="shared" si="273"/>
        <v>17103297.263965867</v>
      </c>
      <c r="N491" s="49">
        <f t="shared" si="262"/>
        <v>17103297.263965867</v>
      </c>
      <c r="P491" s="44">
        <f t="shared" si="253"/>
        <v>11.5</v>
      </c>
      <c r="R491" s="49">
        <f t="shared" si="213"/>
        <v>1740074.591203484</v>
      </c>
      <c r="S491" s="49">
        <f t="shared" si="213"/>
        <v>1543370.5069804813</v>
      </c>
      <c r="T491" s="49">
        <f t="shared" si="213"/>
        <v>1368902.5366261662</v>
      </c>
      <c r="U491" s="49">
        <f t="shared" si="213"/>
        <v>1263602.3415010765</v>
      </c>
      <c r="V491" s="49">
        <f t="shared" si="213"/>
        <v>1263602.3415010765</v>
      </c>
      <c r="X491" s="49">
        <f t="shared" si="214"/>
        <v>148724.32403448579</v>
      </c>
      <c r="Y491" s="49">
        <f t="shared" si="214"/>
        <v>148724.32403448582</v>
      </c>
      <c r="Z491" s="49">
        <f t="shared" si="214"/>
        <v>148724.32403448582</v>
      </c>
      <c r="AA491" s="49">
        <f t="shared" si="214"/>
        <v>148724.32403448582</v>
      </c>
      <c r="AB491" s="49">
        <f t="shared" si="214"/>
        <v>148724.32403448582</v>
      </c>
      <c r="AD491" s="49">
        <f t="shared" si="263"/>
        <v>15214498.348727897</v>
      </c>
      <c r="AE491" s="49">
        <f t="shared" si="264"/>
        <v>13522403.51771293</v>
      </c>
      <c r="AF491" s="49">
        <f t="shared" si="265"/>
        <v>12004776.657052279</v>
      </c>
      <c r="AG491" s="49">
        <f t="shared" si="266"/>
        <v>10592449.991516717</v>
      </c>
      <c r="AH491" s="49">
        <f t="shared" si="267"/>
        <v>9180123.325981155</v>
      </c>
      <c r="AJ491" s="49">
        <f t="shared" si="254"/>
        <v>2360448.3640485345</v>
      </c>
      <c r="AK491" s="49">
        <f t="shared" si="255"/>
        <v>2097766.936546355</v>
      </c>
      <c r="AL491" s="49">
        <f t="shared" si="256"/>
        <v>1877770.1603722202</v>
      </c>
      <c r="AM491" s="49">
        <f t="shared" si="257"/>
        <v>1730100.1652810636</v>
      </c>
      <c r="AN491" s="49">
        <f t="shared" si="258"/>
        <v>1687730.3653149968</v>
      </c>
    </row>
    <row r="492" spans="2:40">
      <c r="B492" s="43" t="str">
        <f t="shared" si="251"/>
        <v>Asset 204</v>
      </c>
      <c r="F492" s="43" t="str">
        <f t="shared" ref="F492:L492" si="274">F244</f>
        <v>37 ICT middelen 1 (KC)</v>
      </c>
      <c r="G492" s="43">
        <f t="shared" si="274"/>
        <v>2018</v>
      </c>
      <c r="H492" s="58">
        <f t="shared" si="274"/>
        <v>1669649.9999999995</v>
      </c>
      <c r="I492" s="43">
        <f t="shared" si="274"/>
        <v>2021</v>
      </c>
      <c r="J492" s="58">
        <f t="shared" si="274"/>
        <v>5</v>
      </c>
      <c r="K492" s="188">
        <f t="shared" si="274"/>
        <v>0</v>
      </c>
      <c r="L492" s="58">
        <f t="shared" si="274"/>
        <v>528406.65386783984</v>
      </c>
      <c r="N492" s="49">
        <f t="shared" si="262"/>
        <v>528406.65386783984</v>
      </c>
      <c r="P492" s="44">
        <f t="shared" si="253"/>
        <v>1.5</v>
      </c>
      <c r="R492" s="49">
        <f t="shared" si="213"/>
        <v>412157.19001691509</v>
      </c>
      <c r="S492" s="49">
        <f t="shared" si="213"/>
        <v>63408.798464140797</v>
      </c>
      <c r="T492" s="49">
        <f t="shared" si="213"/>
        <v>0</v>
      </c>
      <c r="U492" s="49">
        <f t="shared" si="213"/>
        <v>0</v>
      </c>
      <c r="V492" s="49">
        <f t="shared" si="213"/>
        <v>0</v>
      </c>
      <c r="X492" s="49">
        <f t="shared" si="214"/>
        <v>35227.110257855988</v>
      </c>
      <c r="Y492" s="49">
        <f t="shared" si="214"/>
        <v>17613.555128927997</v>
      </c>
      <c r="Z492" s="49">
        <f t="shared" si="214"/>
        <v>0</v>
      </c>
      <c r="AA492" s="49">
        <f t="shared" si="214"/>
        <v>0</v>
      </c>
      <c r="AB492" s="49">
        <f t="shared" si="214"/>
        <v>0</v>
      </c>
      <c r="AD492" s="49">
        <f t="shared" si="263"/>
        <v>81022.35359306875</v>
      </c>
      <c r="AE492" s="49">
        <f t="shared" si="264"/>
        <v>-4.3655745685100555E-11</v>
      </c>
      <c r="AF492" s="49">
        <f t="shared" si="265"/>
        <v>0</v>
      </c>
      <c r="AG492" s="49">
        <f t="shared" si="266"/>
        <v>0</v>
      </c>
      <c r="AH492" s="49">
        <f t="shared" si="267"/>
        <v>0</v>
      </c>
      <c r="AJ492" s="49">
        <f t="shared" si="254"/>
        <v>449895.99323615618</v>
      </c>
      <c r="AK492" s="49">
        <f t="shared" si="255"/>
        <v>81022.353593068794</v>
      </c>
      <c r="AL492" s="49">
        <f t="shared" si="256"/>
        <v>0</v>
      </c>
      <c r="AM492" s="49">
        <f t="shared" si="257"/>
        <v>0</v>
      </c>
      <c r="AN492" s="49">
        <f t="shared" si="258"/>
        <v>0</v>
      </c>
    </row>
    <row r="493" spans="2:40">
      <c r="B493" s="43" t="str">
        <f t="shared" si="251"/>
        <v>Asset 205</v>
      </c>
      <c r="F493" s="43" t="str">
        <f t="shared" ref="F493:L493" si="275">F245</f>
        <v>05 Wegen en terreinvoorzieningen</v>
      </c>
      <c r="G493" s="43">
        <f t="shared" si="275"/>
        <v>2017</v>
      </c>
      <c r="H493" s="58">
        <f t="shared" si="275"/>
        <v>41129.587663444909</v>
      </c>
      <c r="I493" s="43">
        <f t="shared" si="275"/>
        <v>2021</v>
      </c>
      <c r="J493" s="58">
        <f t="shared" si="275"/>
        <v>10</v>
      </c>
      <c r="K493" s="188">
        <f t="shared" si="275"/>
        <v>0</v>
      </c>
      <c r="L493" s="58">
        <f t="shared" si="275"/>
        <v>24197.83891576614</v>
      </c>
      <c r="N493" s="49">
        <f t="shared" si="262"/>
        <v>24197.83891576614</v>
      </c>
      <c r="P493" s="44">
        <f t="shared" si="253"/>
        <v>5.5</v>
      </c>
      <c r="R493" s="49">
        <f t="shared" si="213"/>
        <v>5147.540278444797</v>
      </c>
      <c r="S493" s="49">
        <f t="shared" si="213"/>
        <v>3930.8489399032992</v>
      </c>
      <c r="T493" s="49">
        <f t="shared" si="213"/>
        <v>3628.4759445261225</v>
      </c>
      <c r="U493" s="49">
        <f t="shared" si="213"/>
        <v>3628.4759445261225</v>
      </c>
      <c r="V493" s="49">
        <f t="shared" si="213"/>
        <v>3628.4759445261225</v>
      </c>
      <c r="X493" s="49">
        <f t="shared" si="214"/>
        <v>439.96070755938439</v>
      </c>
      <c r="Y493" s="49">
        <f t="shared" si="214"/>
        <v>439.96070755938439</v>
      </c>
      <c r="Z493" s="49">
        <f t="shared" si="214"/>
        <v>439.96070755938439</v>
      </c>
      <c r="AA493" s="49">
        <f t="shared" si="214"/>
        <v>439.96070755938439</v>
      </c>
      <c r="AB493" s="49">
        <f t="shared" si="214"/>
        <v>439.96070755938439</v>
      </c>
      <c r="AD493" s="49">
        <f t="shared" si="263"/>
        <v>18610.337929761958</v>
      </c>
      <c r="AE493" s="49">
        <f t="shared" si="264"/>
        <v>14239.528282299274</v>
      </c>
      <c r="AF493" s="49">
        <f t="shared" si="265"/>
        <v>10171.091630213767</v>
      </c>
      <c r="AG493" s="49">
        <f t="shared" si="266"/>
        <v>6102.6549781282602</v>
      </c>
      <c r="AH493" s="49">
        <f t="shared" si="267"/>
        <v>2034.2183260427532</v>
      </c>
      <c r="AJ493" s="49">
        <f t="shared" si="254"/>
        <v>6164.4214618268015</v>
      </c>
      <c r="AK493" s="49">
        <f t="shared" si="255"/>
        <v>4797.9954959316619</v>
      </c>
      <c r="AL493" s="49">
        <f t="shared" si="256"/>
        <v>4373.5694009919198</v>
      </c>
      <c r="AM493" s="49">
        <f t="shared" si="257"/>
        <v>4251.5163014293548</v>
      </c>
      <c r="AN493" s="49">
        <f t="shared" si="258"/>
        <v>4129.4632018667899</v>
      </c>
    </row>
    <row r="494" spans="2:40">
      <c r="B494" s="43" t="str">
        <f t="shared" si="251"/>
        <v>Asset 206</v>
      </c>
      <c r="F494" s="43" t="str">
        <f t="shared" ref="F494:L494" si="276">F246</f>
        <v>06 Utiliteitsgebouwen</v>
      </c>
      <c r="G494" s="43">
        <f t="shared" si="276"/>
        <v>2018</v>
      </c>
      <c r="H494" s="58">
        <f t="shared" si="276"/>
        <v>1769813.2968497979</v>
      </c>
      <c r="I494" s="43">
        <f t="shared" si="276"/>
        <v>2021</v>
      </c>
      <c r="J494" s="58">
        <f t="shared" si="276"/>
        <v>30</v>
      </c>
      <c r="K494" s="188">
        <f t="shared" si="276"/>
        <v>0</v>
      </c>
      <c r="L494" s="58">
        <f t="shared" si="276"/>
        <v>1649201.2455850111</v>
      </c>
      <c r="N494" s="49">
        <f t="shared" si="262"/>
        <v>1649201.2455850111</v>
      </c>
      <c r="P494" s="44">
        <f t="shared" si="253"/>
        <v>26.5</v>
      </c>
      <c r="R494" s="49">
        <f t="shared" si="213"/>
        <v>72813.790842809918</v>
      </c>
      <c r="S494" s="49">
        <f t="shared" si="213"/>
        <v>69241.79355618151</v>
      </c>
      <c r="T494" s="49">
        <f t="shared" si="213"/>
        <v>65845.026325123559</v>
      </c>
      <c r="U494" s="49">
        <f t="shared" si="213"/>
        <v>62614.892958230696</v>
      </c>
      <c r="V494" s="49">
        <f t="shared" si="213"/>
        <v>59543.218964053332</v>
      </c>
      <c r="X494" s="49">
        <f t="shared" si="214"/>
        <v>6223.4009267358915</v>
      </c>
      <c r="Y494" s="49">
        <f t="shared" si="214"/>
        <v>6223.4009267358915</v>
      </c>
      <c r="Z494" s="49">
        <f t="shared" si="214"/>
        <v>6223.4009267358915</v>
      </c>
      <c r="AA494" s="49">
        <f t="shared" si="214"/>
        <v>6223.4009267358915</v>
      </c>
      <c r="AB494" s="49">
        <f t="shared" si="214"/>
        <v>6223.4009267358915</v>
      </c>
      <c r="AD494" s="49">
        <f t="shared" si="263"/>
        <v>1570164.0538154652</v>
      </c>
      <c r="AE494" s="49">
        <f t="shared" si="264"/>
        <v>1494698.8593325478</v>
      </c>
      <c r="AF494" s="49">
        <f t="shared" si="265"/>
        <v>1422630.4320806882</v>
      </c>
      <c r="AG494" s="49">
        <f t="shared" si="266"/>
        <v>1353792.1381957214</v>
      </c>
      <c r="AH494" s="49">
        <f t="shared" si="267"/>
        <v>1288025.5183049322</v>
      </c>
      <c r="AJ494" s="49">
        <f t="shared" si="254"/>
        <v>127712.27743782522</v>
      </c>
      <c r="AK494" s="49">
        <f t="shared" si="255"/>
        <v>120306.16026289383</v>
      </c>
      <c r="AL494" s="49">
        <f t="shared" si="256"/>
        <v>114747.34021428009</v>
      </c>
      <c r="AM494" s="49">
        <f t="shared" si="257"/>
        <v>109452.05803083822</v>
      </c>
      <c r="AN494" s="49">
        <f t="shared" si="258"/>
        <v>104407.38543993718</v>
      </c>
    </row>
    <row r="495" spans="2:40">
      <c r="B495" s="43" t="str">
        <f t="shared" si="251"/>
        <v>Asset 207</v>
      </c>
      <c r="F495" s="43" t="str">
        <f t="shared" ref="F495:L495" si="277">F247</f>
        <v>14 Overig rollend materieel</v>
      </c>
      <c r="G495" s="43">
        <f t="shared" si="277"/>
        <v>2018</v>
      </c>
      <c r="H495" s="58">
        <f t="shared" si="277"/>
        <v>20291.448993786991</v>
      </c>
      <c r="I495" s="43">
        <f t="shared" si="277"/>
        <v>2021</v>
      </c>
      <c r="J495" s="58">
        <f t="shared" si="277"/>
        <v>10</v>
      </c>
      <c r="K495" s="188">
        <f t="shared" si="277"/>
        <v>1</v>
      </c>
      <c r="L495" s="58">
        <f t="shared" si="277"/>
        <v>13913.871833835448</v>
      </c>
      <c r="N495" s="49">
        <f t="shared" si="262"/>
        <v>13037.297908303815</v>
      </c>
      <c r="P495" s="44">
        <f t="shared" si="253"/>
        <v>6.5</v>
      </c>
      <c r="R495" s="49">
        <f t="shared" si="213"/>
        <v>2504.4969300903813</v>
      </c>
      <c r="S495" s="49">
        <f t="shared" si="213"/>
        <v>2003.5975440723048</v>
      </c>
      <c r="T495" s="49">
        <f t="shared" si="213"/>
        <v>1780.9755947309375</v>
      </c>
      <c r="U495" s="49">
        <f t="shared" si="213"/>
        <v>1780.9755947309375</v>
      </c>
      <c r="V495" s="49">
        <f t="shared" si="213"/>
        <v>1780.9755947309375</v>
      </c>
      <c r="X495" s="49">
        <f t="shared" si="214"/>
        <v>214.05956667439153</v>
      </c>
      <c r="Y495" s="49">
        <f t="shared" si="214"/>
        <v>214.0595666743915</v>
      </c>
      <c r="Z495" s="49">
        <f t="shared" si="214"/>
        <v>214.0595666743915</v>
      </c>
      <c r="AA495" s="49">
        <f t="shared" si="214"/>
        <v>214.0595666743915</v>
      </c>
      <c r="AB495" s="49">
        <f t="shared" si="214"/>
        <v>214.0595666743915</v>
      </c>
      <c r="AD495" s="49">
        <f t="shared" si="263"/>
        <v>11195.315337070675</v>
      </c>
      <c r="AE495" s="49">
        <f t="shared" si="264"/>
        <v>8977.6582263239779</v>
      </c>
      <c r="AF495" s="49">
        <f t="shared" si="265"/>
        <v>6982.6230649186491</v>
      </c>
      <c r="AG495" s="49">
        <f t="shared" si="266"/>
        <v>4987.5879035133203</v>
      </c>
      <c r="AH495" s="49">
        <f t="shared" si="267"/>
        <v>2992.552742107991</v>
      </c>
      <c r="AJ495" s="49">
        <f t="shared" si="254"/>
        <v>2872.4777620644841</v>
      </c>
      <c r="AK495" s="49">
        <f t="shared" si="255"/>
        <v>2330.3066855116213</v>
      </c>
      <c r="AL495" s="49">
        <f t="shared" si="256"/>
        <v>2065.6294805916564</v>
      </c>
      <c r="AM495" s="49">
        <f t="shared" si="257"/>
        <v>2009.549042204553</v>
      </c>
      <c r="AN495" s="49">
        <f t="shared" si="258"/>
        <v>1953.4686038174491</v>
      </c>
    </row>
    <row r="496" spans="2:40">
      <c r="B496" s="43" t="str">
        <f t="shared" si="251"/>
        <v>Asset 208</v>
      </c>
      <c r="F496" s="43" t="str">
        <f t="shared" ref="F496:L496" si="278">F248</f>
        <v>10 Gereedschap (odorisatie)</v>
      </c>
      <c r="G496" s="43">
        <f t="shared" si="278"/>
        <v>2018</v>
      </c>
      <c r="H496" s="58">
        <f t="shared" si="278"/>
        <v>59796.38767845487</v>
      </c>
      <c r="I496" s="43">
        <f t="shared" si="278"/>
        <v>2021</v>
      </c>
      <c r="J496" s="58">
        <f t="shared" si="278"/>
        <v>10</v>
      </c>
      <c r="K496" s="188">
        <f t="shared" si="278"/>
        <v>0</v>
      </c>
      <c r="L496" s="58">
        <f t="shared" si="278"/>
        <v>41002.457465659885</v>
      </c>
      <c r="N496" s="49">
        <f t="shared" si="262"/>
        <v>41002.457465659885</v>
      </c>
      <c r="P496" s="44">
        <f t="shared" si="253"/>
        <v>6.5</v>
      </c>
      <c r="R496" s="49">
        <f t="shared" ref="R496:V531" si="279">IF(R$287&lt;=$G496+$J496,VDB($L496*(1-$F$25),0,$P496,R$287-2022,MIN(R$287-2021,$P496),$F$22),0)</f>
        <v>7380.4423438187796</v>
      </c>
      <c r="S496" s="49">
        <f t="shared" si="279"/>
        <v>5904.3538750550233</v>
      </c>
      <c r="T496" s="49">
        <f t="shared" si="279"/>
        <v>5248.3145556044656</v>
      </c>
      <c r="U496" s="49">
        <f t="shared" si="279"/>
        <v>5248.3145556044656</v>
      </c>
      <c r="V496" s="49">
        <f t="shared" si="279"/>
        <v>5248.3145556044656</v>
      </c>
      <c r="X496" s="49">
        <f t="shared" ref="X496:AB531" si="280">IF(X$287&lt;=$G496+$J496,VDB($L496*$F$25,0,$P496,X$287-2022,MIN(X$287-2021,$P496),1),0)</f>
        <v>630.80703793322914</v>
      </c>
      <c r="Y496" s="49">
        <f t="shared" si="280"/>
        <v>630.80703793322903</v>
      </c>
      <c r="Z496" s="49">
        <f t="shared" si="280"/>
        <v>630.80703793322903</v>
      </c>
      <c r="AA496" s="49">
        <f t="shared" si="280"/>
        <v>630.80703793322903</v>
      </c>
      <c r="AB496" s="49">
        <f t="shared" si="280"/>
        <v>630.80703793322903</v>
      </c>
      <c r="AD496" s="49">
        <f t="shared" si="263"/>
        <v>32991.208083907877</v>
      </c>
      <c r="AE496" s="49">
        <f t="shared" si="264"/>
        <v>26456.047170919628</v>
      </c>
      <c r="AF496" s="49">
        <f t="shared" si="265"/>
        <v>20576.925577381935</v>
      </c>
      <c r="AG496" s="49">
        <f t="shared" si="266"/>
        <v>14697.80398384424</v>
      </c>
      <c r="AH496" s="49">
        <f t="shared" si="267"/>
        <v>8818.6823903065451</v>
      </c>
      <c r="AJ496" s="49">
        <f t="shared" si="254"/>
        <v>9033.9768323531534</v>
      </c>
      <c r="AK496" s="49">
        <f t="shared" si="255"/>
        <v>7328.8423281158412</v>
      </c>
      <c r="AL496" s="49">
        <f t="shared" si="256"/>
        <v>6496.4293608591533</v>
      </c>
      <c r="AM496" s="49">
        <f t="shared" si="257"/>
        <v>6320.0557130530224</v>
      </c>
      <c r="AN496" s="49">
        <f t="shared" si="258"/>
        <v>6143.6820652468914</v>
      </c>
    </row>
    <row r="497" spans="2:40">
      <c r="B497" s="43" t="str">
        <f t="shared" si="251"/>
        <v>Asset 209</v>
      </c>
      <c r="F497" s="43" t="str">
        <f t="shared" ref="F497:L497" si="281">F249</f>
        <v>05 Wegen en terreinvoorzieningen</v>
      </c>
      <c r="G497" s="43">
        <f t="shared" si="281"/>
        <v>2018</v>
      </c>
      <c r="H497" s="58">
        <f t="shared" si="281"/>
        <v>70537.619152208252</v>
      </c>
      <c r="I497" s="43">
        <f t="shared" si="281"/>
        <v>2021</v>
      </c>
      <c r="J497" s="58">
        <f t="shared" si="281"/>
        <v>10</v>
      </c>
      <c r="K497" s="188">
        <f t="shared" si="281"/>
        <v>0</v>
      </c>
      <c r="L497" s="58">
        <f t="shared" si="281"/>
        <v>48367.733257897518</v>
      </c>
      <c r="N497" s="49">
        <f t="shared" si="262"/>
        <v>48367.733257897518</v>
      </c>
      <c r="P497" s="44">
        <f t="shared" si="253"/>
        <v>6.5</v>
      </c>
      <c r="R497" s="49">
        <f t="shared" si="279"/>
        <v>8706.1919864215542</v>
      </c>
      <c r="S497" s="49">
        <f t="shared" si="279"/>
        <v>6964.9535891372434</v>
      </c>
      <c r="T497" s="49">
        <f t="shared" si="279"/>
        <v>6191.0698570108834</v>
      </c>
      <c r="U497" s="49">
        <f t="shared" si="279"/>
        <v>6191.0698570108834</v>
      </c>
      <c r="V497" s="49">
        <f t="shared" si="279"/>
        <v>6191.0698570108834</v>
      </c>
      <c r="X497" s="49">
        <f t="shared" si="280"/>
        <v>744.11897319842342</v>
      </c>
      <c r="Y497" s="49">
        <f t="shared" si="280"/>
        <v>744.1189731984233</v>
      </c>
      <c r="Z497" s="49">
        <f t="shared" si="280"/>
        <v>744.1189731984233</v>
      </c>
      <c r="AA497" s="49">
        <f t="shared" si="280"/>
        <v>744.1189731984233</v>
      </c>
      <c r="AB497" s="49">
        <f t="shared" si="280"/>
        <v>744.1189731984233</v>
      </c>
      <c r="AD497" s="49">
        <f t="shared" si="263"/>
        <v>38917.422298277539</v>
      </c>
      <c r="AE497" s="49">
        <f t="shared" si="264"/>
        <v>31208.349735941872</v>
      </c>
      <c r="AF497" s="49">
        <f t="shared" si="265"/>
        <v>24273.160905732566</v>
      </c>
      <c r="AG497" s="49">
        <f t="shared" si="266"/>
        <v>17337.972075523259</v>
      </c>
      <c r="AH497" s="49">
        <f t="shared" si="267"/>
        <v>10402.783245313953</v>
      </c>
      <c r="AJ497" s="49">
        <f t="shared" si="254"/>
        <v>10656.751050866582</v>
      </c>
      <c r="AK497" s="49">
        <f t="shared" si="255"/>
        <v>8645.3230544139224</v>
      </c>
      <c r="AL497" s="49">
        <f t="shared" si="256"/>
        <v>7663.3836573812832</v>
      </c>
      <c r="AM497" s="49">
        <f t="shared" si="257"/>
        <v>7455.3279924750041</v>
      </c>
      <c r="AN497" s="49">
        <f t="shared" si="258"/>
        <v>7247.2723275687249</v>
      </c>
    </row>
    <row r="498" spans="2:40">
      <c r="B498" s="43" t="str">
        <f t="shared" si="251"/>
        <v>Asset 210</v>
      </c>
      <c r="F498" s="43" t="str">
        <f t="shared" ref="F498:L498" si="282">F250</f>
        <v>37 ICT middelen 1 (balancering)</v>
      </c>
      <c r="G498" s="43">
        <f t="shared" si="282"/>
        <v>2018</v>
      </c>
      <c r="H498" s="58">
        <f t="shared" si="282"/>
        <v>1033593</v>
      </c>
      <c r="I498" s="43">
        <f t="shared" si="282"/>
        <v>2021</v>
      </c>
      <c r="J498" s="58">
        <f t="shared" si="282"/>
        <v>5</v>
      </c>
      <c r="K498" s="188">
        <f t="shared" si="282"/>
        <v>0</v>
      </c>
      <c r="L498" s="58">
        <f t="shared" si="282"/>
        <v>327108.92617687664</v>
      </c>
      <c r="N498" s="49">
        <f t="shared" si="262"/>
        <v>327108.92617687664</v>
      </c>
      <c r="P498" s="44">
        <f t="shared" si="253"/>
        <v>1.5</v>
      </c>
      <c r="R498" s="49">
        <f t="shared" si="279"/>
        <v>255144.9624179638</v>
      </c>
      <c r="S498" s="49">
        <f t="shared" si="279"/>
        <v>39253.071141225199</v>
      </c>
      <c r="T498" s="49">
        <f t="shared" si="279"/>
        <v>0</v>
      </c>
      <c r="U498" s="49">
        <f t="shared" si="279"/>
        <v>0</v>
      </c>
      <c r="V498" s="49">
        <f t="shared" si="279"/>
        <v>0</v>
      </c>
      <c r="X498" s="49">
        <f t="shared" si="280"/>
        <v>21807.26174512511</v>
      </c>
      <c r="Y498" s="49">
        <f t="shared" si="280"/>
        <v>10903.630872562557</v>
      </c>
      <c r="Z498" s="49">
        <f t="shared" si="280"/>
        <v>0</v>
      </c>
      <c r="AA498" s="49">
        <f t="shared" si="280"/>
        <v>0</v>
      </c>
      <c r="AB498" s="49">
        <f t="shared" si="280"/>
        <v>0</v>
      </c>
      <c r="AD498" s="49">
        <f t="shared" si="263"/>
        <v>50156.702013787726</v>
      </c>
      <c r="AE498" s="49">
        <f t="shared" si="264"/>
        <v>-2.9103830456733704E-11</v>
      </c>
      <c r="AF498" s="49">
        <f t="shared" si="265"/>
        <v>0</v>
      </c>
      <c r="AG498" s="49">
        <f t="shared" si="266"/>
        <v>0</v>
      </c>
      <c r="AH498" s="49">
        <f t="shared" si="267"/>
        <v>0</v>
      </c>
      <c r="AJ498" s="49">
        <f t="shared" si="254"/>
        <v>278507.08192551631</v>
      </c>
      <c r="AK498" s="49">
        <f t="shared" si="255"/>
        <v>50156.702013787755</v>
      </c>
      <c r="AL498" s="49">
        <f t="shared" si="256"/>
        <v>0</v>
      </c>
      <c r="AM498" s="49">
        <f t="shared" si="257"/>
        <v>0</v>
      </c>
      <c r="AN498" s="49">
        <f t="shared" si="258"/>
        <v>0</v>
      </c>
    </row>
    <row r="499" spans="2:40">
      <c r="B499" s="43" t="str">
        <f t="shared" si="251"/>
        <v>Asset 211</v>
      </c>
      <c r="F499" s="43" t="str">
        <f t="shared" ref="F499:L499" si="283">F251</f>
        <v>37 ICT middelen 1</v>
      </c>
      <c r="G499" s="43">
        <f t="shared" si="283"/>
        <v>2019</v>
      </c>
      <c r="H499" s="58">
        <f t="shared" si="283"/>
        <v>7023542.7917365544</v>
      </c>
      <c r="I499" s="43">
        <f t="shared" si="283"/>
        <v>2021</v>
      </c>
      <c r="J499" s="58">
        <f t="shared" si="283"/>
        <v>5</v>
      </c>
      <c r="K499" s="188">
        <f t="shared" si="283"/>
        <v>1</v>
      </c>
      <c r="L499" s="58">
        <f t="shared" si="283"/>
        <v>3660726.6913954271</v>
      </c>
      <c r="N499" s="49">
        <f t="shared" si="262"/>
        <v>3430100.9098375156</v>
      </c>
      <c r="P499" s="44">
        <f t="shared" si="253"/>
        <v>2.5</v>
      </c>
      <c r="R499" s="49">
        <f t="shared" si="279"/>
        <v>1713220.09157306</v>
      </c>
      <c r="S499" s="49">
        <f t="shared" si="279"/>
        <v>1054289.2871218829</v>
      </c>
      <c r="T499" s="49">
        <f t="shared" si="279"/>
        <v>527144.64356094145</v>
      </c>
      <c r="U499" s="49">
        <f t="shared" si="279"/>
        <v>0</v>
      </c>
      <c r="V499" s="49">
        <f t="shared" si="279"/>
        <v>0</v>
      </c>
      <c r="X499" s="49">
        <f t="shared" si="280"/>
        <v>146429.06765581711</v>
      </c>
      <c r="Y499" s="49">
        <f t="shared" si="280"/>
        <v>146429.06765581708</v>
      </c>
      <c r="Z499" s="49">
        <f t="shared" si="280"/>
        <v>73214.533827908541</v>
      </c>
      <c r="AA499" s="49">
        <f t="shared" si="280"/>
        <v>0</v>
      </c>
      <c r="AB499" s="49">
        <f t="shared" si="280"/>
        <v>0</v>
      </c>
      <c r="AD499" s="49">
        <f t="shared" si="263"/>
        <v>1801077.5321665499</v>
      </c>
      <c r="AE499" s="49">
        <f t="shared" si="264"/>
        <v>600359.1773888499</v>
      </c>
      <c r="AF499" s="49">
        <f t="shared" si="265"/>
        <v>-8.7311491370201111E-11</v>
      </c>
      <c r="AG499" s="49">
        <f t="shared" si="266"/>
        <v>0</v>
      </c>
      <c r="AH499" s="49">
        <f t="shared" si="267"/>
        <v>0</v>
      </c>
      <c r="AJ499" s="49">
        <f t="shared" si="254"/>
        <v>1794807.1612742997</v>
      </c>
      <c r="AK499" s="49">
        <f t="shared" si="255"/>
        <v>1141949.1949031055</v>
      </c>
      <c r="AL499" s="49">
        <f t="shared" si="256"/>
        <v>562536.5492133525</v>
      </c>
      <c r="AM499" s="49">
        <f t="shared" si="257"/>
        <v>0</v>
      </c>
      <c r="AN499" s="49">
        <f t="shared" si="258"/>
        <v>0</v>
      </c>
    </row>
    <row r="500" spans="2:40">
      <c r="B500" s="43" t="str">
        <f t="shared" si="251"/>
        <v>Asset 212</v>
      </c>
      <c r="F500" s="43" t="str">
        <f t="shared" ref="F500:L500" si="284">F252</f>
        <v>14 Overig rollend materieel</v>
      </c>
      <c r="G500" s="43">
        <f t="shared" si="284"/>
        <v>2019</v>
      </c>
      <c r="H500" s="58">
        <f t="shared" si="284"/>
        <v>857388.09237261105</v>
      </c>
      <c r="I500" s="43">
        <f t="shared" si="284"/>
        <v>2021</v>
      </c>
      <c r="J500" s="58">
        <f t="shared" si="284"/>
        <v>10</v>
      </c>
      <c r="K500" s="188">
        <f t="shared" si="284"/>
        <v>1</v>
      </c>
      <c r="L500" s="58">
        <f t="shared" si="284"/>
        <v>670316.29927401594</v>
      </c>
      <c r="N500" s="49">
        <f t="shared" si="262"/>
        <v>628086.372419753</v>
      </c>
      <c r="P500" s="44">
        <f t="shared" si="253"/>
        <v>7.5</v>
      </c>
      <c r="R500" s="49">
        <f t="shared" si="279"/>
        <v>104569.3426867465</v>
      </c>
      <c r="S500" s="49">
        <f t="shared" si="279"/>
        <v>86443.989954377103</v>
      </c>
      <c r="T500" s="49">
        <f t="shared" si="279"/>
        <v>74958.424855543781</v>
      </c>
      <c r="U500" s="49">
        <f t="shared" si="279"/>
        <v>74958.424855543781</v>
      </c>
      <c r="V500" s="49">
        <f t="shared" si="279"/>
        <v>74958.424855543781</v>
      </c>
      <c r="X500" s="49">
        <f t="shared" si="280"/>
        <v>8937.5506569868794</v>
      </c>
      <c r="Y500" s="49">
        <f t="shared" si="280"/>
        <v>8937.5506569868776</v>
      </c>
      <c r="Z500" s="49">
        <f t="shared" si="280"/>
        <v>8937.5506569868776</v>
      </c>
      <c r="AA500" s="49">
        <f t="shared" si="280"/>
        <v>8937.5506569868776</v>
      </c>
      <c r="AB500" s="49">
        <f t="shared" si="280"/>
        <v>8937.5506569868776</v>
      </c>
      <c r="AD500" s="49">
        <f t="shared" si="263"/>
        <v>556809.40593028255</v>
      </c>
      <c r="AE500" s="49">
        <f t="shared" si="264"/>
        <v>461427.86531891854</v>
      </c>
      <c r="AF500" s="49">
        <f t="shared" si="265"/>
        <v>377531.88980638789</v>
      </c>
      <c r="AG500" s="49">
        <f t="shared" si="266"/>
        <v>293635.91429385723</v>
      </c>
      <c r="AH500" s="49">
        <f t="shared" si="267"/>
        <v>209739.93878132658</v>
      </c>
      <c r="AJ500" s="49">
        <f t="shared" si="254"/>
        <v>122529.60187713509</v>
      </c>
      <c r="AK500" s="49">
        <f t="shared" si="255"/>
        <v>102343.24084696286</v>
      </c>
      <c r="AL500" s="49">
        <f t="shared" si="256"/>
        <v>89222.950477698803</v>
      </c>
      <c r="AM500" s="49">
        <f t="shared" si="257"/>
        <v>86864.634606041553</v>
      </c>
      <c r="AN500" s="49">
        <f t="shared" si="258"/>
        <v>84506.318734384316</v>
      </c>
    </row>
    <row r="501" spans="2:40">
      <c r="B501" s="43" t="str">
        <f t="shared" si="251"/>
        <v>Asset 213</v>
      </c>
      <c r="F501" s="43" t="str">
        <f t="shared" ref="F501:L501" si="285">F253</f>
        <v>08 Inrichting gebouwen</v>
      </c>
      <c r="G501" s="43">
        <f t="shared" si="285"/>
        <v>2019</v>
      </c>
      <c r="H501" s="58">
        <f t="shared" si="285"/>
        <v>460067.29247706069</v>
      </c>
      <c r="I501" s="43">
        <f t="shared" si="285"/>
        <v>2021</v>
      </c>
      <c r="J501" s="58">
        <f t="shared" si="285"/>
        <v>10</v>
      </c>
      <c r="K501" s="188">
        <f t="shared" si="285"/>
        <v>0</v>
      </c>
      <c r="L501" s="58">
        <f t="shared" si="285"/>
        <v>359686.13006607577</v>
      </c>
      <c r="N501" s="49">
        <f t="shared" si="262"/>
        <v>359686.13006607577</v>
      </c>
      <c r="P501" s="44">
        <f t="shared" si="253"/>
        <v>7.5</v>
      </c>
      <c r="R501" s="49">
        <f t="shared" si="279"/>
        <v>56111.03629030782</v>
      </c>
      <c r="S501" s="49">
        <f t="shared" si="279"/>
        <v>46385.123333321135</v>
      </c>
      <c r="T501" s="49">
        <f t="shared" si="279"/>
        <v>40222.064988334409</v>
      </c>
      <c r="U501" s="49">
        <f t="shared" si="279"/>
        <v>40222.064988334409</v>
      </c>
      <c r="V501" s="49">
        <f t="shared" si="279"/>
        <v>40222.064988334409</v>
      </c>
      <c r="X501" s="49">
        <f t="shared" si="280"/>
        <v>4795.8150675476772</v>
      </c>
      <c r="Y501" s="49">
        <f t="shared" si="280"/>
        <v>4795.8150675476772</v>
      </c>
      <c r="Z501" s="49">
        <f t="shared" si="280"/>
        <v>4795.8150675476772</v>
      </c>
      <c r="AA501" s="49">
        <f t="shared" si="280"/>
        <v>4795.8150675476772</v>
      </c>
      <c r="AB501" s="49">
        <f t="shared" si="280"/>
        <v>4795.8150675476772</v>
      </c>
      <c r="AD501" s="49">
        <f t="shared" si="263"/>
        <v>298779.27870822028</v>
      </c>
      <c r="AE501" s="49">
        <f t="shared" si="264"/>
        <v>247598.34030735149</v>
      </c>
      <c r="AF501" s="49">
        <f t="shared" si="265"/>
        <v>202580.46025146943</v>
      </c>
      <c r="AG501" s="49">
        <f t="shared" si="266"/>
        <v>157562.58019558736</v>
      </c>
      <c r="AH501" s="49">
        <f t="shared" si="267"/>
        <v>112544.70013970528</v>
      </c>
      <c r="AJ501" s="49">
        <f t="shared" si="254"/>
        <v>70169.008997810335</v>
      </c>
      <c r="AK501" s="49">
        <f t="shared" si="255"/>
        <v>58608.888610089358</v>
      </c>
      <c r="AL501" s="49">
        <f t="shared" si="256"/>
        <v>51095.293863426166</v>
      </c>
      <c r="AM501" s="49">
        <f t="shared" si="257"/>
        <v>49744.757461749708</v>
      </c>
      <c r="AN501" s="49">
        <f t="shared" si="258"/>
        <v>48394.221060073243</v>
      </c>
    </row>
    <row r="502" spans="2:40">
      <c r="B502" s="43" t="str">
        <f t="shared" si="251"/>
        <v>Asset 214</v>
      </c>
      <c r="F502" s="43" t="str">
        <f t="shared" ref="F502:L502" si="286">F254</f>
        <v>37 ICT middelen 1 (KC)</v>
      </c>
      <c r="G502" s="43">
        <f t="shared" si="286"/>
        <v>2019</v>
      </c>
      <c r="H502" s="58">
        <f t="shared" si="286"/>
        <v>119060</v>
      </c>
      <c r="I502" s="43">
        <f t="shared" si="286"/>
        <v>2021</v>
      </c>
      <c r="J502" s="58">
        <f t="shared" si="286"/>
        <v>5</v>
      </c>
      <c r="K502" s="188">
        <f t="shared" si="286"/>
        <v>0</v>
      </c>
      <c r="L502" s="58">
        <f t="shared" si="286"/>
        <v>62055.024479999985</v>
      </c>
      <c r="N502" s="49">
        <f t="shared" si="262"/>
        <v>62055.024479999985</v>
      </c>
      <c r="P502" s="44">
        <f t="shared" si="253"/>
        <v>2.5</v>
      </c>
      <c r="R502" s="49">
        <f t="shared" si="279"/>
        <v>29041.751456639995</v>
      </c>
      <c r="S502" s="49">
        <f t="shared" si="279"/>
        <v>17871.847050239994</v>
      </c>
      <c r="T502" s="49">
        <f t="shared" si="279"/>
        <v>8935.9235251199971</v>
      </c>
      <c r="U502" s="49">
        <f t="shared" si="279"/>
        <v>0</v>
      </c>
      <c r="V502" s="49">
        <f t="shared" si="279"/>
        <v>0</v>
      </c>
      <c r="X502" s="49">
        <f t="shared" si="280"/>
        <v>2482.2009791999999</v>
      </c>
      <c r="Y502" s="49">
        <f t="shared" si="280"/>
        <v>2482.2009791999994</v>
      </c>
      <c r="Z502" s="49">
        <f t="shared" si="280"/>
        <v>1241.1004895999997</v>
      </c>
      <c r="AA502" s="49">
        <f t="shared" si="280"/>
        <v>0</v>
      </c>
      <c r="AB502" s="49">
        <f t="shared" si="280"/>
        <v>0</v>
      </c>
      <c r="AD502" s="49">
        <f t="shared" si="263"/>
        <v>30531.072044159988</v>
      </c>
      <c r="AE502" s="49">
        <f t="shared" si="264"/>
        <v>10177.024014719995</v>
      </c>
      <c r="AF502" s="49">
        <f t="shared" si="265"/>
        <v>-2.0463630789890885E-12</v>
      </c>
      <c r="AG502" s="49">
        <f t="shared" si="266"/>
        <v>0</v>
      </c>
      <c r="AH502" s="49">
        <f t="shared" si="267"/>
        <v>0</v>
      </c>
      <c r="AJ502" s="49">
        <f t="shared" si="254"/>
        <v>32470.415669208953</v>
      </c>
      <c r="AK502" s="49">
        <f t="shared" si="255"/>
        <v>20659.358749881594</v>
      </c>
      <c r="AL502" s="49">
        <f t="shared" si="256"/>
        <v>10177.024014719997</v>
      </c>
      <c r="AM502" s="49">
        <f t="shared" si="257"/>
        <v>0</v>
      </c>
      <c r="AN502" s="49">
        <f t="shared" si="258"/>
        <v>0</v>
      </c>
    </row>
    <row r="503" spans="2:40">
      <c r="B503" s="43" t="str">
        <f t="shared" si="251"/>
        <v>Asset 215</v>
      </c>
      <c r="F503" s="43" t="str">
        <f t="shared" ref="F503:L503" si="287">F255</f>
        <v>11 Werktuigen</v>
      </c>
      <c r="G503" s="43">
        <f t="shared" si="287"/>
        <v>2019</v>
      </c>
      <c r="H503" s="58">
        <f t="shared" si="287"/>
        <v>288666.6970011855</v>
      </c>
      <c r="I503" s="43">
        <f t="shared" si="287"/>
        <v>2021</v>
      </c>
      <c r="J503" s="58">
        <f t="shared" si="287"/>
        <v>10</v>
      </c>
      <c r="K503" s="188">
        <f t="shared" si="287"/>
        <v>1</v>
      </c>
      <c r="L503" s="58">
        <f t="shared" si="287"/>
        <v>225683.08771589081</v>
      </c>
      <c r="N503" s="49">
        <f t="shared" si="262"/>
        <v>211465.0531897897</v>
      </c>
      <c r="P503" s="44">
        <f t="shared" si="253"/>
        <v>7.5</v>
      </c>
      <c r="R503" s="49">
        <f t="shared" si="279"/>
        <v>35206.56168367897</v>
      </c>
      <c r="S503" s="49">
        <f t="shared" si="279"/>
        <v>29104.09099184128</v>
      </c>
      <c r="T503" s="49">
        <f t="shared" si="279"/>
        <v>25237.113867051179</v>
      </c>
      <c r="U503" s="49">
        <f t="shared" si="279"/>
        <v>25237.113867051179</v>
      </c>
      <c r="V503" s="49">
        <f t="shared" si="279"/>
        <v>25237.113867051179</v>
      </c>
      <c r="X503" s="49">
        <f t="shared" si="280"/>
        <v>3009.1078362118778</v>
      </c>
      <c r="Y503" s="49">
        <f t="shared" si="280"/>
        <v>3009.1078362118778</v>
      </c>
      <c r="Z503" s="49">
        <f t="shared" si="280"/>
        <v>3009.1078362118778</v>
      </c>
      <c r="AA503" s="49">
        <f t="shared" si="280"/>
        <v>3009.1078362118778</v>
      </c>
      <c r="AB503" s="49">
        <f t="shared" si="280"/>
        <v>3009.1078362118778</v>
      </c>
      <c r="AD503" s="49">
        <f t="shared" si="263"/>
        <v>187467.41819599996</v>
      </c>
      <c r="AE503" s="49">
        <f t="shared" si="264"/>
        <v>155354.21936794679</v>
      </c>
      <c r="AF503" s="49">
        <f t="shared" si="265"/>
        <v>127107.99766468375</v>
      </c>
      <c r="AG503" s="49">
        <f t="shared" si="266"/>
        <v>98861.775961420688</v>
      </c>
      <c r="AH503" s="49">
        <f t="shared" si="267"/>
        <v>70615.55425815763</v>
      </c>
      <c r="AJ503" s="49">
        <f t="shared" si="254"/>
        <v>41253.448436476938</v>
      </c>
      <c r="AK503" s="49">
        <f t="shared" si="255"/>
        <v>34457.074408318796</v>
      </c>
      <c r="AL503" s="49">
        <f t="shared" si="256"/>
        <v>30039.715550311746</v>
      </c>
      <c r="AM503" s="49">
        <f t="shared" si="257"/>
        <v>29245.714258233023</v>
      </c>
      <c r="AN503" s="49">
        <f t="shared" si="258"/>
        <v>28451.712966154297</v>
      </c>
    </row>
    <row r="504" spans="2:40">
      <c r="B504" s="43" t="str">
        <f t="shared" si="251"/>
        <v>Asset 216</v>
      </c>
      <c r="F504" s="43" t="str">
        <f t="shared" ref="F504:L504" si="288">F256</f>
        <v>20 Kantoorgebouwen</v>
      </c>
      <c r="G504" s="43">
        <f t="shared" si="288"/>
        <v>2019</v>
      </c>
      <c r="H504" s="58">
        <f t="shared" si="288"/>
        <v>1170372.8470650064</v>
      </c>
      <c r="I504" s="43">
        <f t="shared" si="288"/>
        <v>2021</v>
      </c>
      <c r="J504" s="58">
        <f t="shared" si="288"/>
        <v>30</v>
      </c>
      <c r="K504" s="188">
        <f t="shared" si="288"/>
        <v>0</v>
      </c>
      <c r="L504" s="58">
        <f t="shared" si="288"/>
        <v>1118347.433267273</v>
      </c>
      <c r="N504" s="49">
        <f t="shared" si="262"/>
        <v>1118347.433267273</v>
      </c>
      <c r="P504" s="44">
        <f t="shared" si="253"/>
        <v>27.5</v>
      </c>
      <c r="R504" s="49">
        <f t="shared" si="279"/>
        <v>47580.599888098521</v>
      </c>
      <c r="S504" s="49">
        <f t="shared" si="279"/>
        <v>45331.335166115685</v>
      </c>
      <c r="T504" s="49">
        <f t="shared" si="279"/>
        <v>43188.399321899306</v>
      </c>
      <c r="U504" s="49">
        <f t="shared" si="279"/>
        <v>41146.765899409525</v>
      </c>
      <c r="V504" s="49">
        <f t="shared" si="279"/>
        <v>39201.646056891979</v>
      </c>
      <c r="X504" s="49">
        <f t="shared" si="280"/>
        <v>4066.7179391537202</v>
      </c>
      <c r="Y504" s="49">
        <f t="shared" si="280"/>
        <v>4066.7179391537202</v>
      </c>
      <c r="Z504" s="49">
        <f t="shared" si="280"/>
        <v>4066.7179391537202</v>
      </c>
      <c r="AA504" s="49">
        <f t="shared" si="280"/>
        <v>4066.7179391537202</v>
      </c>
      <c r="AB504" s="49">
        <f t="shared" si="280"/>
        <v>4066.7179391537202</v>
      </c>
      <c r="AD504" s="49">
        <f t="shared" si="263"/>
        <v>1066700.1154400208</v>
      </c>
      <c r="AE504" s="49">
        <f t="shared" si="264"/>
        <v>1017302.0623347515</v>
      </c>
      <c r="AF504" s="49">
        <f t="shared" si="265"/>
        <v>970046.94507369853</v>
      </c>
      <c r="AG504" s="49">
        <f t="shared" si="266"/>
        <v>924833.46123513533</v>
      </c>
      <c r="AH504" s="49">
        <f t="shared" si="267"/>
        <v>881565.09723908966</v>
      </c>
      <c r="AJ504" s="49">
        <f t="shared" si="254"/>
        <v>84715.021405892883</v>
      </c>
      <c r="AK504" s="49">
        <f t="shared" si="255"/>
        <v>79917.114975311953</v>
      </c>
      <c r="AL504" s="49">
        <f t="shared" si="256"/>
        <v>76356.525613263977</v>
      </c>
      <c r="AM504" s="49">
        <f t="shared" si="257"/>
        <v>72958.487675617303</v>
      </c>
      <c r="AN504" s="49">
        <f t="shared" si="258"/>
        <v>69715.316913218383</v>
      </c>
    </row>
    <row r="505" spans="2:40">
      <c r="B505" s="43" t="str">
        <f t="shared" si="251"/>
        <v>Asset 217</v>
      </c>
      <c r="F505" s="43" t="str">
        <f t="shared" ref="F505:L505" si="289">F257</f>
        <v>37 ICT middelen 1 (balancering)</v>
      </c>
      <c r="G505" s="43">
        <f t="shared" si="289"/>
        <v>2019</v>
      </c>
      <c r="H505" s="58">
        <f t="shared" si="289"/>
        <v>73704</v>
      </c>
      <c r="I505" s="43">
        <f t="shared" si="289"/>
        <v>2021</v>
      </c>
      <c r="J505" s="58">
        <f t="shared" si="289"/>
        <v>5</v>
      </c>
      <c r="K505" s="188">
        <f t="shared" si="289"/>
        <v>0</v>
      </c>
      <c r="L505" s="58">
        <f t="shared" si="289"/>
        <v>38415.114431999995</v>
      </c>
      <c r="N505" s="49">
        <f t="shared" si="262"/>
        <v>38415.114431999995</v>
      </c>
      <c r="P505" s="44">
        <f t="shared" si="253"/>
        <v>2.5</v>
      </c>
      <c r="R505" s="49">
        <f t="shared" si="279"/>
        <v>17978.273554175998</v>
      </c>
      <c r="S505" s="49">
        <f t="shared" si="279"/>
        <v>11063.552956416001</v>
      </c>
      <c r="T505" s="49">
        <f t="shared" si="279"/>
        <v>5531.7764782080003</v>
      </c>
      <c r="U505" s="49">
        <f t="shared" si="279"/>
        <v>0</v>
      </c>
      <c r="V505" s="49">
        <f t="shared" si="279"/>
        <v>0</v>
      </c>
      <c r="X505" s="49">
        <f t="shared" si="280"/>
        <v>1536.6045772799998</v>
      </c>
      <c r="Y505" s="49">
        <f t="shared" si="280"/>
        <v>1536.6045772799998</v>
      </c>
      <c r="Z505" s="49">
        <f t="shared" si="280"/>
        <v>768.30228863999992</v>
      </c>
      <c r="AA505" s="49">
        <f t="shared" si="280"/>
        <v>0</v>
      </c>
      <c r="AB505" s="49">
        <f t="shared" si="280"/>
        <v>0</v>
      </c>
      <c r="AD505" s="49">
        <f t="shared" si="263"/>
        <v>18900.236300543998</v>
      </c>
      <c r="AE505" s="49">
        <f t="shared" si="264"/>
        <v>6300.0787668479979</v>
      </c>
      <c r="AF505" s="49">
        <f t="shared" si="265"/>
        <v>-2.2737367544323206E-12</v>
      </c>
      <c r="AG505" s="49">
        <f t="shared" si="266"/>
        <v>0</v>
      </c>
      <c r="AH505" s="49">
        <f t="shared" si="267"/>
        <v>0</v>
      </c>
      <c r="AJ505" s="49">
        <f t="shared" si="254"/>
        <v>20100.785456772861</v>
      </c>
      <c r="AK505" s="49">
        <f t="shared" si="255"/>
        <v>12789.159896701442</v>
      </c>
      <c r="AL505" s="49">
        <f t="shared" si="256"/>
        <v>6300.0787668480007</v>
      </c>
      <c r="AM505" s="49">
        <f t="shared" si="257"/>
        <v>0</v>
      </c>
      <c r="AN505" s="49">
        <f t="shared" si="258"/>
        <v>0</v>
      </c>
    </row>
    <row r="506" spans="2:40">
      <c r="B506" s="43" t="str">
        <f t="shared" si="251"/>
        <v>Asset 218</v>
      </c>
      <c r="F506" s="43" t="str">
        <f t="shared" ref="F506:L506" si="290">F258</f>
        <v>37 ICT middelen 1 (gaschromatografen en comptabele meting)</v>
      </c>
      <c r="G506" s="43">
        <f t="shared" si="290"/>
        <v>2019</v>
      </c>
      <c r="H506" s="58">
        <f t="shared" si="290"/>
        <v>138775.45971332947</v>
      </c>
      <c r="I506" s="43">
        <f t="shared" si="290"/>
        <v>2021</v>
      </c>
      <c r="J506" s="58">
        <f t="shared" si="290"/>
        <v>5</v>
      </c>
      <c r="K506" s="188">
        <f t="shared" si="290"/>
        <v>0</v>
      </c>
      <c r="L506" s="58">
        <f t="shared" si="290"/>
        <v>72330.879806265031</v>
      </c>
      <c r="N506" s="49">
        <f t="shared" si="262"/>
        <v>72330.879806265031</v>
      </c>
      <c r="P506" s="44">
        <f t="shared" si="253"/>
        <v>2.5</v>
      </c>
      <c r="R506" s="49">
        <f t="shared" si="279"/>
        <v>33850.85174933204</v>
      </c>
      <c r="S506" s="49">
        <f t="shared" si="279"/>
        <v>20831.293384204328</v>
      </c>
      <c r="T506" s="49">
        <f t="shared" si="279"/>
        <v>10415.646692102164</v>
      </c>
      <c r="U506" s="49">
        <f t="shared" si="279"/>
        <v>0</v>
      </c>
      <c r="V506" s="49">
        <f t="shared" si="279"/>
        <v>0</v>
      </c>
      <c r="X506" s="49">
        <f t="shared" si="280"/>
        <v>2893.2351922506018</v>
      </c>
      <c r="Y506" s="49">
        <f t="shared" si="280"/>
        <v>2893.2351922506009</v>
      </c>
      <c r="Z506" s="49">
        <f t="shared" si="280"/>
        <v>1446.6175961253005</v>
      </c>
      <c r="AA506" s="49">
        <f t="shared" si="280"/>
        <v>0</v>
      </c>
      <c r="AB506" s="49">
        <f t="shared" si="280"/>
        <v>0</v>
      </c>
      <c r="AD506" s="49">
        <f t="shared" si="263"/>
        <v>35586.792864682393</v>
      </c>
      <c r="AE506" s="49">
        <f t="shared" si="264"/>
        <v>11862.264288227465</v>
      </c>
      <c r="AF506" s="49">
        <f t="shared" si="265"/>
        <v>6.8212102632969618E-13</v>
      </c>
      <c r="AG506" s="49">
        <f t="shared" si="266"/>
        <v>0</v>
      </c>
      <c r="AH506" s="49">
        <f t="shared" si="267"/>
        <v>0</v>
      </c>
      <c r="AJ506" s="49">
        <f t="shared" si="254"/>
        <v>37847.27752038779</v>
      </c>
      <c r="AK506" s="49">
        <f t="shared" si="255"/>
        <v>24080.396505101755</v>
      </c>
      <c r="AL506" s="49">
        <f t="shared" si="256"/>
        <v>11862.264288227465</v>
      </c>
      <c r="AM506" s="49">
        <f t="shared" si="257"/>
        <v>0</v>
      </c>
      <c r="AN506" s="49">
        <f t="shared" si="258"/>
        <v>0</v>
      </c>
    </row>
    <row r="507" spans="2:40">
      <c r="B507" s="43" t="str">
        <f t="shared" si="251"/>
        <v>Asset 219</v>
      </c>
      <c r="F507" s="43" t="str">
        <f t="shared" ref="F507:L507" si="291">F259</f>
        <v>10 Gereedschap</v>
      </c>
      <c r="G507" s="43">
        <f t="shared" si="291"/>
        <v>2019</v>
      </c>
      <c r="H507" s="58">
        <f t="shared" si="291"/>
        <v>142771.1801450084</v>
      </c>
      <c r="I507" s="43">
        <f t="shared" si="291"/>
        <v>2021</v>
      </c>
      <c r="J507" s="58">
        <f t="shared" si="291"/>
        <v>10</v>
      </c>
      <c r="K507" s="188">
        <f t="shared" si="291"/>
        <v>1</v>
      </c>
      <c r="L507" s="58">
        <f t="shared" si="291"/>
        <v>111620.22189152931</v>
      </c>
      <c r="N507" s="49">
        <f t="shared" si="262"/>
        <v>104588.14791236297</v>
      </c>
      <c r="P507" s="44">
        <f t="shared" si="253"/>
        <v>7.5</v>
      </c>
      <c r="R507" s="49">
        <f t="shared" si="279"/>
        <v>17412.754615078575</v>
      </c>
      <c r="S507" s="49">
        <f t="shared" si="279"/>
        <v>14394.543815131619</v>
      </c>
      <c r="T507" s="49">
        <f t="shared" si="279"/>
        <v>12481.982049484761</v>
      </c>
      <c r="U507" s="49">
        <f t="shared" si="279"/>
        <v>12481.982049484761</v>
      </c>
      <c r="V507" s="49">
        <f t="shared" si="279"/>
        <v>12481.982049484761</v>
      </c>
      <c r="X507" s="49">
        <f t="shared" si="280"/>
        <v>1488.2696252203907</v>
      </c>
      <c r="Y507" s="49">
        <f t="shared" si="280"/>
        <v>1488.2696252203907</v>
      </c>
      <c r="Z507" s="49">
        <f t="shared" si="280"/>
        <v>1488.2696252203907</v>
      </c>
      <c r="AA507" s="49">
        <f t="shared" si="280"/>
        <v>1488.2696252203907</v>
      </c>
      <c r="AB507" s="49">
        <f t="shared" si="280"/>
        <v>1488.2696252203907</v>
      </c>
      <c r="AD507" s="49">
        <f t="shared" si="263"/>
        <v>92719.197651230337</v>
      </c>
      <c r="AE507" s="49">
        <f t="shared" si="264"/>
        <v>76836.384210878328</v>
      </c>
      <c r="AF507" s="49">
        <f t="shared" si="265"/>
        <v>62866.13253617318</v>
      </c>
      <c r="AG507" s="49">
        <f t="shared" si="266"/>
        <v>48895.880861468031</v>
      </c>
      <c r="AH507" s="49">
        <f t="shared" si="267"/>
        <v>34925.629186762882</v>
      </c>
      <c r="AJ507" s="49">
        <f t="shared" si="254"/>
        <v>20403.474247335416</v>
      </c>
      <c r="AK507" s="49">
        <f t="shared" si="255"/>
        <v>17042.066953777627</v>
      </c>
      <c r="AL507" s="49">
        <f t="shared" si="256"/>
        <v>14857.292804790557</v>
      </c>
      <c r="AM507" s="49">
        <f t="shared" si="257"/>
        <v>14464.589030214594</v>
      </c>
      <c r="AN507" s="49">
        <f t="shared" si="258"/>
        <v>14071.885255638634</v>
      </c>
    </row>
    <row r="508" spans="2:40">
      <c r="B508" s="43" t="str">
        <f t="shared" si="251"/>
        <v>Asset 220</v>
      </c>
      <c r="F508" s="43" t="str">
        <f t="shared" ref="F508:L508" si="292">F260</f>
        <v>39 ICT middelen 3</v>
      </c>
      <c r="G508" s="43">
        <f t="shared" si="292"/>
        <v>2018</v>
      </c>
      <c r="H508" s="58">
        <f t="shared" si="292"/>
        <v>66462443.599999994</v>
      </c>
      <c r="I508" s="43">
        <f t="shared" si="292"/>
        <v>2021</v>
      </c>
      <c r="J508" s="58">
        <f t="shared" si="292"/>
        <v>15</v>
      </c>
      <c r="K508" s="188">
        <f t="shared" si="292"/>
        <v>1</v>
      </c>
      <c r="L508" s="58">
        <f t="shared" si="292"/>
        <v>53753217.800323352</v>
      </c>
      <c r="N508" s="49">
        <f t="shared" si="262"/>
        <v>50366765.078902982</v>
      </c>
      <c r="P508" s="44">
        <f t="shared" si="253"/>
        <v>11.5</v>
      </c>
      <c r="R508" s="49">
        <f t="shared" si="279"/>
        <v>5468805.637076376</v>
      </c>
      <c r="S508" s="49">
        <f t="shared" si="279"/>
        <v>4850592.8259286107</v>
      </c>
      <c r="T508" s="49">
        <f t="shared" si="279"/>
        <v>4302264.9412584202</v>
      </c>
      <c r="U508" s="49">
        <f t="shared" si="279"/>
        <v>3971321.4842385412</v>
      </c>
      <c r="V508" s="49">
        <f t="shared" si="279"/>
        <v>3971321.4842385412</v>
      </c>
      <c r="X508" s="49">
        <f t="shared" si="280"/>
        <v>467419.28522020311</v>
      </c>
      <c r="Y508" s="49">
        <f t="shared" si="280"/>
        <v>467419.28522020311</v>
      </c>
      <c r="Z508" s="49">
        <f t="shared" si="280"/>
        <v>467419.28522020311</v>
      </c>
      <c r="AA508" s="49">
        <f t="shared" si="280"/>
        <v>467419.28522020311</v>
      </c>
      <c r="AB508" s="49">
        <f t="shared" si="280"/>
        <v>467419.28522020311</v>
      </c>
      <c r="AD508" s="49">
        <f t="shared" si="263"/>
        <v>47816992.878026769</v>
      </c>
      <c r="AE508" s="49">
        <f t="shared" si="264"/>
        <v>42498980.766877949</v>
      </c>
      <c r="AF508" s="49">
        <f t="shared" si="265"/>
        <v>37729296.54039932</v>
      </c>
      <c r="AG508" s="49">
        <f t="shared" si="266"/>
        <v>33290555.770940576</v>
      </c>
      <c r="AH508" s="49">
        <f t="shared" si="267"/>
        <v>28851815.001481831</v>
      </c>
      <c r="AJ508" s="49">
        <f t="shared" si="254"/>
        <v>6951182.9443199383</v>
      </c>
      <c r="AK508" s="49">
        <f t="shared" si="255"/>
        <v>6177623.6975033786</v>
      </c>
      <c r="AL508" s="49">
        <f t="shared" si="256"/>
        <v>5529764.6459610956</v>
      </c>
      <c r="AM508" s="49">
        <f t="shared" si="257"/>
        <v>5094897.6237039836</v>
      </c>
      <c r="AN508" s="49">
        <f t="shared" si="258"/>
        <v>4970124.6206744984</v>
      </c>
    </row>
    <row r="509" spans="2:40">
      <c r="B509" s="43" t="str">
        <f t="shared" si="251"/>
        <v>Asset 221</v>
      </c>
      <c r="F509" s="43" t="str">
        <f t="shared" ref="F509:L509" si="293">F261</f>
        <v>39 ICT middelen 3 (balancering)</v>
      </c>
      <c r="G509" s="43">
        <f t="shared" si="293"/>
        <v>2018</v>
      </c>
      <c r="H509" s="58">
        <f t="shared" si="293"/>
        <v>13091088</v>
      </c>
      <c r="I509" s="43">
        <f t="shared" si="293"/>
        <v>2021</v>
      </c>
      <c r="J509" s="58">
        <f t="shared" si="293"/>
        <v>15</v>
      </c>
      <c r="K509" s="188">
        <f t="shared" si="293"/>
        <v>0</v>
      </c>
      <c r="L509" s="58">
        <f t="shared" si="293"/>
        <v>10587755.526147995</v>
      </c>
      <c r="N509" s="49">
        <f t="shared" si="262"/>
        <v>10587755.526147995</v>
      </c>
      <c r="P509" s="44">
        <f t="shared" si="253"/>
        <v>11.5</v>
      </c>
      <c r="R509" s="49">
        <f t="shared" si="279"/>
        <v>1077189.0404863614</v>
      </c>
      <c r="S509" s="49">
        <f t="shared" si="279"/>
        <v>955419.84460529429</v>
      </c>
      <c r="T509" s="49">
        <f t="shared" si="279"/>
        <v>847415.86217165238</v>
      </c>
      <c r="U509" s="49">
        <f t="shared" si="279"/>
        <v>782230.02661998675</v>
      </c>
      <c r="V509" s="49">
        <f t="shared" si="279"/>
        <v>782230.02661998675</v>
      </c>
      <c r="X509" s="49">
        <f t="shared" si="280"/>
        <v>92067.439357808646</v>
      </c>
      <c r="Y509" s="49">
        <f t="shared" si="280"/>
        <v>92067.439357808646</v>
      </c>
      <c r="Z509" s="49">
        <f t="shared" si="280"/>
        <v>92067.439357808646</v>
      </c>
      <c r="AA509" s="49">
        <f t="shared" si="280"/>
        <v>92067.439357808646</v>
      </c>
      <c r="AB509" s="49">
        <f t="shared" si="280"/>
        <v>92067.439357808646</v>
      </c>
      <c r="AD509" s="49">
        <f t="shared" si="263"/>
        <v>9418499.0463038255</v>
      </c>
      <c r="AE509" s="49">
        <f t="shared" si="264"/>
        <v>8371011.7623407217</v>
      </c>
      <c r="AF509" s="49">
        <f t="shared" si="265"/>
        <v>7431528.4608112602</v>
      </c>
      <c r="AG509" s="49">
        <f t="shared" si="266"/>
        <v>6557230.9948334647</v>
      </c>
      <c r="AH509" s="49">
        <f t="shared" si="267"/>
        <v>5682933.5288556693</v>
      </c>
      <c r="AJ509" s="49">
        <f t="shared" si="254"/>
        <v>1461229.9502795886</v>
      </c>
      <c r="AK509" s="49">
        <f t="shared" si="255"/>
        <v>1298617.6368333246</v>
      </c>
      <c r="AL509" s="49">
        <f t="shared" si="256"/>
        <v>1162429.1553537988</v>
      </c>
      <c r="AM509" s="49">
        <f t="shared" si="257"/>
        <v>1071014.3958227993</v>
      </c>
      <c r="AN509" s="49">
        <f t="shared" si="258"/>
        <v>1044785.4718434655</v>
      </c>
    </row>
    <row r="510" spans="2:40">
      <c r="B510" s="43" t="str">
        <f t="shared" si="251"/>
        <v>Asset 222</v>
      </c>
      <c r="F510" s="43" t="str">
        <f t="shared" ref="F510:L510" si="294">F262</f>
        <v>39 ICT middelen 3 (KC)</v>
      </c>
      <c r="G510" s="43">
        <f t="shared" si="294"/>
        <v>2019</v>
      </c>
      <c r="H510" s="58">
        <f t="shared" si="294"/>
        <v>510273.00000000006</v>
      </c>
      <c r="I510" s="43">
        <f t="shared" si="294"/>
        <v>2021</v>
      </c>
      <c r="J510" s="58">
        <f t="shared" si="294"/>
        <v>15</v>
      </c>
      <c r="K510" s="188">
        <f t="shared" si="294"/>
        <v>0</v>
      </c>
      <c r="L510" s="58">
        <f t="shared" si="294"/>
        <v>443263.94964000006</v>
      </c>
      <c r="N510" s="49">
        <f t="shared" si="262"/>
        <v>443263.94964000006</v>
      </c>
      <c r="P510" s="44">
        <f t="shared" si="253"/>
        <v>12.5</v>
      </c>
      <c r="R510" s="49">
        <f t="shared" si="279"/>
        <v>41489.505686304015</v>
      </c>
      <c r="S510" s="49">
        <f t="shared" si="279"/>
        <v>37174.597094928395</v>
      </c>
      <c r="T510" s="49">
        <f t="shared" si="279"/>
        <v>33308.43899705584</v>
      </c>
      <c r="U510" s="49">
        <f t="shared" si="279"/>
        <v>30206.843462917033</v>
      </c>
      <c r="V510" s="49">
        <f t="shared" si="279"/>
        <v>30206.843462917033</v>
      </c>
      <c r="X510" s="49">
        <f t="shared" si="280"/>
        <v>3546.1115971200006</v>
      </c>
      <c r="Y510" s="49">
        <f t="shared" si="280"/>
        <v>3546.1115971200006</v>
      </c>
      <c r="Z510" s="49">
        <f t="shared" si="280"/>
        <v>3546.1115971200006</v>
      </c>
      <c r="AA510" s="49">
        <f t="shared" si="280"/>
        <v>3546.1115971200006</v>
      </c>
      <c r="AB510" s="49">
        <f t="shared" si="280"/>
        <v>3546.1115971200006</v>
      </c>
      <c r="AD510" s="49">
        <f t="shared" si="263"/>
        <v>398228.33235657605</v>
      </c>
      <c r="AE510" s="49">
        <f t="shared" si="264"/>
        <v>357507.62366452767</v>
      </c>
      <c r="AF510" s="49">
        <f t="shared" si="265"/>
        <v>320653.07307035179</v>
      </c>
      <c r="AG510" s="49">
        <f t="shared" si="266"/>
        <v>286900.11801031476</v>
      </c>
      <c r="AH510" s="49">
        <f t="shared" si="267"/>
        <v>253147.16295027774</v>
      </c>
      <c r="AJ510" s="49">
        <f t="shared" si="254"/>
        <v>57380.695586477872</v>
      </c>
      <c r="AK510" s="49">
        <f t="shared" si="255"/>
        <v>51445.937401984222</v>
      </c>
      <c r="AL510" s="49">
        <f t="shared" si="256"/>
        <v>46474.142786286393</v>
      </c>
      <c r="AM510" s="49">
        <f t="shared" si="257"/>
        <v>42359.958600346479</v>
      </c>
      <c r="AN510" s="49">
        <f t="shared" si="258"/>
        <v>41347.369948545369</v>
      </c>
    </row>
    <row r="511" spans="2:40">
      <c r="B511" s="43" t="str">
        <f t="shared" si="251"/>
        <v>Asset 223</v>
      </c>
      <c r="F511" s="43" t="str">
        <f t="shared" ref="F511:L511" si="295">F263</f>
        <v>37 ICT middelen 1</v>
      </c>
      <c r="G511" s="43">
        <f t="shared" si="295"/>
        <v>2020</v>
      </c>
      <c r="H511" s="58">
        <f t="shared" si="295"/>
        <v>4054436.8604233577</v>
      </c>
      <c r="I511" s="43">
        <f t="shared" si="295"/>
        <v>2021</v>
      </c>
      <c r="J511" s="58">
        <f t="shared" si="295"/>
        <v>5</v>
      </c>
      <c r="K511" s="188">
        <f t="shared" si="295"/>
        <v>1</v>
      </c>
      <c r="L511" s="58">
        <f t="shared" si="295"/>
        <v>2883515.4951330922</v>
      </c>
      <c r="N511" s="49">
        <f t="shared" si="262"/>
        <v>2701854.0189397074</v>
      </c>
      <c r="P511" s="44">
        <f t="shared" si="253"/>
        <v>3.5</v>
      </c>
      <c r="R511" s="49">
        <f t="shared" si="279"/>
        <v>963918.03694449086</v>
      </c>
      <c r="S511" s="49">
        <f t="shared" si="279"/>
        <v>652498.36347011686</v>
      </c>
      <c r="T511" s="49">
        <f t="shared" si="279"/>
        <v>652498.36347011686</v>
      </c>
      <c r="U511" s="49">
        <f t="shared" si="279"/>
        <v>326249.18173505843</v>
      </c>
      <c r="V511" s="49">
        <f t="shared" si="279"/>
        <v>0</v>
      </c>
      <c r="X511" s="49">
        <f t="shared" si="280"/>
        <v>82386.157003802626</v>
      </c>
      <c r="Y511" s="49">
        <f t="shared" si="280"/>
        <v>82386.157003802626</v>
      </c>
      <c r="Z511" s="49">
        <f t="shared" si="280"/>
        <v>82386.157003802626</v>
      </c>
      <c r="AA511" s="49">
        <f t="shared" si="280"/>
        <v>41193.078501901313</v>
      </c>
      <c r="AB511" s="49">
        <f t="shared" si="280"/>
        <v>0</v>
      </c>
      <c r="AD511" s="49">
        <f t="shared" si="263"/>
        <v>1837211.3011847986</v>
      </c>
      <c r="AE511" s="49">
        <f t="shared" si="264"/>
        <v>1102326.780710879</v>
      </c>
      <c r="AF511" s="49">
        <f t="shared" si="265"/>
        <v>367442.26023695956</v>
      </c>
      <c r="AG511" s="49">
        <f t="shared" si="266"/>
        <v>-1.8917489796876907E-10</v>
      </c>
      <c r="AH511" s="49">
        <f t="shared" si="267"/>
        <v>0</v>
      </c>
      <c r="AJ511" s="49">
        <f t="shared" si="254"/>
        <v>1033752.5063950658</v>
      </c>
      <c r="AK511" s="49">
        <f t="shared" si="255"/>
        <v>719573.20148984529</v>
      </c>
      <c r="AL511" s="49">
        <f t="shared" si="256"/>
        <v>698915.59761932353</v>
      </c>
      <c r="AM511" s="49">
        <f t="shared" si="257"/>
        <v>344293.39784203126</v>
      </c>
      <c r="AN511" s="49">
        <f t="shared" si="258"/>
        <v>0</v>
      </c>
    </row>
    <row r="512" spans="2:40">
      <c r="B512" s="43" t="str">
        <f t="shared" si="251"/>
        <v>Asset 224</v>
      </c>
      <c r="F512" s="43" t="str">
        <f t="shared" ref="F512:L512" si="296">F264</f>
        <v>11 Werktuigen</v>
      </c>
      <c r="G512" s="43">
        <f t="shared" si="296"/>
        <v>2021</v>
      </c>
      <c r="H512" s="58">
        <f t="shared" si="296"/>
        <v>2667062.5363170211</v>
      </c>
      <c r="I512" s="43">
        <f t="shared" si="296"/>
        <v>2021</v>
      </c>
      <c r="J512" s="58">
        <f t="shared" si="296"/>
        <v>10</v>
      </c>
      <c r="K512" s="188">
        <f t="shared" si="296"/>
        <v>1</v>
      </c>
      <c r="L512" s="58">
        <f t="shared" si="296"/>
        <v>2533709.4095011703</v>
      </c>
      <c r="N512" s="49">
        <f t="shared" si="262"/>
        <v>2374085.7167025968</v>
      </c>
      <c r="P512" s="44">
        <f t="shared" si="253"/>
        <v>9.5</v>
      </c>
      <c r="R512" s="49">
        <f t="shared" si="279"/>
        <v>312046.31674909149</v>
      </c>
      <c r="S512" s="49">
        <f t="shared" si="279"/>
        <v>269345.24182553164</v>
      </c>
      <c r="T512" s="49">
        <f t="shared" si="279"/>
        <v>232487.47189151149</v>
      </c>
      <c r="U512" s="49">
        <f t="shared" si="279"/>
        <v>225609.14432075669</v>
      </c>
      <c r="V512" s="49">
        <f t="shared" si="279"/>
        <v>225609.14432075669</v>
      </c>
      <c r="X512" s="49">
        <f t="shared" si="280"/>
        <v>26670.625363170217</v>
      </c>
      <c r="Y512" s="49">
        <f t="shared" si="280"/>
        <v>26670.625363170217</v>
      </c>
      <c r="Z512" s="49">
        <f t="shared" si="280"/>
        <v>26670.625363170217</v>
      </c>
      <c r="AA512" s="49">
        <f t="shared" si="280"/>
        <v>26670.625363170217</v>
      </c>
      <c r="AB512" s="49">
        <f t="shared" si="280"/>
        <v>26670.625363170217</v>
      </c>
      <c r="AD512" s="49">
        <f t="shared" si="263"/>
        <v>2194992.4673889084</v>
      </c>
      <c r="AE512" s="49">
        <f t="shared" si="264"/>
        <v>1898976.6002002065</v>
      </c>
      <c r="AF512" s="49">
        <f t="shared" si="265"/>
        <v>1639818.5029455249</v>
      </c>
      <c r="AG512" s="49">
        <f t="shared" si="266"/>
        <v>1387538.733261598</v>
      </c>
      <c r="AH512" s="49">
        <f t="shared" si="267"/>
        <v>1135258.9635776712</v>
      </c>
      <c r="AJ512" s="49">
        <f t="shared" si="254"/>
        <v>381135.72095943487</v>
      </c>
      <c r="AK512" s="49">
        <f t="shared" si="255"/>
        <v>330747.09978744143</v>
      </c>
      <c r="AL512" s="49">
        <f t="shared" si="256"/>
        <v>288926.43524543545</v>
      </c>
      <c r="AM512" s="49">
        <f t="shared" si="257"/>
        <v>275389.85798582307</v>
      </c>
      <c r="AN512" s="49">
        <f t="shared" si="258"/>
        <v>268298.27366000786</v>
      </c>
    </row>
    <row r="513" spans="2:40">
      <c r="B513" s="43" t="str">
        <f t="shared" si="251"/>
        <v>Asset 225</v>
      </c>
      <c r="F513" s="43" t="str">
        <f t="shared" ref="F513:L513" si="297">F265</f>
        <v>10 Gereedschap</v>
      </c>
      <c r="G513" s="43">
        <f t="shared" si="297"/>
        <v>2021</v>
      </c>
      <c r="H513" s="58">
        <f t="shared" si="297"/>
        <v>467492.45719026914</v>
      </c>
      <c r="I513" s="43">
        <f t="shared" si="297"/>
        <v>2021</v>
      </c>
      <c r="J513" s="58">
        <f t="shared" si="297"/>
        <v>10</v>
      </c>
      <c r="K513" s="188">
        <f t="shared" si="297"/>
        <v>1</v>
      </c>
      <c r="L513" s="58">
        <f t="shared" si="297"/>
        <v>444117.83433075569</v>
      </c>
      <c r="N513" s="49">
        <f t="shared" si="262"/>
        <v>416138.4107679181</v>
      </c>
      <c r="P513" s="44">
        <f t="shared" si="253"/>
        <v>9.5</v>
      </c>
      <c r="R513" s="49">
        <f t="shared" si="279"/>
        <v>54696.617491261495</v>
      </c>
      <c r="S513" s="49">
        <f t="shared" si="279"/>
        <v>47211.817202983599</v>
      </c>
      <c r="T513" s="49">
        <f t="shared" si="279"/>
        <v>40751.252743627949</v>
      </c>
      <c r="U513" s="49">
        <f t="shared" si="279"/>
        <v>39545.594378431859</v>
      </c>
      <c r="V513" s="49">
        <f t="shared" si="279"/>
        <v>39545.594378431859</v>
      </c>
      <c r="X513" s="49">
        <f t="shared" si="280"/>
        <v>4674.9245719026922</v>
      </c>
      <c r="Y513" s="49">
        <f t="shared" si="280"/>
        <v>4674.9245719026922</v>
      </c>
      <c r="Z513" s="49">
        <f t="shared" si="280"/>
        <v>4674.9245719026922</v>
      </c>
      <c r="AA513" s="49">
        <f t="shared" si="280"/>
        <v>4674.9245719026922</v>
      </c>
      <c r="AB513" s="49">
        <f t="shared" si="280"/>
        <v>4674.9245719026922</v>
      </c>
      <c r="AD513" s="49">
        <f t="shared" si="263"/>
        <v>384746.29226759152</v>
      </c>
      <c r="AE513" s="49">
        <f t="shared" si="264"/>
        <v>332859.55049270525</v>
      </c>
      <c r="AF513" s="49">
        <f t="shared" si="265"/>
        <v>287433.37317717465</v>
      </c>
      <c r="AG513" s="49">
        <f t="shared" si="266"/>
        <v>243212.85422684011</v>
      </c>
      <c r="AH513" s="49">
        <f t="shared" si="267"/>
        <v>198992.33527650556</v>
      </c>
      <c r="AJ513" s="49">
        <f t="shared" si="254"/>
        <v>66806.86046468158</v>
      </c>
      <c r="AK513" s="49">
        <f t="shared" si="255"/>
        <v>57974.5590074184</v>
      </c>
      <c r="AL513" s="49">
        <f t="shared" si="256"/>
        <v>50644.080264662596</v>
      </c>
      <c r="AM513" s="49">
        <f t="shared" si="257"/>
        <v>48271.339588779956</v>
      </c>
      <c r="AN513" s="49">
        <f t="shared" si="258"/>
        <v>47028.30080108605</v>
      </c>
    </row>
    <row r="514" spans="2:40">
      <c r="B514" s="43" t="str">
        <f t="shared" si="251"/>
        <v>Asset 226</v>
      </c>
      <c r="F514" s="43" t="str">
        <f t="shared" ref="F514:L514" si="298">F266</f>
        <v>38 ICT middelen 2</v>
      </c>
      <c r="G514" s="43">
        <f t="shared" si="298"/>
        <v>2021</v>
      </c>
      <c r="H514" s="58">
        <f t="shared" si="298"/>
        <v>3432262.7310020467</v>
      </c>
      <c r="I514" s="43">
        <f t="shared" si="298"/>
        <v>2021</v>
      </c>
      <c r="J514" s="58">
        <f t="shared" si="298"/>
        <v>10</v>
      </c>
      <c r="K514" s="188">
        <f t="shared" si="298"/>
        <v>1</v>
      </c>
      <c r="L514" s="58">
        <f t="shared" si="298"/>
        <v>3260649.5944519443</v>
      </c>
      <c r="N514" s="49">
        <f t="shared" si="262"/>
        <v>3055228.6700014719</v>
      </c>
      <c r="P514" s="44">
        <f t="shared" si="253"/>
        <v>9.5</v>
      </c>
      <c r="R514" s="49">
        <f t="shared" si="279"/>
        <v>401574.73952723952</v>
      </c>
      <c r="S514" s="49">
        <f t="shared" si="279"/>
        <v>346622.40674982779</v>
      </c>
      <c r="T514" s="49">
        <f t="shared" si="279"/>
        <v>299189.8668787987</v>
      </c>
      <c r="U514" s="49">
        <f t="shared" si="279"/>
        <v>290338.09566936677</v>
      </c>
      <c r="V514" s="49">
        <f t="shared" si="279"/>
        <v>290338.09566936677</v>
      </c>
      <c r="X514" s="49">
        <f t="shared" si="280"/>
        <v>34322.627310020471</v>
      </c>
      <c r="Y514" s="49">
        <f t="shared" si="280"/>
        <v>34322.627310020463</v>
      </c>
      <c r="Z514" s="49">
        <f t="shared" si="280"/>
        <v>34322.627310020463</v>
      </c>
      <c r="AA514" s="49">
        <f t="shared" si="280"/>
        <v>34322.627310020463</v>
      </c>
      <c r="AB514" s="49">
        <f t="shared" si="280"/>
        <v>34322.627310020463</v>
      </c>
      <c r="AD514" s="49">
        <f t="shared" si="263"/>
        <v>2824752.2276146845</v>
      </c>
      <c r="AE514" s="49">
        <f t="shared" si="264"/>
        <v>2443807.1935548363</v>
      </c>
      <c r="AF514" s="49">
        <f t="shared" si="265"/>
        <v>2110294.6993660172</v>
      </c>
      <c r="AG514" s="49">
        <f t="shared" si="266"/>
        <v>1785633.97638663</v>
      </c>
      <c r="AH514" s="49">
        <f t="shared" si="267"/>
        <v>1460973.2534072427</v>
      </c>
      <c r="AJ514" s="49">
        <f t="shared" si="254"/>
        <v>490486.41068203637</v>
      </c>
      <c r="AK514" s="49">
        <f t="shared" si="255"/>
        <v>425640.91712490428</v>
      </c>
      <c r="AL514" s="49">
        <f t="shared" si="256"/>
        <v>371821.59105410229</v>
      </c>
      <c r="AM514" s="49">
        <f t="shared" si="257"/>
        <v>354401.26850791398</v>
      </c>
      <c r="AN514" s="49">
        <f t="shared" si="258"/>
        <v>345275.05558496341</v>
      </c>
    </row>
    <row r="515" spans="2:40">
      <c r="B515" s="43" t="str">
        <f t="shared" si="251"/>
        <v>Asset 227</v>
      </c>
      <c r="F515" s="43" t="str">
        <f t="shared" ref="F515:L515" si="299">F267</f>
        <v>37 ICT middelen 1</v>
      </c>
      <c r="G515" s="43">
        <f t="shared" si="299"/>
        <v>2021</v>
      </c>
      <c r="H515" s="58">
        <f t="shared" si="299"/>
        <v>8176022.700880779</v>
      </c>
      <c r="I515" s="43">
        <f t="shared" si="299"/>
        <v>2021</v>
      </c>
      <c r="J515" s="58">
        <f t="shared" si="299"/>
        <v>5</v>
      </c>
      <c r="K515" s="188">
        <f t="shared" si="299"/>
        <v>1</v>
      </c>
      <c r="L515" s="58">
        <f t="shared" si="299"/>
        <v>7358420.4307927005</v>
      </c>
      <c r="N515" s="49">
        <f t="shared" si="262"/>
        <v>6894839.9436527612</v>
      </c>
      <c r="P515" s="44">
        <f t="shared" si="253"/>
        <v>4.5</v>
      </c>
      <c r="R515" s="49">
        <f t="shared" si="279"/>
        <v>1913189.3120061024</v>
      </c>
      <c r="S515" s="49">
        <f t="shared" si="279"/>
        <v>1360490.1774265615</v>
      </c>
      <c r="T515" s="49">
        <f t="shared" si="279"/>
        <v>1339559.5593123063</v>
      </c>
      <c r="U515" s="49">
        <f t="shared" si="279"/>
        <v>1339559.5593123063</v>
      </c>
      <c r="V515" s="49">
        <f t="shared" si="279"/>
        <v>669779.77965615317</v>
      </c>
      <c r="X515" s="49">
        <f t="shared" si="280"/>
        <v>163520.45401761556</v>
      </c>
      <c r="Y515" s="49">
        <f t="shared" si="280"/>
        <v>163520.45401761559</v>
      </c>
      <c r="Z515" s="49">
        <f t="shared" si="280"/>
        <v>163520.45401761559</v>
      </c>
      <c r="AA515" s="49">
        <f t="shared" si="280"/>
        <v>163520.45401761559</v>
      </c>
      <c r="AB515" s="49">
        <f t="shared" si="280"/>
        <v>81760.227008807793</v>
      </c>
      <c r="AD515" s="49">
        <f t="shared" si="263"/>
        <v>5281710.6647689817</v>
      </c>
      <c r="AE515" s="49">
        <f t="shared" si="264"/>
        <v>3757700.0333248046</v>
      </c>
      <c r="AF515" s="49">
        <f t="shared" si="265"/>
        <v>2254620.0199948829</v>
      </c>
      <c r="AG515" s="49">
        <f t="shared" si="266"/>
        <v>751540.00666496088</v>
      </c>
      <c r="AH515" s="49">
        <f t="shared" si="267"/>
        <v>-8.7311491370201111E-11</v>
      </c>
      <c r="AJ515" s="49">
        <f t="shared" si="254"/>
        <v>2099294.9004437686</v>
      </c>
      <c r="AK515" s="49">
        <f t="shared" si="255"/>
        <v>1533626.9095999543</v>
      </c>
      <c r="AL515" s="49">
        <f t="shared" si="256"/>
        <v>1471763.3412521933</v>
      </c>
      <c r="AM515" s="49">
        <f t="shared" si="257"/>
        <v>1429511.7620774892</v>
      </c>
      <c r="AN515" s="49">
        <f t="shared" si="258"/>
        <v>704192.98624506849</v>
      </c>
    </row>
    <row r="516" spans="2:40">
      <c r="B516" s="43" t="str">
        <f t="shared" si="251"/>
        <v>Asset 228</v>
      </c>
      <c r="F516" s="43" t="str">
        <f t="shared" ref="F516:L516" si="300">F268</f>
        <v>39 ICT middelen 3</v>
      </c>
      <c r="G516" s="43">
        <f t="shared" si="300"/>
        <v>2019</v>
      </c>
      <c r="H516" s="58">
        <f t="shared" si="300"/>
        <v>1603714.1720507673</v>
      </c>
      <c r="I516" s="43">
        <f t="shared" si="300"/>
        <v>2021</v>
      </c>
      <c r="J516" s="58">
        <f t="shared" si="300"/>
        <v>15</v>
      </c>
      <c r="K516" s="188">
        <f t="shared" si="300"/>
        <v>1</v>
      </c>
      <c r="L516" s="58">
        <f t="shared" si="300"/>
        <v>1393114.426977061</v>
      </c>
      <c r="N516" s="49">
        <f t="shared" si="262"/>
        <v>1305348.2180775062</v>
      </c>
      <c r="P516" s="44">
        <f t="shared" si="253"/>
        <v>12.5</v>
      </c>
      <c r="R516" s="49">
        <f t="shared" si="279"/>
        <v>130395.51036505291</v>
      </c>
      <c r="S516" s="49">
        <f t="shared" si="279"/>
        <v>116834.37728708741</v>
      </c>
      <c r="T516" s="49">
        <f t="shared" si="279"/>
        <v>104683.60204923032</v>
      </c>
      <c r="U516" s="49">
        <f t="shared" si="279"/>
        <v>94935.736271366753</v>
      </c>
      <c r="V516" s="49">
        <f t="shared" si="279"/>
        <v>94935.736271366753</v>
      </c>
      <c r="X516" s="49">
        <f t="shared" si="280"/>
        <v>11144.915415816489</v>
      </c>
      <c r="Y516" s="49">
        <f t="shared" si="280"/>
        <v>11144.915415816489</v>
      </c>
      <c r="Z516" s="49">
        <f t="shared" si="280"/>
        <v>11144.915415816489</v>
      </c>
      <c r="AA516" s="49">
        <f t="shared" si="280"/>
        <v>11144.915415816489</v>
      </c>
      <c r="AB516" s="49">
        <f t="shared" si="280"/>
        <v>11144.915415816489</v>
      </c>
      <c r="AD516" s="49">
        <f t="shared" si="263"/>
        <v>1251574.0011961916</v>
      </c>
      <c r="AE516" s="49">
        <f t="shared" si="264"/>
        <v>1123594.7084932877</v>
      </c>
      <c r="AF516" s="49">
        <f t="shared" si="265"/>
        <v>1007766.1910282408</v>
      </c>
      <c r="AG516" s="49">
        <f t="shared" si="266"/>
        <v>901685.53934105765</v>
      </c>
      <c r="AH516" s="49">
        <f t="shared" si="267"/>
        <v>795604.88765387447</v>
      </c>
      <c r="AJ516" s="49">
        <f t="shared" si="254"/>
        <v>168977.84896942039</v>
      </c>
      <c r="AK516" s="49">
        <f t="shared" si="255"/>
        <v>151500.84451836726</v>
      </c>
      <c r="AL516" s="49">
        <f t="shared" si="256"/>
        <v>136859.62849455271</v>
      </c>
      <c r="AM516" s="49">
        <f t="shared" si="257"/>
        <v>124743.95114176783</v>
      </c>
      <c r="AN516" s="49">
        <f t="shared" si="258"/>
        <v>121762.02402284113</v>
      </c>
    </row>
    <row r="517" spans="2:40">
      <c r="B517" s="43" t="str">
        <f t="shared" si="251"/>
        <v>Asset 229</v>
      </c>
      <c r="F517" s="43" t="str">
        <f t="shared" ref="F517:L517" si="301">F269</f>
        <v>39 ICT middelen 3 (balancering)</v>
      </c>
      <c r="G517" s="43">
        <f t="shared" si="301"/>
        <v>2019</v>
      </c>
      <c r="H517" s="58">
        <f t="shared" si="301"/>
        <v>315883</v>
      </c>
      <c r="I517" s="43">
        <f t="shared" si="301"/>
        <v>2021</v>
      </c>
      <c r="J517" s="58">
        <f t="shared" si="301"/>
        <v>15</v>
      </c>
      <c r="K517" s="188">
        <f t="shared" si="301"/>
        <v>0</v>
      </c>
      <c r="L517" s="58">
        <f t="shared" si="301"/>
        <v>274401.24443999998</v>
      </c>
      <c r="N517" s="49">
        <f t="shared" si="262"/>
        <v>274401.24443999998</v>
      </c>
      <c r="P517" s="44">
        <f t="shared" si="253"/>
        <v>12.5</v>
      </c>
      <c r="R517" s="49">
        <f t="shared" si="279"/>
        <v>25683.956479584001</v>
      </c>
      <c r="S517" s="49">
        <f t="shared" si="279"/>
        <v>23012.825005707266</v>
      </c>
      <c r="T517" s="49">
        <f t="shared" si="279"/>
        <v>20619.491205113707</v>
      </c>
      <c r="U517" s="49">
        <f t="shared" si="279"/>
        <v>18699.457611115264</v>
      </c>
      <c r="V517" s="49">
        <f t="shared" si="279"/>
        <v>18699.457611115264</v>
      </c>
      <c r="X517" s="49">
        <f t="shared" si="280"/>
        <v>2195.2099555200002</v>
      </c>
      <c r="Y517" s="49">
        <f t="shared" si="280"/>
        <v>2195.2099555200002</v>
      </c>
      <c r="Z517" s="49">
        <f t="shared" si="280"/>
        <v>2195.2099555200002</v>
      </c>
      <c r="AA517" s="49">
        <f t="shared" si="280"/>
        <v>2195.2099555200002</v>
      </c>
      <c r="AB517" s="49">
        <f t="shared" si="280"/>
        <v>2195.2099555200002</v>
      </c>
      <c r="AD517" s="49">
        <f t="shared" si="263"/>
        <v>246522.07800489597</v>
      </c>
      <c r="AE517" s="49">
        <f t="shared" si="264"/>
        <v>221314.0430436687</v>
      </c>
      <c r="AF517" s="49">
        <f t="shared" si="265"/>
        <v>198499.341883035</v>
      </c>
      <c r="AG517" s="49">
        <f t="shared" si="266"/>
        <v>177604.67431639973</v>
      </c>
      <c r="AH517" s="49">
        <f t="shared" si="267"/>
        <v>156710.00674976446</v>
      </c>
      <c r="AJ517" s="49">
        <f t="shared" si="254"/>
        <v>35521.350853255775</v>
      </c>
      <c r="AK517" s="49">
        <f t="shared" si="255"/>
        <v>31847.456252537326</v>
      </c>
      <c r="AL517" s="49">
        <f t="shared" si="256"/>
        <v>28769.681417124757</v>
      </c>
      <c r="AM517" s="49">
        <f t="shared" si="257"/>
        <v>26222.807796127257</v>
      </c>
      <c r="AN517" s="49">
        <f t="shared" si="258"/>
        <v>25595.967769128198</v>
      </c>
    </row>
    <row r="518" spans="2:40">
      <c r="B518" s="43" t="str">
        <f t="shared" si="251"/>
        <v>Asset 230</v>
      </c>
      <c r="F518" s="43" t="str">
        <f t="shared" ref="F518:L518" si="302">F270</f>
        <v>39 ICT middelen 3</v>
      </c>
      <c r="G518" s="43">
        <f t="shared" si="302"/>
        <v>2020</v>
      </c>
      <c r="H518" s="58">
        <f t="shared" si="302"/>
        <v>437.7361508808076</v>
      </c>
      <c r="I518" s="43">
        <f t="shared" si="302"/>
        <v>2021</v>
      </c>
      <c r="J518" s="58">
        <f t="shared" si="302"/>
        <v>15</v>
      </c>
      <c r="K518" s="188">
        <f t="shared" si="302"/>
        <v>1</v>
      </c>
      <c r="L518" s="58">
        <f t="shared" si="302"/>
        <v>400.26593636541048</v>
      </c>
      <c r="N518" s="49">
        <f t="shared" si="262"/>
        <v>375.04918237438966</v>
      </c>
      <c r="P518" s="44">
        <f t="shared" si="253"/>
        <v>13.5</v>
      </c>
      <c r="R518" s="49">
        <f t="shared" si="279"/>
        <v>34.689714485002241</v>
      </c>
      <c r="S518" s="49">
        <f t="shared" si="279"/>
        <v>31.349223460520545</v>
      </c>
      <c r="T518" s="49">
        <f t="shared" si="279"/>
        <v>28.330409349507455</v>
      </c>
      <c r="U518" s="49">
        <f t="shared" si="279"/>
        <v>25.602295856591919</v>
      </c>
      <c r="V518" s="49">
        <f t="shared" si="279"/>
        <v>25.291336797604973</v>
      </c>
      <c r="X518" s="49">
        <f t="shared" si="280"/>
        <v>2.9649328619660036</v>
      </c>
      <c r="Y518" s="49">
        <f t="shared" si="280"/>
        <v>2.9649328619660036</v>
      </c>
      <c r="Z518" s="49">
        <f t="shared" si="280"/>
        <v>2.9649328619660036</v>
      </c>
      <c r="AA518" s="49">
        <f t="shared" si="280"/>
        <v>2.9649328619660036</v>
      </c>
      <c r="AB518" s="49">
        <f t="shared" si="280"/>
        <v>2.9649328619660036</v>
      </c>
      <c r="AD518" s="49">
        <f t="shared" si="263"/>
        <v>362.61128901844222</v>
      </c>
      <c r="AE518" s="49">
        <f t="shared" si="264"/>
        <v>328.29713269595567</v>
      </c>
      <c r="AF518" s="49">
        <f t="shared" si="265"/>
        <v>297.00179048448217</v>
      </c>
      <c r="AG518" s="49">
        <f t="shared" si="266"/>
        <v>268.43456176592423</v>
      </c>
      <c r="AH518" s="49">
        <f t="shared" si="267"/>
        <v>240.17829210635327</v>
      </c>
      <c r="AJ518" s="49">
        <f t="shared" si="254"/>
        <v>45.81517467622794</v>
      </c>
      <c r="AK518" s="49">
        <f t="shared" si="255"/>
        <v>41.380796874253214</v>
      </c>
      <c r="AL518" s="49">
        <f t="shared" si="256"/>
        <v>37.672455982669426</v>
      </c>
      <c r="AM518" s="49">
        <f t="shared" si="257"/>
        <v>34.313188840528902</v>
      </c>
      <c r="AN518" s="49">
        <f t="shared" si="258"/>
        <v>33.227536462127595</v>
      </c>
    </row>
    <row r="519" spans="2:40">
      <c r="B519" s="43" t="str">
        <f t="shared" si="251"/>
        <v>Asset 231</v>
      </c>
      <c r="F519" s="43" t="str">
        <f t="shared" ref="F519:L519" si="303">F271</f>
        <v>05 Wegen en terreinvoorzieningen</v>
      </c>
      <c r="G519" s="43">
        <f t="shared" si="303"/>
        <v>2020</v>
      </c>
      <c r="H519" s="58">
        <f t="shared" si="303"/>
        <v>274981.09053004743</v>
      </c>
      <c r="I519" s="43">
        <f t="shared" si="303"/>
        <v>2021</v>
      </c>
      <c r="J519" s="58">
        <f t="shared" si="303"/>
        <v>10</v>
      </c>
      <c r="K519" s="188">
        <f t="shared" si="303"/>
        <v>0</v>
      </c>
      <c r="L519" s="58">
        <f t="shared" si="303"/>
        <v>237473.66978174893</v>
      </c>
      <c r="N519" s="49">
        <f t="shared" si="262"/>
        <v>237473.66978174893</v>
      </c>
      <c r="P519" s="44">
        <f t="shared" si="253"/>
        <v>8.5</v>
      </c>
      <c r="R519" s="49">
        <f t="shared" si="279"/>
        <v>32687.552193487798</v>
      </c>
      <c r="S519" s="49">
        <f t="shared" si="279"/>
        <v>27688.279505072016</v>
      </c>
      <c r="T519" s="49">
        <f t="shared" si="279"/>
        <v>23592.38017000219</v>
      </c>
      <c r="U519" s="49">
        <f t="shared" si="279"/>
        <v>23592.38017000219</v>
      </c>
      <c r="V519" s="49">
        <f t="shared" si="279"/>
        <v>23592.38017000219</v>
      </c>
      <c r="X519" s="49">
        <f t="shared" si="280"/>
        <v>2793.8078797852818</v>
      </c>
      <c r="Y519" s="49">
        <f t="shared" si="280"/>
        <v>2793.8078797852813</v>
      </c>
      <c r="Z519" s="49">
        <f t="shared" si="280"/>
        <v>2793.8078797852813</v>
      </c>
      <c r="AA519" s="49">
        <f t="shared" si="280"/>
        <v>2793.8078797852813</v>
      </c>
      <c r="AB519" s="49">
        <f t="shared" si="280"/>
        <v>2793.8078797852813</v>
      </c>
      <c r="AD519" s="49">
        <f t="shared" si="263"/>
        <v>201992.30970847586</v>
      </c>
      <c r="AE519" s="49">
        <f t="shared" si="264"/>
        <v>171510.22232361857</v>
      </c>
      <c r="AF519" s="49">
        <f t="shared" si="265"/>
        <v>145124.03427383109</v>
      </c>
      <c r="AG519" s="49">
        <f t="shared" si="266"/>
        <v>118737.84622404362</v>
      </c>
      <c r="AH519" s="49">
        <f t="shared" si="267"/>
        <v>92351.658174256154</v>
      </c>
      <c r="AJ519" s="49">
        <f t="shared" si="254"/>
        <v>41743.12167423583</v>
      </c>
      <c r="AK519" s="49">
        <f t="shared" si="255"/>
        <v>35627.394054565855</v>
      </c>
      <c r="AL519" s="49">
        <f t="shared" si="256"/>
        <v>30739.909078002405</v>
      </c>
      <c r="AM519" s="49">
        <f t="shared" si="257"/>
        <v>29948.323436508781</v>
      </c>
      <c r="AN519" s="49">
        <f t="shared" si="258"/>
        <v>29156.737795015157</v>
      </c>
    </row>
    <row r="520" spans="2:40">
      <c r="B520" s="43" t="str">
        <f t="shared" si="251"/>
        <v>Asset 232</v>
      </c>
      <c r="F520" s="43" t="str">
        <f t="shared" ref="F520:L520" si="304">F272</f>
        <v>04 Terreinen</v>
      </c>
      <c r="G520" s="43">
        <f t="shared" si="304"/>
        <v>2020</v>
      </c>
      <c r="H520" s="58">
        <f t="shared" si="304"/>
        <v>1155506.2616599156</v>
      </c>
      <c r="I520" s="43">
        <f t="shared" si="304"/>
        <v>2021</v>
      </c>
      <c r="J520" s="58">
        <f t="shared" si="304"/>
        <v>0</v>
      </c>
      <c r="K520" s="188">
        <f t="shared" si="304"/>
        <v>0</v>
      </c>
      <c r="L520" s="58">
        <f t="shared" si="304"/>
        <v>1173994.3618464742</v>
      </c>
      <c r="N520" s="49">
        <f t="shared" si="262"/>
        <v>1173994.3618464742</v>
      </c>
      <c r="P520" s="44">
        <f t="shared" si="253"/>
        <v>0</v>
      </c>
      <c r="R520" s="49">
        <f t="shared" si="279"/>
        <v>0</v>
      </c>
      <c r="S520" s="49">
        <f t="shared" si="279"/>
        <v>0</v>
      </c>
      <c r="T520" s="49">
        <f t="shared" si="279"/>
        <v>0</v>
      </c>
      <c r="U520" s="49">
        <f t="shared" si="279"/>
        <v>0</v>
      </c>
      <c r="V520" s="49">
        <f t="shared" si="279"/>
        <v>0</v>
      </c>
      <c r="X520" s="49">
        <f t="shared" si="280"/>
        <v>0</v>
      </c>
      <c r="Y520" s="49">
        <f t="shared" si="280"/>
        <v>0</v>
      </c>
      <c r="Z520" s="49">
        <f t="shared" si="280"/>
        <v>0</v>
      </c>
      <c r="AA520" s="49">
        <f t="shared" si="280"/>
        <v>0</v>
      </c>
      <c r="AB520" s="49">
        <f t="shared" si="280"/>
        <v>0</v>
      </c>
      <c r="AD520" s="49">
        <f t="shared" si="263"/>
        <v>1173994.3618464742</v>
      </c>
      <c r="AE520" s="49">
        <f t="shared" si="264"/>
        <v>1173994.3618464742</v>
      </c>
      <c r="AF520" s="49">
        <f t="shared" si="265"/>
        <v>1173994.3618464742</v>
      </c>
      <c r="AG520" s="49">
        <f t="shared" si="266"/>
        <v>1173994.3618464742</v>
      </c>
      <c r="AH520" s="49">
        <f t="shared" si="267"/>
        <v>1173994.3618464742</v>
      </c>
      <c r="AJ520" s="49">
        <f t="shared" si="254"/>
        <v>36393.825217240701</v>
      </c>
      <c r="AK520" s="49">
        <f t="shared" si="255"/>
        <v>35219.830855394226</v>
      </c>
      <c r="AL520" s="49">
        <f t="shared" si="256"/>
        <v>35219.830855394226</v>
      </c>
      <c r="AM520" s="49">
        <f t="shared" si="257"/>
        <v>35219.830855394226</v>
      </c>
      <c r="AN520" s="49">
        <f t="shared" si="258"/>
        <v>35219.830855394226</v>
      </c>
    </row>
    <row r="521" spans="2:40">
      <c r="B521" s="43" t="str">
        <f t="shared" si="251"/>
        <v>Asset 233</v>
      </c>
      <c r="F521" s="43" t="str">
        <f t="shared" ref="F521:L521" si="305">F273</f>
        <v>08 Inrichting gebouwen</v>
      </c>
      <c r="G521" s="43">
        <f t="shared" si="305"/>
        <v>2020</v>
      </c>
      <c r="H521" s="58">
        <f t="shared" si="305"/>
        <v>227204.18889764068</v>
      </c>
      <c r="I521" s="43">
        <f t="shared" si="305"/>
        <v>2021</v>
      </c>
      <c r="J521" s="58">
        <f t="shared" si="305"/>
        <v>10</v>
      </c>
      <c r="K521" s="188">
        <f t="shared" si="305"/>
        <v>0</v>
      </c>
      <c r="L521" s="58">
        <f t="shared" si="305"/>
        <v>196213.53753200249</v>
      </c>
      <c r="N521" s="49">
        <f t="shared" si="262"/>
        <v>196213.53753200249</v>
      </c>
      <c r="P521" s="44">
        <f t="shared" si="253"/>
        <v>8.5</v>
      </c>
      <c r="R521" s="49">
        <f t="shared" si="279"/>
        <v>27008.216342640346</v>
      </c>
      <c r="S521" s="49">
        <f t="shared" si="279"/>
        <v>22877.547960824766</v>
      </c>
      <c r="T521" s="49">
        <f t="shared" si="279"/>
        <v>19493.295303898023</v>
      </c>
      <c r="U521" s="49">
        <f t="shared" si="279"/>
        <v>19493.295303898023</v>
      </c>
      <c r="V521" s="49">
        <f t="shared" si="279"/>
        <v>19493.295303898023</v>
      </c>
      <c r="X521" s="49">
        <f t="shared" si="280"/>
        <v>2308.3945592000291</v>
      </c>
      <c r="Y521" s="49">
        <f t="shared" si="280"/>
        <v>2308.3945592000296</v>
      </c>
      <c r="Z521" s="49">
        <f t="shared" si="280"/>
        <v>2308.3945592000296</v>
      </c>
      <c r="AA521" s="49">
        <f t="shared" si="280"/>
        <v>2308.3945592000296</v>
      </c>
      <c r="AB521" s="49">
        <f t="shared" si="280"/>
        <v>2308.3945592000296</v>
      </c>
      <c r="AD521" s="49">
        <f t="shared" si="263"/>
        <v>166896.92663016211</v>
      </c>
      <c r="AE521" s="49">
        <f t="shared" si="264"/>
        <v>141710.9841101373</v>
      </c>
      <c r="AF521" s="49">
        <f t="shared" si="265"/>
        <v>119909.29424703926</v>
      </c>
      <c r="AG521" s="49">
        <f t="shared" si="266"/>
        <v>98107.604383941216</v>
      </c>
      <c r="AH521" s="49">
        <f t="shared" si="267"/>
        <v>76305.914520843173</v>
      </c>
      <c r="AJ521" s="49">
        <f t="shared" si="254"/>
        <v>34490.415627375398</v>
      </c>
      <c r="AK521" s="49">
        <f t="shared" si="255"/>
        <v>29437.272043328914</v>
      </c>
      <c r="AL521" s="49">
        <f t="shared" si="256"/>
        <v>25398.968690509231</v>
      </c>
      <c r="AM521" s="49">
        <f t="shared" si="257"/>
        <v>24744.917994616291</v>
      </c>
      <c r="AN521" s="49">
        <f t="shared" si="258"/>
        <v>24090.867298723348</v>
      </c>
    </row>
    <row r="522" spans="2:40">
      <c r="B522" s="43" t="str">
        <f t="shared" si="251"/>
        <v>Asset 234</v>
      </c>
      <c r="F522" s="43" t="str">
        <f t="shared" ref="F522:L522" si="306">F274</f>
        <v>11 Werktuigen</v>
      </c>
      <c r="G522" s="43">
        <f t="shared" si="306"/>
        <v>2020</v>
      </c>
      <c r="H522" s="58">
        <f t="shared" si="306"/>
        <v>880855.41897943604</v>
      </c>
      <c r="I522" s="43">
        <f t="shared" si="306"/>
        <v>2021</v>
      </c>
      <c r="J522" s="58">
        <f t="shared" si="306"/>
        <v>10</v>
      </c>
      <c r="K522" s="188">
        <f t="shared" si="306"/>
        <v>1</v>
      </c>
      <c r="L522" s="58">
        <f t="shared" si="306"/>
        <v>760706.73983064084</v>
      </c>
      <c r="N522" s="49">
        <f t="shared" si="262"/>
        <v>712782.2152213105</v>
      </c>
      <c r="P522" s="44">
        <f t="shared" si="253"/>
        <v>8.5</v>
      </c>
      <c r="R522" s="49">
        <f t="shared" si="279"/>
        <v>104709.04536492353</v>
      </c>
      <c r="S522" s="49">
        <f t="shared" si="279"/>
        <v>88694.720779699928</v>
      </c>
      <c r="T522" s="49">
        <f t="shared" si="279"/>
        <v>75574.199954300522</v>
      </c>
      <c r="U522" s="49">
        <f t="shared" si="279"/>
        <v>75574.199954300522</v>
      </c>
      <c r="V522" s="49">
        <f t="shared" si="279"/>
        <v>75574.199954300522</v>
      </c>
      <c r="X522" s="49">
        <f t="shared" si="280"/>
        <v>8949.4910568310697</v>
      </c>
      <c r="Y522" s="49">
        <f t="shared" si="280"/>
        <v>8949.4910568310679</v>
      </c>
      <c r="Z522" s="49">
        <f t="shared" si="280"/>
        <v>8949.4910568310679</v>
      </c>
      <c r="AA522" s="49">
        <f t="shared" si="280"/>
        <v>8949.4910568310679</v>
      </c>
      <c r="AB522" s="49">
        <f t="shared" si="280"/>
        <v>8949.4910568310679</v>
      </c>
      <c r="AD522" s="49">
        <f t="shared" si="263"/>
        <v>647048.20340888621</v>
      </c>
      <c r="AE522" s="49">
        <f t="shared" si="264"/>
        <v>549403.99157235515</v>
      </c>
      <c r="AF522" s="49">
        <f t="shared" si="265"/>
        <v>464880.30056122353</v>
      </c>
      <c r="AG522" s="49">
        <f t="shared" si="266"/>
        <v>380356.6095500919</v>
      </c>
      <c r="AH522" s="49">
        <f t="shared" si="267"/>
        <v>295832.91853896028</v>
      </c>
      <c r="AJ522" s="49">
        <f t="shared" si="254"/>
        <v>125292.85779160199</v>
      </c>
      <c r="AK522" s="49">
        <f t="shared" si="255"/>
        <v>106936.37269392845</v>
      </c>
      <c r="AL522" s="49">
        <f t="shared" si="256"/>
        <v>92266.483726206308</v>
      </c>
      <c r="AM522" s="49">
        <f t="shared" si="257"/>
        <v>89890.522771883392</v>
      </c>
      <c r="AN522" s="49">
        <f t="shared" si="258"/>
        <v>87514.56181756049</v>
      </c>
    </row>
    <row r="523" spans="2:40">
      <c r="B523" s="43" t="str">
        <f t="shared" si="251"/>
        <v>Asset 235</v>
      </c>
      <c r="F523" s="43" t="str">
        <f t="shared" ref="F523:L523" si="307">F275</f>
        <v>14 Overig rollend materieel</v>
      </c>
      <c r="G523" s="43">
        <f t="shared" si="307"/>
        <v>2020</v>
      </c>
      <c r="H523" s="58">
        <f t="shared" si="307"/>
        <v>111163.8757407683</v>
      </c>
      <c r="I523" s="43">
        <f t="shared" si="307"/>
        <v>2021</v>
      </c>
      <c r="J523" s="58">
        <f t="shared" si="307"/>
        <v>10</v>
      </c>
      <c r="K523" s="188">
        <f t="shared" si="307"/>
        <v>1</v>
      </c>
      <c r="L523" s="58">
        <f t="shared" si="307"/>
        <v>96001.123089727509</v>
      </c>
      <c r="N523" s="49">
        <f t="shared" si="262"/>
        <v>89953.052335074681</v>
      </c>
      <c r="P523" s="44">
        <f t="shared" si="253"/>
        <v>8.5</v>
      </c>
      <c r="R523" s="49">
        <f t="shared" si="279"/>
        <v>13214.272237056612</v>
      </c>
      <c r="S523" s="49">
        <f t="shared" si="279"/>
        <v>11193.265894918542</v>
      </c>
      <c r="T523" s="49">
        <f t="shared" si="279"/>
        <v>9537.4573305814793</v>
      </c>
      <c r="U523" s="49">
        <f t="shared" si="279"/>
        <v>9537.4573305814793</v>
      </c>
      <c r="V523" s="49">
        <f t="shared" si="279"/>
        <v>9537.4573305814793</v>
      </c>
      <c r="X523" s="49">
        <f t="shared" si="280"/>
        <v>1129.424977526206</v>
      </c>
      <c r="Y523" s="49">
        <f t="shared" si="280"/>
        <v>1129.424977526206</v>
      </c>
      <c r="Z523" s="49">
        <f t="shared" si="280"/>
        <v>1129.424977526206</v>
      </c>
      <c r="AA523" s="49">
        <f t="shared" si="280"/>
        <v>1129.424977526206</v>
      </c>
      <c r="AB523" s="49">
        <f t="shared" si="280"/>
        <v>1129.424977526206</v>
      </c>
      <c r="AD523" s="49">
        <f t="shared" si="263"/>
        <v>81657.425875144705</v>
      </c>
      <c r="AE523" s="49">
        <f t="shared" si="264"/>
        <v>69334.735002699963</v>
      </c>
      <c r="AF523" s="49">
        <f t="shared" si="265"/>
        <v>58667.852694592279</v>
      </c>
      <c r="AG523" s="49">
        <f t="shared" si="266"/>
        <v>48000.970386484594</v>
      </c>
      <c r="AH523" s="49">
        <f t="shared" si="267"/>
        <v>37334.08807837691</v>
      </c>
      <c r="AJ523" s="49">
        <f t="shared" si="254"/>
        <v>15811.947539459432</v>
      </c>
      <c r="AK523" s="49">
        <f t="shared" si="255"/>
        <v>13495.360748406627</v>
      </c>
      <c r="AL523" s="49">
        <f t="shared" si="256"/>
        <v>11644.022061941889</v>
      </c>
      <c r="AM523" s="49">
        <f t="shared" si="257"/>
        <v>11344.176000260983</v>
      </c>
      <c r="AN523" s="49">
        <f t="shared" si="258"/>
        <v>11044.329938580075</v>
      </c>
    </row>
    <row r="524" spans="2:40">
      <c r="B524" s="43" t="str">
        <f t="shared" si="251"/>
        <v>Asset 236</v>
      </c>
      <c r="F524" s="43" t="str">
        <f t="shared" ref="F524:L524" si="308">F276</f>
        <v>38 ICT middelen 2</v>
      </c>
      <c r="G524" s="43">
        <f t="shared" si="308"/>
        <v>2020</v>
      </c>
      <c r="H524" s="58">
        <f t="shared" si="308"/>
        <v>2253829.6322485749</v>
      </c>
      <c r="I524" s="43">
        <f t="shared" si="308"/>
        <v>2021</v>
      </c>
      <c r="J524" s="58">
        <f t="shared" si="308"/>
        <v>10</v>
      </c>
      <c r="K524" s="188">
        <f t="shared" si="308"/>
        <v>1</v>
      </c>
      <c r="L524" s="58">
        <f t="shared" si="308"/>
        <v>1946407.2704098693</v>
      </c>
      <c r="N524" s="49">
        <f t="shared" si="262"/>
        <v>1823783.6123740475</v>
      </c>
      <c r="P524" s="44">
        <f t="shared" si="253"/>
        <v>8.5</v>
      </c>
      <c r="R524" s="49">
        <f t="shared" si="279"/>
        <v>267917.23604465259</v>
      </c>
      <c r="S524" s="49">
        <f t="shared" si="279"/>
        <v>226941.65876723515</v>
      </c>
      <c r="T524" s="49">
        <f t="shared" si="279"/>
        <v>193370.40747030685</v>
      </c>
      <c r="U524" s="49">
        <f t="shared" si="279"/>
        <v>193370.40747030685</v>
      </c>
      <c r="V524" s="49">
        <f t="shared" si="279"/>
        <v>193370.40747030685</v>
      </c>
      <c r="X524" s="49">
        <f t="shared" si="280"/>
        <v>22898.909063645522</v>
      </c>
      <c r="Y524" s="49">
        <f t="shared" si="280"/>
        <v>22898.909063645522</v>
      </c>
      <c r="Z524" s="49">
        <f t="shared" si="280"/>
        <v>22898.909063645522</v>
      </c>
      <c r="AA524" s="49">
        <f t="shared" si="280"/>
        <v>22898.909063645522</v>
      </c>
      <c r="AB524" s="49">
        <f t="shared" si="280"/>
        <v>22898.909063645522</v>
      </c>
      <c r="AD524" s="49">
        <f t="shared" si="263"/>
        <v>1655591.1253015711</v>
      </c>
      <c r="AE524" s="49">
        <f t="shared" si="264"/>
        <v>1405750.5574706905</v>
      </c>
      <c r="AF524" s="49">
        <f t="shared" si="265"/>
        <v>1189481.240936738</v>
      </c>
      <c r="AG524" s="49">
        <f t="shared" si="266"/>
        <v>973211.9244027856</v>
      </c>
      <c r="AH524" s="49">
        <f t="shared" si="267"/>
        <v>756942.60786883323</v>
      </c>
      <c r="AJ524" s="49">
        <f t="shared" si="254"/>
        <v>320584.6833831101</v>
      </c>
      <c r="AK524" s="49">
        <f t="shared" si="255"/>
        <v>273616.26022803626</v>
      </c>
      <c r="AL524" s="49">
        <f t="shared" si="256"/>
        <v>236080.66727504507</v>
      </c>
      <c r="AM524" s="49">
        <f t="shared" si="257"/>
        <v>230001.33678727568</v>
      </c>
      <c r="AN524" s="49">
        <f t="shared" si="258"/>
        <v>223922.00629950629</v>
      </c>
    </row>
    <row r="525" spans="2:40">
      <c r="B525" s="43" t="str">
        <f t="shared" si="251"/>
        <v>Asset 237</v>
      </c>
      <c r="F525" s="43" t="str">
        <f t="shared" ref="F525:L525" si="309">F277</f>
        <v>20 Kantoorgebouwen</v>
      </c>
      <c r="G525" s="43">
        <f t="shared" si="309"/>
        <v>2020</v>
      </c>
      <c r="H525" s="58">
        <f t="shared" si="309"/>
        <v>715175.01653112471</v>
      </c>
      <c r="I525" s="43">
        <f t="shared" si="309"/>
        <v>2021</v>
      </c>
      <c r="J525" s="58">
        <f t="shared" si="309"/>
        <v>30</v>
      </c>
      <c r="K525" s="188">
        <f t="shared" si="309"/>
        <v>0</v>
      </c>
      <c r="L525" s="58">
        <f t="shared" si="309"/>
        <v>690286.92595584155</v>
      </c>
      <c r="N525" s="49">
        <f t="shared" si="262"/>
        <v>690286.92595584155</v>
      </c>
      <c r="P525" s="44">
        <f t="shared" si="253"/>
        <v>28.5</v>
      </c>
      <c r="R525" s="49">
        <f t="shared" si="279"/>
        <v>28338.094855029289</v>
      </c>
      <c r="S525" s="49">
        <f t="shared" si="279"/>
        <v>27045.480001992866</v>
      </c>
      <c r="T525" s="49">
        <f t="shared" si="279"/>
        <v>25811.826528217753</v>
      </c>
      <c r="U525" s="49">
        <f t="shared" si="279"/>
        <v>24634.444967281503</v>
      </c>
      <c r="V525" s="49">
        <f t="shared" si="279"/>
        <v>23510.768530177436</v>
      </c>
      <c r="X525" s="49">
        <f t="shared" si="280"/>
        <v>2422.0593893187424</v>
      </c>
      <c r="Y525" s="49">
        <f t="shared" si="280"/>
        <v>2422.0593893187424</v>
      </c>
      <c r="Z525" s="49">
        <f t="shared" si="280"/>
        <v>2422.0593893187424</v>
      </c>
      <c r="AA525" s="49">
        <f t="shared" si="280"/>
        <v>2422.0593893187424</v>
      </c>
      <c r="AB525" s="49">
        <f t="shared" si="280"/>
        <v>2422.0593893187424</v>
      </c>
      <c r="AD525" s="49">
        <f t="shared" si="263"/>
        <v>659526.77171149361</v>
      </c>
      <c r="AE525" s="49">
        <f t="shared" si="264"/>
        <v>630059.23232018203</v>
      </c>
      <c r="AF525" s="49">
        <f t="shared" si="265"/>
        <v>601825.34640264558</v>
      </c>
      <c r="AG525" s="49">
        <f t="shared" si="266"/>
        <v>574768.84204604535</v>
      </c>
      <c r="AH525" s="49">
        <f t="shared" si="267"/>
        <v>548836.01412654924</v>
      </c>
      <c r="AJ525" s="49">
        <f t="shared" si="254"/>
        <v>51205.484167404335</v>
      </c>
      <c r="AK525" s="49">
        <f t="shared" si="255"/>
        <v>48369.316360917073</v>
      </c>
      <c r="AL525" s="49">
        <f t="shared" si="256"/>
        <v>46288.646309615862</v>
      </c>
      <c r="AM525" s="49">
        <f t="shared" si="257"/>
        <v>44299.5696179816</v>
      </c>
      <c r="AN525" s="49">
        <f t="shared" si="258"/>
        <v>42397.908343292656</v>
      </c>
    </row>
    <row r="526" spans="2:40">
      <c r="B526" s="43" t="str">
        <f t="shared" si="251"/>
        <v>Asset 238</v>
      </c>
      <c r="F526" s="43" t="str">
        <f t="shared" ref="F526:L526" si="310">F278</f>
        <v>06 Utiliteitsgebouwen</v>
      </c>
      <c r="G526" s="43">
        <f t="shared" si="310"/>
        <v>2020</v>
      </c>
      <c r="H526" s="58">
        <f t="shared" si="310"/>
        <v>611310.12783119339</v>
      </c>
      <c r="I526" s="43">
        <f t="shared" si="310"/>
        <v>2021</v>
      </c>
      <c r="J526" s="58">
        <f t="shared" si="310"/>
        <v>30</v>
      </c>
      <c r="K526" s="188">
        <f t="shared" si="310"/>
        <v>0</v>
      </c>
      <c r="L526" s="58">
        <f t="shared" si="310"/>
        <v>590036.53538266791</v>
      </c>
      <c r="N526" s="49">
        <f t="shared" si="262"/>
        <v>590036.53538266791</v>
      </c>
      <c r="P526" s="44">
        <f t="shared" si="253"/>
        <v>28.5</v>
      </c>
      <c r="R526" s="49">
        <f t="shared" si="279"/>
        <v>24222.552505183212</v>
      </c>
      <c r="S526" s="49">
        <f t="shared" si="279"/>
        <v>23117.664145297662</v>
      </c>
      <c r="T526" s="49">
        <f t="shared" si="279"/>
        <v>22063.174201827944</v>
      </c>
      <c r="U526" s="49">
        <f t="shared" si="279"/>
        <v>21056.783799639299</v>
      </c>
      <c r="V526" s="49">
        <f t="shared" si="279"/>
        <v>20096.298924568033</v>
      </c>
      <c r="X526" s="49">
        <f t="shared" si="280"/>
        <v>2070.303632921642</v>
      </c>
      <c r="Y526" s="49">
        <f t="shared" si="280"/>
        <v>2070.303632921642</v>
      </c>
      <c r="Z526" s="49">
        <f t="shared" si="280"/>
        <v>2070.303632921642</v>
      </c>
      <c r="AA526" s="49">
        <f t="shared" si="280"/>
        <v>2070.303632921642</v>
      </c>
      <c r="AB526" s="49">
        <f t="shared" si="280"/>
        <v>2070.303632921642</v>
      </c>
      <c r="AD526" s="49">
        <f t="shared" si="263"/>
        <v>563743.67924456298</v>
      </c>
      <c r="AE526" s="49">
        <f t="shared" si="264"/>
        <v>538555.71146634372</v>
      </c>
      <c r="AF526" s="49">
        <f t="shared" si="265"/>
        <v>514422.23363159411</v>
      </c>
      <c r="AG526" s="49">
        <f t="shared" si="266"/>
        <v>491295.14619903313</v>
      </c>
      <c r="AH526" s="49">
        <f t="shared" si="267"/>
        <v>469128.54364154342</v>
      </c>
      <c r="AJ526" s="49">
        <f t="shared" si="254"/>
        <v>43768.910194686308</v>
      </c>
      <c r="AK526" s="49">
        <f t="shared" si="255"/>
        <v>41344.639122209614</v>
      </c>
      <c r="AL526" s="49">
        <f t="shared" si="256"/>
        <v>39566.14484369741</v>
      </c>
      <c r="AM526" s="49">
        <f t="shared" si="257"/>
        <v>37865.941818531937</v>
      </c>
      <c r="AN526" s="49">
        <f t="shared" si="258"/>
        <v>36240.458866735979</v>
      </c>
    </row>
    <row r="527" spans="2:40">
      <c r="B527" s="43" t="str">
        <f t="shared" si="251"/>
        <v>Asset 239</v>
      </c>
      <c r="F527" s="43" t="str">
        <f t="shared" ref="F527:L527" si="311">F279</f>
        <v>08 Inrichting gebouwen</v>
      </c>
      <c r="G527" s="43">
        <f t="shared" si="311"/>
        <v>2021</v>
      </c>
      <c r="H527" s="58">
        <f t="shared" si="311"/>
        <v>384242.51972392667</v>
      </c>
      <c r="I527" s="43">
        <f t="shared" si="311"/>
        <v>2021</v>
      </c>
      <c r="J527" s="58">
        <f t="shared" si="311"/>
        <v>10</v>
      </c>
      <c r="K527" s="188">
        <f t="shared" si="311"/>
        <v>0</v>
      </c>
      <c r="L527" s="58">
        <f t="shared" si="311"/>
        <v>365030.39373773034</v>
      </c>
      <c r="N527" s="49">
        <f t="shared" si="262"/>
        <v>365030.39373773034</v>
      </c>
      <c r="P527" s="44">
        <f t="shared" si="253"/>
        <v>9.5</v>
      </c>
      <c r="R527" s="49">
        <f t="shared" si="279"/>
        <v>44956.374807699423</v>
      </c>
      <c r="S527" s="49">
        <f t="shared" si="279"/>
        <v>38804.449834014238</v>
      </c>
      <c r="T527" s="49">
        <f t="shared" si="279"/>
        <v>33494.367225149137</v>
      </c>
      <c r="U527" s="49">
        <f t="shared" si="279"/>
        <v>32503.40961493762</v>
      </c>
      <c r="V527" s="49">
        <f t="shared" si="279"/>
        <v>32503.40961493762</v>
      </c>
      <c r="X527" s="49">
        <f t="shared" si="280"/>
        <v>3842.4251972392667</v>
      </c>
      <c r="Y527" s="49">
        <f t="shared" si="280"/>
        <v>3842.4251972392667</v>
      </c>
      <c r="Z527" s="49">
        <f t="shared" si="280"/>
        <v>3842.4251972392667</v>
      </c>
      <c r="AA527" s="49">
        <f t="shared" si="280"/>
        <v>3842.4251972392667</v>
      </c>
      <c r="AB527" s="49">
        <f t="shared" si="280"/>
        <v>3842.4251972392667</v>
      </c>
      <c r="AD527" s="49">
        <f t="shared" si="263"/>
        <v>316231.59373279166</v>
      </c>
      <c r="AE527" s="49">
        <f t="shared" si="264"/>
        <v>273584.71870153816</v>
      </c>
      <c r="AF527" s="49">
        <f t="shared" si="265"/>
        <v>236247.92627914977</v>
      </c>
      <c r="AG527" s="49">
        <f t="shared" si="266"/>
        <v>199902.0914669729</v>
      </c>
      <c r="AH527" s="49">
        <f t="shared" si="267"/>
        <v>163556.25665479602</v>
      </c>
      <c r="AJ527" s="49">
        <f t="shared" si="254"/>
        <v>58601.979410655229</v>
      </c>
      <c r="AK527" s="49">
        <f t="shared" si="255"/>
        <v>50854.416592299647</v>
      </c>
      <c r="AL527" s="49">
        <f t="shared" si="256"/>
        <v>44424.230210762893</v>
      </c>
      <c r="AM527" s="49">
        <f t="shared" si="257"/>
        <v>42342.897556186072</v>
      </c>
      <c r="AN527" s="49">
        <f t="shared" si="258"/>
        <v>41252.522511820767</v>
      </c>
    </row>
    <row r="528" spans="2:40">
      <c r="B528" s="43" t="str">
        <f t="shared" si="251"/>
        <v>Asset 240</v>
      </c>
      <c r="F528" s="43" t="str">
        <f t="shared" ref="F528:L528" si="312">F280</f>
        <v>20 Kantoorgebouwen</v>
      </c>
      <c r="G528" s="43">
        <f t="shared" si="312"/>
        <v>2021</v>
      </c>
      <c r="H528" s="58">
        <f t="shared" si="312"/>
        <v>1098657.1778898467</v>
      </c>
      <c r="I528" s="43">
        <f t="shared" si="312"/>
        <v>2021</v>
      </c>
      <c r="J528" s="58">
        <f t="shared" si="312"/>
        <v>30</v>
      </c>
      <c r="K528" s="188">
        <f t="shared" si="312"/>
        <v>0</v>
      </c>
      <c r="L528" s="58">
        <f t="shared" si="312"/>
        <v>1080346.2249250161</v>
      </c>
      <c r="N528" s="49">
        <f t="shared" si="262"/>
        <v>1080346.2249250161</v>
      </c>
      <c r="P528" s="44">
        <f t="shared" si="253"/>
        <v>29.5</v>
      </c>
      <c r="R528" s="49">
        <f t="shared" si="279"/>
        <v>42847.629937704027</v>
      </c>
      <c r="S528" s="49">
        <f t="shared" si="279"/>
        <v>40959.429296381473</v>
      </c>
      <c r="T528" s="49">
        <f t="shared" si="279"/>
        <v>39154.437496879917</v>
      </c>
      <c r="U528" s="49">
        <f t="shared" si="279"/>
        <v>37428.987708881818</v>
      </c>
      <c r="V528" s="49">
        <f t="shared" si="279"/>
        <v>35779.574691202281</v>
      </c>
      <c r="X528" s="49">
        <f t="shared" si="280"/>
        <v>3662.1905929661566</v>
      </c>
      <c r="Y528" s="49">
        <f t="shared" si="280"/>
        <v>3662.1905929661561</v>
      </c>
      <c r="Z528" s="49">
        <f t="shared" si="280"/>
        <v>3662.1905929661561</v>
      </c>
      <c r="AA528" s="49">
        <f t="shared" si="280"/>
        <v>3662.1905929661561</v>
      </c>
      <c r="AB528" s="49">
        <f t="shared" si="280"/>
        <v>3662.1905929661561</v>
      </c>
      <c r="AD528" s="49">
        <f t="shared" si="263"/>
        <v>1033836.4043943458</v>
      </c>
      <c r="AE528" s="49">
        <f t="shared" si="264"/>
        <v>989214.78450499824</v>
      </c>
      <c r="AF528" s="49">
        <f t="shared" si="265"/>
        <v>946398.15641515213</v>
      </c>
      <c r="AG528" s="49">
        <f t="shared" si="266"/>
        <v>905306.97811330413</v>
      </c>
      <c r="AH528" s="49">
        <f t="shared" si="267"/>
        <v>865865.21282913571</v>
      </c>
      <c r="AJ528" s="49">
        <f t="shared" si="254"/>
        <v>78558.749066894903</v>
      </c>
      <c r="AK528" s="49">
        <f t="shared" si="255"/>
        <v>74298.063424497581</v>
      </c>
      <c r="AL528" s="49">
        <f t="shared" si="256"/>
        <v>71208.572782300645</v>
      </c>
      <c r="AM528" s="49">
        <f t="shared" si="257"/>
        <v>68250.387645247101</v>
      </c>
      <c r="AN528" s="49">
        <f t="shared" si="258"/>
        <v>65417.721669042512</v>
      </c>
    </row>
    <row r="529" spans="2:40">
      <c r="B529" s="43" t="str">
        <f t="shared" si="251"/>
        <v>Asset 241</v>
      </c>
      <c r="F529" s="43" t="str">
        <f t="shared" ref="F529:L529" si="313">F281</f>
        <v>03 Verremeting</v>
      </c>
      <c r="G529" s="43">
        <f t="shared" si="313"/>
        <v>1993</v>
      </c>
      <c r="H529" s="58">
        <f t="shared" si="313"/>
        <v>27208128.690000001</v>
      </c>
      <c r="I529" s="43">
        <f t="shared" si="313"/>
        <v>2021</v>
      </c>
      <c r="J529" s="58">
        <f t="shared" si="313"/>
        <v>5</v>
      </c>
      <c r="K529" s="188">
        <f t="shared" si="313"/>
        <v>1</v>
      </c>
      <c r="L529" s="58">
        <f t="shared" si="313"/>
        <v>0</v>
      </c>
      <c r="N529" s="49">
        <f t="shared" si="262"/>
        <v>0</v>
      </c>
      <c r="P529" s="44">
        <f t="shared" si="253"/>
        <v>0</v>
      </c>
      <c r="R529" s="49">
        <f t="shared" si="279"/>
        <v>0</v>
      </c>
      <c r="S529" s="49">
        <f t="shared" si="279"/>
        <v>0</v>
      </c>
      <c r="T529" s="49">
        <f t="shared" si="279"/>
        <v>0</v>
      </c>
      <c r="U529" s="49">
        <f t="shared" si="279"/>
        <v>0</v>
      </c>
      <c r="V529" s="49">
        <f t="shared" si="279"/>
        <v>0</v>
      </c>
      <c r="X529" s="49">
        <f t="shared" si="280"/>
        <v>0</v>
      </c>
      <c r="Y529" s="49">
        <f t="shared" si="280"/>
        <v>0</v>
      </c>
      <c r="Z529" s="49">
        <f t="shared" si="280"/>
        <v>0</v>
      </c>
      <c r="AA529" s="49">
        <f t="shared" si="280"/>
        <v>0</v>
      </c>
      <c r="AB529" s="49">
        <f t="shared" si="280"/>
        <v>0</v>
      </c>
      <c r="AD529" s="49">
        <f t="shared" si="263"/>
        <v>0</v>
      </c>
      <c r="AE529" s="49">
        <f t="shared" si="264"/>
        <v>0</v>
      </c>
      <c r="AF529" s="49">
        <f t="shared" si="265"/>
        <v>0</v>
      </c>
      <c r="AG529" s="49">
        <f t="shared" si="266"/>
        <v>0</v>
      </c>
      <c r="AH529" s="49">
        <f t="shared" si="267"/>
        <v>0</v>
      </c>
      <c r="AJ529" s="49">
        <f t="shared" si="254"/>
        <v>0</v>
      </c>
      <c r="AK529" s="49">
        <f t="shared" si="255"/>
        <v>0</v>
      </c>
      <c r="AL529" s="49">
        <f t="shared" si="256"/>
        <v>0</v>
      </c>
      <c r="AM529" s="49">
        <f t="shared" si="257"/>
        <v>0</v>
      </c>
      <c r="AN529" s="49">
        <f t="shared" si="258"/>
        <v>0</v>
      </c>
    </row>
    <row r="530" spans="2:40">
      <c r="B530" s="43" t="str">
        <f t="shared" si="251"/>
        <v>Asset 242</v>
      </c>
      <c r="F530" s="43" t="str">
        <f t="shared" ref="F530:L530" si="314">F282</f>
        <v>06 Utiliteitsgebouwen</v>
      </c>
      <c r="G530" s="43">
        <f t="shared" si="314"/>
        <v>2021</v>
      </c>
      <c r="H530" s="58">
        <f t="shared" si="314"/>
        <v>114485.52709029273</v>
      </c>
      <c r="I530" s="43">
        <f t="shared" si="314"/>
        <v>2021</v>
      </c>
      <c r="J530" s="58">
        <f t="shared" si="314"/>
        <v>30</v>
      </c>
      <c r="K530" s="188">
        <f t="shared" si="314"/>
        <v>0</v>
      </c>
      <c r="L530" s="58">
        <f t="shared" si="314"/>
        <v>112577.43497212119</v>
      </c>
      <c r="N530" s="49">
        <f t="shared" si="262"/>
        <v>112577.43497212119</v>
      </c>
      <c r="P530" s="44">
        <f t="shared" si="253"/>
        <v>29.5</v>
      </c>
      <c r="R530" s="49">
        <f t="shared" si="279"/>
        <v>4464.9355565214173</v>
      </c>
      <c r="S530" s="49">
        <f t="shared" si="279"/>
        <v>4268.1756845391174</v>
      </c>
      <c r="T530" s="49">
        <f t="shared" si="279"/>
        <v>4080.0865865763762</v>
      </c>
      <c r="U530" s="49">
        <f t="shared" si="279"/>
        <v>3900.2861607272475</v>
      </c>
      <c r="V530" s="49">
        <f t="shared" si="279"/>
        <v>3728.4091434748602</v>
      </c>
      <c r="X530" s="49">
        <f t="shared" si="280"/>
        <v>381.61842363430912</v>
      </c>
      <c r="Y530" s="49">
        <f t="shared" si="280"/>
        <v>381.61842363430912</v>
      </c>
      <c r="Z530" s="49">
        <f t="shared" si="280"/>
        <v>381.61842363430912</v>
      </c>
      <c r="AA530" s="49">
        <f t="shared" si="280"/>
        <v>381.61842363430912</v>
      </c>
      <c r="AB530" s="49">
        <f t="shared" si="280"/>
        <v>381.61842363430912</v>
      </c>
      <c r="AD530" s="49">
        <f t="shared" si="263"/>
        <v>107730.88099196546</v>
      </c>
      <c r="AE530" s="49">
        <f t="shared" si="264"/>
        <v>103081.08688379203</v>
      </c>
      <c r="AF530" s="49">
        <f t="shared" si="265"/>
        <v>98619.38187358134</v>
      </c>
      <c r="AG530" s="49">
        <f t="shared" si="266"/>
        <v>94337.47728921978</v>
      </c>
      <c r="AH530" s="49">
        <f t="shared" si="267"/>
        <v>90227.449722110614</v>
      </c>
      <c r="AJ530" s="49">
        <f t="shared" si="254"/>
        <v>8186.2112909066554</v>
      </c>
      <c r="AK530" s="49">
        <f t="shared" si="255"/>
        <v>7742.2267146871873</v>
      </c>
      <c r="AL530" s="49">
        <f t="shared" si="256"/>
        <v>7420.2864664181252</v>
      </c>
      <c r="AM530" s="49">
        <f t="shared" si="257"/>
        <v>7112.02890303815</v>
      </c>
      <c r="AN530" s="49">
        <f t="shared" si="258"/>
        <v>6816.8510587724877</v>
      </c>
    </row>
    <row r="531" spans="2:40">
      <c r="B531" s="43" t="str">
        <f t="shared" si="251"/>
        <v>Asset 243</v>
      </c>
      <c r="F531" s="43" t="str">
        <f t="shared" ref="F531:L531" si="315">F283</f>
        <v>38 ICT middelen 2</v>
      </c>
      <c r="G531" s="43">
        <f t="shared" si="315"/>
        <v>2019</v>
      </c>
      <c r="H531" s="58">
        <f t="shared" si="315"/>
        <v>5155994.869123158</v>
      </c>
      <c r="I531" s="43">
        <f t="shared" si="315"/>
        <v>2021</v>
      </c>
      <c r="J531" s="58">
        <f t="shared" si="315"/>
        <v>10</v>
      </c>
      <c r="K531" s="188">
        <f t="shared" si="315"/>
        <v>1</v>
      </c>
      <c r="L531" s="58">
        <f t="shared" si="315"/>
        <v>4031018.6606189152</v>
      </c>
      <c r="N531" s="49">
        <f t="shared" si="262"/>
        <v>3777064.484999924</v>
      </c>
      <c r="P531" s="44">
        <f t="shared" si="253"/>
        <v>7.5</v>
      </c>
      <c r="R531" s="49">
        <f t="shared" si="279"/>
        <v>628838.9110565508</v>
      </c>
      <c r="S531" s="49">
        <f t="shared" si="279"/>
        <v>519840.16647341533</v>
      </c>
      <c r="T531" s="49">
        <f t="shared" si="279"/>
        <v>450770.4940049196</v>
      </c>
      <c r="U531" s="49">
        <f t="shared" si="279"/>
        <v>450770.4940049196</v>
      </c>
      <c r="V531" s="49">
        <f t="shared" si="279"/>
        <v>450770.4940049196</v>
      </c>
      <c r="X531" s="49">
        <f t="shared" si="280"/>
        <v>53746.915474918875</v>
      </c>
      <c r="Y531" s="49">
        <f t="shared" si="280"/>
        <v>53746.915474918867</v>
      </c>
      <c r="Z531" s="49">
        <f t="shared" si="280"/>
        <v>53746.915474918867</v>
      </c>
      <c r="AA531" s="49">
        <f t="shared" si="280"/>
        <v>53746.915474918867</v>
      </c>
      <c r="AB531" s="49">
        <f t="shared" si="280"/>
        <v>53746.915474918867</v>
      </c>
      <c r="AD531" s="49">
        <f t="shared" si="263"/>
        <v>3348432.8340874459</v>
      </c>
      <c r="AE531" s="49">
        <f t="shared" si="264"/>
        <v>2774845.752139112</v>
      </c>
      <c r="AF531" s="49">
        <f t="shared" si="265"/>
        <v>2270328.3426592737</v>
      </c>
      <c r="AG531" s="49">
        <f t="shared" si="266"/>
        <v>1765810.9331794351</v>
      </c>
      <c r="AH531" s="49">
        <f t="shared" si="267"/>
        <v>1261293.5236995965</v>
      </c>
      <c r="AJ531" s="49">
        <f t="shared" si="254"/>
        <v>736844.8479917252</v>
      </c>
      <c r="AK531" s="49">
        <f t="shared" si="255"/>
        <v>615452.00987821969</v>
      </c>
      <c r="AL531" s="49">
        <f t="shared" si="256"/>
        <v>536551.74239476083</v>
      </c>
      <c r="AM531" s="49">
        <f t="shared" si="257"/>
        <v>522369.75801428256</v>
      </c>
      <c r="AN531" s="49">
        <f t="shared" si="258"/>
        <v>508187.77363380429</v>
      </c>
    </row>
    <row r="533" spans="2:40" s="39" customFormat="1">
      <c r="B533" s="39" t="s">
        <v>974</v>
      </c>
    </row>
    <row r="534" spans="2:40" s="42" customFormat="1">
      <c r="P534" s="42" t="s">
        <v>975</v>
      </c>
      <c r="V534" s="42" t="s">
        <v>807</v>
      </c>
      <c r="AB534" s="42" t="s">
        <v>808</v>
      </c>
    </row>
    <row r="535" spans="2:40" s="45" customFormat="1">
      <c r="B535" s="45" t="s">
        <v>970</v>
      </c>
      <c r="F535" s="45" t="s">
        <v>813</v>
      </c>
      <c r="G535" s="45" t="s">
        <v>488</v>
      </c>
      <c r="H535" s="45" t="s">
        <v>971</v>
      </c>
      <c r="I535" s="45" t="s">
        <v>972</v>
      </c>
      <c r="J535" s="45" t="s">
        <v>256</v>
      </c>
      <c r="K535" s="45" t="s">
        <v>967</v>
      </c>
      <c r="L535" s="45" t="s">
        <v>491</v>
      </c>
      <c r="N535" s="45" t="s">
        <v>857</v>
      </c>
      <c r="P535" s="51">
        <v>2022</v>
      </c>
      <c r="Q535" s="51">
        <v>2023</v>
      </c>
      <c r="R535" s="51">
        <v>2024</v>
      </c>
      <c r="S535" s="51">
        <v>2025</v>
      </c>
      <c r="T535" s="51">
        <v>2026</v>
      </c>
      <c r="V535" s="51">
        <v>2022</v>
      </c>
      <c r="W535" s="51">
        <v>2023</v>
      </c>
      <c r="X535" s="51">
        <v>2024</v>
      </c>
      <c r="Y535" s="51">
        <v>2025</v>
      </c>
      <c r="Z535" s="51">
        <v>2026</v>
      </c>
      <c r="AB535" s="51">
        <v>2022</v>
      </c>
      <c r="AC535" s="51">
        <v>2023</v>
      </c>
      <c r="AD535" s="51">
        <v>2024</v>
      </c>
      <c r="AE535" s="51">
        <v>2025</v>
      </c>
      <c r="AF535" s="51">
        <v>2026</v>
      </c>
    </row>
    <row r="537" spans="2:40">
      <c r="B537" s="43" t="str">
        <f>B41</f>
        <v>Asset 1</v>
      </c>
      <c r="F537" s="43" t="str">
        <f t="shared" ref="F537:L539" si="316">F41</f>
        <v>05 Wegen en terreinvoorzieningen</v>
      </c>
      <c r="G537" s="43">
        <f t="shared" si="316"/>
        <v>1971</v>
      </c>
      <c r="H537" s="48">
        <f t="shared" si="316"/>
        <v>47083.78</v>
      </c>
      <c r="I537" s="43">
        <f t="shared" si="316"/>
        <v>2021</v>
      </c>
      <c r="J537" s="43">
        <f t="shared" si="316"/>
        <v>10</v>
      </c>
      <c r="K537" s="43">
        <f t="shared" si="316"/>
        <v>0</v>
      </c>
      <c r="L537" s="48">
        <f t="shared" si="316"/>
        <v>0</v>
      </c>
      <c r="N537" s="44">
        <f>MAX(0,IF(G537&lt;=2021, J537-2021+G537-0.5,J537))</f>
        <v>0</v>
      </c>
      <c r="P537" s="49">
        <f>IF(P$535&lt;=$G537+$J537,VDB($L537,0,$N537,P$535-2022,MIN(P$535-2021,$N537),1),0)</f>
        <v>0</v>
      </c>
      <c r="Q537" s="49">
        <f t="shared" ref="Q537:T552" si="317">IF(Q$535&lt;=$G537+$J537,VDB($L537,0,$N537,Q$535-2022,MIN(Q$535-2021,$N537),1),0)</f>
        <v>0</v>
      </c>
      <c r="R537" s="49">
        <f t="shared" si="317"/>
        <v>0</v>
      </c>
      <c r="S537" s="49">
        <f t="shared" si="317"/>
        <v>0</v>
      </c>
      <c r="T537" s="49">
        <f t="shared" si="317"/>
        <v>0</v>
      </c>
      <c r="V537" s="53">
        <f>IF(OR(V$535&lt;=$G537+$J537,$J537=0),IF(U537=0,$L537,U537)-P537,0)</f>
        <v>0</v>
      </c>
      <c r="W537" s="53">
        <f t="shared" ref="W537:Z537" si="318">IF(OR(W$535&lt;=$G537+$J537,$J537=0),IF(V537=0,$L537,V537)-Q537,0)</f>
        <v>0</v>
      </c>
      <c r="X537" s="53">
        <f t="shared" si="318"/>
        <v>0</v>
      </c>
      <c r="Y537" s="53">
        <f t="shared" si="318"/>
        <v>0</v>
      </c>
      <c r="Z537" s="53">
        <f t="shared" si="318"/>
        <v>0</v>
      </c>
      <c r="AB537" s="53">
        <f>(P537+V537*I$16)*IF($K537=1,$F$19,1)</f>
        <v>0</v>
      </c>
      <c r="AC537" s="53">
        <f t="shared" ref="AC537:AF537" si="319">(Q537+W537*J$16)*IF($K537=1,$F$19,1)</f>
        <v>0</v>
      </c>
      <c r="AD537" s="53">
        <f t="shared" si="319"/>
        <v>0</v>
      </c>
      <c r="AE537" s="53">
        <f t="shared" si="319"/>
        <v>0</v>
      </c>
      <c r="AF537" s="53">
        <f t="shared" si="319"/>
        <v>0</v>
      </c>
    </row>
    <row r="538" spans="2:40">
      <c r="B538" s="43" t="str">
        <f t="shared" ref="B538:B601" si="320">B42</f>
        <v>Asset 2</v>
      </c>
      <c r="F538" s="43" t="str">
        <f t="shared" si="316"/>
        <v>06 Utiliteitsgebouwen</v>
      </c>
      <c r="G538" s="43">
        <f t="shared" si="316"/>
        <v>1961</v>
      </c>
      <c r="H538" s="48">
        <f t="shared" si="316"/>
        <v>50334.43</v>
      </c>
      <c r="I538" s="43">
        <f t="shared" si="316"/>
        <v>2021</v>
      </c>
      <c r="J538" s="43">
        <f t="shared" si="316"/>
        <v>30</v>
      </c>
      <c r="K538" s="43">
        <f t="shared" si="316"/>
        <v>0</v>
      </c>
      <c r="L538" s="48">
        <f t="shared" si="316"/>
        <v>0</v>
      </c>
      <c r="N538" s="44">
        <f t="shared" ref="N538:N601" si="321">MAX(0,IF(G538&lt;=2021, J538-2021+G538-0.5,J538))</f>
        <v>0</v>
      </c>
      <c r="P538" s="49">
        <f t="shared" ref="P538:T553" si="322">IF(P$535&lt;=$G538+$J538,VDB($L538,0,$N538,P$535-2022,MIN(P$535-2021,$N538),1),0)</f>
        <v>0</v>
      </c>
      <c r="Q538" s="49">
        <f t="shared" si="317"/>
        <v>0</v>
      </c>
      <c r="R538" s="49">
        <f t="shared" si="317"/>
        <v>0</v>
      </c>
      <c r="S538" s="49">
        <f t="shared" si="317"/>
        <v>0</v>
      </c>
      <c r="T538" s="49">
        <f t="shared" si="317"/>
        <v>0</v>
      </c>
      <c r="V538" s="53">
        <f t="shared" ref="V538:V540" si="323">IF(OR(V$535&lt;=$G538+$J538,$J538=0),IF(U538=0,$L538,U538)-P538,0)</f>
        <v>0</v>
      </c>
      <c r="W538" s="53">
        <f t="shared" ref="W538:W540" si="324">IF(OR(W$535&lt;=$G538+$J538,$J538=0),IF(V538=0,$L538,V538)-Q538,0)</f>
        <v>0</v>
      </c>
      <c r="X538" s="53">
        <f t="shared" ref="X538:X540" si="325">IF(OR(X$535&lt;=$G538+$J538,$J538=0),IF(W538=0,$L538,W538)-R538,0)</f>
        <v>0</v>
      </c>
      <c r="Y538" s="53">
        <f t="shared" ref="Y538:Y540" si="326">IF(OR(Y$535&lt;=$G538+$J538,$J538=0),IF(X538=0,$L538,X538)-S538,0)</f>
        <v>0</v>
      </c>
      <c r="Z538" s="53">
        <f t="shared" ref="Z538:Z540" si="327">IF(OR(Z$535&lt;=$G538+$J538,$J538=0),IF(Y538=0,$L538,Y538)-T538,0)</f>
        <v>0</v>
      </c>
      <c r="AB538" s="53">
        <f t="shared" ref="AB538:AB601" si="328">(P538+V538*I$16)*IF($K538=1,$F$19,1)</f>
        <v>0</v>
      </c>
      <c r="AC538" s="53">
        <f t="shared" ref="AC538:AC601" si="329">(Q538+W538*J$16)*IF($K538=1,$F$19,1)</f>
        <v>0</v>
      </c>
      <c r="AD538" s="53">
        <f t="shared" ref="AD538:AD601" si="330">(R538+X538*K$16)*IF($K538=1,$F$19,1)</f>
        <v>0</v>
      </c>
      <c r="AE538" s="53">
        <f t="shared" ref="AE538:AE601" si="331">(S538+Y538*L$16)*IF($K538=1,$F$19,1)</f>
        <v>0</v>
      </c>
      <c r="AF538" s="53">
        <f t="shared" ref="AF538:AF601" si="332">(T538+Z538*M$16)*IF($K538=1,$F$19,1)</f>
        <v>0</v>
      </c>
    </row>
    <row r="539" spans="2:40">
      <c r="B539" s="43" t="str">
        <f t="shared" si="320"/>
        <v>Asset 3</v>
      </c>
      <c r="F539" s="43" t="str">
        <f t="shared" si="316"/>
        <v>06 Utiliteitsgebouwen</v>
      </c>
      <c r="G539" s="43">
        <f t="shared" si="316"/>
        <v>1972</v>
      </c>
      <c r="H539" s="48">
        <f t="shared" si="316"/>
        <v>2621.49</v>
      </c>
      <c r="I539" s="43">
        <f t="shared" si="316"/>
        <v>2021</v>
      </c>
      <c r="J539" s="43">
        <f t="shared" si="316"/>
        <v>30</v>
      </c>
      <c r="K539" s="43">
        <f t="shared" si="316"/>
        <v>0</v>
      </c>
      <c r="L539" s="48">
        <f t="shared" si="316"/>
        <v>0</v>
      </c>
      <c r="N539" s="44">
        <f t="shared" si="321"/>
        <v>0</v>
      </c>
      <c r="P539" s="49">
        <f t="shared" si="322"/>
        <v>0</v>
      </c>
      <c r="Q539" s="49">
        <f t="shared" si="317"/>
        <v>0</v>
      </c>
      <c r="R539" s="49">
        <f t="shared" si="317"/>
        <v>0</v>
      </c>
      <c r="S539" s="49">
        <f t="shared" si="317"/>
        <v>0</v>
      </c>
      <c r="T539" s="49">
        <f t="shared" si="317"/>
        <v>0</v>
      </c>
      <c r="V539" s="53">
        <f t="shared" si="323"/>
        <v>0</v>
      </c>
      <c r="W539" s="53">
        <f t="shared" si="324"/>
        <v>0</v>
      </c>
      <c r="X539" s="53">
        <f t="shared" si="325"/>
        <v>0</v>
      </c>
      <c r="Y539" s="53">
        <f t="shared" si="326"/>
        <v>0</v>
      </c>
      <c r="Z539" s="53">
        <f t="shared" si="327"/>
        <v>0</v>
      </c>
      <c r="AB539" s="53">
        <f t="shared" si="328"/>
        <v>0</v>
      </c>
      <c r="AC539" s="53">
        <f t="shared" si="329"/>
        <v>0</v>
      </c>
      <c r="AD539" s="53">
        <f t="shared" si="330"/>
        <v>0</v>
      </c>
      <c r="AE539" s="53">
        <f t="shared" si="331"/>
        <v>0</v>
      </c>
      <c r="AF539" s="53">
        <f t="shared" si="332"/>
        <v>0</v>
      </c>
    </row>
    <row r="540" spans="2:40">
      <c r="B540" s="43" t="str">
        <f t="shared" si="320"/>
        <v>Asset 4</v>
      </c>
      <c r="F540" s="43" t="str">
        <f t="shared" ref="F540:L540" si="333">F44</f>
        <v>08 Inrichting gebouwen</v>
      </c>
      <c r="G540" s="43">
        <f t="shared" si="333"/>
        <v>1997</v>
      </c>
      <c r="H540" s="48">
        <f t="shared" si="333"/>
        <v>151227.48000000004</v>
      </c>
      <c r="I540" s="43">
        <f t="shared" si="333"/>
        <v>2021</v>
      </c>
      <c r="J540" s="43">
        <f t="shared" si="333"/>
        <v>10</v>
      </c>
      <c r="K540" s="43">
        <f t="shared" si="333"/>
        <v>0</v>
      </c>
      <c r="L540" s="48">
        <f t="shared" si="333"/>
        <v>0</v>
      </c>
      <c r="N540" s="44">
        <f t="shared" si="321"/>
        <v>0</v>
      </c>
      <c r="P540" s="49">
        <f t="shared" si="322"/>
        <v>0</v>
      </c>
      <c r="Q540" s="49">
        <f t="shared" si="317"/>
        <v>0</v>
      </c>
      <c r="R540" s="49">
        <f t="shared" si="317"/>
        <v>0</v>
      </c>
      <c r="S540" s="49">
        <f t="shared" si="317"/>
        <v>0</v>
      </c>
      <c r="T540" s="49">
        <f t="shared" si="317"/>
        <v>0</v>
      </c>
      <c r="V540" s="53">
        <f t="shared" si="323"/>
        <v>0</v>
      </c>
      <c r="W540" s="53">
        <f t="shared" si="324"/>
        <v>0</v>
      </c>
      <c r="X540" s="53">
        <f t="shared" si="325"/>
        <v>0</v>
      </c>
      <c r="Y540" s="53">
        <f t="shared" si="326"/>
        <v>0</v>
      </c>
      <c r="Z540" s="53">
        <f t="shared" si="327"/>
        <v>0</v>
      </c>
      <c r="AB540" s="53">
        <f t="shared" si="328"/>
        <v>0</v>
      </c>
      <c r="AC540" s="53">
        <f t="shared" si="329"/>
        <v>0</v>
      </c>
      <c r="AD540" s="53">
        <f t="shared" si="330"/>
        <v>0</v>
      </c>
      <c r="AE540" s="53">
        <f t="shared" si="331"/>
        <v>0</v>
      </c>
      <c r="AF540" s="53">
        <f t="shared" si="332"/>
        <v>0</v>
      </c>
    </row>
    <row r="541" spans="2:40">
      <c r="B541" s="43" t="str">
        <f t="shared" si="320"/>
        <v>Asset 5</v>
      </c>
      <c r="F541" s="43" t="str">
        <f t="shared" ref="F541:L541" si="334">F45</f>
        <v>11 Werktuigen</v>
      </c>
      <c r="G541" s="43">
        <f t="shared" si="334"/>
        <v>2009</v>
      </c>
      <c r="H541" s="48">
        <f t="shared" si="334"/>
        <v>1313895.18</v>
      </c>
      <c r="I541" s="43">
        <f t="shared" si="334"/>
        <v>2021</v>
      </c>
      <c r="J541" s="43">
        <f t="shared" si="334"/>
        <v>10</v>
      </c>
      <c r="K541" s="43">
        <f t="shared" si="334"/>
        <v>1</v>
      </c>
      <c r="L541" s="48">
        <f t="shared" si="334"/>
        <v>0</v>
      </c>
      <c r="N541" s="44">
        <f t="shared" si="321"/>
        <v>0</v>
      </c>
      <c r="P541" s="49">
        <f t="shared" si="322"/>
        <v>0</v>
      </c>
      <c r="Q541" s="49">
        <f t="shared" si="317"/>
        <v>0</v>
      </c>
      <c r="R541" s="49">
        <f t="shared" si="317"/>
        <v>0</v>
      </c>
      <c r="S541" s="49">
        <f t="shared" si="317"/>
        <v>0</v>
      </c>
      <c r="T541" s="49">
        <f t="shared" si="317"/>
        <v>0</v>
      </c>
      <c r="V541" s="53">
        <f t="shared" ref="V541:V604" si="335">IF(OR(V$535&lt;=$G541+$J541,$J541=0),IF(U541=0,$L541,U541)-P541,0)</f>
        <v>0</v>
      </c>
      <c r="W541" s="53">
        <f t="shared" ref="W541:W604" si="336">IF(OR(W$535&lt;=$G541+$J541,$J541=0),IF(V541=0,$L541,V541)-Q541,0)</f>
        <v>0</v>
      </c>
      <c r="X541" s="53">
        <f t="shared" ref="X541:X604" si="337">IF(OR(X$535&lt;=$G541+$J541,$J541=0),IF(W541=0,$L541,W541)-R541,0)</f>
        <v>0</v>
      </c>
      <c r="Y541" s="53">
        <f t="shared" ref="Y541:Y604" si="338">IF(OR(Y$535&lt;=$G541+$J541,$J541=0),IF(X541=0,$L541,X541)-S541,0)</f>
        <v>0</v>
      </c>
      <c r="Z541" s="53">
        <f t="shared" ref="Z541:Z604" si="339">IF(OR(Z$535&lt;=$G541+$J541,$J541=0),IF(Y541=0,$L541,Y541)-T541,0)</f>
        <v>0</v>
      </c>
      <c r="AB541" s="53">
        <f t="shared" si="328"/>
        <v>0</v>
      </c>
      <c r="AC541" s="53">
        <f t="shared" si="329"/>
        <v>0</v>
      </c>
      <c r="AD541" s="53">
        <f t="shared" si="330"/>
        <v>0</v>
      </c>
      <c r="AE541" s="53">
        <f t="shared" si="331"/>
        <v>0</v>
      </c>
      <c r="AF541" s="53">
        <f t="shared" si="332"/>
        <v>0</v>
      </c>
    </row>
    <row r="542" spans="2:40">
      <c r="B542" s="43" t="str">
        <f t="shared" si="320"/>
        <v>Asset 6</v>
      </c>
      <c r="F542" s="43" t="str">
        <f t="shared" ref="F542:L542" si="340">F46</f>
        <v>37 ICT middelen 1</v>
      </c>
      <c r="G542" s="43">
        <f t="shared" si="340"/>
        <v>2009</v>
      </c>
      <c r="H542" s="48">
        <f t="shared" si="340"/>
        <v>3658553.4539964925</v>
      </c>
      <c r="I542" s="43">
        <f t="shared" si="340"/>
        <v>2021</v>
      </c>
      <c r="J542" s="43">
        <f t="shared" si="340"/>
        <v>5</v>
      </c>
      <c r="K542" s="43">
        <f t="shared" si="340"/>
        <v>1</v>
      </c>
      <c r="L542" s="48">
        <f t="shared" si="340"/>
        <v>0</v>
      </c>
      <c r="N542" s="44">
        <f t="shared" si="321"/>
        <v>0</v>
      </c>
      <c r="P542" s="49">
        <f t="shared" si="322"/>
        <v>0</v>
      </c>
      <c r="Q542" s="49">
        <f t="shared" si="317"/>
        <v>0</v>
      </c>
      <c r="R542" s="49">
        <f t="shared" si="317"/>
        <v>0</v>
      </c>
      <c r="S542" s="49">
        <f t="shared" si="317"/>
        <v>0</v>
      </c>
      <c r="T542" s="49">
        <f t="shared" si="317"/>
        <v>0</v>
      </c>
      <c r="V542" s="53">
        <f t="shared" si="335"/>
        <v>0</v>
      </c>
      <c r="W542" s="53">
        <f t="shared" si="336"/>
        <v>0</v>
      </c>
      <c r="X542" s="53">
        <f t="shared" si="337"/>
        <v>0</v>
      </c>
      <c r="Y542" s="53">
        <f t="shared" si="338"/>
        <v>0</v>
      </c>
      <c r="Z542" s="53">
        <f t="shared" si="339"/>
        <v>0</v>
      </c>
      <c r="AB542" s="53">
        <f t="shared" si="328"/>
        <v>0</v>
      </c>
      <c r="AC542" s="53">
        <f t="shared" si="329"/>
        <v>0</v>
      </c>
      <c r="AD542" s="53">
        <f t="shared" si="330"/>
        <v>0</v>
      </c>
      <c r="AE542" s="53">
        <f t="shared" si="331"/>
        <v>0</v>
      </c>
      <c r="AF542" s="53">
        <f t="shared" si="332"/>
        <v>0</v>
      </c>
    </row>
    <row r="543" spans="2:40">
      <c r="B543" s="43" t="str">
        <f t="shared" si="320"/>
        <v>Asset 7</v>
      </c>
      <c r="F543" s="43" t="str">
        <f t="shared" ref="F543:L543" si="341">F47</f>
        <v>37 ICT middelen 1</v>
      </c>
      <c r="G543" s="43">
        <f t="shared" si="341"/>
        <v>2010</v>
      </c>
      <c r="H543" s="48">
        <f t="shared" si="341"/>
        <v>17379179.522018339</v>
      </c>
      <c r="I543" s="43">
        <f t="shared" si="341"/>
        <v>2021</v>
      </c>
      <c r="J543" s="43">
        <f t="shared" si="341"/>
        <v>5</v>
      </c>
      <c r="K543" s="43">
        <f t="shared" si="341"/>
        <v>1</v>
      </c>
      <c r="L543" s="48">
        <f t="shared" si="341"/>
        <v>0</v>
      </c>
      <c r="N543" s="44">
        <f t="shared" si="321"/>
        <v>0</v>
      </c>
      <c r="P543" s="49">
        <f t="shared" si="322"/>
        <v>0</v>
      </c>
      <c r="Q543" s="49">
        <f t="shared" si="317"/>
        <v>0</v>
      </c>
      <c r="R543" s="49">
        <f t="shared" si="317"/>
        <v>0</v>
      </c>
      <c r="S543" s="49">
        <f t="shared" si="317"/>
        <v>0</v>
      </c>
      <c r="T543" s="49">
        <f t="shared" si="317"/>
        <v>0</v>
      </c>
      <c r="V543" s="53">
        <f t="shared" si="335"/>
        <v>0</v>
      </c>
      <c r="W543" s="53">
        <f t="shared" si="336"/>
        <v>0</v>
      </c>
      <c r="X543" s="53">
        <f t="shared" si="337"/>
        <v>0</v>
      </c>
      <c r="Y543" s="53">
        <f t="shared" si="338"/>
        <v>0</v>
      </c>
      <c r="Z543" s="53">
        <f t="shared" si="339"/>
        <v>0</v>
      </c>
      <c r="AB543" s="53">
        <f t="shared" si="328"/>
        <v>0</v>
      </c>
      <c r="AC543" s="53">
        <f t="shared" si="329"/>
        <v>0</v>
      </c>
      <c r="AD543" s="53">
        <f t="shared" si="330"/>
        <v>0</v>
      </c>
      <c r="AE543" s="53">
        <f t="shared" si="331"/>
        <v>0</v>
      </c>
      <c r="AF543" s="53">
        <f t="shared" si="332"/>
        <v>0</v>
      </c>
    </row>
    <row r="544" spans="2:40">
      <c r="B544" s="43" t="str">
        <f t="shared" si="320"/>
        <v>Asset 8</v>
      </c>
      <c r="F544" s="43" t="str">
        <f t="shared" ref="F544:L544" si="342">F48</f>
        <v>10 Gereedschap</v>
      </c>
      <c r="G544" s="43">
        <f t="shared" si="342"/>
        <v>2010</v>
      </c>
      <c r="H544" s="48">
        <f t="shared" si="342"/>
        <v>2369604.1752097155</v>
      </c>
      <c r="I544" s="43">
        <f t="shared" si="342"/>
        <v>2021</v>
      </c>
      <c r="J544" s="43">
        <f t="shared" si="342"/>
        <v>10</v>
      </c>
      <c r="K544" s="43">
        <f t="shared" si="342"/>
        <v>1</v>
      </c>
      <c r="L544" s="48">
        <f t="shared" si="342"/>
        <v>0</v>
      </c>
      <c r="N544" s="44">
        <f t="shared" si="321"/>
        <v>0</v>
      </c>
      <c r="P544" s="49">
        <f t="shared" si="322"/>
        <v>0</v>
      </c>
      <c r="Q544" s="49">
        <f t="shared" si="317"/>
        <v>0</v>
      </c>
      <c r="R544" s="49">
        <f t="shared" si="317"/>
        <v>0</v>
      </c>
      <c r="S544" s="49">
        <f t="shared" si="317"/>
        <v>0</v>
      </c>
      <c r="T544" s="49">
        <f t="shared" si="317"/>
        <v>0</v>
      </c>
      <c r="V544" s="53">
        <f t="shared" si="335"/>
        <v>0</v>
      </c>
      <c r="W544" s="53">
        <f t="shared" si="336"/>
        <v>0</v>
      </c>
      <c r="X544" s="53">
        <f t="shared" si="337"/>
        <v>0</v>
      </c>
      <c r="Y544" s="53">
        <f t="shared" si="338"/>
        <v>0</v>
      </c>
      <c r="Z544" s="53">
        <f t="shared" si="339"/>
        <v>0</v>
      </c>
      <c r="AB544" s="53">
        <f t="shared" si="328"/>
        <v>0</v>
      </c>
      <c r="AC544" s="53">
        <f t="shared" si="329"/>
        <v>0</v>
      </c>
      <c r="AD544" s="53">
        <f t="shared" si="330"/>
        <v>0</v>
      </c>
      <c r="AE544" s="53">
        <f t="shared" si="331"/>
        <v>0</v>
      </c>
      <c r="AF544" s="53">
        <f t="shared" si="332"/>
        <v>0</v>
      </c>
    </row>
    <row r="545" spans="2:32">
      <c r="B545" s="43" t="str">
        <f t="shared" si="320"/>
        <v>Asset 9</v>
      </c>
      <c r="F545" s="43" t="str">
        <f t="shared" ref="F545:L545" si="343">F49</f>
        <v>37 ICT middelen 1 (transparency)</v>
      </c>
      <c r="G545" s="43">
        <f t="shared" si="343"/>
        <v>2010</v>
      </c>
      <c r="H545" s="48">
        <f t="shared" si="343"/>
        <v>137063.35897796138</v>
      </c>
      <c r="I545" s="43">
        <f t="shared" si="343"/>
        <v>2021</v>
      </c>
      <c r="J545" s="43">
        <f t="shared" si="343"/>
        <v>5</v>
      </c>
      <c r="K545" s="43">
        <f t="shared" si="343"/>
        <v>0</v>
      </c>
      <c r="L545" s="48">
        <f t="shared" si="343"/>
        <v>0</v>
      </c>
      <c r="N545" s="44">
        <f t="shared" si="321"/>
        <v>0</v>
      </c>
      <c r="P545" s="49">
        <f t="shared" si="322"/>
        <v>0</v>
      </c>
      <c r="Q545" s="49">
        <f t="shared" si="317"/>
        <v>0</v>
      </c>
      <c r="R545" s="49">
        <f t="shared" si="317"/>
        <v>0</v>
      </c>
      <c r="S545" s="49">
        <f t="shared" si="317"/>
        <v>0</v>
      </c>
      <c r="T545" s="49">
        <f t="shared" si="317"/>
        <v>0</v>
      </c>
      <c r="V545" s="53">
        <f t="shared" si="335"/>
        <v>0</v>
      </c>
      <c r="W545" s="53">
        <f t="shared" si="336"/>
        <v>0</v>
      </c>
      <c r="X545" s="53">
        <f t="shared" si="337"/>
        <v>0</v>
      </c>
      <c r="Y545" s="53">
        <f t="shared" si="338"/>
        <v>0</v>
      </c>
      <c r="Z545" s="53">
        <f t="shared" si="339"/>
        <v>0</v>
      </c>
      <c r="AB545" s="53">
        <f t="shared" si="328"/>
        <v>0</v>
      </c>
      <c r="AC545" s="53">
        <f t="shared" si="329"/>
        <v>0</v>
      </c>
      <c r="AD545" s="53">
        <f t="shared" si="330"/>
        <v>0</v>
      </c>
      <c r="AE545" s="53">
        <f t="shared" si="331"/>
        <v>0</v>
      </c>
      <c r="AF545" s="53">
        <f t="shared" si="332"/>
        <v>0</v>
      </c>
    </row>
    <row r="546" spans="2:32">
      <c r="B546" s="43" t="str">
        <f t="shared" si="320"/>
        <v>Asset 10</v>
      </c>
      <c r="F546" s="43" t="str">
        <f t="shared" ref="F546:L546" si="344">F50</f>
        <v>11 Werktuigen (gaschromatografen en comptabele meters)</v>
      </c>
      <c r="G546" s="43">
        <f t="shared" si="344"/>
        <v>2011</v>
      </c>
      <c r="H546" s="48">
        <f t="shared" si="344"/>
        <v>852201.48356837523</v>
      </c>
      <c r="I546" s="43">
        <f t="shared" si="344"/>
        <v>2021</v>
      </c>
      <c r="J546" s="43">
        <f t="shared" si="344"/>
        <v>10</v>
      </c>
      <c r="K546" s="43">
        <f t="shared" si="344"/>
        <v>0</v>
      </c>
      <c r="L546" s="48">
        <f t="shared" si="344"/>
        <v>0</v>
      </c>
      <c r="N546" s="44">
        <f t="shared" si="321"/>
        <v>0</v>
      </c>
      <c r="P546" s="49">
        <f t="shared" si="322"/>
        <v>0</v>
      </c>
      <c r="Q546" s="49">
        <f t="shared" si="317"/>
        <v>0</v>
      </c>
      <c r="R546" s="49">
        <f t="shared" si="317"/>
        <v>0</v>
      </c>
      <c r="S546" s="49">
        <f t="shared" si="317"/>
        <v>0</v>
      </c>
      <c r="T546" s="49">
        <f t="shared" si="317"/>
        <v>0</v>
      </c>
      <c r="V546" s="53">
        <f t="shared" si="335"/>
        <v>0</v>
      </c>
      <c r="W546" s="53">
        <f t="shared" si="336"/>
        <v>0</v>
      </c>
      <c r="X546" s="53">
        <f t="shared" si="337"/>
        <v>0</v>
      </c>
      <c r="Y546" s="53">
        <f t="shared" si="338"/>
        <v>0</v>
      </c>
      <c r="Z546" s="53">
        <f t="shared" si="339"/>
        <v>0</v>
      </c>
      <c r="AB546" s="53">
        <f t="shared" si="328"/>
        <v>0</v>
      </c>
      <c r="AC546" s="53">
        <f t="shared" si="329"/>
        <v>0</v>
      </c>
      <c r="AD546" s="53">
        <f t="shared" si="330"/>
        <v>0</v>
      </c>
      <c r="AE546" s="53">
        <f t="shared" si="331"/>
        <v>0</v>
      </c>
      <c r="AF546" s="53">
        <f t="shared" si="332"/>
        <v>0</v>
      </c>
    </row>
    <row r="547" spans="2:32">
      <c r="B547" s="43" t="str">
        <f t="shared" si="320"/>
        <v>Asset 11</v>
      </c>
      <c r="F547" s="43" t="str">
        <f t="shared" ref="F547:L547" si="345">F51</f>
        <v>20 Kantoorgebouwen</v>
      </c>
      <c r="G547" s="43">
        <f t="shared" si="345"/>
        <v>2011</v>
      </c>
      <c r="H547" s="48">
        <f t="shared" si="345"/>
        <v>3100554.2541983742</v>
      </c>
      <c r="I547" s="43">
        <f t="shared" si="345"/>
        <v>2021</v>
      </c>
      <c r="J547" s="43">
        <f t="shared" si="345"/>
        <v>30</v>
      </c>
      <c r="K547" s="43">
        <f t="shared" si="345"/>
        <v>0</v>
      </c>
      <c r="L547" s="48">
        <f t="shared" si="345"/>
        <v>2372891.9585730941</v>
      </c>
      <c r="N547" s="44">
        <f t="shared" si="321"/>
        <v>19.5</v>
      </c>
      <c r="P547" s="49">
        <f t="shared" si="322"/>
        <v>121686.76710631252</v>
      </c>
      <c r="Q547" s="49">
        <f t="shared" si="317"/>
        <v>121686.76710631253</v>
      </c>
      <c r="R547" s="49">
        <f t="shared" si="317"/>
        <v>121686.76710631253</v>
      </c>
      <c r="S547" s="49">
        <f t="shared" si="317"/>
        <v>121686.76710631253</v>
      </c>
      <c r="T547" s="49">
        <f t="shared" si="317"/>
        <v>121686.76710631253</v>
      </c>
      <c r="V547" s="53">
        <f t="shared" si="335"/>
        <v>2251205.1914667818</v>
      </c>
      <c r="W547" s="53">
        <f t="shared" si="336"/>
        <v>2129518.4243604694</v>
      </c>
      <c r="X547" s="53">
        <f t="shared" si="337"/>
        <v>2007831.6572541569</v>
      </c>
      <c r="Y547" s="53">
        <f t="shared" si="338"/>
        <v>1886144.8901478443</v>
      </c>
      <c r="Z547" s="53">
        <f t="shared" si="339"/>
        <v>1764458.1230415318</v>
      </c>
      <c r="AB547" s="53">
        <f t="shared" si="328"/>
        <v>191474.12804178277</v>
      </c>
      <c r="AC547" s="53">
        <f t="shared" si="329"/>
        <v>185572.31983712662</v>
      </c>
      <c r="AD547" s="53">
        <f t="shared" si="330"/>
        <v>181921.71682393723</v>
      </c>
      <c r="AE547" s="53">
        <f t="shared" si="331"/>
        <v>178271.11381074786</v>
      </c>
      <c r="AF547" s="53">
        <f t="shared" si="332"/>
        <v>174620.51079755847</v>
      </c>
    </row>
    <row r="548" spans="2:32">
      <c r="B548" s="43" t="str">
        <f t="shared" si="320"/>
        <v>Asset 12</v>
      </c>
      <c r="F548" s="43" t="str">
        <f t="shared" ref="F548:L548" si="346">F52</f>
        <v>37 ICT middelen 1</v>
      </c>
      <c r="G548" s="43">
        <f t="shared" si="346"/>
        <v>2011</v>
      </c>
      <c r="H548" s="48">
        <f t="shared" si="346"/>
        <v>30115806.268534236</v>
      </c>
      <c r="I548" s="43">
        <f t="shared" si="346"/>
        <v>2021</v>
      </c>
      <c r="J548" s="43">
        <f t="shared" si="346"/>
        <v>5</v>
      </c>
      <c r="K548" s="43">
        <f t="shared" si="346"/>
        <v>1</v>
      </c>
      <c r="L548" s="48">
        <f t="shared" si="346"/>
        <v>0</v>
      </c>
      <c r="N548" s="44">
        <f t="shared" si="321"/>
        <v>0</v>
      </c>
      <c r="P548" s="49">
        <f t="shared" si="322"/>
        <v>0</v>
      </c>
      <c r="Q548" s="49">
        <f t="shared" si="317"/>
        <v>0</v>
      </c>
      <c r="R548" s="49">
        <f t="shared" si="317"/>
        <v>0</v>
      </c>
      <c r="S548" s="49">
        <f t="shared" si="317"/>
        <v>0</v>
      </c>
      <c r="T548" s="49">
        <f t="shared" si="317"/>
        <v>0</v>
      </c>
      <c r="V548" s="53">
        <f t="shared" si="335"/>
        <v>0</v>
      </c>
      <c r="W548" s="53">
        <f t="shared" si="336"/>
        <v>0</v>
      </c>
      <c r="X548" s="53">
        <f t="shared" si="337"/>
        <v>0</v>
      </c>
      <c r="Y548" s="53">
        <f t="shared" si="338"/>
        <v>0</v>
      </c>
      <c r="Z548" s="53">
        <f t="shared" si="339"/>
        <v>0</v>
      </c>
      <c r="AB548" s="53">
        <f t="shared" si="328"/>
        <v>0</v>
      </c>
      <c r="AC548" s="53">
        <f t="shared" si="329"/>
        <v>0</v>
      </c>
      <c r="AD548" s="53">
        <f t="shared" si="330"/>
        <v>0</v>
      </c>
      <c r="AE548" s="53">
        <f t="shared" si="331"/>
        <v>0</v>
      </c>
      <c r="AF548" s="53">
        <f t="shared" si="332"/>
        <v>0</v>
      </c>
    </row>
    <row r="549" spans="2:32">
      <c r="B549" s="43" t="str">
        <f t="shared" si="320"/>
        <v>Asset 13</v>
      </c>
      <c r="F549" s="43" t="str">
        <f t="shared" ref="F549:L549" si="347">F53</f>
        <v>06 Utiliteitsgebouwen</v>
      </c>
      <c r="G549" s="43">
        <f t="shared" si="347"/>
        <v>2011</v>
      </c>
      <c r="H549" s="48">
        <f t="shared" si="347"/>
        <v>2437521.6070272112</v>
      </c>
      <c r="I549" s="43">
        <f t="shared" si="347"/>
        <v>2021</v>
      </c>
      <c r="J549" s="43">
        <f t="shared" si="347"/>
        <v>30</v>
      </c>
      <c r="K549" s="43">
        <f t="shared" si="347"/>
        <v>0</v>
      </c>
      <c r="L549" s="48">
        <f t="shared" si="347"/>
        <v>1865464.9930189459</v>
      </c>
      <c r="N549" s="44">
        <f t="shared" si="321"/>
        <v>19.5</v>
      </c>
      <c r="P549" s="49">
        <f t="shared" si="322"/>
        <v>95664.871436869027</v>
      </c>
      <c r="Q549" s="49">
        <f t="shared" si="317"/>
        <v>95664.871436869027</v>
      </c>
      <c r="R549" s="49">
        <f t="shared" si="317"/>
        <v>95664.871436869027</v>
      </c>
      <c r="S549" s="49">
        <f t="shared" si="317"/>
        <v>95664.871436869027</v>
      </c>
      <c r="T549" s="49">
        <f t="shared" si="317"/>
        <v>95664.871436869027</v>
      </c>
      <c r="V549" s="53">
        <f t="shared" si="335"/>
        <v>1769800.1215820769</v>
      </c>
      <c r="W549" s="53">
        <f t="shared" si="336"/>
        <v>1674135.2501452079</v>
      </c>
      <c r="X549" s="53">
        <f t="shared" si="337"/>
        <v>1578470.3787083388</v>
      </c>
      <c r="Y549" s="53">
        <f t="shared" si="338"/>
        <v>1482805.5072714698</v>
      </c>
      <c r="Z549" s="53">
        <f t="shared" si="339"/>
        <v>1387140.6358346008</v>
      </c>
      <c r="AB549" s="53">
        <f t="shared" si="328"/>
        <v>150528.6752059134</v>
      </c>
      <c r="AC549" s="53">
        <f t="shared" si="329"/>
        <v>145888.92894122525</v>
      </c>
      <c r="AD549" s="53">
        <f t="shared" si="330"/>
        <v>143018.98279811919</v>
      </c>
      <c r="AE549" s="53">
        <f t="shared" si="331"/>
        <v>140149.03665501313</v>
      </c>
      <c r="AF549" s="53">
        <f t="shared" si="332"/>
        <v>137279.09051190707</v>
      </c>
    </row>
    <row r="550" spans="2:32">
      <c r="B550" s="43" t="str">
        <f t="shared" si="320"/>
        <v>Asset 14</v>
      </c>
      <c r="F550" s="43" t="str">
        <f t="shared" ref="F550:L550" si="348">F54</f>
        <v>10 Gereedschap</v>
      </c>
      <c r="G550" s="43">
        <f t="shared" si="348"/>
        <v>2011</v>
      </c>
      <c r="H550" s="48">
        <f t="shared" si="348"/>
        <v>322323.48030063207</v>
      </c>
      <c r="I550" s="43">
        <f t="shared" si="348"/>
        <v>2021</v>
      </c>
      <c r="J550" s="43">
        <f t="shared" si="348"/>
        <v>10</v>
      </c>
      <c r="K550" s="43">
        <f t="shared" si="348"/>
        <v>1</v>
      </c>
      <c r="L550" s="48">
        <f t="shared" si="348"/>
        <v>0</v>
      </c>
      <c r="N550" s="44">
        <f t="shared" si="321"/>
        <v>0</v>
      </c>
      <c r="P550" s="49">
        <f t="shared" si="322"/>
        <v>0</v>
      </c>
      <c r="Q550" s="49">
        <f t="shared" si="317"/>
        <v>0</v>
      </c>
      <c r="R550" s="49">
        <f t="shared" si="317"/>
        <v>0</v>
      </c>
      <c r="S550" s="49">
        <f t="shared" si="317"/>
        <v>0</v>
      </c>
      <c r="T550" s="49">
        <f t="shared" si="317"/>
        <v>0</v>
      </c>
      <c r="V550" s="53">
        <f t="shared" si="335"/>
        <v>0</v>
      </c>
      <c r="W550" s="53">
        <f t="shared" si="336"/>
        <v>0</v>
      </c>
      <c r="X550" s="53">
        <f t="shared" si="337"/>
        <v>0</v>
      </c>
      <c r="Y550" s="53">
        <f t="shared" si="338"/>
        <v>0</v>
      </c>
      <c r="Z550" s="53">
        <f t="shared" si="339"/>
        <v>0</v>
      </c>
      <c r="AB550" s="53">
        <f t="shared" si="328"/>
        <v>0</v>
      </c>
      <c r="AC550" s="53">
        <f t="shared" si="329"/>
        <v>0</v>
      </c>
      <c r="AD550" s="53">
        <f t="shared" si="330"/>
        <v>0</v>
      </c>
      <c r="AE550" s="53">
        <f t="shared" si="331"/>
        <v>0</v>
      </c>
      <c r="AF550" s="53">
        <f t="shared" si="332"/>
        <v>0</v>
      </c>
    </row>
    <row r="551" spans="2:32">
      <c r="B551" s="43" t="str">
        <f t="shared" si="320"/>
        <v>Asset 15</v>
      </c>
      <c r="F551" s="43" t="str">
        <f t="shared" ref="F551:L551" si="349">F55</f>
        <v>14 Overig rollend materieel</v>
      </c>
      <c r="G551" s="43">
        <f t="shared" si="349"/>
        <v>2011</v>
      </c>
      <c r="H551" s="48">
        <f t="shared" si="349"/>
        <v>4126005.7948834877</v>
      </c>
      <c r="I551" s="43">
        <f t="shared" si="349"/>
        <v>2021</v>
      </c>
      <c r="J551" s="43">
        <f t="shared" si="349"/>
        <v>10</v>
      </c>
      <c r="K551" s="43">
        <f t="shared" si="349"/>
        <v>1</v>
      </c>
      <c r="L551" s="48">
        <f t="shared" si="349"/>
        <v>0</v>
      </c>
      <c r="N551" s="44">
        <f t="shared" si="321"/>
        <v>0</v>
      </c>
      <c r="P551" s="49">
        <f t="shared" si="322"/>
        <v>0</v>
      </c>
      <c r="Q551" s="49">
        <f t="shared" si="317"/>
        <v>0</v>
      </c>
      <c r="R551" s="49">
        <f t="shared" si="317"/>
        <v>0</v>
      </c>
      <c r="S551" s="49">
        <f t="shared" si="317"/>
        <v>0</v>
      </c>
      <c r="T551" s="49">
        <f t="shared" si="317"/>
        <v>0</v>
      </c>
      <c r="V551" s="53">
        <f t="shared" si="335"/>
        <v>0</v>
      </c>
      <c r="W551" s="53">
        <f t="shared" si="336"/>
        <v>0</v>
      </c>
      <c r="X551" s="53">
        <f t="shared" si="337"/>
        <v>0</v>
      </c>
      <c r="Y551" s="53">
        <f t="shared" si="338"/>
        <v>0</v>
      </c>
      <c r="Z551" s="53">
        <f t="shared" si="339"/>
        <v>0</v>
      </c>
      <c r="AB551" s="53">
        <f t="shared" si="328"/>
        <v>0</v>
      </c>
      <c r="AC551" s="53">
        <f t="shared" si="329"/>
        <v>0</v>
      </c>
      <c r="AD551" s="53">
        <f t="shared" si="330"/>
        <v>0</v>
      </c>
      <c r="AE551" s="53">
        <f t="shared" si="331"/>
        <v>0</v>
      </c>
      <c r="AF551" s="53">
        <f t="shared" si="332"/>
        <v>0</v>
      </c>
    </row>
    <row r="552" spans="2:32">
      <c r="B552" s="43" t="str">
        <f t="shared" si="320"/>
        <v>Asset 16</v>
      </c>
      <c r="F552" s="43" t="str">
        <f t="shared" ref="F552:L552" si="350">F56</f>
        <v>37 ICT middelen 1</v>
      </c>
      <c r="G552" s="43">
        <f t="shared" si="350"/>
        <v>2012</v>
      </c>
      <c r="H552" s="48">
        <f t="shared" si="350"/>
        <v>22695798.709637098</v>
      </c>
      <c r="I552" s="43">
        <f t="shared" si="350"/>
        <v>2021</v>
      </c>
      <c r="J552" s="43">
        <f t="shared" si="350"/>
        <v>5</v>
      </c>
      <c r="K552" s="43">
        <f t="shared" si="350"/>
        <v>1</v>
      </c>
      <c r="L552" s="48">
        <f t="shared" si="350"/>
        <v>0</v>
      </c>
      <c r="N552" s="44">
        <f t="shared" si="321"/>
        <v>0</v>
      </c>
      <c r="P552" s="49">
        <f t="shared" si="322"/>
        <v>0</v>
      </c>
      <c r="Q552" s="49">
        <f t="shared" si="317"/>
        <v>0</v>
      </c>
      <c r="R552" s="49">
        <f t="shared" si="317"/>
        <v>0</v>
      </c>
      <c r="S552" s="49">
        <f t="shared" si="317"/>
        <v>0</v>
      </c>
      <c r="T552" s="49">
        <f t="shared" si="317"/>
        <v>0</v>
      </c>
      <c r="V552" s="53">
        <f t="shared" si="335"/>
        <v>0</v>
      </c>
      <c r="W552" s="53">
        <f t="shared" si="336"/>
        <v>0</v>
      </c>
      <c r="X552" s="53">
        <f t="shared" si="337"/>
        <v>0</v>
      </c>
      <c r="Y552" s="53">
        <f t="shared" si="338"/>
        <v>0</v>
      </c>
      <c r="Z552" s="53">
        <f t="shared" si="339"/>
        <v>0</v>
      </c>
      <c r="AB552" s="53">
        <f t="shared" si="328"/>
        <v>0</v>
      </c>
      <c r="AC552" s="53">
        <f t="shared" si="329"/>
        <v>0</v>
      </c>
      <c r="AD552" s="53">
        <f t="shared" si="330"/>
        <v>0</v>
      </c>
      <c r="AE552" s="53">
        <f t="shared" si="331"/>
        <v>0</v>
      </c>
      <c r="AF552" s="53">
        <f t="shared" si="332"/>
        <v>0</v>
      </c>
    </row>
    <row r="553" spans="2:32">
      <c r="B553" s="43" t="str">
        <f t="shared" si="320"/>
        <v>Asset 17</v>
      </c>
      <c r="F553" s="43" t="str">
        <f t="shared" ref="F553:L553" si="351">F57</f>
        <v>37 ICT middelen 1</v>
      </c>
      <c r="G553" s="43">
        <f t="shared" si="351"/>
        <v>2013</v>
      </c>
      <c r="H553" s="48">
        <f t="shared" si="351"/>
        <v>18719949.80436749</v>
      </c>
      <c r="I553" s="43">
        <f t="shared" si="351"/>
        <v>2021</v>
      </c>
      <c r="J553" s="43">
        <f t="shared" si="351"/>
        <v>5</v>
      </c>
      <c r="K553" s="43">
        <f t="shared" si="351"/>
        <v>1</v>
      </c>
      <c r="L553" s="48">
        <f t="shared" si="351"/>
        <v>0</v>
      </c>
      <c r="N553" s="44">
        <f t="shared" si="321"/>
        <v>0</v>
      </c>
      <c r="P553" s="49">
        <f t="shared" si="322"/>
        <v>0</v>
      </c>
      <c r="Q553" s="49">
        <f t="shared" si="322"/>
        <v>0</v>
      </c>
      <c r="R553" s="49">
        <f t="shared" si="322"/>
        <v>0</v>
      </c>
      <c r="S553" s="49">
        <f t="shared" si="322"/>
        <v>0</v>
      </c>
      <c r="T553" s="49">
        <f t="shared" si="322"/>
        <v>0</v>
      </c>
      <c r="V553" s="53">
        <f t="shared" si="335"/>
        <v>0</v>
      </c>
      <c r="W553" s="53">
        <f t="shared" si="336"/>
        <v>0</v>
      </c>
      <c r="X553" s="53">
        <f t="shared" si="337"/>
        <v>0</v>
      </c>
      <c r="Y553" s="53">
        <f t="shared" si="338"/>
        <v>0</v>
      </c>
      <c r="Z553" s="53">
        <f t="shared" si="339"/>
        <v>0</v>
      </c>
      <c r="AB553" s="53">
        <f t="shared" si="328"/>
        <v>0</v>
      </c>
      <c r="AC553" s="53">
        <f t="shared" si="329"/>
        <v>0</v>
      </c>
      <c r="AD553" s="53">
        <f t="shared" si="330"/>
        <v>0</v>
      </c>
      <c r="AE553" s="53">
        <f t="shared" si="331"/>
        <v>0</v>
      </c>
      <c r="AF553" s="53">
        <f t="shared" si="332"/>
        <v>0</v>
      </c>
    </row>
    <row r="554" spans="2:32">
      <c r="B554" s="43" t="str">
        <f t="shared" si="320"/>
        <v>Asset 18</v>
      </c>
      <c r="F554" s="43" t="str">
        <f t="shared" ref="F554:L554" si="352">F58</f>
        <v>14 Overig rollend materieel</v>
      </c>
      <c r="G554" s="43">
        <f t="shared" si="352"/>
        <v>2013</v>
      </c>
      <c r="H554" s="48">
        <f t="shared" si="352"/>
        <v>14233.766853302437</v>
      </c>
      <c r="I554" s="43">
        <f t="shared" si="352"/>
        <v>2021</v>
      </c>
      <c r="J554" s="43">
        <f t="shared" si="352"/>
        <v>10</v>
      </c>
      <c r="K554" s="43">
        <f t="shared" si="352"/>
        <v>1</v>
      </c>
      <c r="L554" s="48">
        <f t="shared" si="352"/>
        <v>2395.0433871794298</v>
      </c>
      <c r="N554" s="44">
        <f t="shared" si="321"/>
        <v>1.5</v>
      </c>
      <c r="P554" s="49">
        <f t="shared" ref="P554:T604" si="353">IF(P$535&lt;=$G554+$J554,VDB($L554,0,$N554,P$535-2022,MIN(P$535-2021,$N554),1),0)</f>
        <v>1596.6955914529533</v>
      </c>
      <c r="Q554" s="49">
        <f t="shared" si="353"/>
        <v>798.34779572647665</v>
      </c>
      <c r="R554" s="49">
        <f t="shared" si="353"/>
        <v>0</v>
      </c>
      <c r="S554" s="49">
        <f t="shared" si="353"/>
        <v>0</v>
      </c>
      <c r="T554" s="49">
        <f t="shared" si="353"/>
        <v>0</v>
      </c>
      <c r="V554" s="53">
        <f t="shared" si="335"/>
        <v>798.34779572647653</v>
      </c>
      <c r="W554" s="53">
        <f t="shared" si="336"/>
        <v>-1.1368683772161603E-13</v>
      </c>
      <c r="X554" s="53">
        <f t="shared" si="337"/>
        <v>0</v>
      </c>
      <c r="Y554" s="53">
        <f t="shared" si="338"/>
        <v>0</v>
      </c>
      <c r="Z554" s="53">
        <f t="shared" si="339"/>
        <v>0</v>
      </c>
      <c r="AB554" s="53">
        <f t="shared" si="328"/>
        <v>1519.2933776138841</v>
      </c>
      <c r="AC554" s="53">
        <f t="shared" si="329"/>
        <v>748.05188459570866</v>
      </c>
      <c r="AD554" s="53">
        <f t="shared" si="330"/>
        <v>0</v>
      </c>
      <c r="AE554" s="53">
        <f t="shared" si="331"/>
        <v>0</v>
      </c>
      <c r="AF554" s="53">
        <f t="shared" si="332"/>
        <v>0</v>
      </c>
    </row>
    <row r="555" spans="2:32">
      <c r="B555" s="43" t="str">
        <f t="shared" si="320"/>
        <v>Asset 19</v>
      </c>
      <c r="F555" s="43" t="str">
        <f t="shared" ref="F555:L555" si="354">F59</f>
        <v>10 Gereedschap</v>
      </c>
      <c r="G555" s="43">
        <f t="shared" si="354"/>
        <v>2013</v>
      </c>
      <c r="H555" s="48">
        <f t="shared" si="354"/>
        <v>717715.3058753697</v>
      </c>
      <c r="I555" s="43">
        <f t="shared" si="354"/>
        <v>2021</v>
      </c>
      <c r="J555" s="43">
        <f t="shared" si="354"/>
        <v>10</v>
      </c>
      <c r="K555" s="43">
        <f t="shared" si="354"/>
        <v>1</v>
      </c>
      <c r="L555" s="48">
        <f t="shared" si="354"/>
        <v>120766.29573396736</v>
      </c>
      <c r="N555" s="44">
        <f t="shared" si="321"/>
        <v>1.5</v>
      </c>
      <c r="P555" s="49">
        <f t="shared" si="353"/>
        <v>80510.863822644911</v>
      </c>
      <c r="Q555" s="49">
        <f t="shared" si="353"/>
        <v>40255.431911322456</v>
      </c>
      <c r="R555" s="49">
        <f t="shared" si="353"/>
        <v>0</v>
      </c>
      <c r="S555" s="49">
        <f t="shared" si="353"/>
        <v>0</v>
      </c>
      <c r="T555" s="49">
        <f t="shared" si="353"/>
        <v>0</v>
      </c>
      <c r="V555" s="53">
        <f t="shared" si="335"/>
        <v>40255.431911322448</v>
      </c>
      <c r="W555" s="53">
        <f t="shared" si="336"/>
        <v>-7.2759576141834259E-12</v>
      </c>
      <c r="X555" s="53">
        <f t="shared" si="337"/>
        <v>0</v>
      </c>
      <c r="Y555" s="53">
        <f t="shared" si="338"/>
        <v>0</v>
      </c>
      <c r="Z555" s="53">
        <f t="shared" si="339"/>
        <v>0</v>
      </c>
      <c r="AB555" s="53">
        <f t="shared" si="328"/>
        <v>76607.978932546466</v>
      </c>
      <c r="AC555" s="53">
        <f t="shared" si="329"/>
        <v>37719.339700909142</v>
      </c>
      <c r="AD555" s="53">
        <f t="shared" si="330"/>
        <v>0</v>
      </c>
      <c r="AE555" s="53">
        <f t="shared" si="331"/>
        <v>0</v>
      </c>
      <c r="AF555" s="53">
        <f t="shared" si="332"/>
        <v>0</v>
      </c>
    </row>
    <row r="556" spans="2:32">
      <c r="B556" s="43" t="str">
        <f t="shared" si="320"/>
        <v>Asset 20</v>
      </c>
      <c r="F556" s="43" t="str">
        <f t="shared" ref="F556:L556" si="355">F60</f>
        <v>37 ICT middelen 1</v>
      </c>
      <c r="G556" s="43">
        <f t="shared" si="355"/>
        <v>2014</v>
      </c>
      <c r="H556" s="48">
        <f t="shared" si="355"/>
        <v>29278944.009914741</v>
      </c>
      <c r="I556" s="43">
        <f t="shared" si="355"/>
        <v>2021</v>
      </c>
      <c r="J556" s="43">
        <f t="shared" si="355"/>
        <v>5</v>
      </c>
      <c r="K556" s="43">
        <f t="shared" si="355"/>
        <v>1</v>
      </c>
      <c r="L556" s="48">
        <f t="shared" si="355"/>
        <v>0</v>
      </c>
      <c r="N556" s="44">
        <f t="shared" si="321"/>
        <v>0</v>
      </c>
      <c r="P556" s="49">
        <f t="shared" si="353"/>
        <v>0</v>
      </c>
      <c r="Q556" s="49">
        <f t="shared" si="353"/>
        <v>0</v>
      </c>
      <c r="R556" s="49">
        <f t="shared" si="353"/>
        <v>0</v>
      </c>
      <c r="S556" s="49">
        <f t="shared" si="353"/>
        <v>0</v>
      </c>
      <c r="T556" s="49">
        <f t="shared" si="353"/>
        <v>0</v>
      </c>
      <c r="V556" s="53">
        <f t="shared" si="335"/>
        <v>0</v>
      </c>
      <c r="W556" s="53">
        <f t="shared" si="336"/>
        <v>0</v>
      </c>
      <c r="X556" s="53">
        <f t="shared" si="337"/>
        <v>0</v>
      </c>
      <c r="Y556" s="53">
        <f t="shared" si="338"/>
        <v>0</v>
      </c>
      <c r="Z556" s="53">
        <f t="shared" si="339"/>
        <v>0</v>
      </c>
      <c r="AB556" s="53">
        <f t="shared" si="328"/>
        <v>0</v>
      </c>
      <c r="AC556" s="53">
        <f t="shared" si="329"/>
        <v>0</v>
      </c>
      <c r="AD556" s="53">
        <f t="shared" si="330"/>
        <v>0</v>
      </c>
      <c r="AE556" s="53">
        <f t="shared" si="331"/>
        <v>0</v>
      </c>
      <c r="AF556" s="53">
        <f t="shared" si="332"/>
        <v>0</v>
      </c>
    </row>
    <row r="557" spans="2:32">
      <c r="B557" s="43" t="str">
        <f t="shared" si="320"/>
        <v>Asset 21</v>
      </c>
      <c r="F557" s="43" t="str">
        <f t="shared" ref="F557:L557" si="356">F61</f>
        <v>38 ICT middelen 2</v>
      </c>
      <c r="G557" s="43">
        <f t="shared" si="356"/>
        <v>2014</v>
      </c>
      <c r="H557" s="48">
        <f t="shared" si="356"/>
        <v>149619.99545874962</v>
      </c>
      <c r="I557" s="43">
        <f t="shared" si="356"/>
        <v>2021</v>
      </c>
      <c r="J557" s="43">
        <f t="shared" si="356"/>
        <v>10</v>
      </c>
      <c r="K557" s="43">
        <f t="shared" si="356"/>
        <v>1</v>
      </c>
      <c r="L557" s="48">
        <f t="shared" si="356"/>
        <v>40816.786477904512</v>
      </c>
      <c r="N557" s="44">
        <f t="shared" si="321"/>
        <v>2.5</v>
      </c>
      <c r="P557" s="49">
        <f t="shared" si="353"/>
        <v>16326.714591161806</v>
      </c>
      <c r="Q557" s="49">
        <f t="shared" si="353"/>
        <v>16326.714591161804</v>
      </c>
      <c r="R557" s="49">
        <f t="shared" si="353"/>
        <v>8163.3572955809022</v>
      </c>
      <c r="S557" s="49">
        <f t="shared" si="353"/>
        <v>0</v>
      </c>
      <c r="T557" s="49">
        <f t="shared" si="353"/>
        <v>0</v>
      </c>
      <c r="V557" s="53">
        <f t="shared" si="335"/>
        <v>24490.071886742706</v>
      </c>
      <c r="W557" s="53">
        <f t="shared" si="336"/>
        <v>8163.3572955809013</v>
      </c>
      <c r="X557" s="53">
        <f t="shared" si="337"/>
        <v>-9.0949470177292824E-13</v>
      </c>
      <c r="Y557" s="53">
        <f t="shared" si="338"/>
        <v>0</v>
      </c>
      <c r="Z557" s="53">
        <f t="shared" si="339"/>
        <v>0</v>
      </c>
      <c r="AB557" s="53">
        <f t="shared" si="328"/>
        <v>16009.494690012829</v>
      </c>
      <c r="AC557" s="53">
        <f t="shared" si="329"/>
        <v>15527.603545497392</v>
      </c>
      <c r="AD557" s="53">
        <f t="shared" si="330"/>
        <v>7649.0657859593057</v>
      </c>
      <c r="AE557" s="53">
        <f t="shared" si="331"/>
        <v>0</v>
      </c>
      <c r="AF557" s="53">
        <f t="shared" si="332"/>
        <v>0</v>
      </c>
    </row>
    <row r="558" spans="2:32">
      <c r="B558" s="43" t="str">
        <f t="shared" si="320"/>
        <v>Asset 22</v>
      </c>
      <c r="F558" s="43" t="str">
        <f t="shared" ref="F558:L558" si="357">F62</f>
        <v>37 ICT middelen 1 (transparency)</v>
      </c>
      <c r="G558" s="43">
        <f t="shared" si="357"/>
        <v>2014</v>
      </c>
      <c r="H558" s="48">
        <f t="shared" si="357"/>
        <v>180341</v>
      </c>
      <c r="I558" s="43">
        <f t="shared" si="357"/>
        <v>2021</v>
      </c>
      <c r="J558" s="43">
        <f t="shared" si="357"/>
        <v>5</v>
      </c>
      <c r="K558" s="43">
        <f t="shared" si="357"/>
        <v>0</v>
      </c>
      <c r="L558" s="48">
        <f t="shared" si="357"/>
        <v>0</v>
      </c>
      <c r="N558" s="44">
        <f t="shared" si="321"/>
        <v>0</v>
      </c>
      <c r="P558" s="49">
        <f t="shared" si="353"/>
        <v>0</v>
      </c>
      <c r="Q558" s="49">
        <f t="shared" si="353"/>
        <v>0</v>
      </c>
      <c r="R558" s="49">
        <f t="shared" si="353"/>
        <v>0</v>
      </c>
      <c r="S558" s="49">
        <f t="shared" si="353"/>
        <v>0</v>
      </c>
      <c r="T558" s="49">
        <f t="shared" si="353"/>
        <v>0</v>
      </c>
      <c r="V558" s="53">
        <f t="shared" si="335"/>
        <v>0</v>
      </c>
      <c r="W558" s="53">
        <f t="shared" si="336"/>
        <v>0</v>
      </c>
      <c r="X558" s="53">
        <f t="shared" si="337"/>
        <v>0</v>
      </c>
      <c r="Y558" s="53">
        <f t="shared" si="338"/>
        <v>0</v>
      </c>
      <c r="Z558" s="53">
        <f t="shared" si="339"/>
        <v>0</v>
      </c>
      <c r="AB558" s="53">
        <f t="shared" si="328"/>
        <v>0</v>
      </c>
      <c r="AC558" s="53">
        <f t="shared" si="329"/>
        <v>0</v>
      </c>
      <c r="AD558" s="53">
        <f t="shared" si="330"/>
        <v>0</v>
      </c>
      <c r="AE558" s="53">
        <f t="shared" si="331"/>
        <v>0</v>
      </c>
      <c r="AF558" s="53">
        <f t="shared" si="332"/>
        <v>0</v>
      </c>
    </row>
    <row r="559" spans="2:32">
      <c r="B559" s="43" t="str">
        <f t="shared" si="320"/>
        <v>Asset 23</v>
      </c>
      <c r="F559" s="43" t="str">
        <f t="shared" ref="F559:L559" si="358">F63</f>
        <v>37 ICT middelen 1</v>
      </c>
      <c r="G559" s="43">
        <f t="shared" si="358"/>
        <v>2015</v>
      </c>
      <c r="H559" s="48">
        <f t="shared" si="358"/>
        <v>16219637.049707994</v>
      </c>
      <c r="I559" s="43">
        <f t="shared" si="358"/>
        <v>2021</v>
      </c>
      <c r="J559" s="43">
        <f t="shared" si="358"/>
        <v>5</v>
      </c>
      <c r="K559" s="43">
        <f t="shared" si="358"/>
        <v>1</v>
      </c>
      <c r="L559" s="48">
        <f t="shared" si="358"/>
        <v>0</v>
      </c>
      <c r="N559" s="44">
        <f t="shared" si="321"/>
        <v>0</v>
      </c>
      <c r="P559" s="49">
        <f t="shared" si="353"/>
        <v>0</v>
      </c>
      <c r="Q559" s="49">
        <f t="shared" si="353"/>
        <v>0</v>
      </c>
      <c r="R559" s="49">
        <f t="shared" si="353"/>
        <v>0</v>
      </c>
      <c r="S559" s="49">
        <f t="shared" si="353"/>
        <v>0</v>
      </c>
      <c r="T559" s="49">
        <f t="shared" si="353"/>
        <v>0</v>
      </c>
      <c r="V559" s="53">
        <f t="shared" si="335"/>
        <v>0</v>
      </c>
      <c r="W559" s="53">
        <f t="shared" si="336"/>
        <v>0</v>
      </c>
      <c r="X559" s="53">
        <f t="shared" si="337"/>
        <v>0</v>
      </c>
      <c r="Y559" s="53">
        <f t="shared" si="338"/>
        <v>0</v>
      </c>
      <c r="Z559" s="53">
        <f t="shared" si="339"/>
        <v>0</v>
      </c>
      <c r="AB559" s="53">
        <f t="shared" si="328"/>
        <v>0</v>
      </c>
      <c r="AC559" s="53">
        <f t="shared" si="329"/>
        <v>0</v>
      </c>
      <c r="AD559" s="53">
        <f t="shared" si="330"/>
        <v>0</v>
      </c>
      <c r="AE559" s="53">
        <f t="shared" si="331"/>
        <v>0</v>
      </c>
      <c r="AF559" s="53">
        <f t="shared" si="332"/>
        <v>0</v>
      </c>
    </row>
    <row r="560" spans="2:32">
      <c r="B560" s="43" t="str">
        <f t="shared" si="320"/>
        <v>Asset 24</v>
      </c>
      <c r="F560" s="43" t="str">
        <f t="shared" ref="F560:L560" si="359">F64</f>
        <v>14 Overig rollend materieel</v>
      </c>
      <c r="G560" s="43">
        <f t="shared" si="359"/>
        <v>2015</v>
      </c>
      <c r="H560" s="48">
        <f t="shared" si="359"/>
        <v>9111235.8707030155</v>
      </c>
      <c r="I560" s="43">
        <f t="shared" si="359"/>
        <v>2021</v>
      </c>
      <c r="J560" s="43">
        <f t="shared" si="359"/>
        <v>10</v>
      </c>
      <c r="K560" s="43">
        <f t="shared" si="359"/>
        <v>1</v>
      </c>
      <c r="L560" s="48">
        <f t="shared" si="359"/>
        <v>3445348.23215965</v>
      </c>
      <c r="N560" s="44">
        <f t="shared" si="321"/>
        <v>3.5</v>
      </c>
      <c r="P560" s="49">
        <f t="shared" si="353"/>
        <v>984385.20918847143</v>
      </c>
      <c r="Q560" s="49">
        <f t="shared" si="353"/>
        <v>984385.20918847143</v>
      </c>
      <c r="R560" s="49">
        <f t="shared" si="353"/>
        <v>984385.20918847143</v>
      </c>
      <c r="S560" s="49">
        <f t="shared" si="353"/>
        <v>492192.60459423572</v>
      </c>
      <c r="T560" s="49">
        <f t="shared" si="353"/>
        <v>0</v>
      </c>
      <c r="V560" s="53">
        <f t="shared" si="335"/>
        <v>2460963.0229711784</v>
      </c>
      <c r="W560" s="53">
        <f t="shared" si="336"/>
        <v>1476577.8137827069</v>
      </c>
      <c r="X560" s="53">
        <f t="shared" si="337"/>
        <v>492192.60459423542</v>
      </c>
      <c r="Y560" s="53">
        <f t="shared" si="338"/>
        <v>-2.9103830456733704E-10</v>
      </c>
      <c r="Z560" s="53">
        <f t="shared" si="339"/>
        <v>0</v>
      </c>
      <c r="AB560" s="53">
        <f t="shared" si="328"/>
        <v>993852.53393784154</v>
      </c>
      <c r="AC560" s="53">
        <f t="shared" si="329"/>
        <v>963875.54335502966</v>
      </c>
      <c r="AD560" s="53">
        <f t="shared" si="330"/>
        <v>936204.47512474179</v>
      </c>
      <c r="AE560" s="53">
        <f t="shared" si="331"/>
        <v>461184.47050479887</v>
      </c>
      <c r="AF560" s="53">
        <f t="shared" si="332"/>
        <v>0</v>
      </c>
    </row>
    <row r="561" spans="2:32">
      <c r="B561" s="43" t="str">
        <f t="shared" si="320"/>
        <v>Asset 25</v>
      </c>
      <c r="F561" s="43" t="str">
        <f t="shared" ref="F561:L561" si="360">F65</f>
        <v>10 Gereedschap</v>
      </c>
      <c r="G561" s="43">
        <f t="shared" si="360"/>
        <v>2015</v>
      </c>
      <c r="H561" s="48">
        <f t="shared" si="360"/>
        <v>1215996.3265953835</v>
      </c>
      <c r="I561" s="43">
        <f t="shared" si="360"/>
        <v>2021</v>
      </c>
      <c r="J561" s="43">
        <f t="shared" si="360"/>
        <v>10</v>
      </c>
      <c r="K561" s="43">
        <f t="shared" si="360"/>
        <v>1</v>
      </c>
      <c r="L561" s="48">
        <f t="shared" si="360"/>
        <v>459820.25420057232</v>
      </c>
      <c r="N561" s="44">
        <f t="shared" si="321"/>
        <v>3.5</v>
      </c>
      <c r="P561" s="49">
        <f t="shared" si="353"/>
        <v>131377.21548587779</v>
      </c>
      <c r="Q561" s="49">
        <f t="shared" si="353"/>
        <v>131377.21548587782</v>
      </c>
      <c r="R561" s="49">
        <f t="shared" si="353"/>
        <v>131377.21548587782</v>
      </c>
      <c r="S561" s="49">
        <f t="shared" si="353"/>
        <v>65688.607742938912</v>
      </c>
      <c r="T561" s="49">
        <f t="shared" si="353"/>
        <v>0</v>
      </c>
      <c r="V561" s="53">
        <f t="shared" si="335"/>
        <v>328443.03871469456</v>
      </c>
      <c r="W561" s="53">
        <f t="shared" si="336"/>
        <v>197065.82322881673</v>
      </c>
      <c r="X561" s="53">
        <f t="shared" si="337"/>
        <v>65688.607742938912</v>
      </c>
      <c r="Y561" s="53">
        <f t="shared" si="338"/>
        <v>0</v>
      </c>
      <c r="Z561" s="53">
        <f t="shared" si="339"/>
        <v>0</v>
      </c>
      <c r="AB561" s="53">
        <f t="shared" si="328"/>
        <v>132640.73585581323</v>
      </c>
      <c r="AC561" s="53">
        <f t="shared" si="329"/>
        <v>128639.97120122955</v>
      </c>
      <c r="AD561" s="53">
        <f t="shared" si="330"/>
        <v>124946.95767392154</v>
      </c>
      <c r="AE561" s="53">
        <f t="shared" si="331"/>
        <v>61550.225455133761</v>
      </c>
      <c r="AF561" s="53">
        <f t="shared" si="332"/>
        <v>0</v>
      </c>
    </row>
    <row r="562" spans="2:32">
      <c r="B562" s="43" t="str">
        <f t="shared" si="320"/>
        <v>Asset 26</v>
      </c>
      <c r="F562" s="43" t="str">
        <f t="shared" ref="F562:L562" si="361">F66</f>
        <v>13 Aanhangwagens (gaschromatografen en comptabele meters)</v>
      </c>
      <c r="G562" s="43">
        <f t="shared" si="361"/>
        <v>2015</v>
      </c>
      <c r="H562" s="48">
        <f t="shared" si="361"/>
        <v>7968.6502792695001</v>
      </c>
      <c r="I562" s="43">
        <f t="shared" si="361"/>
        <v>2021</v>
      </c>
      <c r="J562" s="43">
        <f t="shared" si="361"/>
        <v>10</v>
      </c>
      <c r="K562" s="43">
        <f t="shared" si="361"/>
        <v>0</v>
      </c>
      <c r="L562" s="48">
        <f t="shared" si="361"/>
        <v>3013.2877188110033</v>
      </c>
      <c r="N562" s="44">
        <f t="shared" si="321"/>
        <v>3.5</v>
      </c>
      <c r="P562" s="49">
        <f t="shared" si="353"/>
        <v>860.93934823171526</v>
      </c>
      <c r="Q562" s="49">
        <f t="shared" si="353"/>
        <v>860.93934823171526</v>
      </c>
      <c r="R562" s="49">
        <f t="shared" si="353"/>
        <v>860.93934823171526</v>
      </c>
      <c r="S562" s="49">
        <f t="shared" si="353"/>
        <v>430.46967411585763</v>
      </c>
      <c r="T562" s="49">
        <f t="shared" si="353"/>
        <v>0</v>
      </c>
      <c r="V562" s="53">
        <f t="shared" si="335"/>
        <v>2152.3483705792878</v>
      </c>
      <c r="W562" s="53">
        <f t="shared" si="336"/>
        <v>1291.4090223475725</v>
      </c>
      <c r="X562" s="53">
        <f t="shared" si="337"/>
        <v>430.46967411585729</v>
      </c>
      <c r="Y562" s="53">
        <f t="shared" si="338"/>
        <v>-3.4106051316484809E-13</v>
      </c>
      <c r="Z562" s="53">
        <f t="shared" si="339"/>
        <v>0</v>
      </c>
      <c r="AB562" s="53">
        <f t="shared" si="328"/>
        <v>927.66214771967316</v>
      </c>
      <c r="AC562" s="53">
        <f t="shared" si="329"/>
        <v>899.68161890214242</v>
      </c>
      <c r="AD562" s="53">
        <f t="shared" si="330"/>
        <v>873.85343845519094</v>
      </c>
      <c r="AE562" s="53">
        <f t="shared" si="331"/>
        <v>430.46967411585763</v>
      </c>
      <c r="AF562" s="53">
        <f t="shared" si="332"/>
        <v>0</v>
      </c>
    </row>
    <row r="563" spans="2:32">
      <c r="B563" s="43" t="str">
        <f t="shared" si="320"/>
        <v>Asset 27</v>
      </c>
      <c r="F563" s="43" t="str">
        <f t="shared" ref="F563:L563" si="362">F67</f>
        <v>37 ICT middelen 1</v>
      </c>
      <c r="G563" s="43">
        <f t="shared" si="362"/>
        <v>2016</v>
      </c>
      <c r="H563" s="48">
        <f t="shared" si="362"/>
        <v>15289349.60564645</v>
      </c>
      <c r="I563" s="43">
        <f t="shared" si="362"/>
        <v>2021</v>
      </c>
      <c r="J563" s="43">
        <f t="shared" si="362"/>
        <v>5</v>
      </c>
      <c r="K563" s="43">
        <f t="shared" si="362"/>
        <v>1</v>
      </c>
      <c r="L563" s="48">
        <f t="shared" si="362"/>
        <v>0</v>
      </c>
      <c r="N563" s="44">
        <f t="shared" si="321"/>
        <v>0</v>
      </c>
      <c r="P563" s="49">
        <f t="shared" si="353"/>
        <v>0</v>
      </c>
      <c r="Q563" s="49">
        <f t="shared" si="353"/>
        <v>0</v>
      </c>
      <c r="R563" s="49">
        <f t="shared" si="353"/>
        <v>0</v>
      </c>
      <c r="S563" s="49">
        <f t="shared" si="353"/>
        <v>0</v>
      </c>
      <c r="T563" s="49">
        <f t="shared" si="353"/>
        <v>0</v>
      </c>
      <c r="V563" s="53">
        <f t="shared" si="335"/>
        <v>0</v>
      </c>
      <c r="W563" s="53">
        <f t="shared" si="336"/>
        <v>0</v>
      </c>
      <c r="X563" s="53">
        <f t="shared" si="337"/>
        <v>0</v>
      </c>
      <c r="Y563" s="53">
        <f t="shared" si="338"/>
        <v>0</v>
      </c>
      <c r="Z563" s="53">
        <f t="shared" si="339"/>
        <v>0</v>
      </c>
      <c r="AB563" s="53">
        <f t="shared" si="328"/>
        <v>0</v>
      </c>
      <c r="AC563" s="53">
        <f t="shared" si="329"/>
        <v>0</v>
      </c>
      <c r="AD563" s="53">
        <f t="shared" si="330"/>
        <v>0</v>
      </c>
      <c r="AE563" s="53">
        <f t="shared" si="331"/>
        <v>0</v>
      </c>
      <c r="AF563" s="53">
        <f t="shared" si="332"/>
        <v>0</v>
      </c>
    </row>
    <row r="564" spans="2:32">
      <c r="B564" s="43" t="str">
        <f t="shared" si="320"/>
        <v>Asset 28</v>
      </c>
      <c r="F564" s="43" t="str">
        <f t="shared" ref="F564:L564" si="363">F68</f>
        <v>11 Werktuigen</v>
      </c>
      <c r="G564" s="43">
        <f t="shared" si="363"/>
        <v>2016</v>
      </c>
      <c r="H564" s="48">
        <f t="shared" si="363"/>
        <v>1481397.6896878041</v>
      </c>
      <c r="I564" s="43">
        <f t="shared" si="363"/>
        <v>2021</v>
      </c>
      <c r="J564" s="43">
        <f t="shared" si="363"/>
        <v>10</v>
      </c>
      <c r="K564" s="43">
        <f t="shared" si="363"/>
        <v>1</v>
      </c>
      <c r="L564" s="48">
        <f t="shared" si="363"/>
        <v>714515.13830443297</v>
      </c>
      <c r="N564" s="44">
        <f t="shared" si="321"/>
        <v>4.5</v>
      </c>
      <c r="P564" s="49">
        <f>IF(P$535&lt;=$G564+$J564,VDB($L564,0,$N564,P$535-2022,MIN(P$535-2021,$N564),1),0)</f>
        <v>158781.14184542955</v>
      </c>
      <c r="Q564" s="49">
        <f t="shared" si="353"/>
        <v>158781.14184542955</v>
      </c>
      <c r="R564" s="49">
        <f t="shared" si="353"/>
        <v>158781.14184542955</v>
      </c>
      <c r="S564" s="49">
        <f t="shared" si="353"/>
        <v>158781.14184542955</v>
      </c>
      <c r="T564" s="49">
        <f t="shared" si="353"/>
        <v>79390.570922714774</v>
      </c>
      <c r="V564" s="53">
        <f t="shared" si="335"/>
        <v>555733.99645900342</v>
      </c>
      <c r="W564" s="53">
        <f t="shared" si="336"/>
        <v>396952.85461357387</v>
      </c>
      <c r="X564" s="53">
        <f t="shared" si="337"/>
        <v>238171.71276814432</v>
      </c>
      <c r="Y564" s="53">
        <f t="shared" si="338"/>
        <v>79390.570922714774</v>
      </c>
      <c r="Z564" s="53">
        <f t="shared" si="339"/>
        <v>0</v>
      </c>
      <c r="AB564" s="53">
        <f t="shared" si="328"/>
        <v>164920.33530431218</v>
      </c>
      <c r="AC564" s="53">
        <f t="shared" si="329"/>
        <v>159936.27465235506</v>
      </c>
      <c r="AD564" s="53">
        <f t="shared" si="330"/>
        <v>155472.93675508001</v>
      </c>
      <c r="AE564" s="53">
        <f t="shared" si="331"/>
        <v>151009.59885780502</v>
      </c>
      <c r="AF564" s="53">
        <f t="shared" si="332"/>
        <v>74388.964954583746</v>
      </c>
    </row>
    <row r="565" spans="2:32">
      <c r="B565" s="43" t="str">
        <f t="shared" si="320"/>
        <v>Asset 29</v>
      </c>
      <c r="F565" s="43" t="str">
        <f t="shared" ref="F565:L565" si="364">F69</f>
        <v>14 Overig rollend materieel</v>
      </c>
      <c r="G565" s="43">
        <f t="shared" si="364"/>
        <v>2016</v>
      </c>
      <c r="H565" s="48">
        <f t="shared" si="364"/>
        <v>5338260.5379699524</v>
      </c>
      <c r="I565" s="43">
        <f t="shared" si="364"/>
        <v>2021</v>
      </c>
      <c r="J565" s="43">
        <f t="shared" si="364"/>
        <v>10</v>
      </c>
      <c r="K565" s="43">
        <f t="shared" si="364"/>
        <v>1</v>
      </c>
      <c r="L565" s="48">
        <f t="shared" si="364"/>
        <v>2574776.5054207225</v>
      </c>
      <c r="N565" s="44">
        <f t="shared" si="321"/>
        <v>4.5</v>
      </c>
      <c r="P565" s="49">
        <f t="shared" si="353"/>
        <v>572172.5567601606</v>
      </c>
      <c r="Q565" s="49">
        <f t="shared" si="353"/>
        <v>572172.5567601606</v>
      </c>
      <c r="R565" s="49">
        <f t="shared" si="353"/>
        <v>572172.5567601606</v>
      </c>
      <c r="S565" s="49">
        <f t="shared" si="353"/>
        <v>572172.5567601606</v>
      </c>
      <c r="T565" s="49">
        <f t="shared" si="353"/>
        <v>286086.2783800803</v>
      </c>
      <c r="V565" s="53">
        <f t="shared" si="335"/>
        <v>2002603.9486605618</v>
      </c>
      <c r="W565" s="53">
        <f t="shared" si="336"/>
        <v>1430431.3919004011</v>
      </c>
      <c r="X565" s="53">
        <f t="shared" si="337"/>
        <v>858258.8351402405</v>
      </c>
      <c r="Y565" s="53">
        <f t="shared" si="338"/>
        <v>286086.27838007989</v>
      </c>
      <c r="Z565" s="53">
        <f t="shared" si="339"/>
        <v>-4.0745362639427185E-10</v>
      </c>
      <c r="AB565" s="53">
        <f t="shared" si="328"/>
        <v>594295.3225810139</v>
      </c>
      <c r="AC565" s="53">
        <f t="shared" si="329"/>
        <v>576335.1121105908</v>
      </c>
      <c r="AD565" s="53">
        <f t="shared" si="330"/>
        <v>560251.34154006268</v>
      </c>
      <c r="AE565" s="53">
        <f t="shared" si="331"/>
        <v>544167.57096953457</v>
      </c>
      <c r="AF565" s="53">
        <f t="shared" si="332"/>
        <v>268062.84284213523</v>
      </c>
    </row>
    <row r="566" spans="2:32">
      <c r="B566" s="43" t="str">
        <f t="shared" si="320"/>
        <v>Asset 30</v>
      </c>
      <c r="F566" s="43" t="str">
        <f t="shared" ref="F566:L566" si="365">F70</f>
        <v>37 ICT middelen 1</v>
      </c>
      <c r="G566" s="43">
        <f t="shared" si="365"/>
        <v>2017</v>
      </c>
      <c r="H566" s="48">
        <f t="shared" si="365"/>
        <v>17348227.126304951</v>
      </c>
      <c r="I566" s="43">
        <f t="shared" si="365"/>
        <v>2021</v>
      </c>
      <c r="J566" s="43">
        <f t="shared" si="365"/>
        <v>5</v>
      </c>
      <c r="K566" s="43">
        <f t="shared" si="365"/>
        <v>1</v>
      </c>
      <c r="L566" s="48">
        <f t="shared" si="365"/>
        <v>1855729.3459505453</v>
      </c>
      <c r="N566" s="44">
        <f t="shared" si="321"/>
        <v>0.5</v>
      </c>
      <c r="P566" s="49">
        <f t="shared" si="353"/>
        <v>1855729.3459505453</v>
      </c>
      <c r="Q566" s="49">
        <f t="shared" si="353"/>
        <v>0</v>
      </c>
      <c r="R566" s="49">
        <f t="shared" si="353"/>
        <v>0</v>
      </c>
      <c r="S566" s="49">
        <f t="shared" si="353"/>
        <v>0</v>
      </c>
      <c r="T566" s="49">
        <f t="shared" si="353"/>
        <v>0</v>
      </c>
      <c r="V566" s="53">
        <f t="shared" si="335"/>
        <v>0</v>
      </c>
      <c r="W566" s="53">
        <f t="shared" si="336"/>
        <v>0</v>
      </c>
      <c r="X566" s="53">
        <f t="shared" si="337"/>
        <v>0</v>
      </c>
      <c r="Y566" s="53">
        <f t="shared" si="338"/>
        <v>0</v>
      </c>
      <c r="Z566" s="53">
        <f t="shared" si="339"/>
        <v>0</v>
      </c>
      <c r="AB566" s="53">
        <f t="shared" si="328"/>
        <v>1738818.3971556611</v>
      </c>
      <c r="AC566" s="53">
        <f t="shared" si="329"/>
        <v>0</v>
      </c>
      <c r="AD566" s="53">
        <f t="shared" si="330"/>
        <v>0</v>
      </c>
      <c r="AE566" s="53">
        <f t="shared" si="331"/>
        <v>0</v>
      </c>
      <c r="AF566" s="53">
        <f t="shared" si="332"/>
        <v>0</v>
      </c>
    </row>
    <row r="567" spans="2:32">
      <c r="B567" s="43" t="str">
        <f t="shared" si="320"/>
        <v>Asset 31</v>
      </c>
      <c r="F567" s="43" t="str">
        <f t="shared" ref="F567:L567" si="366">F71</f>
        <v>05 Wegen en terreinvoorzieningen</v>
      </c>
      <c r="G567" s="43">
        <f t="shared" si="366"/>
        <v>2012</v>
      </c>
      <c r="H567" s="48">
        <f t="shared" si="366"/>
        <v>56189.23</v>
      </c>
      <c r="I567" s="43">
        <f t="shared" si="366"/>
        <v>2021</v>
      </c>
      <c r="J567" s="43">
        <f t="shared" si="366"/>
        <v>10</v>
      </c>
      <c r="K567" s="43">
        <f t="shared" si="366"/>
        <v>0</v>
      </c>
      <c r="L567" s="48">
        <f t="shared" si="366"/>
        <v>3224.0442736663617</v>
      </c>
      <c r="N567" s="44">
        <f t="shared" si="321"/>
        <v>0.5</v>
      </c>
      <c r="P567" s="49">
        <f t="shared" si="353"/>
        <v>3224.0442736663617</v>
      </c>
      <c r="Q567" s="49">
        <f t="shared" si="353"/>
        <v>0</v>
      </c>
      <c r="R567" s="49">
        <f t="shared" si="353"/>
        <v>0</v>
      </c>
      <c r="S567" s="49">
        <f t="shared" si="353"/>
        <v>0</v>
      </c>
      <c r="T567" s="49">
        <f t="shared" si="353"/>
        <v>0</v>
      </c>
      <c r="V567" s="53">
        <f t="shared" si="335"/>
        <v>0</v>
      </c>
      <c r="W567" s="53">
        <f t="shared" si="336"/>
        <v>0</v>
      </c>
      <c r="X567" s="53">
        <f t="shared" si="337"/>
        <v>0</v>
      </c>
      <c r="Y567" s="53">
        <f t="shared" si="338"/>
        <v>0</v>
      </c>
      <c r="Z567" s="53">
        <f t="shared" si="339"/>
        <v>0</v>
      </c>
      <c r="AB567" s="53">
        <f t="shared" si="328"/>
        <v>3224.0442736663617</v>
      </c>
      <c r="AC567" s="53">
        <f t="shared" si="329"/>
        <v>0</v>
      </c>
      <c r="AD567" s="53">
        <f t="shared" si="330"/>
        <v>0</v>
      </c>
      <c r="AE567" s="53">
        <f t="shared" si="331"/>
        <v>0</v>
      </c>
      <c r="AF567" s="53">
        <f t="shared" si="332"/>
        <v>0</v>
      </c>
    </row>
    <row r="568" spans="2:32">
      <c r="B568" s="43" t="str">
        <f t="shared" si="320"/>
        <v>Asset 32</v>
      </c>
      <c r="F568" s="43" t="str">
        <f t="shared" ref="F568:L568" si="367">F72</f>
        <v>37 ICT middelen 1</v>
      </c>
      <c r="G568" s="43">
        <f t="shared" si="367"/>
        <v>2018</v>
      </c>
      <c r="H568" s="48">
        <f t="shared" si="367"/>
        <v>20811887.293785572</v>
      </c>
      <c r="I568" s="43">
        <f t="shared" si="367"/>
        <v>2021</v>
      </c>
      <c r="J568" s="43">
        <f t="shared" si="367"/>
        <v>5</v>
      </c>
      <c r="K568" s="43">
        <f t="shared" si="367"/>
        <v>1</v>
      </c>
      <c r="L568" s="48">
        <f t="shared" si="367"/>
        <v>6586494.0110704908</v>
      </c>
      <c r="N568" s="44">
        <f t="shared" si="321"/>
        <v>1.5</v>
      </c>
      <c r="P568" s="49">
        <f t="shared" si="353"/>
        <v>4390996.0073803272</v>
      </c>
      <c r="Q568" s="49">
        <f t="shared" si="353"/>
        <v>2195498.0036901636</v>
      </c>
      <c r="R568" s="49">
        <f t="shared" si="353"/>
        <v>0</v>
      </c>
      <c r="S568" s="49">
        <f t="shared" si="353"/>
        <v>0</v>
      </c>
      <c r="T568" s="49">
        <f t="shared" si="353"/>
        <v>0</v>
      </c>
      <c r="V568" s="53">
        <f t="shared" si="335"/>
        <v>2195498.0036901636</v>
      </c>
      <c r="W568" s="53">
        <f t="shared" si="336"/>
        <v>0</v>
      </c>
      <c r="X568" s="53">
        <f t="shared" si="337"/>
        <v>0</v>
      </c>
      <c r="Y568" s="53">
        <f t="shared" si="338"/>
        <v>0</v>
      </c>
      <c r="Z568" s="53">
        <f t="shared" si="339"/>
        <v>0</v>
      </c>
      <c r="AB568" s="53">
        <f t="shared" si="328"/>
        <v>4178135.8894285555</v>
      </c>
      <c r="AC568" s="53">
        <f t="shared" si="329"/>
        <v>2057181.6294576833</v>
      </c>
      <c r="AD568" s="53">
        <f t="shared" si="330"/>
        <v>0</v>
      </c>
      <c r="AE568" s="53">
        <f t="shared" si="331"/>
        <v>0</v>
      </c>
      <c r="AF568" s="53">
        <f t="shared" si="332"/>
        <v>0</v>
      </c>
    </row>
    <row r="569" spans="2:32">
      <c r="B569" s="43" t="str">
        <f t="shared" si="320"/>
        <v>Asset 33</v>
      </c>
      <c r="F569" s="43" t="str">
        <f t="shared" ref="F569:L569" si="368">F73</f>
        <v>37 ICT middelen 1</v>
      </c>
      <c r="G569" s="43">
        <f t="shared" si="368"/>
        <v>2005</v>
      </c>
      <c r="H569" s="48">
        <f t="shared" si="368"/>
        <v>3284081.86</v>
      </c>
      <c r="I569" s="43">
        <f t="shared" si="368"/>
        <v>2021</v>
      </c>
      <c r="J569" s="43">
        <f t="shared" si="368"/>
        <v>5</v>
      </c>
      <c r="K569" s="43">
        <f t="shared" si="368"/>
        <v>1</v>
      </c>
      <c r="L569" s="48">
        <f t="shared" si="368"/>
        <v>0</v>
      </c>
      <c r="N569" s="44">
        <f t="shared" si="321"/>
        <v>0</v>
      </c>
      <c r="P569" s="49">
        <f t="shared" si="353"/>
        <v>0</v>
      </c>
      <c r="Q569" s="49">
        <f t="shared" si="353"/>
        <v>0</v>
      </c>
      <c r="R569" s="49">
        <f t="shared" si="353"/>
        <v>0</v>
      </c>
      <c r="S569" s="49">
        <f t="shared" si="353"/>
        <v>0</v>
      </c>
      <c r="T569" s="49">
        <f t="shared" si="353"/>
        <v>0</v>
      </c>
      <c r="V569" s="53">
        <f t="shared" si="335"/>
        <v>0</v>
      </c>
      <c r="W569" s="53">
        <f t="shared" si="336"/>
        <v>0</v>
      </c>
      <c r="X569" s="53">
        <f t="shared" si="337"/>
        <v>0</v>
      </c>
      <c r="Y569" s="53">
        <f t="shared" si="338"/>
        <v>0</v>
      </c>
      <c r="Z569" s="53">
        <f t="shared" si="339"/>
        <v>0</v>
      </c>
      <c r="AB569" s="53">
        <f t="shared" si="328"/>
        <v>0</v>
      </c>
      <c r="AC569" s="53">
        <f t="shared" si="329"/>
        <v>0</v>
      </c>
      <c r="AD569" s="53">
        <f t="shared" si="330"/>
        <v>0</v>
      </c>
      <c r="AE569" s="53">
        <f t="shared" si="331"/>
        <v>0</v>
      </c>
      <c r="AF569" s="53">
        <f t="shared" si="332"/>
        <v>0</v>
      </c>
    </row>
    <row r="570" spans="2:32">
      <c r="B570" s="43" t="str">
        <f t="shared" si="320"/>
        <v>Asset 34</v>
      </c>
      <c r="F570" s="43" t="str">
        <f t="shared" ref="F570:L570" si="369">F74</f>
        <v>14 Overig rollend materieel</v>
      </c>
      <c r="G570" s="43">
        <f t="shared" si="369"/>
        <v>2005</v>
      </c>
      <c r="H570" s="48">
        <f t="shared" si="369"/>
        <v>1438517.3199999998</v>
      </c>
      <c r="I570" s="43">
        <f t="shared" si="369"/>
        <v>2021</v>
      </c>
      <c r="J570" s="43">
        <f t="shared" si="369"/>
        <v>10</v>
      </c>
      <c r="K570" s="43">
        <f t="shared" si="369"/>
        <v>1</v>
      </c>
      <c r="L570" s="48">
        <f t="shared" si="369"/>
        <v>0</v>
      </c>
      <c r="N570" s="44">
        <f t="shared" si="321"/>
        <v>0</v>
      </c>
      <c r="P570" s="49">
        <f t="shared" si="353"/>
        <v>0</v>
      </c>
      <c r="Q570" s="49">
        <f t="shared" si="353"/>
        <v>0</v>
      </c>
      <c r="R570" s="49">
        <f t="shared" si="353"/>
        <v>0</v>
      </c>
      <c r="S570" s="49">
        <f t="shared" si="353"/>
        <v>0</v>
      </c>
      <c r="T570" s="49">
        <f t="shared" si="353"/>
        <v>0</v>
      </c>
      <c r="V570" s="53">
        <f t="shared" si="335"/>
        <v>0</v>
      </c>
      <c r="W570" s="53">
        <f t="shared" si="336"/>
        <v>0</v>
      </c>
      <c r="X570" s="53">
        <f t="shared" si="337"/>
        <v>0</v>
      </c>
      <c r="Y570" s="53">
        <f t="shared" si="338"/>
        <v>0</v>
      </c>
      <c r="Z570" s="53">
        <f t="shared" si="339"/>
        <v>0</v>
      </c>
      <c r="AB570" s="53">
        <f t="shared" si="328"/>
        <v>0</v>
      </c>
      <c r="AC570" s="53">
        <f t="shared" si="329"/>
        <v>0</v>
      </c>
      <c r="AD570" s="53">
        <f t="shared" si="330"/>
        <v>0</v>
      </c>
      <c r="AE570" s="53">
        <f t="shared" si="331"/>
        <v>0</v>
      </c>
      <c r="AF570" s="53">
        <f t="shared" si="332"/>
        <v>0</v>
      </c>
    </row>
    <row r="571" spans="2:32">
      <c r="B571" s="43" t="str">
        <f t="shared" si="320"/>
        <v>Asset 35</v>
      </c>
      <c r="F571" s="43" t="str">
        <f t="shared" ref="F571:L571" si="370">F75</f>
        <v>11 Werktuigen</v>
      </c>
      <c r="G571" s="43">
        <f t="shared" si="370"/>
        <v>2005</v>
      </c>
      <c r="H571" s="48">
        <f t="shared" si="370"/>
        <v>499809.02999999997</v>
      </c>
      <c r="I571" s="43">
        <f t="shared" si="370"/>
        <v>2021</v>
      </c>
      <c r="J571" s="43">
        <f t="shared" si="370"/>
        <v>10</v>
      </c>
      <c r="K571" s="43">
        <f t="shared" si="370"/>
        <v>1</v>
      </c>
      <c r="L571" s="48">
        <f t="shared" si="370"/>
        <v>0</v>
      </c>
      <c r="N571" s="44">
        <f t="shared" si="321"/>
        <v>0</v>
      </c>
      <c r="P571" s="49">
        <f t="shared" si="353"/>
        <v>0</v>
      </c>
      <c r="Q571" s="49">
        <f t="shared" si="353"/>
        <v>0</v>
      </c>
      <c r="R571" s="49">
        <f t="shared" si="353"/>
        <v>0</v>
      </c>
      <c r="S571" s="49">
        <f t="shared" si="353"/>
        <v>0</v>
      </c>
      <c r="T571" s="49">
        <f t="shared" si="353"/>
        <v>0</v>
      </c>
      <c r="V571" s="53">
        <f t="shared" si="335"/>
        <v>0</v>
      </c>
      <c r="W571" s="53">
        <f t="shared" si="336"/>
        <v>0</v>
      </c>
      <c r="X571" s="53">
        <f t="shared" si="337"/>
        <v>0</v>
      </c>
      <c r="Y571" s="53">
        <f t="shared" si="338"/>
        <v>0</v>
      </c>
      <c r="Z571" s="53">
        <f t="shared" si="339"/>
        <v>0</v>
      </c>
      <c r="AB571" s="53">
        <f t="shared" si="328"/>
        <v>0</v>
      </c>
      <c r="AC571" s="53">
        <f t="shared" si="329"/>
        <v>0</v>
      </c>
      <c r="AD571" s="53">
        <f t="shared" si="330"/>
        <v>0</v>
      </c>
      <c r="AE571" s="53">
        <f t="shared" si="331"/>
        <v>0</v>
      </c>
      <c r="AF571" s="53">
        <f t="shared" si="332"/>
        <v>0</v>
      </c>
    </row>
    <row r="572" spans="2:32">
      <c r="B572" s="43" t="str">
        <f t="shared" si="320"/>
        <v>Asset 36</v>
      </c>
      <c r="F572" s="43" t="str">
        <f t="shared" ref="F572:L572" si="371">F76</f>
        <v>14 Overig rollend materieel (odorisatie)</v>
      </c>
      <c r="G572" s="43">
        <f t="shared" si="371"/>
        <v>2005</v>
      </c>
      <c r="H572" s="48">
        <f t="shared" si="371"/>
        <v>245809.3</v>
      </c>
      <c r="I572" s="43">
        <f t="shared" si="371"/>
        <v>2021</v>
      </c>
      <c r="J572" s="43">
        <f t="shared" si="371"/>
        <v>10</v>
      </c>
      <c r="K572" s="43">
        <f t="shared" si="371"/>
        <v>0</v>
      </c>
      <c r="L572" s="48">
        <f t="shared" si="371"/>
        <v>0</v>
      </c>
      <c r="N572" s="44">
        <f t="shared" si="321"/>
        <v>0</v>
      </c>
      <c r="P572" s="49">
        <f t="shared" si="353"/>
        <v>0</v>
      </c>
      <c r="Q572" s="49">
        <f t="shared" si="353"/>
        <v>0</v>
      </c>
      <c r="R572" s="49">
        <f t="shared" si="353"/>
        <v>0</v>
      </c>
      <c r="S572" s="49">
        <f t="shared" si="353"/>
        <v>0</v>
      </c>
      <c r="T572" s="49">
        <f t="shared" si="353"/>
        <v>0</v>
      </c>
      <c r="V572" s="53">
        <f t="shared" si="335"/>
        <v>0</v>
      </c>
      <c r="W572" s="53">
        <f t="shared" si="336"/>
        <v>0</v>
      </c>
      <c r="X572" s="53">
        <f t="shared" si="337"/>
        <v>0</v>
      </c>
      <c r="Y572" s="53">
        <f t="shared" si="338"/>
        <v>0</v>
      </c>
      <c r="Z572" s="53">
        <f t="shared" si="339"/>
        <v>0</v>
      </c>
      <c r="AB572" s="53">
        <f t="shared" si="328"/>
        <v>0</v>
      </c>
      <c r="AC572" s="53">
        <f t="shared" si="329"/>
        <v>0</v>
      </c>
      <c r="AD572" s="53">
        <f t="shared" si="330"/>
        <v>0</v>
      </c>
      <c r="AE572" s="53">
        <f t="shared" si="331"/>
        <v>0</v>
      </c>
      <c r="AF572" s="53">
        <f t="shared" si="332"/>
        <v>0</v>
      </c>
    </row>
    <row r="573" spans="2:32">
      <c r="B573" s="43" t="str">
        <f t="shared" si="320"/>
        <v>Asset 37</v>
      </c>
      <c r="F573" s="43" t="str">
        <f t="shared" ref="F573:L573" si="372">F77</f>
        <v>10 Gereedschap</v>
      </c>
      <c r="G573" s="43">
        <f t="shared" si="372"/>
        <v>2005</v>
      </c>
      <c r="H573" s="48">
        <f t="shared" si="372"/>
        <v>58217.59</v>
      </c>
      <c r="I573" s="43">
        <f t="shared" si="372"/>
        <v>2021</v>
      </c>
      <c r="J573" s="43">
        <f t="shared" si="372"/>
        <v>10</v>
      </c>
      <c r="K573" s="43">
        <f t="shared" si="372"/>
        <v>1</v>
      </c>
      <c r="L573" s="48">
        <f t="shared" si="372"/>
        <v>0</v>
      </c>
      <c r="N573" s="44">
        <f t="shared" si="321"/>
        <v>0</v>
      </c>
      <c r="P573" s="49">
        <f t="shared" si="353"/>
        <v>0</v>
      </c>
      <c r="Q573" s="49">
        <f t="shared" si="353"/>
        <v>0</v>
      </c>
      <c r="R573" s="49">
        <f t="shared" si="353"/>
        <v>0</v>
      </c>
      <c r="S573" s="49">
        <f t="shared" si="353"/>
        <v>0</v>
      </c>
      <c r="T573" s="49">
        <f t="shared" si="353"/>
        <v>0</v>
      </c>
      <c r="V573" s="53">
        <f t="shared" si="335"/>
        <v>0</v>
      </c>
      <c r="W573" s="53">
        <f t="shared" si="336"/>
        <v>0</v>
      </c>
      <c r="X573" s="53">
        <f t="shared" si="337"/>
        <v>0</v>
      </c>
      <c r="Y573" s="53">
        <f t="shared" si="338"/>
        <v>0</v>
      </c>
      <c r="Z573" s="53">
        <f t="shared" si="339"/>
        <v>0</v>
      </c>
      <c r="AB573" s="53">
        <f t="shared" si="328"/>
        <v>0</v>
      </c>
      <c r="AC573" s="53">
        <f t="shared" si="329"/>
        <v>0</v>
      </c>
      <c r="AD573" s="53">
        <f t="shared" si="330"/>
        <v>0</v>
      </c>
      <c r="AE573" s="53">
        <f t="shared" si="331"/>
        <v>0</v>
      </c>
      <c r="AF573" s="53">
        <f t="shared" si="332"/>
        <v>0</v>
      </c>
    </row>
    <row r="574" spans="2:32">
      <c r="B574" s="43" t="str">
        <f t="shared" si="320"/>
        <v>Asset 38</v>
      </c>
      <c r="F574" s="43" t="str">
        <f t="shared" ref="F574:L574" si="373">F78</f>
        <v>37 ICT middelen 1</v>
      </c>
      <c r="G574" s="43">
        <f t="shared" si="373"/>
        <v>2006</v>
      </c>
      <c r="H574" s="48">
        <f t="shared" si="373"/>
        <v>4639319.7116944697</v>
      </c>
      <c r="I574" s="43">
        <f t="shared" si="373"/>
        <v>2021</v>
      </c>
      <c r="J574" s="43">
        <f t="shared" si="373"/>
        <v>5</v>
      </c>
      <c r="K574" s="43">
        <f t="shared" si="373"/>
        <v>1</v>
      </c>
      <c r="L574" s="48">
        <f t="shared" si="373"/>
        <v>0</v>
      </c>
      <c r="N574" s="44">
        <f t="shared" si="321"/>
        <v>0</v>
      </c>
      <c r="P574" s="49">
        <f t="shared" si="353"/>
        <v>0</v>
      </c>
      <c r="Q574" s="49">
        <f t="shared" si="353"/>
        <v>0</v>
      </c>
      <c r="R574" s="49">
        <f t="shared" si="353"/>
        <v>0</v>
      </c>
      <c r="S574" s="49">
        <f t="shared" si="353"/>
        <v>0</v>
      </c>
      <c r="T574" s="49">
        <f t="shared" si="353"/>
        <v>0</v>
      </c>
      <c r="V574" s="53">
        <f t="shared" si="335"/>
        <v>0</v>
      </c>
      <c r="W574" s="53">
        <f t="shared" si="336"/>
        <v>0</v>
      </c>
      <c r="X574" s="53">
        <f t="shared" si="337"/>
        <v>0</v>
      </c>
      <c r="Y574" s="53">
        <f t="shared" si="338"/>
        <v>0</v>
      </c>
      <c r="Z574" s="53">
        <f t="shared" si="339"/>
        <v>0</v>
      </c>
      <c r="AB574" s="53">
        <f t="shared" si="328"/>
        <v>0</v>
      </c>
      <c r="AC574" s="53">
        <f t="shared" si="329"/>
        <v>0</v>
      </c>
      <c r="AD574" s="53">
        <f t="shared" si="330"/>
        <v>0</v>
      </c>
      <c r="AE574" s="53">
        <f t="shared" si="331"/>
        <v>0</v>
      </c>
      <c r="AF574" s="53">
        <f t="shared" si="332"/>
        <v>0</v>
      </c>
    </row>
    <row r="575" spans="2:32">
      <c r="B575" s="43" t="str">
        <f t="shared" si="320"/>
        <v>Asset 39</v>
      </c>
      <c r="F575" s="43" t="str">
        <f t="shared" ref="F575:L575" si="374">F79</f>
        <v>08 Inrichting gebouwen</v>
      </c>
      <c r="G575" s="43">
        <f t="shared" si="374"/>
        <v>2006</v>
      </c>
      <c r="H575" s="48">
        <f t="shared" si="374"/>
        <v>68586.959999999992</v>
      </c>
      <c r="I575" s="43">
        <f t="shared" si="374"/>
        <v>2021</v>
      </c>
      <c r="J575" s="43">
        <f t="shared" si="374"/>
        <v>10</v>
      </c>
      <c r="K575" s="43">
        <f t="shared" si="374"/>
        <v>0</v>
      </c>
      <c r="L575" s="48">
        <f t="shared" si="374"/>
        <v>0</v>
      </c>
      <c r="N575" s="44">
        <f t="shared" si="321"/>
        <v>0</v>
      </c>
      <c r="P575" s="49">
        <f t="shared" si="353"/>
        <v>0</v>
      </c>
      <c r="Q575" s="49">
        <f t="shared" si="353"/>
        <v>0</v>
      </c>
      <c r="R575" s="49">
        <f t="shared" si="353"/>
        <v>0</v>
      </c>
      <c r="S575" s="49">
        <f t="shared" si="353"/>
        <v>0</v>
      </c>
      <c r="T575" s="49">
        <f t="shared" si="353"/>
        <v>0</v>
      </c>
      <c r="V575" s="53">
        <f t="shared" si="335"/>
        <v>0</v>
      </c>
      <c r="W575" s="53">
        <f t="shared" si="336"/>
        <v>0</v>
      </c>
      <c r="X575" s="53">
        <f t="shared" si="337"/>
        <v>0</v>
      </c>
      <c r="Y575" s="53">
        <f t="shared" si="338"/>
        <v>0</v>
      </c>
      <c r="Z575" s="53">
        <f t="shared" si="339"/>
        <v>0</v>
      </c>
      <c r="AB575" s="53">
        <f t="shared" si="328"/>
        <v>0</v>
      </c>
      <c r="AC575" s="53">
        <f t="shared" si="329"/>
        <v>0</v>
      </c>
      <c r="AD575" s="53">
        <f t="shared" si="330"/>
        <v>0</v>
      </c>
      <c r="AE575" s="53">
        <f t="shared" si="331"/>
        <v>0</v>
      </c>
      <c r="AF575" s="53">
        <f t="shared" si="332"/>
        <v>0</v>
      </c>
    </row>
    <row r="576" spans="2:32">
      <c r="B576" s="43" t="str">
        <f t="shared" si="320"/>
        <v>Asset 40</v>
      </c>
      <c r="F576" s="43" t="str">
        <f t="shared" ref="F576:L576" si="375">F80</f>
        <v>20 Kantoorgebouwen</v>
      </c>
      <c r="G576" s="43">
        <f t="shared" si="375"/>
        <v>2006</v>
      </c>
      <c r="H576" s="48">
        <f t="shared" si="375"/>
        <v>104600</v>
      </c>
      <c r="I576" s="43">
        <f t="shared" si="375"/>
        <v>2021</v>
      </c>
      <c r="J576" s="43">
        <f t="shared" si="375"/>
        <v>30</v>
      </c>
      <c r="K576" s="43">
        <f t="shared" si="375"/>
        <v>0</v>
      </c>
      <c r="L576" s="48">
        <f t="shared" si="375"/>
        <v>64112.024048213396</v>
      </c>
      <c r="N576" s="44">
        <f t="shared" si="321"/>
        <v>14.5</v>
      </c>
      <c r="P576" s="49">
        <f t="shared" si="353"/>
        <v>4421.5188998767862</v>
      </c>
      <c r="Q576" s="49">
        <f t="shared" si="353"/>
        <v>4421.5188998767862</v>
      </c>
      <c r="R576" s="49">
        <f t="shared" si="353"/>
        <v>4421.5188998767862</v>
      </c>
      <c r="S576" s="49">
        <f t="shared" si="353"/>
        <v>4421.5188998767862</v>
      </c>
      <c r="T576" s="49">
        <f t="shared" si="353"/>
        <v>4421.5188998767862</v>
      </c>
      <c r="V576" s="53">
        <f t="shared" si="335"/>
        <v>59690.505148336611</v>
      </c>
      <c r="W576" s="53">
        <f t="shared" si="336"/>
        <v>55268.986248459827</v>
      </c>
      <c r="X576" s="53">
        <f t="shared" si="337"/>
        <v>50847.467348583043</v>
      </c>
      <c r="Y576" s="53">
        <f t="shared" si="338"/>
        <v>46425.948448706258</v>
      </c>
      <c r="Z576" s="53">
        <f t="shared" si="339"/>
        <v>42004.429548829474</v>
      </c>
      <c r="AB576" s="53">
        <f t="shared" si="328"/>
        <v>6271.924559475221</v>
      </c>
      <c r="AC576" s="53">
        <f t="shared" si="329"/>
        <v>6079.5884873305813</v>
      </c>
      <c r="AD576" s="53">
        <f t="shared" si="330"/>
        <v>5946.942920334277</v>
      </c>
      <c r="AE576" s="53">
        <f t="shared" si="331"/>
        <v>5814.2973533379736</v>
      </c>
      <c r="AF576" s="53">
        <f t="shared" si="332"/>
        <v>5681.6517863416702</v>
      </c>
    </row>
    <row r="577" spans="2:32">
      <c r="B577" s="43" t="str">
        <f t="shared" si="320"/>
        <v>Asset 41</v>
      </c>
      <c r="F577" s="43" t="str">
        <f t="shared" ref="F577:L577" si="376">F81</f>
        <v>09 Bedrijfsinventaris</v>
      </c>
      <c r="G577" s="43">
        <f t="shared" si="376"/>
        <v>2006</v>
      </c>
      <c r="H577" s="48">
        <f t="shared" si="376"/>
        <v>243251.93</v>
      </c>
      <c r="I577" s="43">
        <f t="shared" si="376"/>
        <v>2021</v>
      </c>
      <c r="J577" s="43">
        <f t="shared" si="376"/>
        <v>10</v>
      </c>
      <c r="K577" s="43">
        <f t="shared" si="376"/>
        <v>1</v>
      </c>
      <c r="L577" s="48">
        <f t="shared" si="376"/>
        <v>0</v>
      </c>
      <c r="N577" s="44">
        <f t="shared" si="321"/>
        <v>0</v>
      </c>
      <c r="P577" s="49">
        <f t="shared" si="353"/>
        <v>0</v>
      </c>
      <c r="Q577" s="49">
        <f t="shared" si="353"/>
        <v>0</v>
      </c>
      <c r="R577" s="49">
        <f t="shared" si="353"/>
        <v>0</v>
      </c>
      <c r="S577" s="49">
        <f t="shared" si="353"/>
        <v>0</v>
      </c>
      <c r="T577" s="49">
        <f t="shared" si="353"/>
        <v>0</v>
      </c>
      <c r="V577" s="53">
        <f t="shared" si="335"/>
        <v>0</v>
      </c>
      <c r="W577" s="53">
        <f t="shared" si="336"/>
        <v>0</v>
      </c>
      <c r="X577" s="53">
        <f t="shared" si="337"/>
        <v>0</v>
      </c>
      <c r="Y577" s="53">
        <f t="shared" si="338"/>
        <v>0</v>
      </c>
      <c r="Z577" s="53">
        <f t="shared" si="339"/>
        <v>0</v>
      </c>
      <c r="AB577" s="53">
        <f t="shared" si="328"/>
        <v>0</v>
      </c>
      <c r="AC577" s="53">
        <f t="shared" si="329"/>
        <v>0</v>
      </c>
      <c r="AD577" s="53">
        <f t="shared" si="330"/>
        <v>0</v>
      </c>
      <c r="AE577" s="53">
        <f t="shared" si="331"/>
        <v>0</v>
      </c>
      <c r="AF577" s="53">
        <f t="shared" si="332"/>
        <v>0</v>
      </c>
    </row>
    <row r="578" spans="2:32">
      <c r="B578" s="43" t="str">
        <f t="shared" si="320"/>
        <v>Asset 42</v>
      </c>
      <c r="F578" s="43" t="str">
        <f t="shared" ref="F578:L578" si="377">F82</f>
        <v>10 Gereedschap</v>
      </c>
      <c r="G578" s="43">
        <f t="shared" si="377"/>
        <v>2006</v>
      </c>
      <c r="H578" s="48">
        <f t="shared" si="377"/>
        <v>585474.13</v>
      </c>
      <c r="I578" s="43">
        <f t="shared" si="377"/>
        <v>2021</v>
      </c>
      <c r="J578" s="43">
        <f t="shared" si="377"/>
        <v>10</v>
      </c>
      <c r="K578" s="43">
        <f t="shared" si="377"/>
        <v>1</v>
      </c>
      <c r="L578" s="48">
        <f t="shared" si="377"/>
        <v>0</v>
      </c>
      <c r="N578" s="44">
        <f t="shared" si="321"/>
        <v>0</v>
      </c>
      <c r="P578" s="49">
        <f t="shared" si="353"/>
        <v>0</v>
      </c>
      <c r="Q578" s="49">
        <f t="shared" si="353"/>
        <v>0</v>
      </c>
      <c r="R578" s="49">
        <f t="shared" si="353"/>
        <v>0</v>
      </c>
      <c r="S578" s="49">
        <f t="shared" si="353"/>
        <v>0</v>
      </c>
      <c r="T578" s="49">
        <f t="shared" si="353"/>
        <v>0</v>
      </c>
      <c r="V578" s="53">
        <f t="shared" si="335"/>
        <v>0</v>
      </c>
      <c r="W578" s="53">
        <f t="shared" si="336"/>
        <v>0</v>
      </c>
      <c r="X578" s="53">
        <f t="shared" si="337"/>
        <v>0</v>
      </c>
      <c r="Y578" s="53">
        <f t="shared" si="338"/>
        <v>0</v>
      </c>
      <c r="Z578" s="53">
        <f t="shared" si="339"/>
        <v>0</v>
      </c>
      <c r="AB578" s="53">
        <f t="shared" si="328"/>
        <v>0</v>
      </c>
      <c r="AC578" s="53">
        <f t="shared" si="329"/>
        <v>0</v>
      </c>
      <c r="AD578" s="53">
        <f t="shared" si="330"/>
        <v>0</v>
      </c>
      <c r="AE578" s="53">
        <f t="shared" si="331"/>
        <v>0</v>
      </c>
      <c r="AF578" s="53">
        <f t="shared" si="332"/>
        <v>0</v>
      </c>
    </row>
    <row r="579" spans="2:32">
      <c r="B579" s="43" t="str">
        <f t="shared" si="320"/>
        <v>Asset 43</v>
      </c>
      <c r="F579" s="43" t="str">
        <f t="shared" ref="F579:L579" si="378">F83</f>
        <v>08 Inrichting gebouwen</v>
      </c>
      <c r="G579" s="43">
        <f t="shared" si="378"/>
        <v>2007</v>
      </c>
      <c r="H579" s="48">
        <f t="shared" si="378"/>
        <v>332079.90999999997</v>
      </c>
      <c r="I579" s="43">
        <f t="shared" si="378"/>
        <v>2021</v>
      </c>
      <c r="J579" s="43">
        <f t="shared" si="378"/>
        <v>10</v>
      </c>
      <c r="K579" s="43">
        <f t="shared" si="378"/>
        <v>0</v>
      </c>
      <c r="L579" s="48">
        <f t="shared" si="378"/>
        <v>0</v>
      </c>
      <c r="N579" s="44">
        <f t="shared" si="321"/>
        <v>0</v>
      </c>
      <c r="P579" s="49">
        <f t="shared" si="353"/>
        <v>0</v>
      </c>
      <c r="Q579" s="49">
        <f t="shared" si="353"/>
        <v>0</v>
      </c>
      <c r="R579" s="49">
        <f t="shared" si="353"/>
        <v>0</v>
      </c>
      <c r="S579" s="49">
        <f t="shared" si="353"/>
        <v>0</v>
      </c>
      <c r="T579" s="49">
        <f t="shared" si="353"/>
        <v>0</v>
      </c>
      <c r="V579" s="53">
        <f t="shared" si="335"/>
        <v>0</v>
      </c>
      <c r="W579" s="53">
        <f t="shared" si="336"/>
        <v>0</v>
      </c>
      <c r="X579" s="53">
        <f t="shared" si="337"/>
        <v>0</v>
      </c>
      <c r="Y579" s="53">
        <f t="shared" si="338"/>
        <v>0</v>
      </c>
      <c r="Z579" s="53">
        <f t="shared" si="339"/>
        <v>0</v>
      </c>
      <c r="AB579" s="53">
        <f t="shared" si="328"/>
        <v>0</v>
      </c>
      <c r="AC579" s="53">
        <f t="shared" si="329"/>
        <v>0</v>
      </c>
      <c r="AD579" s="53">
        <f t="shared" si="330"/>
        <v>0</v>
      </c>
      <c r="AE579" s="53">
        <f t="shared" si="331"/>
        <v>0</v>
      </c>
      <c r="AF579" s="53">
        <f t="shared" si="332"/>
        <v>0</v>
      </c>
    </row>
    <row r="580" spans="2:32">
      <c r="B580" s="43" t="str">
        <f t="shared" si="320"/>
        <v>Asset 44</v>
      </c>
      <c r="F580" s="43" t="str">
        <f t="shared" ref="F580:L580" si="379">F84</f>
        <v>20 Kantoorgebouwen</v>
      </c>
      <c r="G580" s="43">
        <f t="shared" si="379"/>
        <v>2007</v>
      </c>
      <c r="H580" s="48">
        <f t="shared" si="379"/>
        <v>163550.16999999998</v>
      </c>
      <c r="I580" s="43">
        <f t="shared" si="379"/>
        <v>2021</v>
      </c>
      <c r="J580" s="43">
        <f t="shared" si="379"/>
        <v>30</v>
      </c>
      <c r="K580" s="43">
        <f t="shared" si="379"/>
        <v>0</v>
      </c>
      <c r="L580" s="48">
        <f t="shared" si="379"/>
        <v>105677.9899746046</v>
      </c>
      <c r="N580" s="44">
        <f t="shared" si="321"/>
        <v>15.5</v>
      </c>
      <c r="P580" s="49">
        <f t="shared" si="353"/>
        <v>6817.9348370712642</v>
      </c>
      <c r="Q580" s="49">
        <f t="shared" si="353"/>
        <v>6817.9348370712642</v>
      </c>
      <c r="R580" s="49">
        <f t="shared" si="353"/>
        <v>6817.9348370712642</v>
      </c>
      <c r="S580" s="49">
        <f t="shared" si="353"/>
        <v>6817.9348370712642</v>
      </c>
      <c r="T580" s="49">
        <f t="shared" si="353"/>
        <v>6817.9348370712642</v>
      </c>
      <c r="V580" s="53">
        <f t="shared" si="335"/>
        <v>98860.055137533331</v>
      </c>
      <c r="W580" s="53">
        <f t="shared" si="336"/>
        <v>92042.120300462062</v>
      </c>
      <c r="X580" s="53">
        <f t="shared" si="337"/>
        <v>85224.185463390793</v>
      </c>
      <c r="Y580" s="53">
        <f t="shared" si="338"/>
        <v>78406.250626319525</v>
      </c>
      <c r="Z580" s="53">
        <f t="shared" si="339"/>
        <v>71588.315789248256</v>
      </c>
      <c r="AB580" s="53">
        <f t="shared" si="328"/>
        <v>9882.5965463347966</v>
      </c>
      <c r="AC580" s="53">
        <f t="shared" si="329"/>
        <v>9579.1984460851254</v>
      </c>
      <c r="AD580" s="53">
        <f t="shared" si="330"/>
        <v>9374.6604009729872</v>
      </c>
      <c r="AE580" s="53">
        <f t="shared" si="331"/>
        <v>9170.1223558608508</v>
      </c>
      <c r="AF580" s="53">
        <f t="shared" si="332"/>
        <v>8965.5843107487126</v>
      </c>
    </row>
    <row r="581" spans="2:32">
      <c r="B581" s="43" t="str">
        <f t="shared" si="320"/>
        <v>Asset 45</v>
      </c>
      <c r="F581" s="43" t="str">
        <f t="shared" ref="F581:L581" si="380">F85</f>
        <v>37 ICT middelen 1</v>
      </c>
      <c r="G581" s="43">
        <f t="shared" si="380"/>
        <v>2007</v>
      </c>
      <c r="H581" s="48">
        <f t="shared" si="380"/>
        <v>21517730.71653875</v>
      </c>
      <c r="I581" s="43">
        <f t="shared" si="380"/>
        <v>2021</v>
      </c>
      <c r="J581" s="43">
        <f t="shared" si="380"/>
        <v>5</v>
      </c>
      <c r="K581" s="43">
        <f t="shared" si="380"/>
        <v>1</v>
      </c>
      <c r="L581" s="48">
        <f t="shared" si="380"/>
        <v>0</v>
      </c>
      <c r="N581" s="44">
        <f t="shared" si="321"/>
        <v>0</v>
      </c>
      <c r="P581" s="49">
        <f t="shared" si="353"/>
        <v>0</v>
      </c>
      <c r="Q581" s="49">
        <f t="shared" si="353"/>
        <v>0</v>
      </c>
      <c r="R581" s="49">
        <f t="shared" si="353"/>
        <v>0</v>
      </c>
      <c r="S581" s="49">
        <f t="shared" si="353"/>
        <v>0</v>
      </c>
      <c r="T581" s="49">
        <f t="shared" si="353"/>
        <v>0</v>
      </c>
      <c r="V581" s="53">
        <f t="shared" si="335"/>
        <v>0</v>
      </c>
      <c r="W581" s="53">
        <f t="shared" si="336"/>
        <v>0</v>
      </c>
      <c r="X581" s="53">
        <f t="shared" si="337"/>
        <v>0</v>
      </c>
      <c r="Y581" s="53">
        <f t="shared" si="338"/>
        <v>0</v>
      </c>
      <c r="Z581" s="53">
        <f t="shared" si="339"/>
        <v>0</v>
      </c>
      <c r="AB581" s="53">
        <f t="shared" si="328"/>
        <v>0</v>
      </c>
      <c r="AC581" s="53">
        <f t="shared" si="329"/>
        <v>0</v>
      </c>
      <c r="AD581" s="53">
        <f t="shared" si="330"/>
        <v>0</v>
      </c>
      <c r="AE581" s="53">
        <f t="shared" si="331"/>
        <v>0</v>
      </c>
      <c r="AF581" s="53">
        <f t="shared" si="332"/>
        <v>0</v>
      </c>
    </row>
    <row r="582" spans="2:32">
      <c r="B582" s="43" t="str">
        <f t="shared" si="320"/>
        <v>Asset 46</v>
      </c>
      <c r="F582" s="43" t="str">
        <f t="shared" ref="F582:L582" si="381">F86</f>
        <v>10 Gereedschap</v>
      </c>
      <c r="G582" s="43">
        <f t="shared" si="381"/>
        <v>2007</v>
      </c>
      <c r="H582" s="48">
        <f t="shared" si="381"/>
        <v>611283.49</v>
      </c>
      <c r="I582" s="43">
        <f t="shared" si="381"/>
        <v>2021</v>
      </c>
      <c r="J582" s="43">
        <f t="shared" si="381"/>
        <v>10</v>
      </c>
      <c r="K582" s="43">
        <f t="shared" si="381"/>
        <v>1</v>
      </c>
      <c r="L582" s="48">
        <f t="shared" si="381"/>
        <v>0</v>
      </c>
      <c r="N582" s="44">
        <f t="shared" si="321"/>
        <v>0</v>
      </c>
      <c r="P582" s="49">
        <f t="shared" si="353"/>
        <v>0</v>
      </c>
      <c r="Q582" s="49">
        <f t="shared" si="353"/>
        <v>0</v>
      </c>
      <c r="R582" s="49">
        <f t="shared" si="353"/>
        <v>0</v>
      </c>
      <c r="S582" s="49">
        <f t="shared" si="353"/>
        <v>0</v>
      </c>
      <c r="T582" s="49">
        <f t="shared" si="353"/>
        <v>0</v>
      </c>
      <c r="V582" s="53">
        <f t="shared" si="335"/>
        <v>0</v>
      </c>
      <c r="W582" s="53">
        <f t="shared" si="336"/>
        <v>0</v>
      </c>
      <c r="X582" s="53">
        <f t="shared" si="337"/>
        <v>0</v>
      </c>
      <c r="Y582" s="53">
        <f t="shared" si="338"/>
        <v>0</v>
      </c>
      <c r="Z582" s="53">
        <f t="shared" si="339"/>
        <v>0</v>
      </c>
      <c r="AB582" s="53">
        <f t="shared" si="328"/>
        <v>0</v>
      </c>
      <c r="AC582" s="53">
        <f t="shared" si="329"/>
        <v>0</v>
      </c>
      <c r="AD582" s="53">
        <f t="shared" si="330"/>
        <v>0</v>
      </c>
      <c r="AE582" s="53">
        <f t="shared" si="331"/>
        <v>0</v>
      </c>
      <c r="AF582" s="53">
        <f t="shared" si="332"/>
        <v>0</v>
      </c>
    </row>
    <row r="583" spans="2:32">
      <c r="B583" s="43" t="str">
        <f t="shared" si="320"/>
        <v>Asset 47</v>
      </c>
      <c r="F583" s="43" t="str">
        <f t="shared" ref="F583:L583" si="382">F87</f>
        <v>09 Bedrijfsinventaris</v>
      </c>
      <c r="G583" s="43">
        <f t="shared" si="382"/>
        <v>2007</v>
      </c>
      <c r="H583" s="48">
        <f t="shared" si="382"/>
        <v>87193.72</v>
      </c>
      <c r="I583" s="43">
        <f t="shared" si="382"/>
        <v>2021</v>
      </c>
      <c r="J583" s="43">
        <f t="shared" si="382"/>
        <v>10</v>
      </c>
      <c r="K583" s="43">
        <f t="shared" si="382"/>
        <v>1</v>
      </c>
      <c r="L583" s="48">
        <f t="shared" si="382"/>
        <v>0</v>
      </c>
      <c r="N583" s="44">
        <f t="shared" si="321"/>
        <v>0</v>
      </c>
      <c r="P583" s="49">
        <f t="shared" si="353"/>
        <v>0</v>
      </c>
      <c r="Q583" s="49">
        <f t="shared" si="353"/>
        <v>0</v>
      </c>
      <c r="R583" s="49">
        <f t="shared" si="353"/>
        <v>0</v>
      </c>
      <c r="S583" s="49">
        <f t="shared" si="353"/>
        <v>0</v>
      </c>
      <c r="T583" s="49">
        <f t="shared" si="353"/>
        <v>0</v>
      </c>
      <c r="V583" s="53">
        <f t="shared" si="335"/>
        <v>0</v>
      </c>
      <c r="W583" s="53">
        <f t="shared" si="336"/>
        <v>0</v>
      </c>
      <c r="X583" s="53">
        <f t="shared" si="337"/>
        <v>0</v>
      </c>
      <c r="Y583" s="53">
        <f t="shared" si="338"/>
        <v>0</v>
      </c>
      <c r="Z583" s="53">
        <f t="shared" si="339"/>
        <v>0</v>
      </c>
      <c r="AB583" s="53">
        <f t="shared" si="328"/>
        <v>0</v>
      </c>
      <c r="AC583" s="53">
        <f t="shared" si="329"/>
        <v>0</v>
      </c>
      <c r="AD583" s="53">
        <f t="shared" si="330"/>
        <v>0</v>
      </c>
      <c r="AE583" s="53">
        <f t="shared" si="331"/>
        <v>0</v>
      </c>
      <c r="AF583" s="53">
        <f t="shared" si="332"/>
        <v>0</v>
      </c>
    </row>
    <row r="584" spans="2:32">
      <c r="B584" s="43" t="str">
        <f t="shared" si="320"/>
        <v>Asset 48</v>
      </c>
      <c r="F584" s="43" t="str">
        <f t="shared" ref="F584:L584" si="383">F88</f>
        <v>13 Aanhangwagens</v>
      </c>
      <c r="G584" s="43">
        <f t="shared" si="383"/>
        <v>2007</v>
      </c>
      <c r="H584" s="48">
        <f t="shared" si="383"/>
        <v>25760.58</v>
      </c>
      <c r="I584" s="43">
        <f t="shared" si="383"/>
        <v>2021</v>
      </c>
      <c r="J584" s="43">
        <f t="shared" si="383"/>
        <v>10</v>
      </c>
      <c r="K584" s="43">
        <f t="shared" si="383"/>
        <v>1</v>
      </c>
      <c r="L584" s="48">
        <f t="shared" si="383"/>
        <v>0</v>
      </c>
      <c r="N584" s="44">
        <f t="shared" si="321"/>
        <v>0</v>
      </c>
      <c r="P584" s="49">
        <f t="shared" si="353"/>
        <v>0</v>
      </c>
      <c r="Q584" s="49">
        <f t="shared" si="353"/>
        <v>0</v>
      </c>
      <c r="R584" s="49">
        <f t="shared" si="353"/>
        <v>0</v>
      </c>
      <c r="S584" s="49">
        <f t="shared" si="353"/>
        <v>0</v>
      </c>
      <c r="T584" s="49">
        <f t="shared" si="353"/>
        <v>0</v>
      </c>
      <c r="V584" s="53">
        <f t="shared" si="335"/>
        <v>0</v>
      </c>
      <c r="W584" s="53">
        <f t="shared" si="336"/>
        <v>0</v>
      </c>
      <c r="X584" s="53">
        <f t="shared" si="337"/>
        <v>0</v>
      </c>
      <c r="Y584" s="53">
        <f t="shared" si="338"/>
        <v>0</v>
      </c>
      <c r="Z584" s="53">
        <f t="shared" si="339"/>
        <v>0</v>
      </c>
      <c r="AB584" s="53">
        <f t="shared" si="328"/>
        <v>0</v>
      </c>
      <c r="AC584" s="53">
        <f t="shared" si="329"/>
        <v>0</v>
      </c>
      <c r="AD584" s="53">
        <f t="shared" si="330"/>
        <v>0</v>
      </c>
      <c r="AE584" s="53">
        <f t="shared" si="331"/>
        <v>0</v>
      </c>
      <c r="AF584" s="53">
        <f t="shared" si="332"/>
        <v>0</v>
      </c>
    </row>
    <row r="585" spans="2:32">
      <c r="B585" s="43" t="str">
        <f t="shared" si="320"/>
        <v>Asset 49</v>
      </c>
      <c r="F585" s="43" t="str">
        <f t="shared" ref="F585:L585" si="384">F89</f>
        <v>37 ICT middelen 1 (gaschromatografen en comptabele meting)</v>
      </c>
      <c r="G585" s="43">
        <f t="shared" si="384"/>
        <v>2007</v>
      </c>
      <c r="H585" s="48">
        <f t="shared" si="384"/>
        <v>140047.50693888956</v>
      </c>
      <c r="I585" s="43">
        <f t="shared" si="384"/>
        <v>2021</v>
      </c>
      <c r="J585" s="43">
        <f t="shared" si="384"/>
        <v>5</v>
      </c>
      <c r="K585" s="43">
        <f t="shared" si="384"/>
        <v>0</v>
      </c>
      <c r="L585" s="48">
        <f t="shared" si="384"/>
        <v>0</v>
      </c>
      <c r="N585" s="44">
        <f t="shared" si="321"/>
        <v>0</v>
      </c>
      <c r="P585" s="49">
        <f t="shared" si="353"/>
        <v>0</v>
      </c>
      <c r="Q585" s="49">
        <f t="shared" si="353"/>
        <v>0</v>
      </c>
      <c r="R585" s="49">
        <f t="shared" si="353"/>
        <v>0</v>
      </c>
      <c r="S585" s="49">
        <f t="shared" si="353"/>
        <v>0</v>
      </c>
      <c r="T585" s="49">
        <f t="shared" si="353"/>
        <v>0</v>
      </c>
      <c r="V585" s="53">
        <f t="shared" si="335"/>
        <v>0</v>
      </c>
      <c r="W585" s="53">
        <f t="shared" si="336"/>
        <v>0</v>
      </c>
      <c r="X585" s="53">
        <f t="shared" si="337"/>
        <v>0</v>
      </c>
      <c r="Y585" s="53">
        <f t="shared" si="338"/>
        <v>0</v>
      </c>
      <c r="Z585" s="53">
        <f t="shared" si="339"/>
        <v>0</v>
      </c>
      <c r="AB585" s="53">
        <f t="shared" si="328"/>
        <v>0</v>
      </c>
      <c r="AC585" s="53">
        <f t="shared" si="329"/>
        <v>0</v>
      </c>
      <c r="AD585" s="53">
        <f t="shared" si="330"/>
        <v>0</v>
      </c>
      <c r="AE585" s="53">
        <f t="shared" si="331"/>
        <v>0</v>
      </c>
      <c r="AF585" s="53">
        <f t="shared" si="332"/>
        <v>0</v>
      </c>
    </row>
    <row r="586" spans="2:32">
      <c r="B586" s="43" t="str">
        <f t="shared" si="320"/>
        <v>Asset 50</v>
      </c>
      <c r="F586" s="43" t="str">
        <f t="shared" ref="F586:L586" si="385">F90</f>
        <v>37 ICT middelen 1</v>
      </c>
      <c r="G586" s="43">
        <f t="shared" si="385"/>
        <v>2008</v>
      </c>
      <c r="H586" s="48">
        <f t="shared" si="385"/>
        <v>1405801.5634173665</v>
      </c>
      <c r="I586" s="43">
        <f t="shared" si="385"/>
        <v>2021</v>
      </c>
      <c r="J586" s="43">
        <f t="shared" si="385"/>
        <v>5</v>
      </c>
      <c r="K586" s="43">
        <f t="shared" si="385"/>
        <v>1</v>
      </c>
      <c r="L586" s="48">
        <f t="shared" si="385"/>
        <v>0</v>
      </c>
      <c r="N586" s="44">
        <f t="shared" si="321"/>
        <v>0</v>
      </c>
      <c r="P586" s="49">
        <f t="shared" si="353"/>
        <v>0</v>
      </c>
      <c r="Q586" s="49">
        <f t="shared" si="353"/>
        <v>0</v>
      </c>
      <c r="R586" s="49">
        <f t="shared" si="353"/>
        <v>0</v>
      </c>
      <c r="S586" s="49">
        <f t="shared" si="353"/>
        <v>0</v>
      </c>
      <c r="T586" s="49">
        <f t="shared" si="353"/>
        <v>0</v>
      </c>
      <c r="V586" s="53">
        <f t="shared" si="335"/>
        <v>0</v>
      </c>
      <c r="W586" s="53">
        <f t="shared" si="336"/>
        <v>0</v>
      </c>
      <c r="X586" s="53">
        <f t="shared" si="337"/>
        <v>0</v>
      </c>
      <c r="Y586" s="53">
        <f t="shared" si="338"/>
        <v>0</v>
      </c>
      <c r="Z586" s="53">
        <f t="shared" si="339"/>
        <v>0</v>
      </c>
      <c r="AB586" s="53">
        <f t="shared" si="328"/>
        <v>0</v>
      </c>
      <c r="AC586" s="53">
        <f t="shared" si="329"/>
        <v>0</v>
      </c>
      <c r="AD586" s="53">
        <f t="shared" si="330"/>
        <v>0</v>
      </c>
      <c r="AE586" s="53">
        <f t="shared" si="331"/>
        <v>0</v>
      </c>
      <c r="AF586" s="53">
        <f t="shared" si="332"/>
        <v>0</v>
      </c>
    </row>
    <row r="587" spans="2:32">
      <c r="B587" s="43" t="str">
        <f t="shared" si="320"/>
        <v>Asset 51</v>
      </c>
      <c r="F587" s="43" t="str">
        <f t="shared" ref="F587:L587" si="386">F91</f>
        <v>13 Aanhangwagens</v>
      </c>
      <c r="G587" s="43">
        <f t="shared" si="386"/>
        <v>2008</v>
      </c>
      <c r="H587" s="48">
        <f t="shared" si="386"/>
        <v>6485.6</v>
      </c>
      <c r="I587" s="43">
        <f t="shared" si="386"/>
        <v>2021</v>
      </c>
      <c r="J587" s="43">
        <f t="shared" si="386"/>
        <v>10</v>
      </c>
      <c r="K587" s="43">
        <f t="shared" si="386"/>
        <v>1</v>
      </c>
      <c r="L587" s="48">
        <f t="shared" si="386"/>
        <v>0</v>
      </c>
      <c r="N587" s="44">
        <f t="shared" si="321"/>
        <v>0</v>
      </c>
      <c r="P587" s="49">
        <f t="shared" si="353"/>
        <v>0</v>
      </c>
      <c r="Q587" s="49">
        <f t="shared" si="353"/>
        <v>0</v>
      </c>
      <c r="R587" s="49">
        <f t="shared" si="353"/>
        <v>0</v>
      </c>
      <c r="S587" s="49">
        <f t="shared" si="353"/>
        <v>0</v>
      </c>
      <c r="T587" s="49">
        <f t="shared" si="353"/>
        <v>0</v>
      </c>
      <c r="V587" s="53">
        <f t="shared" si="335"/>
        <v>0</v>
      </c>
      <c r="W587" s="53">
        <f t="shared" si="336"/>
        <v>0</v>
      </c>
      <c r="X587" s="53">
        <f t="shared" si="337"/>
        <v>0</v>
      </c>
      <c r="Y587" s="53">
        <f t="shared" si="338"/>
        <v>0</v>
      </c>
      <c r="Z587" s="53">
        <f t="shared" si="339"/>
        <v>0</v>
      </c>
      <c r="AB587" s="53">
        <f t="shared" si="328"/>
        <v>0</v>
      </c>
      <c r="AC587" s="53">
        <f t="shared" si="329"/>
        <v>0</v>
      </c>
      <c r="AD587" s="53">
        <f t="shared" si="330"/>
        <v>0</v>
      </c>
      <c r="AE587" s="53">
        <f t="shared" si="331"/>
        <v>0</v>
      </c>
      <c r="AF587" s="53">
        <f t="shared" si="332"/>
        <v>0</v>
      </c>
    </row>
    <row r="588" spans="2:32">
      <c r="B588" s="43" t="str">
        <f t="shared" si="320"/>
        <v>Asset 52</v>
      </c>
      <c r="F588" s="43" t="str">
        <f t="shared" ref="F588:L588" si="387">F92</f>
        <v>04 Terreinen</v>
      </c>
      <c r="G588" s="43">
        <f t="shared" si="387"/>
        <v>1956</v>
      </c>
      <c r="H588" s="48">
        <f t="shared" si="387"/>
        <v>32433.599999999999</v>
      </c>
      <c r="I588" s="43">
        <f t="shared" si="387"/>
        <v>2021</v>
      </c>
      <c r="J588" s="43">
        <f t="shared" si="387"/>
        <v>0</v>
      </c>
      <c r="K588" s="43">
        <f t="shared" si="387"/>
        <v>0</v>
      </c>
      <c r="L588" s="48">
        <f t="shared" si="387"/>
        <v>275057.7098199001</v>
      </c>
      <c r="N588" s="44">
        <f t="shared" si="321"/>
        <v>0</v>
      </c>
      <c r="P588" s="49">
        <f t="shared" si="353"/>
        <v>0</v>
      </c>
      <c r="Q588" s="49">
        <f t="shared" si="353"/>
        <v>0</v>
      </c>
      <c r="R588" s="49">
        <f t="shared" si="353"/>
        <v>0</v>
      </c>
      <c r="S588" s="49">
        <f t="shared" si="353"/>
        <v>0</v>
      </c>
      <c r="T588" s="49">
        <f t="shared" si="353"/>
        <v>0</v>
      </c>
      <c r="V588" s="53">
        <f t="shared" si="335"/>
        <v>275057.7098199001</v>
      </c>
      <c r="W588" s="53">
        <f t="shared" si="336"/>
        <v>275057.7098199001</v>
      </c>
      <c r="X588" s="53">
        <f t="shared" si="337"/>
        <v>275057.7098199001</v>
      </c>
      <c r="Y588" s="53">
        <f t="shared" si="338"/>
        <v>275057.7098199001</v>
      </c>
      <c r="Z588" s="53">
        <f t="shared" si="339"/>
        <v>275057.7098199001</v>
      </c>
      <c r="AB588" s="53">
        <f t="shared" si="328"/>
        <v>8526.7890044169035</v>
      </c>
      <c r="AC588" s="53">
        <f t="shared" si="329"/>
        <v>8251.7312945970025</v>
      </c>
      <c r="AD588" s="53">
        <f t="shared" si="330"/>
        <v>8251.7312945970025</v>
      </c>
      <c r="AE588" s="53">
        <f t="shared" si="331"/>
        <v>8251.7312945970025</v>
      </c>
      <c r="AF588" s="53">
        <f t="shared" si="332"/>
        <v>8251.7312945970025</v>
      </c>
    </row>
    <row r="589" spans="2:32">
      <c r="B589" s="43" t="str">
        <f t="shared" si="320"/>
        <v>Asset 53</v>
      </c>
      <c r="F589" s="43" t="str">
        <f t="shared" ref="F589:L589" si="388">F93</f>
        <v>04 Terreinen</v>
      </c>
      <c r="G589" s="43">
        <f t="shared" si="388"/>
        <v>1968</v>
      </c>
      <c r="H589" s="48">
        <f t="shared" si="388"/>
        <v>219516.18</v>
      </c>
      <c r="I589" s="43">
        <f t="shared" si="388"/>
        <v>2021</v>
      </c>
      <c r="J589" s="43">
        <f t="shared" si="388"/>
        <v>0</v>
      </c>
      <c r="K589" s="43">
        <f t="shared" si="388"/>
        <v>0</v>
      </c>
      <c r="L589" s="48">
        <f t="shared" si="388"/>
        <v>1219692.8562955547</v>
      </c>
      <c r="N589" s="44">
        <f t="shared" si="321"/>
        <v>0</v>
      </c>
      <c r="P589" s="49">
        <f t="shared" si="353"/>
        <v>0</v>
      </c>
      <c r="Q589" s="49">
        <f t="shared" si="353"/>
        <v>0</v>
      </c>
      <c r="R589" s="49">
        <f t="shared" si="353"/>
        <v>0</v>
      </c>
      <c r="S589" s="49">
        <f t="shared" si="353"/>
        <v>0</v>
      </c>
      <c r="T589" s="49">
        <f t="shared" si="353"/>
        <v>0</v>
      </c>
      <c r="V589" s="53">
        <f t="shared" si="335"/>
        <v>1219692.8562955547</v>
      </c>
      <c r="W589" s="53">
        <f t="shared" si="336"/>
        <v>1219692.8562955547</v>
      </c>
      <c r="X589" s="53">
        <f t="shared" si="337"/>
        <v>1219692.8562955547</v>
      </c>
      <c r="Y589" s="53">
        <f t="shared" si="338"/>
        <v>1219692.8562955547</v>
      </c>
      <c r="Z589" s="53">
        <f t="shared" si="339"/>
        <v>1219692.8562955547</v>
      </c>
      <c r="AB589" s="53">
        <f t="shared" si="328"/>
        <v>37810.478545162194</v>
      </c>
      <c r="AC589" s="53">
        <f t="shared" si="329"/>
        <v>36590.785688866636</v>
      </c>
      <c r="AD589" s="53">
        <f t="shared" si="330"/>
        <v>36590.785688866636</v>
      </c>
      <c r="AE589" s="53">
        <f t="shared" si="331"/>
        <v>36590.785688866636</v>
      </c>
      <c r="AF589" s="53">
        <f t="shared" si="332"/>
        <v>36590.785688866636</v>
      </c>
    </row>
    <row r="590" spans="2:32">
      <c r="B590" s="43" t="str">
        <f t="shared" si="320"/>
        <v>Asset 54</v>
      </c>
      <c r="F590" s="43" t="str">
        <f t="shared" ref="F590:L590" si="389">F94</f>
        <v>04 Terreinen</v>
      </c>
      <c r="G590" s="43">
        <f t="shared" si="389"/>
        <v>1972</v>
      </c>
      <c r="H590" s="48">
        <f t="shared" si="389"/>
        <v>411128.51</v>
      </c>
      <c r="I590" s="43">
        <f t="shared" si="389"/>
        <v>2021</v>
      </c>
      <c r="J590" s="43">
        <f t="shared" si="389"/>
        <v>0</v>
      </c>
      <c r="K590" s="43">
        <f t="shared" si="389"/>
        <v>0</v>
      </c>
      <c r="L590" s="48">
        <f t="shared" si="389"/>
        <v>1824024.3386379536</v>
      </c>
      <c r="N590" s="44">
        <f t="shared" si="321"/>
        <v>0</v>
      </c>
      <c r="P590" s="49">
        <f t="shared" si="353"/>
        <v>0</v>
      </c>
      <c r="Q590" s="49">
        <f t="shared" si="353"/>
        <v>0</v>
      </c>
      <c r="R590" s="49">
        <f t="shared" si="353"/>
        <v>0</v>
      </c>
      <c r="S590" s="49">
        <f t="shared" si="353"/>
        <v>0</v>
      </c>
      <c r="T590" s="49">
        <f t="shared" si="353"/>
        <v>0</v>
      </c>
      <c r="V590" s="53">
        <f t="shared" si="335"/>
        <v>1824024.3386379536</v>
      </c>
      <c r="W590" s="53">
        <f t="shared" si="336"/>
        <v>1824024.3386379536</v>
      </c>
      <c r="X590" s="53">
        <f t="shared" si="337"/>
        <v>1824024.3386379536</v>
      </c>
      <c r="Y590" s="53">
        <f t="shared" si="338"/>
        <v>1824024.3386379536</v>
      </c>
      <c r="Z590" s="53">
        <f t="shared" si="339"/>
        <v>1824024.3386379536</v>
      </c>
      <c r="AB590" s="53">
        <f t="shared" si="328"/>
        <v>56544.754497776565</v>
      </c>
      <c r="AC590" s="53">
        <f t="shared" si="329"/>
        <v>54720.730159138606</v>
      </c>
      <c r="AD590" s="53">
        <f t="shared" si="330"/>
        <v>54720.730159138606</v>
      </c>
      <c r="AE590" s="53">
        <f t="shared" si="331"/>
        <v>54720.730159138606</v>
      </c>
      <c r="AF590" s="53">
        <f t="shared" si="332"/>
        <v>54720.730159138606</v>
      </c>
    </row>
    <row r="591" spans="2:32">
      <c r="B591" s="43" t="str">
        <f t="shared" si="320"/>
        <v>Asset 55</v>
      </c>
      <c r="F591" s="43" t="str">
        <f t="shared" ref="F591:L591" si="390">F95</f>
        <v>05 Wegen en terreinvoorzieningen</v>
      </c>
      <c r="G591" s="43">
        <f t="shared" si="390"/>
        <v>1970</v>
      </c>
      <c r="H591" s="48">
        <f t="shared" si="390"/>
        <v>65342.54</v>
      </c>
      <c r="I591" s="43">
        <f t="shared" si="390"/>
        <v>2021</v>
      </c>
      <c r="J591" s="43">
        <f t="shared" si="390"/>
        <v>10</v>
      </c>
      <c r="K591" s="43">
        <f t="shared" si="390"/>
        <v>0</v>
      </c>
      <c r="L591" s="48">
        <f t="shared" si="390"/>
        <v>0</v>
      </c>
      <c r="N591" s="44">
        <f t="shared" si="321"/>
        <v>0</v>
      </c>
      <c r="P591" s="49">
        <f t="shared" si="353"/>
        <v>0</v>
      </c>
      <c r="Q591" s="49">
        <f t="shared" si="353"/>
        <v>0</v>
      </c>
      <c r="R591" s="49">
        <f t="shared" si="353"/>
        <v>0</v>
      </c>
      <c r="S591" s="49">
        <f t="shared" si="353"/>
        <v>0</v>
      </c>
      <c r="T591" s="49">
        <f t="shared" si="353"/>
        <v>0</v>
      </c>
      <c r="V591" s="53">
        <f t="shared" si="335"/>
        <v>0</v>
      </c>
      <c r="W591" s="53">
        <f t="shared" si="336"/>
        <v>0</v>
      </c>
      <c r="X591" s="53">
        <f t="shared" si="337"/>
        <v>0</v>
      </c>
      <c r="Y591" s="53">
        <f t="shared" si="338"/>
        <v>0</v>
      </c>
      <c r="Z591" s="53">
        <f t="shared" si="339"/>
        <v>0</v>
      </c>
      <c r="AB591" s="53">
        <f t="shared" si="328"/>
        <v>0</v>
      </c>
      <c r="AC591" s="53">
        <f t="shared" si="329"/>
        <v>0</v>
      </c>
      <c r="AD591" s="53">
        <f t="shared" si="330"/>
        <v>0</v>
      </c>
      <c r="AE591" s="53">
        <f t="shared" si="331"/>
        <v>0</v>
      </c>
      <c r="AF591" s="53">
        <f t="shared" si="332"/>
        <v>0</v>
      </c>
    </row>
    <row r="592" spans="2:32">
      <c r="B592" s="43" t="str">
        <f t="shared" si="320"/>
        <v>Asset 56</v>
      </c>
      <c r="F592" s="43" t="str">
        <f t="shared" ref="F592:L592" si="391">F96</f>
        <v>06 Utiliteitsgebouwen</v>
      </c>
      <c r="G592" s="43">
        <f t="shared" si="391"/>
        <v>1980</v>
      </c>
      <c r="H592" s="48">
        <f t="shared" si="391"/>
        <v>1188787.02</v>
      </c>
      <c r="I592" s="43">
        <f t="shared" si="391"/>
        <v>2021</v>
      </c>
      <c r="J592" s="43">
        <f t="shared" si="391"/>
        <v>30</v>
      </c>
      <c r="K592" s="43">
        <f t="shared" si="391"/>
        <v>0</v>
      </c>
      <c r="L592" s="48">
        <f t="shared" si="391"/>
        <v>0</v>
      </c>
      <c r="N592" s="44">
        <f t="shared" si="321"/>
        <v>0</v>
      </c>
      <c r="P592" s="49">
        <f t="shared" si="353"/>
        <v>0</v>
      </c>
      <c r="Q592" s="49">
        <f t="shared" si="353"/>
        <v>0</v>
      </c>
      <c r="R592" s="49">
        <f t="shared" si="353"/>
        <v>0</v>
      </c>
      <c r="S592" s="49">
        <f t="shared" si="353"/>
        <v>0</v>
      </c>
      <c r="T592" s="49">
        <f t="shared" si="353"/>
        <v>0</v>
      </c>
      <c r="V592" s="53">
        <f t="shared" si="335"/>
        <v>0</v>
      </c>
      <c r="W592" s="53">
        <f t="shared" si="336"/>
        <v>0</v>
      </c>
      <c r="X592" s="53">
        <f t="shared" si="337"/>
        <v>0</v>
      </c>
      <c r="Y592" s="53">
        <f t="shared" si="338"/>
        <v>0</v>
      </c>
      <c r="Z592" s="53">
        <f t="shared" si="339"/>
        <v>0</v>
      </c>
      <c r="AB592" s="53">
        <f t="shared" si="328"/>
        <v>0</v>
      </c>
      <c r="AC592" s="53">
        <f t="shared" si="329"/>
        <v>0</v>
      </c>
      <c r="AD592" s="53">
        <f t="shared" si="330"/>
        <v>0</v>
      </c>
      <c r="AE592" s="53">
        <f t="shared" si="331"/>
        <v>0</v>
      </c>
      <c r="AF592" s="53">
        <f t="shared" si="332"/>
        <v>0</v>
      </c>
    </row>
    <row r="593" spans="2:32">
      <c r="B593" s="43" t="str">
        <f t="shared" si="320"/>
        <v>Asset 57</v>
      </c>
      <c r="F593" s="43" t="str">
        <f t="shared" ref="F593:L593" si="392">F97</f>
        <v>06 Utiliteitsgebouwen</v>
      </c>
      <c r="G593" s="43">
        <f t="shared" si="392"/>
        <v>1971</v>
      </c>
      <c r="H593" s="48">
        <f t="shared" si="392"/>
        <v>1287617.6299999999</v>
      </c>
      <c r="I593" s="43">
        <f t="shared" si="392"/>
        <v>2021</v>
      </c>
      <c r="J593" s="43">
        <f t="shared" si="392"/>
        <v>30</v>
      </c>
      <c r="K593" s="43">
        <f t="shared" si="392"/>
        <v>0</v>
      </c>
      <c r="L593" s="48">
        <f t="shared" si="392"/>
        <v>0</v>
      </c>
      <c r="N593" s="44">
        <f t="shared" si="321"/>
        <v>0</v>
      </c>
      <c r="P593" s="49">
        <f t="shared" si="353"/>
        <v>0</v>
      </c>
      <c r="Q593" s="49">
        <f t="shared" si="353"/>
        <v>0</v>
      </c>
      <c r="R593" s="49">
        <f t="shared" si="353"/>
        <v>0</v>
      </c>
      <c r="S593" s="49">
        <f t="shared" si="353"/>
        <v>0</v>
      </c>
      <c r="T593" s="49">
        <f t="shared" si="353"/>
        <v>0</v>
      </c>
      <c r="V593" s="53">
        <f t="shared" si="335"/>
        <v>0</v>
      </c>
      <c r="W593" s="53">
        <f t="shared" si="336"/>
        <v>0</v>
      </c>
      <c r="X593" s="53">
        <f t="shared" si="337"/>
        <v>0</v>
      </c>
      <c r="Y593" s="53">
        <f t="shared" si="338"/>
        <v>0</v>
      </c>
      <c r="Z593" s="53">
        <f t="shared" si="339"/>
        <v>0</v>
      </c>
      <c r="AB593" s="53">
        <f t="shared" si="328"/>
        <v>0</v>
      </c>
      <c r="AC593" s="53">
        <f t="shared" si="329"/>
        <v>0</v>
      </c>
      <c r="AD593" s="53">
        <f t="shared" si="330"/>
        <v>0</v>
      </c>
      <c r="AE593" s="53">
        <f t="shared" si="331"/>
        <v>0</v>
      </c>
      <c r="AF593" s="53">
        <f t="shared" si="332"/>
        <v>0</v>
      </c>
    </row>
    <row r="594" spans="2:32">
      <c r="B594" s="43" t="str">
        <f t="shared" si="320"/>
        <v>Asset 58</v>
      </c>
      <c r="F594" s="43" t="str">
        <f t="shared" ref="F594:L594" si="393">F98</f>
        <v>06 Utiliteitsgebouwen</v>
      </c>
      <c r="G594" s="43">
        <f t="shared" si="393"/>
        <v>1986</v>
      </c>
      <c r="H594" s="48">
        <f t="shared" si="393"/>
        <v>986052.31</v>
      </c>
      <c r="I594" s="43">
        <f t="shared" si="393"/>
        <v>2021</v>
      </c>
      <c r="J594" s="43">
        <f t="shared" si="393"/>
        <v>30</v>
      </c>
      <c r="K594" s="43">
        <f t="shared" si="393"/>
        <v>0</v>
      </c>
      <c r="L594" s="48">
        <f t="shared" si="393"/>
        <v>0</v>
      </c>
      <c r="N594" s="44">
        <f t="shared" si="321"/>
        <v>0</v>
      </c>
      <c r="P594" s="49">
        <f t="shared" si="353"/>
        <v>0</v>
      </c>
      <c r="Q594" s="49">
        <f t="shared" si="353"/>
        <v>0</v>
      </c>
      <c r="R594" s="49">
        <f t="shared" si="353"/>
        <v>0</v>
      </c>
      <c r="S594" s="49">
        <f t="shared" si="353"/>
        <v>0</v>
      </c>
      <c r="T594" s="49">
        <f t="shared" si="353"/>
        <v>0</v>
      </c>
      <c r="V594" s="53">
        <f t="shared" si="335"/>
        <v>0</v>
      </c>
      <c r="W594" s="53">
        <f t="shared" si="336"/>
        <v>0</v>
      </c>
      <c r="X594" s="53">
        <f t="shared" si="337"/>
        <v>0</v>
      </c>
      <c r="Y594" s="53">
        <f t="shared" si="338"/>
        <v>0</v>
      </c>
      <c r="Z594" s="53">
        <f t="shared" si="339"/>
        <v>0</v>
      </c>
      <c r="AB594" s="53">
        <f t="shared" si="328"/>
        <v>0</v>
      </c>
      <c r="AC594" s="53">
        <f t="shared" si="329"/>
        <v>0</v>
      </c>
      <c r="AD594" s="53">
        <f t="shared" si="330"/>
        <v>0</v>
      </c>
      <c r="AE594" s="53">
        <f t="shared" si="331"/>
        <v>0</v>
      </c>
      <c r="AF594" s="53">
        <f t="shared" si="332"/>
        <v>0</v>
      </c>
    </row>
    <row r="595" spans="2:32">
      <c r="B595" s="43" t="str">
        <f t="shared" si="320"/>
        <v>Asset 59</v>
      </c>
      <c r="F595" s="43" t="str">
        <f t="shared" ref="F595:L595" si="394">F99</f>
        <v>06 Utiliteitsgebouwen</v>
      </c>
      <c r="G595" s="43">
        <f t="shared" si="394"/>
        <v>1988</v>
      </c>
      <c r="H595" s="48">
        <f t="shared" si="394"/>
        <v>45049.48</v>
      </c>
      <c r="I595" s="43">
        <f t="shared" si="394"/>
        <v>2021</v>
      </c>
      <c r="J595" s="43">
        <f t="shared" si="394"/>
        <v>30</v>
      </c>
      <c r="K595" s="43">
        <f t="shared" si="394"/>
        <v>0</v>
      </c>
      <c r="L595" s="48">
        <f t="shared" si="394"/>
        <v>0</v>
      </c>
      <c r="N595" s="44">
        <f t="shared" si="321"/>
        <v>0</v>
      </c>
      <c r="P595" s="49">
        <f t="shared" si="353"/>
        <v>0</v>
      </c>
      <c r="Q595" s="49">
        <f t="shared" si="353"/>
        <v>0</v>
      </c>
      <c r="R595" s="49">
        <f t="shared" si="353"/>
        <v>0</v>
      </c>
      <c r="S595" s="49">
        <f t="shared" si="353"/>
        <v>0</v>
      </c>
      <c r="T595" s="49">
        <f t="shared" si="353"/>
        <v>0</v>
      </c>
      <c r="V595" s="53">
        <f t="shared" si="335"/>
        <v>0</v>
      </c>
      <c r="W595" s="53">
        <f t="shared" si="336"/>
        <v>0</v>
      </c>
      <c r="X595" s="53">
        <f t="shared" si="337"/>
        <v>0</v>
      </c>
      <c r="Y595" s="53">
        <f t="shared" si="338"/>
        <v>0</v>
      </c>
      <c r="Z595" s="53">
        <f t="shared" si="339"/>
        <v>0</v>
      </c>
      <c r="AB595" s="53">
        <f t="shared" si="328"/>
        <v>0</v>
      </c>
      <c r="AC595" s="53">
        <f t="shared" si="329"/>
        <v>0</v>
      </c>
      <c r="AD595" s="53">
        <f t="shared" si="330"/>
        <v>0</v>
      </c>
      <c r="AE595" s="53">
        <f t="shared" si="331"/>
        <v>0</v>
      </c>
      <c r="AF595" s="53">
        <f t="shared" si="332"/>
        <v>0</v>
      </c>
    </row>
    <row r="596" spans="2:32">
      <c r="B596" s="43" t="str">
        <f t="shared" si="320"/>
        <v>Asset 60</v>
      </c>
      <c r="F596" s="43" t="str">
        <f t="shared" ref="F596:L596" si="395">F100</f>
        <v>04 Terreinen</v>
      </c>
      <c r="G596" s="43">
        <f t="shared" si="395"/>
        <v>1969</v>
      </c>
      <c r="H596" s="48">
        <f t="shared" si="395"/>
        <v>35732.019999999997</v>
      </c>
      <c r="I596" s="43">
        <f t="shared" si="395"/>
        <v>2021</v>
      </c>
      <c r="J596" s="43">
        <f t="shared" si="395"/>
        <v>0</v>
      </c>
      <c r="K596" s="43">
        <f t="shared" si="395"/>
        <v>0</v>
      </c>
      <c r="L596" s="48">
        <f t="shared" si="395"/>
        <v>192194.60406110552</v>
      </c>
      <c r="N596" s="44">
        <f t="shared" si="321"/>
        <v>0</v>
      </c>
      <c r="P596" s="49">
        <f t="shared" si="353"/>
        <v>0</v>
      </c>
      <c r="Q596" s="49">
        <f t="shared" si="353"/>
        <v>0</v>
      </c>
      <c r="R596" s="49">
        <f t="shared" si="353"/>
        <v>0</v>
      </c>
      <c r="S596" s="49">
        <f t="shared" si="353"/>
        <v>0</v>
      </c>
      <c r="T596" s="49">
        <f t="shared" si="353"/>
        <v>0</v>
      </c>
      <c r="V596" s="53">
        <f t="shared" si="335"/>
        <v>192194.60406110552</v>
      </c>
      <c r="W596" s="53">
        <f t="shared" si="336"/>
        <v>192194.60406110552</v>
      </c>
      <c r="X596" s="53">
        <f t="shared" si="337"/>
        <v>192194.60406110552</v>
      </c>
      <c r="Y596" s="53">
        <f t="shared" si="338"/>
        <v>192194.60406110552</v>
      </c>
      <c r="Z596" s="53">
        <f t="shared" si="339"/>
        <v>192194.60406110552</v>
      </c>
      <c r="AB596" s="53">
        <f t="shared" si="328"/>
        <v>5958.0327258942707</v>
      </c>
      <c r="AC596" s="53">
        <f t="shared" si="329"/>
        <v>5765.8381218331651</v>
      </c>
      <c r="AD596" s="53">
        <f t="shared" si="330"/>
        <v>5765.8381218331651</v>
      </c>
      <c r="AE596" s="53">
        <f t="shared" si="331"/>
        <v>5765.8381218331651</v>
      </c>
      <c r="AF596" s="53">
        <f t="shared" si="332"/>
        <v>5765.8381218331651</v>
      </c>
    </row>
    <row r="597" spans="2:32">
      <c r="B597" s="43" t="str">
        <f t="shared" si="320"/>
        <v>Asset 61</v>
      </c>
      <c r="F597" s="43" t="str">
        <f t="shared" ref="F597:L597" si="396">F101</f>
        <v>06 Utiliteitsgebouwen</v>
      </c>
      <c r="G597" s="43">
        <f t="shared" si="396"/>
        <v>1993</v>
      </c>
      <c r="H597" s="48">
        <f t="shared" si="396"/>
        <v>4915025</v>
      </c>
      <c r="I597" s="43">
        <f t="shared" si="396"/>
        <v>2021</v>
      </c>
      <c r="J597" s="43">
        <f t="shared" si="396"/>
        <v>30</v>
      </c>
      <c r="K597" s="43">
        <f t="shared" si="396"/>
        <v>0</v>
      </c>
      <c r="L597" s="48">
        <f t="shared" si="396"/>
        <v>420683.7813984917</v>
      </c>
      <c r="N597" s="44">
        <f t="shared" si="321"/>
        <v>1.5</v>
      </c>
      <c r="P597" s="49">
        <f t="shared" si="353"/>
        <v>280455.85426566115</v>
      </c>
      <c r="Q597" s="49">
        <f t="shared" si="353"/>
        <v>140227.92713283058</v>
      </c>
      <c r="R597" s="49">
        <f t="shared" si="353"/>
        <v>0</v>
      </c>
      <c r="S597" s="49">
        <f t="shared" si="353"/>
        <v>0</v>
      </c>
      <c r="T597" s="49">
        <f t="shared" si="353"/>
        <v>0</v>
      </c>
      <c r="V597" s="53">
        <f t="shared" si="335"/>
        <v>140227.92713283055</v>
      </c>
      <c r="W597" s="53">
        <f t="shared" si="336"/>
        <v>-2.9103830456733704E-11</v>
      </c>
      <c r="X597" s="53">
        <f t="shared" si="337"/>
        <v>0</v>
      </c>
      <c r="Y597" s="53">
        <f t="shared" si="338"/>
        <v>0</v>
      </c>
      <c r="Z597" s="53">
        <f t="shared" si="339"/>
        <v>0</v>
      </c>
      <c r="AB597" s="53">
        <f t="shared" si="328"/>
        <v>284802.92000677891</v>
      </c>
      <c r="AC597" s="53">
        <f t="shared" si="329"/>
        <v>140227.92713283058</v>
      </c>
      <c r="AD597" s="53">
        <f t="shared" si="330"/>
        <v>0</v>
      </c>
      <c r="AE597" s="53">
        <f t="shared" si="331"/>
        <v>0</v>
      </c>
      <c r="AF597" s="53">
        <f t="shared" si="332"/>
        <v>0</v>
      </c>
    </row>
    <row r="598" spans="2:32">
      <c r="B598" s="43" t="str">
        <f t="shared" si="320"/>
        <v>Asset 62</v>
      </c>
      <c r="F598" s="43" t="str">
        <f t="shared" ref="F598:L598" si="397">F102</f>
        <v>04 Terreinen</v>
      </c>
      <c r="G598" s="43">
        <f t="shared" si="397"/>
        <v>1990</v>
      </c>
      <c r="H598" s="48">
        <f t="shared" si="397"/>
        <v>4936129.59</v>
      </c>
      <c r="I598" s="43">
        <f t="shared" si="397"/>
        <v>2021</v>
      </c>
      <c r="J598" s="43">
        <f t="shared" si="397"/>
        <v>0</v>
      </c>
      <c r="K598" s="43">
        <f t="shared" si="397"/>
        <v>0</v>
      </c>
      <c r="L598" s="48">
        <f t="shared" si="397"/>
        <v>9367389.4688880406</v>
      </c>
      <c r="N598" s="44">
        <f t="shared" si="321"/>
        <v>0</v>
      </c>
      <c r="P598" s="49">
        <f t="shared" si="353"/>
        <v>0</v>
      </c>
      <c r="Q598" s="49">
        <f t="shared" si="353"/>
        <v>0</v>
      </c>
      <c r="R598" s="49">
        <f t="shared" si="353"/>
        <v>0</v>
      </c>
      <c r="S598" s="49">
        <f t="shared" si="353"/>
        <v>0</v>
      </c>
      <c r="T598" s="49">
        <f t="shared" si="353"/>
        <v>0</v>
      </c>
      <c r="V598" s="53">
        <f t="shared" si="335"/>
        <v>9367389.4688880406</v>
      </c>
      <c r="W598" s="53">
        <f t="shared" si="336"/>
        <v>9367389.4688880406</v>
      </c>
      <c r="X598" s="53">
        <f t="shared" si="337"/>
        <v>9367389.4688880406</v>
      </c>
      <c r="Y598" s="53">
        <f t="shared" si="338"/>
        <v>9367389.4688880406</v>
      </c>
      <c r="Z598" s="53">
        <f t="shared" si="339"/>
        <v>9367389.4688880406</v>
      </c>
      <c r="AB598" s="53">
        <f t="shared" si="328"/>
        <v>290389.07353552926</v>
      </c>
      <c r="AC598" s="53">
        <f t="shared" si="329"/>
        <v>281021.6840666412</v>
      </c>
      <c r="AD598" s="53">
        <f t="shared" si="330"/>
        <v>281021.6840666412</v>
      </c>
      <c r="AE598" s="53">
        <f t="shared" si="331"/>
        <v>281021.6840666412</v>
      </c>
      <c r="AF598" s="53">
        <f t="shared" si="332"/>
        <v>281021.6840666412</v>
      </c>
    </row>
    <row r="599" spans="2:32">
      <c r="B599" s="43" t="str">
        <f t="shared" si="320"/>
        <v>Asset 63</v>
      </c>
      <c r="F599" s="43" t="str">
        <f t="shared" ref="F599:L599" si="398">F103</f>
        <v>09 Bedrijfsinventaris</v>
      </c>
      <c r="G599" s="43">
        <f t="shared" si="398"/>
        <v>1994</v>
      </c>
      <c r="H599" s="48">
        <f t="shared" si="398"/>
        <v>5646696.2199999997</v>
      </c>
      <c r="I599" s="43">
        <f t="shared" si="398"/>
        <v>2021</v>
      </c>
      <c r="J599" s="43">
        <f t="shared" si="398"/>
        <v>10</v>
      </c>
      <c r="K599" s="43">
        <f t="shared" si="398"/>
        <v>1</v>
      </c>
      <c r="L599" s="48">
        <f t="shared" si="398"/>
        <v>0</v>
      </c>
      <c r="N599" s="44">
        <f t="shared" si="321"/>
        <v>0</v>
      </c>
      <c r="P599" s="49">
        <f t="shared" si="353"/>
        <v>0</v>
      </c>
      <c r="Q599" s="49">
        <f t="shared" si="353"/>
        <v>0</v>
      </c>
      <c r="R599" s="49">
        <f t="shared" si="353"/>
        <v>0</v>
      </c>
      <c r="S599" s="49">
        <f t="shared" si="353"/>
        <v>0</v>
      </c>
      <c r="T599" s="49">
        <f t="shared" si="353"/>
        <v>0</v>
      </c>
      <c r="V599" s="53">
        <f t="shared" si="335"/>
        <v>0</v>
      </c>
      <c r="W599" s="53">
        <f t="shared" si="336"/>
        <v>0</v>
      </c>
      <c r="X599" s="53">
        <f t="shared" si="337"/>
        <v>0</v>
      </c>
      <c r="Y599" s="53">
        <f t="shared" si="338"/>
        <v>0</v>
      </c>
      <c r="Z599" s="53">
        <f t="shared" si="339"/>
        <v>0</v>
      </c>
      <c r="AB599" s="53">
        <f t="shared" si="328"/>
        <v>0</v>
      </c>
      <c r="AC599" s="53">
        <f t="shared" si="329"/>
        <v>0</v>
      </c>
      <c r="AD599" s="53">
        <f t="shared" si="330"/>
        <v>0</v>
      </c>
      <c r="AE599" s="53">
        <f t="shared" si="331"/>
        <v>0</v>
      </c>
      <c r="AF599" s="53">
        <f t="shared" si="332"/>
        <v>0</v>
      </c>
    </row>
    <row r="600" spans="2:32">
      <c r="B600" s="43" t="str">
        <f t="shared" si="320"/>
        <v>Asset 64</v>
      </c>
      <c r="F600" s="43" t="str">
        <f t="shared" ref="F600:L600" si="399">F104</f>
        <v>06 Utiliteitsgebouwen</v>
      </c>
      <c r="G600" s="43">
        <f t="shared" si="399"/>
        <v>1994</v>
      </c>
      <c r="H600" s="48">
        <f t="shared" si="399"/>
        <v>326095.09000000003</v>
      </c>
      <c r="I600" s="43">
        <f t="shared" si="399"/>
        <v>2021</v>
      </c>
      <c r="J600" s="43">
        <f t="shared" si="399"/>
        <v>30</v>
      </c>
      <c r="K600" s="43">
        <f t="shared" si="399"/>
        <v>0</v>
      </c>
      <c r="L600" s="48">
        <f t="shared" si="399"/>
        <v>45606.0937185246</v>
      </c>
      <c r="N600" s="44">
        <f t="shared" si="321"/>
        <v>2.5</v>
      </c>
      <c r="P600" s="49">
        <f t="shared" si="353"/>
        <v>18242.437487409839</v>
      </c>
      <c r="Q600" s="49">
        <f t="shared" si="353"/>
        <v>18242.437487409839</v>
      </c>
      <c r="R600" s="49">
        <f t="shared" si="353"/>
        <v>9121.2187437049197</v>
      </c>
      <c r="S600" s="49">
        <f t="shared" si="353"/>
        <v>0</v>
      </c>
      <c r="T600" s="49">
        <f t="shared" si="353"/>
        <v>0</v>
      </c>
      <c r="V600" s="53">
        <f t="shared" si="335"/>
        <v>27363.656231114761</v>
      </c>
      <c r="W600" s="53">
        <f t="shared" si="336"/>
        <v>9121.2187437049215</v>
      </c>
      <c r="X600" s="53">
        <f t="shared" si="337"/>
        <v>1.8189894035458565E-12</v>
      </c>
      <c r="Y600" s="53">
        <f t="shared" si="338"/>
        <v>0</v>
      </c>
      <c r="Z600" s="53">
        <f t="shared" si="339"/>
        <v>0</v>
      </c>
      <c r="AB600" s="53">
        <f t="shared" si="328"/>
        <v>19090.710830574397</v>
      </c>
      <c r="AC600" s="53">
        <f t="shared" si="329"/>
        <v>18516.074049720988</v>
      </c>
      <c r="AD600" s="53">
        <f t="shared" si="330"/>
        <v>9121.2187437049197</v>
      </c>
      <c r="AE600" s="53">
        <f t="shared" si="331"/>
        <v>0</v>
      </c>
      <c r="AF600" s="53">
        <f t="shared" si="332"/>
        <v>0</v>
      </c>
    </row>
    <row r="601" spans="2:32">
      <c r="B601" s="43" t="str">
        <f t="shared" si="320"/>
        <v>Asset 65</v>
      </c>
      <c r="F601" s="43" t="str">
        <f t="shared" ref="F601:L601" si="400">F105</f>
        <v>05 Wegen en terreinvoorzieningen</v>
      </c>
      <c r="G601" s="43">
        <f t="shared" si="400"/>
        <v>1993</v>
      </c>
      <c r="H601" s="48">
        <f t="shared" si="400"/>
        <v>174007.47</v>
      </c>
      <c r="I601" s="43">
        <f t="shared" si="400"/>
        <v>2021</v>
      </c>
      <c r="J601" s="43">
        <f t="shared" si="400"/>
        <v>10</v>
      </c>
      <c r="K601" s="43">
        <f t="shared" si="400"/>
        <v>0</v>
      </c>
      <c r="L601" s="48">
        <f t="shared" si="400"/>
        <v>0</v>
      </c>
      <c r="N601" s="44">
        <f t="shared" si="321"/>
        <v>0</v>
      </c>
      <c r="P601" s="49">
        <f t="shared" si="353"/>
        <v>0</v>
      </c>
      <c r="Q601" s="49">
        <f t="shared" si="353"/>
        <v>0</v>
      </c>
      <c r="R601" s="49">
        <f t="shared" si="353"/>
        <v>0</v>
      </c>
      <c r="S601" s="49">
        <f t="shared" si="353"/>
        <v>0</v>
      </c>
      <c r="T601" s="49">
        <f t="shared" si="353"/>
        <v>0</v>
      </c>
      <c r="V601" s="53">
        <f t="shared" si="335"/>
        <v>0</v>
      </c>
      <c r="W601" s="53">
        <f t="shared" si="336"/>
        <v>0</v>
      </c>
      <c r="X601" s="53">
        <f t="shared" si="337"/>
        <v>0</v>
      </c>
      <c r="Y601" s="53">
        <f t="shared" si="338"/>
        <v>0</v>
      </c>
      <c r="Z601" s="53">
        <f t="shared" si="339"/>
        <v>0</v>
      </c>
      <c r="AB601" s="53">
        <f t="shared" si="328"/>
        <v>0</v>
      </c>
      <c r="AC601" s="53">
        <f t="shared" si="329"/>
        <v>0</v>
      </c>
      <c r="AD601" s="53">
        <f t="shared" si="330"/>
        <v>0</v>
      </c>
      <c r="AE601" s="53">
        <f t="shared" si="331"/>
        <v>0</v>
      </c>
      <c r="AF601" s="53">
        <f t="shared" si="332"/>
        <v>0</v>
      </c>
    </row>
    <row r="602" spans="2:32">
      <c r="B602" s="43" t="str">
        <f t="shared" ref="B602:B665" si="401">B106</f>
        <v>Asset 66</v>
      </c>
      <c r="F602" s="43" t="str">
        <f t="shared" ref="F602:L602" si="402">F106</f>
        <v>20 Kantoorgebouwen</v>
      </c>
      <c r="G602" s="43">
        <f t="shared" si="402"/>
        <v>1991</v>
      </c>
      <c r="H602" s="48">
        <f t="shared" si="402"/>
        <v>475302.12</v>
      </c>
      <c r="I602" s="43">
        <f t="shared" si="402"/>
        <v>2021</v>
      </c>
      <c r="J602" s="43">
        <f t="shared" si="402"/>
        <v>30</v>
      </c>
      <c r="K602" s="43">
        <f t="shared" si="402"/>
        <v>0</v>
      </c>
      <c r="L602" s="48">
        <f t="shared" si="402"/>
        <v>0</v>
      </c>
      <c r="N602" s="44">
        <f t="shared" ref="N602:N665" si="403">MAX(0,IF(G602&lt;=2021, J602-2021+G602-0.5,J602))</f>
        <v>0</v>
      </c>
      <c r="P602" s="49">
        <f t="shared" si="353"/>
        <v>0</v>
      </c>
      <c r="Q602" s="49">
        <f t="shared" si="353"/>
        <v>0</v>
      </c>
      <c r="R602" s="49">
        <f t="shared" si="353"/>
        <v>0</v>
      </c>
      <c r="S602" s="49">
        <f t="shared" si="353"/>
        <v>0</v>
      </c>
      <c r="T602" s="49">
        <f t="shared" si="353"/>
        <v>0</v>
      </c>
      <c r="V602" s="53">
        <f t="shared" si="335"/>
        <v>0</v>
      </c>
      <c r="W602" s="53">
        <f t="shared" si="336"/>
        <v>0</v>
      </c>
      <c r="X602" s="53">
        <f t="shared" si="337"/>
        <v>0</v>
      </c>
      <c r="Y602" s="53">
        <f t="shared" si="338"/>
        <v>0</v>
      </c>
      <c r="Z602" s="53">
        <f t="shared" si="339"/>
        <v>0</v>
      </c>
      <c r="AB602" s="53">
        <f t="shared" ref="AB602:AB665" si="404">(P602+V602*I$16)*IF($K602=1,$F$19,1)</f>
        <v>0</v>
      </c>
      <c r="AC602" s="53">
        <f t="shared" ref="AC602:AC665" si="405">(Q602+W602*J$16)*IF($K602=1,$F$19,1)</f>
        <v>0</v>
      </c>
      <c r="AD602" s="53">
        <f t="shared" ref="AD602:AD665" si="406">(R602+X602*K$16)*IF($K602=1,$F$19,1)</f>
        <v>0</v>
      </c>
      <c r="AE602" s="53">
        <f t="shared" ref="AE602:AE665" si="407">(S602+Y602*L$16)*IF($K602=1,$F$19,1)</f>
        <v>0</v>
      </c>
      <c r="AF602" s="53">
        <f t="shared" ref="AF602:AF665" si="408">(T602+Z602*M$16)*IF($K602=1,$F$19,1)</f>
        <v>0</v>
      </c>
    </row>
    <row r="603" spans="2:32">
      <c r="B603" s="43" t="str">
        <f t="shared" si="401"/>
        <v>Asset 67</v>
      </c>
      <c r="F603" s="43" t="str">
        <f t="shared" ref="F603:L603" si="409">F107</f>
        <v>08 Inrichting gebouwen</v>
      </c>
      <c r="G603" s="43">
        <f t="shared" si="409"/>
        <v>1995</v>
      </c>
      <c r="H603" s="48">
        <f t="shared" si="409"/>
        <v>365539.92999999993</v>
      </c>
      <c r="I603" s="43">
        <f t="shared" si="409"/>
        <v>2021</v>
      </c>
      <c r="J603" s="43">
        <f t="shared" si="409"/>
        <v>10</v>
      </c>
      <c r="K603" s="43">
        <f t="shared" si="409"/>
        <v>0</v>
      </c>
      <c r="L603" s="48">
        <f t="shared" si="409"/>
        <v>0</v>
      </c>
      <c r="N603" s="44">
        <f t="shared" si="403"/>
        <v>0</v>
      </c>
      <c r="P603" s="49">
        <f t="shared" si="353"/>
        <v>0</v>
      </c>
      <c r="Q603" s="49">
        <f t="shared" si="353"/>
        <v>0</v>
      </c>
      <c r="R603" s="49">
        <f t="shared" si="353"/>
        <v>0</v>
      </c>
      <c r="S603" s="49">
        <f t="shared" si="353"/>
        <v>0</v>
      </c>
      <c r="T603" s="49">
        <f t="shared" si="353"/>
        <v>0</v>
      </c>
      <c r="V603" s="53">
        <f t="shared" si="335"/>
        <v>0</v>
      </c>
      <c r="W603" s="53">
        <f t="shared" si="336"/>
        <v>0</v>
      </c>
      <c r="X603" s="53">
        <f t="shared" si="337"/>
        <v>0</v>
      </c>
      <c r="Y603" s="53">
        <f t="shared" si="338"/>
        <v>0</v>
      </c>
      <c r="Z603" s="53">
        <f t="shared" si="339"/>
        <v>0</v>
      </c>
      <c r="AB603" s="53">
        <f t="shared" si="404"/>
        <v>0</v>
      </c>
      <c r="AC603" s="53">
        <f t="shared" si="405"/>
        <v>0</v>
      </c>
      <c r="AD603" s="53">
        <f t="shared" si="406"/>
        <v>0</v>
      </c>
      <c r="AE603" s="53">
        <f t="shared" si="407"/>
        <v>0</v>
      </c>
      <c r="AF603" s="53">
        <f t="shared" si="408"/>
        <v>0</v>
      </c>
    </row>
    <row r="604" spans="2:32">
      <c r="B604" s="43" t="str">
        <f t="shared" si="401"/>
        <v>Asset 68</v>
      </c>
      <c r="F604" s="43" t="str">
        <f t="shared" ref="F604:L604" si="410">F108</f>
        <v>08 Inrichting gebouwen</v>
      </c>
      <c r="G604" s="43">
        <f t="shared" si="410"/>
        <v>1994</v>
      </c>
      <c r="H604" s="48">
        <f t="shared" si="410"/>
        <v>6615395.4499999993</v>
      </c>
      <c r="I604" s="43">
        <f t="shared" si="410"/>
        <v>2021</v>
      </c>
      <c r="J604" s="43">
        <f t="shared" si="410"/>
        <v>10</v>
      </c>
      <c r="K604" s="43">
        <f t="shared" si="410"/>
        <v>0</v>
      </c>
      <c r="L604" s="48">
        <f t="shared" si="410"/>
        <v>0</v>
      </c>
      <c r="N604" s="44">
        <f t="shared" si="403"/>
        <v>0</v>
      </c>
      <c r="P604" s="49">
        <f t="shared" si="353"/>
        <v>0</v>
      </c>
      <c r="Q604" s="49">
        <f t="shared" si="353"/>
        <v>0</v>
      </c>
      <c r="R604" s="49">
        <f t="shared" si="353"/>
        <v>0</v>
      </c>
      <c r="S604" s="49">
        <f t="shared" si="353"/>
        <v>0</v>
      </c>
      <c r="T604" s="49">
        <f t="shared" si="353"/>
        <v>0</v>
      </c>
      <c r="V604" s="53">
        <f t="shared" si="335"/>
        <v>0</v>
      </c>
      <c r="W604" s="53">
        <f t="shared" si="336"/>
        <v>0</v>
      </c>
      <c r="X604" s="53">
        <f t="shared" si="337"/>
        <v>0</v>
      </c>
      <c r="Y604" s="53">
        <f t="shared" si="338"/>
        <v>0</v>
      </c>
      <c r="Z604" s="53">
        <f t="shared" si="339"/>
        <v>0</v>
      </c>
      <c r="AB604" s="53">
        <f t="shared" si="404"/>
        <v>0</v>
      </c>
      <c r="AC604" s="53">
        <f t="shared" si="405"/>
        <v>0</v>
      </c>
      <c r="AD604" s="53">
        <f t="shared" si="406"/>
        <v>0</v>
      </c>
      <c r="AE604" s="53">
        <f t="shared" si="407"/>
        <v>0</v>
      </c>
      <c r="AF604" s="53">
        <f t="shared" si="408"/>
        <v>0</v>
      </c>
    </row>
    <row r="605" spans="2:32">
      <c r="B605" s="43" t="str">
        <f t="shared" si="401"/>
        <v>Asset 69</v>
      </c>
      <c r="F605" s="43" t="str">
        <f t="shared" ref="F605:L605" si="411">F109</f>
        <v>20 Kantoorgebouwen</v>
      </c>
      <c r="G605" s="43">
        <f t="shared" si="411"/>
        <v>1998</v>
      </c>
      <c r="H605" s="48">
        <f t="shared" si="411"/>
        <v>789493.11</v>
      </c>
      <c r="I605" s="43">
        <f t="shared" si="411"/>
        <v>2021</v>
      </c>
      <c r="J605" s="43">
        <f t="shared" si="411"/>
        <v>30</v>
      </c>
      <c r="K605" s="43">
        <f t="shared" si="411"/>
        <v>0</v>
      </c>
      <c r="L605" s="48">
        <f t="shared" si="411"/>
        <v>263672.8175889462</v>
      </c>
      <c r="N605" s="44">
        <f t="shared" si="403"/>
        <v>6.5</v>
      </c>
      <c r="P605" s="49">
        <f t="shared" ref="P605:T655" si="412">IF(P$535&lt;=$G605+$J605,VDB($L605,0,$N605,P$535-2022,MIN(P$535-2021,$N605),1),0)</f>
        <v>40565.04885983788</v>
      </c>
      <c r="Q605" s="49">
        <f t="shared" si="412"/>
        <v>40565.04885983788</v>
      </c>
      <c r="R605" s="49">
        <f t="shared" si="412"/>
        <v>40565.04885983788</v>
      </c>
      <c r="S605" s="49">
        <f t="shared" si="412"/>
        <v>40565.04885983788</v>
      </c>
      <c r="T605" s="49">
        <f t="shared" si="412"/>
        <v>40565.04885983788</v>
      </c>
      <c r="V605" s="53">
        <f t="shared" ref="V605:V668" si="413">IF(OR(V$535&lt;=$G605+$J605,$J605=0),IF(U605=0,$L605,U605)-P605,0)</f>
        <v>223107.76872910833</v>
      </c>
      <c r="W605" s="53">
        <f t="shared" ref="W605:W668" si="414">IF(OR(W$535&lt;=$G605+$J605,$J605=0),IF(V605=0,$L605,V605)-Q605,0)</f>
        <v>182542.71986927046</v>
      </c>
      <c r="X605" s="53">
        <f t="shared" ref="X605:X668" si="415">IF(OR(X$535&lt;=$G605+$J605,$J605=0),IF(W605=0,$L605,W605)-R605,0)</f>
        <v>141977.67100943258</v>
      </c>
      <c r="Y605" s="53">
        <f t="shared" ref="Y605:Y668" si="416">IF(OR(Y$535&lt;=$G605+$J605,$J605=0),IF(X605=0,$L605,X605)-S605,0)</f>
        <v>101412.62214959471</v>
      </c>
      <c r="Z605" s="53">
        <f t="shared" ref="Z605:Z668" si="417">IF(OR(Z$535&lt;=$G605+$J605,$J605=0),IF(Y605=0,$L605,Y605)-T605,0)</f>
        <v>60847.57328975683</v>
      </c>
      <c r="AB605" s="53">
        <f t="shared" si="404"/>
        <v>47481.389690440235</v>
      </c>
      <c r="AC605" s="53">
        <f t="shared" si="405"/>
        <v>46041.330455915995</v>
      </c>
      <c r="AD605" s="53">
        <f t="shared" si="406"/>
        <v>44824.378990120858</v>
      </c>
      <c r="AE605" s="53">
        <f t="shared" si="407"/>
        <v>43607.427524325722</v>
      </c>
      <c r="AF605" s="53">
        <f t="shared" si="408"/>
        <v>42390.476058530585</v>
      </c>
    </row>
    <row r="606" spans="2:32">
      <c r="B606" s="43" t="str">
        <f t="shared" si="401"/>
        <v>Asset 70</v>
      </c>
      <c r="F606" s="43" t="str">
        <f t="shared" ref="F606:L606" si="418">F110</f>
        <v>20 Kantoorgebouwen</v>
      </c>
      <c r="G606" s="43">
        <f t="shared" si="418"/>
        <v>1995</v>
      </c>
      <c r="H606" s="48">
        <f t="shared" si="418"/>
        <v>93310335.520000011</v>
      </c>
      <c r="I606" s="43">
        <f t="shared" si="418"/>
        <v>2021</v>
      </c>
      <c r="J606" s="43">
        <f t="shared" si="418"/>
        <v>30</v>
      </c>
      <c r="K606" s="43">
        <f t="shared" si="418"/>
        <v>0</v>
      </c>
      <c r="L606" s="48">
        <f t="shared" si="418"/>
        <v>17806929.596040629</v>
      </c>
      <c r="N606" s="44">
        <f t="shared" si="403"/>
        <v>3.5</v>
      </c>
      <c r="P606" s="49">
        <f t="shared" si="412"/>
        <v>5087694.1702973228</v>
      </c>
      <c r="Q606" s="49">
        <f t="shared" si="412"/>
        <v>5087694.1702973228</v>
      </c>
      <c r="R606" s="49">
        <f t="shared" si="412"/>
        <v>5087694.1702973228</v>
      </c>
      <c r="S606" s="49">
        <f t="shared" si="412"/>
        <v>2543847.0851486614</v>
      </c>
      <c r="T606" s="49">
        <f t="shared" si="412"/>
        <v>0</v>
      </c>
      <c r="V606" s="53">
        <f t="shared" si="413"/>
        <v>12719235.425743306</v>
      </c>
      <c r="W606" s="53">
        <f t="shared" si="414"/>
        <v>7631541.2554459833</v>
      </c>
      <c r="X606" s="53">
        <f t="shared" si="415"/>
        <v>2543847.0851486605</v>
      </c>
      <c r="Y606" s="53">
        <f t="shared" si="416"/>
        <v>-9.3132257461547852E-10</v>
      </c>
      <c r="Z606" s="53">
        <f t="shared" si="417"/>
        <v>0</v>
      </c>
      <c r="AB606" s="53">
        <f t="shared" si="404"/>
        <v>5481990.4684953652</v>
      </c>
      <c r="AC606" s="53">
        <f t="shared" si="405"/>
        <v>5316640.4079607027</v>
      </c>
      <c r="AD606" s="53">
        <f t="shared" si="406"/>
        <v>5164009.5828517824</v>
      </c>
      <c r="AE606" s="53">
        <f t="shared" si="407"/>
        <v>2543847.0851486614</v>
      </c>
      <c r="AF606" s="53">
        <f t="shared" si="408"/>
        <v>0</v>
      </c>
    </row>
    <row r="607" spans="2:32">
      <c r="B607" s="43" t="str">
        <f t="shared" si="401"/>
        <v>Asset 71</v>
      </c>
      <c r="F607" s="43" t="str">
        <f t="shared" ref="F607:L607" si="419">F111</f>
        <v>09 Bedrijfsinventaris</v>
      </c>
      <c r="G607" s="43">
        <f t="shared" si="419"/>
        <v>1997</v>
      </c>
      <c r="H607" s="48">
        <f t="shared" si="419"/>
        <v>3767.74</v>
      </c>
      <c r="I607" s="43">
        <f t="shared" si="419"/>
        <v>2021</v>
      </c>
      <c r="J607" s="43">
        <f t="shared" si="419"/>
        <v>10</v>
      </c>
      <c r="K607" s="43">
        <f t="shared" si="419"/>
        <v>1</v>
      </c>
      <c r="L607" s="48">
        <f t="shared" si="419"/>
        <v>0</v>
      </c>
      <c r="N607" s="44">
        <f t="shared" si="403"/>
        <v>0</v>
      </c>
      <c r="P607" s="49">
        <f t="shared" si="412"/>
        <v>0</v>
      </c>
      <c r="Q607" s="49">
        <f t="shared" si="412"/>
        <v>0</v>
      </c>
      <c r="R607" s="49">
        <f t="shared" si="412"/>
        <v>0</v>
      </c>
      <c r="S607" s="49">
        <f t="shared" si="412"/>
        <v>0</v>
      </c>
      <c r="T607" s="49">
        <f t="shared" si="412"/>
        <v>0</v>
      </c>
      <c r="V607" s="53">
        <f t="shared" si="413"/>
        <v>0</v>
      </c>
      <c r="W607" s="53">
        <f t="shared" si="414"/>
        <v>0</v>
      </c>
      <c r="X607" s="53">
        <f t="shared" si="415"/>
        <v>0</v>
      </c>
      <c r="Y607" s="53">
        <f t="shared" si="416"/>
        <v>0</v>
      </c>
      <c r="Z607" s="53">
        <f t="shared" si="417"/>
        <v>0</v>
      </c>
      <c r="AB607" s="53">
        <f t="shared" si="404"/>
        <v>0</v>
      </c>
      <c r="AC607" s="53">
        <f t="shared" si="405"/>
        <v>0</v>
      </c>
      <c r="AD607" s="53">
        <f t="shared" si="406"/>
        <v>0</v>
      </c>
      <c r="AE607" s="53">
        <f t="shared" si="407"/>
        <v>0</v>
      </c>
      <c r="AF607" s="53">
        <f t="shared" si="408"/>
        <v>0</v>
      </c>
    </row>
    <row r="608" spans="2:32">
      <c r="B608" s="43" t="str">
        <f t="shared" si="401"/>
        <v>Asset 72</v>
      </c>
      <c r="F608" s="43" t="str">
        <f t="shared" ref="F608:L608" si="420">F112</f>
        <v>08 Inrichting gebouwen</v>
      </c>
      <c r="G608" s="43">
        <f t="shared" si="420"/>
        <v>2002</v>
      </c>
      <c r="H608" s="48">
        <f t="shared" si="420"/>
        <v>257167.26</v>
      </c>
      <c r="I608" s="43">
        <f t="shared" si="420"/>
        <v>2021</v>
      </c>
      <c r="J608" s="43">
        <f t="shared" si="420"/>
        <v>10</v>
      </c>
      <c r="K608" s="43">
        <f t="shared" si="420"/>
        <v>0</v>
      </c>
      <c r="L608" s="48">
        <f t="shared" si="420"/>
        <v>0</v>
      </c>
      <c r="N608" s="44">
        <f t="shared" si="403"/>
        <v>0</v>
      </c>
      <c r="P608" s="49">
        <f t="shared" si="412"/>
        <v>0</v>
      </c>
      <c r="Q608" s="49">
        <f t="shared" si="412"/>
        <v>0</v>
      </c>
      <c r="R608" s="49">
        <f t="shared" si="412"/>
        <v>0</v>
      </c>
      <c r="S608" s="49">
        <f t="shared" si="412"/>
        <v>0</v>
      </c>
      <c r="T608" s="49">
        <f t="shared" si="412"/>
        <v>0</v>
      </c>
      <c r="V608" s="53">
        <f t="shared" si="413"/>
        <v>0</v>
      </c>
      <c r="W608" s="53">
        <f t="shared" si="414"/>
        <v>0</v>
      </c>
      <c r="X608" s="53">
        <f t="shared" si="415"/>
        <v>0</v>
      </c>
      <c r="Y608" s="53">
        <f t="shared" si="416"/>
        <v>0</v>
      </c>
      <c r="Z608" s="53">
        <f t="shared" si="417"/>
        <v>0</v>
      </c>
      <c r="AB608" s="53">
        <f t="shared" si="404"/>
        <v>0</v>
      </c>
      <c r="AC608" s="53">
        <f t="shared" si="405"/>
        <v>0</v>
      </c>
      <c r="AD608" s="53">
        <f t="shared" si="406"/>
        <v>0</v>
      </c>
      <c r="AE608" s="53">
        <f t="shared" si="407"/>
        <v>0</v>
      </c>
      <c r="AF608" s="53">
        <f t="shared" si="408"/>
        <v>0</v>
      </c>
    </row>
    <row r="609" spans="2:32">
      <c r="B609" s="43" t="str">
        <f t="shared" si="401"/>
        <v>Asset 73</v>
      </c>
      <c r="F609" s="43" t="str">
        <f t="shared" ref="F609:L609" si="421">F113</f>
        <v>20 Kantoorgebouwen</v>
      </c>
      <c r="G609" s="43">
        <f t="shared" si="421"/>
        <v>1997</v>
      </c>
      <c r="H609" s="48">
        <f t="shared" si="421"/>
        <v>9956.39</v>
      </c>
      <c r="I609" s="43">
        <f t="shared" si="421"/>
        <v>2021</v>
      </c>
      <c r="J609" s="43">
        <f t="shared" si="421"/>
        <v>30</v>
      </c>
      <c r="K609" s="43">
        <f t="shared" si="421"/>
        <v>0</v>
      </c>
      <c r="L609" s="48">
        <f t="shared" si="421"/>
        <v>2886.7927731398736</v>
      </c>
      <c r="N609" s="44">
        <f t="shared" si="403"/>
        <v>5.5</v>
      </c>
      <c r="P609" s="49">
        <f t="shared" si="412"/>
        <v>524.87141329815881</v>
      </c>
      <c r="Q609" s="49">
        <f t="shared" si="412"/>
        <v>524.87141329815881</v>
      </c>
      <c r="R609" s="49">
        <f t="shared" si="412"/>
        <v>524.87141329815881</v>
      </c>
      <c r="S609" s="49">
        <f t="shared" si="412"/>
        <v>524.87141329815881</v>
      </c>
      <c r="T609" s="49">
        <f t="shared" si="412"/>
        <v>524.87141329815881</v>
      </c>
      <c r="V609" s="53">
        <f t="shared" si="413"/>
        <v>2361.9213598417145</v>
      </c>
      <c r="W609" s="53">
        <f t="shared" si="414"/>
        <v>1837.0499465435557</v>
      </c>
      <c r="X609" s="53">
        <f t="shared" si="415"/>
        <v>1312.1785332453969</v>
      </c>
      <c r="Y609" s="53">
        <f t="shared" si="416"/>
        <v>787.30711994723811</v>
      </c>
      <c r="Z609" s="53">
        <f t="shared" si="417"/>
        <v>262.43570664907929</v>
      </c>
      <c r="AB609" s="53">
        <f t="shared" si="404"/>
        <v>598.09097545325199</v>
      </c>
      <c r="AC609" s="53">
        <f t="shared" si="405"/>
        <v>579.98291169446543</v>
      </c>
      <c r="AD609" s="53">
        <f t="shared" si="406"/>
        <v>564.23676929552073</v>
      </c>
      <c r="AE609" s="53">
        <f t="shared" si="407"/>
        <v>548.49062689657592</v>
      </c>
      <c r="AF609" s="53">
        <f t="shared" si="408"/>
        <v>532.74448449763122</v>
      </c>
    </row>
    <row r="610" spans="2:32">
      <c r="B610" s="43" t="str">
        <f t="shared" si="401"/>
        <v>Asset 74</v>
      </c>
      <c r="F610" s="43" t="str">
        <f t="shared" ref="F610:L610" si="422">F114</f>
        <v>09 Bedrijfsinventaris</v>
      </c>
      <c r="G610" s="43">
        <f t="shared" si="422"/>
        <v>2002</v>
      </c>
      <c r="H610" s="48">
        <f t="shared" si="422"/>
        <v>259859.76</v>
      </c>
      <c r="I610" s="43">
        <f t="shared" si="422"/>
        <v>2021</v>
      </c>
      <c r="J610" s="43">
        <f t="shared" si="422"/>
        <v>10</v>
      </c>
      <c r="K610" s="43">
        <f t="shared" si="422"/>
        <v>1</v>
      </c>
      <c r="L610" s="48">
        <f t="shared" si="422"/>
        <v>0</v>
      </c>
      <c r="N610" s="44">
        <f t="shared" si="403"/>
        <v>0</v>
      </c>
      <c r="P610" s="49">
        <f t="shared" si="412"/>
        <v>0</v>
      </c>
      <c r="Q610" s="49">
        <f t="shared" si="412"/>
        <v>0</v>
      </c>
      <c r="R610" s="49">
        <f t="shared" si="412"/>
        <v>0</v>
      </c>
      <c r="S610" s="49">
        <f t="shared" si="412"/>
        <v>0</v>
      </c>
      <c r="T610" s="49">
        <f t="shared" si="412"/>
        <v>0</v>
      </c>
      <c r="V610" s="53">
        <f t="shared" si="413"/>
        <v>0</v>
      </c>
      <c r="W610" s="53">
        <f t="shared" si="414"/>
        <v>0</v>
      </c>
      <c r="X610" s="53">
        <f t="shared" si="415"/>
        <v>0</v>
      </c>
      <c r="Y610" s="53">
        <f t="shared" si="416"/>
        <v>0</v>
      </c>
      <c r="Z610" s="53">
        <f t="shared" si="417"/>
        <v>0</v>
      </c>
      <c r="AB610" s="53">
        <f t="shared" si="404"/>
        <v>0</v>
      </c>
      <c r="AC610" s="53">
        <f t="shared" si="405"/>
        <v>0</v>
      </c>
      <c r="AD610" s="53">
        <f t="shared" si="406"/>
        <v>0</v>
      </c>
      <c r="AE610" s="53">
        <f t="shared" si="407"/>
        <v>0</v>
      </c>
      <c r="AF610" s="53">
        <f t="shared" si="408"/>
        <v>0</v>
      </c>
    </row>
    <row r="611" spans="2:32">
      <c r="B611" s="43" t="str">
        <f t="shared" si="401"/>
        <v>Asset 75</v>
      </c>
      <c r="F611" s="43" t="str">
        <f t="shared" ref="F611:L611" si="423">F115</f>
        <v>37 ICT middelen 1</v>
      </c>
      <c r="G611" s="43">
        <f t="shared" si="423"/>
        <v>1998</v>
      </c>
      <c r="H611" s="48">
        <f t="shared" si="423"/>
        <v>194674.43</v>
      </c>
      <c r="I611" s="43">
        <f t="shared" si="423"/>
        <v>2021</v>
      </c>
      <c r="J611" s="43">
        <f t="shared" si="423"/>
        <v>5</v>
      </c>
      <c r="K611" s="43">
        <f t="shared" si="423"/>
        <v>1</v>
      </c>
      <c r="L611" s="48">
        <f t="shared" si="423"/>
        <v>0</v>
      </c>
      <c r="N611" s="44">
        <f t="shared" si="403"/>
        <v>0</v>
      </c>
      <c r="P611" s="49">
        <f t="shared" si="412"/>
        <v>0</v>
      </c>
      <c r="Q611" s="49">
        <f t="shared" si="412"/>
        <v>0</v>
      </c>
      <c r="R611" s="49">
        <f t="shared" si="412"/>
        <v>0</v>
      </c>
      <c r="S611" s="49">
        <f t="shared" si="412"/>
        <v>0</v>
      </c>
      <c r="T611" s="49">
        <f t="shared" si="412"/>
        <v>0</v>
      </c>
      <c r="V611" s="53">
        <f t="shared" si="413"/>
        <v>0</v>
      </c>
      <c r="W611" s="53">
        <f t="shared" si="414"/>
        <v>0</v>
      </c>
      <c r="X611" s="53">
        <f t="shared" si="415"/>
        <v>0</v>
      </c>
      <c r="Y611" s="53">
        <f t="shared" si="416"/>
        <v>0</v>
      </c>
      <c r="Z611" s="53">
        <f t="shared" si="417"/>
        <v>0</v>
      </c>
      <c r="AB611" s="53">
        <f t="shared" si="404"/>
        <v>0</v>
      </c>
      <c r="AC611" s="53">
        <f t="shared" si="405"/>
        <v>0</v>
      </c>
      <c r="AD611" s="53">
        <f t="shared" si="406"/>
        <v>0</v>
      </c>
      <c r="AE611" s="53">
        <f t="shared" si="407"/>
        <v>0</v>
      </c>
      <c r="AF611" s="53">
        <f t="shared" si="408"/>
        <v>0</v>
      </c>
    </row>
    <row r="612" spans="2:32">
      <c r="B612" s="43" t="str">
        <f t="shared" si="401"/>
        <v>Asset 76</v>
      </c>
      <c r="F612" s="43" t="str">
        <f t="shared" ref="F612:L612" si="424">F116</f>
        <v>13 Aanhangwagens</v>
      </c>
      <c r="G612" s="43">
        <f t="shared" si="424"/>
        <v>2000</v>
      </c>
      <c r="H612" s="48">
        <f t="shared" si="424"/>
        <v>5437.76</v>
      </c>
      <c r="I612" s="43">
        <f t="shared" si="424"/>
        <v>2021</v>
      </c>
      <c r="J612" s="43">
        <f t="shared" si="424"/>
        <v>10</v>
      </c>
      <c r="K612" s="43">
        <f t="shared" si="424"/>
        <v>1</v>
      </c>
      <c r="L612" s="48">
        <f t="shared" si="424"/>
        <v>0</v>
      </c>
      <c r="N612" s="44">
        <f t="shared" si="403"/>
        <v>0</v>
      </c>
      <c r="P612" s="49">
        <f t="shared" si="412"/>
        <v>0</v>
      </c>
      <c r="Q612" s="49">
        <f t="shared" si="412"/>
        <v>0</v>
      </c>
      <c r="R612" s="49">
        <f t="shared" si="412"/>
        <v>0</v>
      </c>
      <c r="S612" s="49">
        <f t="shared" si="412"/>
        <v>0</v>
      </c>
      <c r="T612" s="49">
        <f t="shared" si="412"/>
        <v>0</v>
      </c>
      <c r="V612" s="53">
        <f t="shared" si="413"/>
        <v>0</v>
      </c>
      <c r="W612" s="53">
        <f t="shared" si="414"/>
        <v>0</v>
      </c>
      <c r="X612" s="53">
        <f t="shared" si="415"/>
        <v>0</v>
      </c>
      <c r="Y612" s="53">
        <f t="shared" si="416"/>
        <v>0</v>
      </c>
      <c r="Z612" s="53">
        <f t="shared" si="417"/>
        <v>0</v>
      </c>
      <c r="AB612" s="53">
        <f t="shared" si="404"/>
        <v>0</v>
      </c>
      <c r="AC612" s="53">
        <f t="shared" si="405"/>
        <v>0</v>
      </c>
      <c r="AD612" s="53">
        <f t="shared" si="406"/>
        <v>0</v>
      </c>
      <c r="AE612" s="53">
        <f t="shared" si="407"/>
        <v>0</v>
      </c>
      <c r="AF612" s="53">
        <f t="shared" si="408"/>
        <v>0</v>
      </c>
    </row>
    <row r="613" spans="2:32">
      <c r="B613" s="43" t="str">
        <f t="shared" si="401"/>
        <v>Asset 77</v>
      </c>
      <c r="F613" s="43" t="str">
        <f t="shared" ref="F613:L613" si="425">F117</f>
        <v>09 Bedrijfsinventaris</v>
      </c>
      <c r="G613" s="43">
        <f t="shared" si="425"/>
        <v>1998</v>
      </c>
      <c r="H613" s="48">
        <f t="shared" si="425"/>
        <v>159402.09</v>
      </c>
      <c r="I613" s="43">
        <f t="shared" si="425"/>
        <v>2021</v>
      </c>
      <c r="J613" s="43">
        <f t="shared" si="425"/>
        <v>10</v>
      </c>
      <c r="K613" s="43">
        <f t="shared" si="425"/>
        <v>1</v>
      </c>
      <c r="L613" s="48">
        <f t="shared" si="425"/>
        <v>0</v>
      </c>
      <c r="N613" s="44">
        <f t="shared" si="403"/>
        <v>0</v>
      </c>
      <c r="P613" s="49">
        <f t="shared" si="412"/>
        <v>0</v>
      </c>
      <c r="Q613" s="49">
        <f t="shared" si="412"/>
        <v>0</v>
      </c>
      <c r="R613" s="49">
        <f t="shared" si="412"/>
        <v>0</v>
      </c>
      <c r="S613" s="49">
        <f t="shared" si="412"/>
        <v>0</v>
      </c>
      <c r="T613" s="49">
        <f t="shared" si="412"/>
        <v>0</v>
      </c>
      <c r="V613" s="53">
        <f t="shared" si="413"/>
        <v>0</v>
      </c>
      <c r="W613" s="53">
        <f t="shared" si="414"/>
        <v>0</v>
      </c>
      <c r="X613" s="53">
        <f t="shared" si="415"/>
        <v>0</v>
      </c>
      <c r="Y613" s="53">
        <f t="shared" si="416"/>
        <v>0</v>
      </c>
      <c r="Z613" s="53">
        <f t="shared" si="417"/>
        <v>0</v>
      </c>
      <c r="AB613" s="53">
        <f t="shared" si="404"/>
        <v>0</v>
      </c>
      <c r="AC613" s="53">
        <f t="shared" si="405"/>
        <v>0</v>
      </c>
      <c r="AD613" s="53">
        <f t="shared" si="406"/>
        <v>0</v>
      </c>
      <c r="AE613" s="53">
        <f t="shared" si="407"/>
        <v>0</v>
      </c>
      <c r="AF613" s="53">
        <f t="shared" si="408"/>
        <v>0</v>
      </c>
    </row>
    <row r="614" spans="2:32">
      <c r="B614" s="43" t="str">
        <f t="shared" si="401"/>
        <v>Asset 78</v>
      </c>
      <c r="F614" s="43" t="str">
        <f t="shared" ref="F614:L614" si="426">F118</f>
        <v>08 Inrichting gebouwen</v>
      </c>
      <c r="G614" s="43">
        <f t="shared" si="426"/>
        <v>1998</v>
      </c>
      <c r="H614" s="48">
        <f t="shared" si="426"/>
        <v>120568.99000000002</v>
      </c>
      <c r="I614" s="43">
        <f t="shared" si="426"/>
        <v>2021</v>
      </c>
      <c r="J614" s="43">
        <f t="shared" si="426"/>
        <v>10</v>
      </c>
      <c r="K614" s="43">
        <f t="shared" si="426"/>
        <v>0</v>
      </c>
      <c r="L614" s="48">
        <f t="shared" si="426"/>
        <v>0</v>
      </c>
      <c r="N614" s="44">
        <f t="shared" si="403"/>
        <v>0</v>
      </c>
      <c r="P614" s="49">
        <f t="shared" si="412"/>
        <v>0</v>
      </c>
      <c r="Q614" s="49">
        <f t="shared" si="412"/>
        <v>0</v>
      </c>
      <c r="R614" s="49">
        <f t="shared" si="412"/>
        <v>0</v>
      </c>
      <c r="S614" s="49">
        <f t="shared" si="412"/>
        <v>0</v>
      </c>
      <c r="T614" s="49">
        <f t="shared" si="412"/>
        <v>0</v>
      </c>
      <c r="V614" s="53">
        <f t="shared" si="413"/>
        <v>0</v>
      </c>
      <c r="W614" s="53">
        <f t="shared" si="414"/>
        <v>0</v>
      </c>
      <c r="X614" s="53">
        <f t="shared" si="415"/>
        <v>0</v>
      </c>
      <c r="Y614" s="53">
        <f t="shared" si="416"/>
        <v>0</v>
      </c>
      <c r="Z614" s="53">
        <f t="shared" si="417"/>
        <v>0</v>
      </c>
      <c r="AB614" s="53">
        <f t="shared" si="404"/>
        <v>0</v>
      </c>
      <c r="AC614" s="53">
        <f t="shared" si="405"/>
        <v>0</v>
      </c>
      <c r="AD614" s="53">
        <f t="shared" si="406"/>
        <v>0</v>
      </c>
      <c r="AE614" s="53">
        <f t="shared" si="407"/>
        <v>0</v>
      </c>
      <c r="AF614" s="53">
        <f t="shared" si="408"/>
        <v>0</v>
      </c>
    </row>
    <row r="615" spans="2:32">
      <c r="B615" s="43" t="str">
        <f t="shared" si="401"/>
        <v>Asset 79</v>
      </c>
      <c r="F615" s="43" t="str">
        <f t="shared" ref="F615:L615" si="427">F119</f>
        <v>37 ICT middelen 1</v>
      </c>
      <c r="G615" s="43">
        <f t="shared" si="427"/>
        <v>2002</v>
      </c>
      <c r="H615" s="48">
        <f t="shared" si="427"/>
        <v>342396.39</v>
      </c>
      <c r="I615" s="43">
        <f t="shared" si="427"/>
        <v>2021</v>
      </c>
      <c r="J615" s="43">
        <f t="shared" si="427"/>
        <v>5</v>
      </c>
      <c r="K615" s="43">
        <f t="shared" si="427"/>
        <v>1</v>
      </c>
      <c r="L615" s="48">
        <f t="shared" si="427"/>
        <v>0</v>
      </c>
      <c r="N615" s="44">
        <f t="shared" si="403"/>
        <v>0</v>
      </c>
      <c r="P615" s="49">
        <f t="shared" si="412"/>
        <v>0</v>
      </c>
      <c r="Q615" s="49">
        <f t="shared" si="412"/>
        <v>0</v>
      </c>
      <c r="R615" s="49">
        <f t="shared" si="412"/>
        <v>0</v>
      </c>
      <c r="S615" s="49">
        <f t="shared" si="412"/>
        <v>0</v>
      </c>
      <c r="T615" s="49">
        <f t="shared" si="412"/>
        <v>0</v>
      </c>
      <c r="V615" s="53">
        <f t="shared" si="413"/>
        <v>0</v>
      </c>
      <c r="W615" s="53">
        <f t="shared" si="414"/>
        <v>0</v>
      </c>
      <c r="X615" s="53">
        <f t="shared" si="415"/>
        <v>0</v>
      </c>
      <c r="Y615" s="53">
        <f t="shared" si="416"/>
        <v>0</v>
      </c>
      <c r="Z615" s="53">
        <f t="shared" si="417"/>
        <v>0</v>
      </c>
      <c r="AB615" s="53">
        <f t="shared" si="404"/>
        <v>0</v>
      </c>
      <c r="AC615" s="53">
        <f t="shared" si="405"/>
        <v>0</v>
      </c>
      <c r="AD615" s="53">
        <f t="shared" si="406"/>
        <v>0</v>
      </c>
      <c r="AE615" s="53">
        <f t="shared" si="407"/>
        <v>0</v>
      </c>
      <c r="AF615" s="53">
        <f t="shared" si="408"/>
        <v>0</v>
      </c>
    </row>
    <row r="616" spans="2:32">
      <c r="B616" s="43" t="str">
        <f t="shared" si="401"/>
        <v>Asset 80</v>
      </c>
      <c r="F616" s="43" t="str">
        <f t="shared" ref="F616:L616" si="428">F120</f>
        <v>37 ICT middelen 1 (gaschromatografen en comptabele meting)</v>
      </c>
      <c r="G616" s="43">
        <f t="shared" si="428"/>
        <v>2000</v>
      </c>
      <c r="H616" s="48">
        <f t="shared" si="428"/>
        <v>717051.87</v>
      </c>
      <c r="I616" s="43">
        <f t="shared" si="428"/>
        <v>2021</v>
      </c>
      <c r="J616" s="43">
        <f t="shared" si="428"/>
        <v>5</v>
      </c>
      <c r="K616" s="43">
        <f t="shared" si="428"/>
        <v>0</v>
      </c>
      <c r="L616" s="48">
        <f t="shared" si="428"/>
        <v>0</v>
      </c>
      <c r="N616" s="44">
        <f t="shared" si="403"/>
        <v>0</v>
      </c>
      <c r="P616" s="49">
        <f t="shared" si="412"/>
        <v>0</v>
      </c>
      <c r="Q616" s="49">
        <f t="shared" si="412"/>
        <v>0</v>
      </c>
      <c r="R616" s="49">
        <f t="shared" si="412"/>
        <v>0</v>
      </c>
      <c r="S616" s="49">
        <f t="shared" si="412"/>
        <v>0</v>
      </c>
      <c r="T616" s="49">
        <f t="shared" si="412"/>
        <v>0</v>
      </c>
      <c r="V616" s="53">
        <f t="shared" si="413"/>
        <v>0</v>
      </c>
      <c r="W616" s="53">
        <f t="shared" si="414"/>
        <v>0</v>
      </c>
      <c r="X616" s="53">
        <f t="shared" si="415"/>
        <v>0</v>
      </c>
      <c r="Y616" s="53">
        <f t="shared" si="416"/>
        <v>0</v>
      </c>
      <c r="Z616" s="53">
        <f t="shared" si="417"/>
        <v>0</v>
      </c>
      <c r="AB616" s="53">
        <f t="shared" si="404"/>
        <v>0</v>
      </c>
      <c r="AC616" s="53">
        <f t="shared" si="405"/>
        <v>0</v>
      </c>
      <c r="AD616" s="53">
        <f t="shared" si="406"/>
        <v>0</v>
      </c>
      <c r="AE616" s="53">
        <f t="shared" si="407"/>
        <v>0</v>
      </c>
      <c r="AF616" s="53">
        <f t="shared" si="408"/>
        <v>0</v>
      </c>
    </row>
    <row r="617" spans="2:32">
      <c r="B617" s="43" t="str">
        <f t="shared" si="401"/>
        <v>Asset 81</v>
      </c>
      <c r="F617" s="43" t="str">
        <f t="shared" ref="F617:L617" si="429">F121</f>
        <v>09 Bedrijfsinventaris</v>
      </c>
      <c r="G617" s="43">
        <f t="shared" si="429"/>
        <v>1999</v>
      </c>
      <c r="H617" s="48">
        <f t="shared" si="429"/>
        <v>64305.72</v>
      </c>
      <c r="I617" s="43">
        <f t="shared" si="429"/>
        <v>2021</v>
      </c>
      <c r="J617" s="43">
        <f t="shared" si="429"/>
        <v>10</v>
      </c>
      <c r="K617" s="43">
        <f t="shared" si="429"/>
        <v>1</v>
      </c>
      <c r="L617" s="48">
        <f t="shared" si="429"/>
        <v>0</v>
      </c>
      <c r="N617" s="44">
        <f t="shared" si="403"/>
        <v>0</v>
      </c>
      <c r="P617" s="49">
        <f t="shared" si="412"/>
        <v>0</v>
      </c>
      <c r="Q617" s="49">
        <f t="shared" si="412"/>
        <v>0</v>
      </c>
      <c r="R617" s="49">
        <f t="shared" si="412"/>
        <v>0</v>
      </c>
      <c r="S617" s="49">
        <f t="shared" si="412"/>
        <v>0</v>
      </c>
      <c r="T617" s="49">
        <f t="shared" si="412"/>
        <v>0</v>
      </c>
      <c r="V617" s="53">
        <f t="shared" si="413"/>
        <v>0</v>
      </c>
      <c r="W617" s="53">
        <f t="shared" si="414"/>
        <v>0</v>
      </c>
      <c r="X617" s="53">
        <f t="shared" si="415"/>
        <v>0</v>
      </c>
      <c r="Y617" s="53">
        <f t="shared" si="416"/>
        <v>0</v>
      </c>
      <c r="Z617" s="53">
        <f t="shared" si="417"/>
        <v>0</v>
      </c>
      <c r="AB617" s="53">
        <f t="shared" si="404"/>
        <v>0</v>
      </c>
      <c r="AC617" s="53">
        <f t="shared" si="405"/>
        <v>0</v>
      </c>
      <c r="AD617" s="53">
        <f t="shared" si="406"/>
        <v>0</v>
      </c>
      <c r="AE617" s="53">
        <f t="shared" si="407"/>
        <v>0</v>
      </c>
      <c r="AF617" s="53">
        <f t="shared" si="408"/>
        <v>0</v>
      </c>
    </row>
    <row r="618" spans="2:32">
      <c r="B618" s="43" t="str">
        <f t="shared" si="401"/>
        <v>Asset 82</v>
      </c>
      <c r="F618" s="43" t="str">
        <f t="shared" ref="F618:L618" si="430">F122</f>
        <v>08 Inrichting gebouwen</v>
      </c>
      <c r="G618" s="43">
        <f t="shared" si="430"/>
        <v>1999</v>
      </c>
      <c r="H618" s="48">
        <f t="shared" si="430"/>
        <v>41263.56</v>
      </c>
      <c r="I618" s="43">
        <f t="shared" si="430"/>
        <v>2021</v>
      </c>
      <c r="J618" s="43">
        <f t="shared" si="430"/>
        <v>10</v>
      </c>
      <c r="K618" s="43">
        <f t="shared" si="430"/>
        <v>0</v>
      </c>
      <c r="L618" s="48">
        <f t="shared" si="430"/>
        <v>0</v>
      </c>
      <c r="N618" s="44">
        <f t="shared" si="403"/>
        <v>0</v>
      </c>
      <c r="P618" s="49">
        <f t="shared" si="412"/>
        <v>0</v>
      </c>
      <c r="Q618" s="49">
        <f t="shared" si="412"/>
        <v>0</v>
      </c>
      <c r="R618" s="49">
        <f t="shared" si="412"/>
        <v>0</v>
      </c>
      <c r="S618" s="49">
        <f t="shared" si="412"/>
        <v>0</v>
      </c>
      <c r="T618" s="49">
        <f t="shared" si="412"/>
        <v>0</v>
      </c>
      <c r="V618" s="53">
        <f t="shared" si="413"/>
        <v>0</v>
      </c>
      <c r="W618" s="53">
        <f t="shared" si="414"/>
        <v>0</v>
      </c>
      <c r="X618" s="53">
        <f t="shared" si="415"/>
        <v>0</v>
      </c>
      <c r="Y618" s="53">
        <f t="shared" si="416"/>
        <v>0</v>
      </c>
      <c r="Z618" s="53">
        <f t="shared" si="417"/>
        <v>0</v>
      </c>
      <c r="AB618" s="53">
        <f t="shared" si="404"/>
        <v>0</v>
      </c>
      <c r="AC618" s="53">
        <f t="shared" si="405"/>
        <v>0</v>
      </c>
      <c r="AD618" s="53">
        <f t="shared" si="406"/>
        <v>0</v>
      </c>
      <c r="AE618" s="53">
        <f t="shared" si="407"/>
        <v>0</v>
      </c>
      <c r="AF618" s="53">
        <f t="shared" si="408"/>
        <v>0</v>
      </c>
    </row>
    <row r="619" spans="2:32">
      <c r="B619" s="43" t="str">
        <f t="shared" si="401"/>
        <v>Asset 83</v>
      </c>
      <c r="F619" s="43" t="str">
        <f t="shared" ref="F619:L619" si="431">F123</f>
        <v>09 Bedrijfsinventaris</v>
      </c>
      <c r="G619" s="43">
        <f t="shared" si="431"/>
        <v>2000</v>
      </c>
      <c r="H619" s="48">
        <f t="shared" si="431"/>
        <v>5312.4</v>
      </c>
      <c r="I619" s="43">
        <f t="shared" si="431"/>
        <v>2021</v>
      </c>
      <c r="J619" s="43">
        <f t="shared" si="431"/>
        <v>10</v>
      </c>
      <c r="K619" s="43">
        <f t="shared" si="431"/>
        <v>1</v>
      </c>
      <c r="L619" s="48">
        <f t="shared" si="431"/>
        <v>0</v>
      </c>
      <c r="N619" s="44">
        <f t="shared" si="403"/>
        <v>0</v>
      </c>
      <c r="P619" s="49">
        <f t="shared" si="412"/>
        <v>0</v>
      </c>
      <c r="Q619" s="49">
        <f t="shared" si="412"/>
        <v>0</v>
      </c>
      <c r="R619" s="49">
        <f t="shared" si="412"/>
        <v>0</v>
      </c>
      <c r="S619" s="49">
        <f t="shared" si="412"/>
        <v>0</v>
      </c>
      <c r="T619" s="49">
        <f t="shared" si="412"/>
        <v>0</v>
      </c>
      <c r="V619" s="53">
        <f t="shared" si="413"/>
        <v>0</v>
      </c>
      <c r="W619" s="53">
        <f t="shared" si="414"/>
        <v>0</v>
      </c>
      <c r="X619" s="53">
        <f t="shared" si="415"/>
        <v>0</v>
      </c>
      <c r="Y619" s="53">
        <f t="shared" si="416"/>
        <v>0</v>
      </c>
      <c r="Z619" s="53">
        <f t="shared" si="417"/>
        <v>0</v>
      </c>
      <c r="AB619" s="53">
        <f t="shared" si="404"/>
        <v>0</v>
      </c>
      <c r="AC619" s="53">
        <f t="shared" si="405"/>
        <v>0</v>
      </c>
      <c r="AD619" s="53">
        <f t="shared" si="406"/>
        <v>0</v>
      </c>
      <c r="AE619" s="53">
        <f t="shared" si="407"/>
        <v>0</v>
      </c>
      <c r="AF619" s="53">
        <f t="shared" si="408"/>
        <v>0</v>
      </c>
    </row>
    <row r="620" spans="2:32">
      <c r="B620" s="43" t="str">
        <f t="shared" si="401"/>
        <v>Asset 84</v>
      </c>
      <c r="F620" s="43" t="str">
        <f t="shared" ref="F620:L620" si="432">F124</f>
        <v>37 ICT middelen 1</v>
      </c>
      <c r="G620" s="43">
        <f t="shared" si="432"/>
        <v>2001</v>
      </c>
      <c r="H620" s="48">
        <f t="shared" si="432"/>
        <v>1754908.7700000003</v>
      </c>
      <c r="I620" s="43">
        <f t="shared" si="432"/>
        <v>2021</v>
      </c>
      <c r="J620" s="43">
        <f t="shared" si="432"/>
        <v>5</v>
      </c>
      <c r="K620" s="43">
        <f t="shared" si="432"/>
        <v>1</v>
      </c>
      <c r="L620" s="48">
        <f t="shared" si="432"/>
        <v>0</v>
      </c>
      <c r="N620" s="44">
        <f t="shared" si="403"/>
        <v>0</v>
      </c>
      <c r="P620" s="49">
        <f t="shared" si="412"/>
        <v>0</v>
      </c>
      <c r="Q620" s="49">
        <f t="shared" si="412"/>
        <v>0</v>
      </c>
      <c r="R620" s="49">
        <f t="shared" si="412"/>
        <v>0</v>
      </c>
      <c r="S620" s="49">
        <f t="shared" si="412"/>
        <v>0</v>
      </c>
      <c r="T620" s="49">
        <f t="shared" si="412"/>
        <v>0</v>
      </c>
      <c r="V620" s="53">
        <f t="shared" si="413"/>
        <v>0</v>
      </c>
      <c r="W620" s="53">
        <f t="shared" si="414"/>
        <v>0</v>
      </c>
      <c r="X620" s="53">
        <f t="shared" si="415"/>
        <v>0</v>
      </c>
      <c r="Y620" s="53">
        <f t="shared" si="416"/>
        <v>0</v>
      </c>
      <c r="Z620" s="53">
        <f t="shared" si="417"/>
        <v>0</v>
      </c>
      <c r="AB620" s="53">
        <f t="shared" si="404"/>
        <v>0</v>
      </c>
      <c r="AC620" s="53">
        <f t="shared" si="405"/>
        <v>0</v>
      </c>
      <c r="AD620" s="53">
        <f t="shared" si="406"/>
        <v>0</v>
      </c>
      <c r="AE620" s="53">
        <f t="shared" si="407"/>
        <v>0</v>
      </c>
      <c r="AF620" s="53">
        <f t="shared" si="408"/>
        <v>0</v>
      </c>
    </row>
    <row r="621" spans="2:32">
      <c r="B621" s="43" t="str">
        <f t="shared" si="401"/>
        <v>Asset 85</v>
      </c>
      <c r="F621" s="43" t="str">
        <f t="shared" ref="F621:L621" si="433">F125</f>
        <v>11 Werktuigen</v>
      </c>
      <c r="G621" s="43">
        <f t="shared" si="433"/>
        <v>2000</v>
      </c>
      <c r="H621" s="48">
        <f t="shared" si="433"/>
        <v>86461.709999999992</v>
      </c>
      <c r="I621" s="43">
        <f t="shared" si="433"/>
        <v>2021</v>
      </c>
      <c r="J621" s="43">
        <f t="shared" si="433"/>
        <v>10</v>
      </c>
      <c r="K621" s="43">
        <f t="shared" si="433"/>
        <v>1</v>
      </c>
      <c r="L621" s="48">
        <f t="shared" si="433"/>
        <v>0</v>
      </c>
      <c r="N621" s="44">
        <f t="shared" si="403"/>
        <v>0</v>
      </c>
      <c r="P621" s="49">
        <f t="shared" si="412"/>
        <v>0</v>
      </c>
      <c r="Q621" s="49">
        <f t="shared" si="412"/>
        <v>0</v>
      </c>
      <c r="R621" s="49">
        <f t="shared" si="412"/>
        <v>0</v>
      </c>
      <c r="S621" s="49">
        <f t="shared" si="412"/>
        <v>0</v>
      </c>
      <c r="T621" s="49">
        <f t="shared" si="412"/>
        <v>0</v>
      </c>
      <c r="V621" s="53">
        <f t="shared" si="413"/>
        <v>0</v>
      </c>
      <c r="W621" s="53">
        <f t="shared" si="414"/>
        <v>0</v>
      </c>
      <c r="X621" s="53">
        <f t="shared" si="415"/>
        <v>0</v>
      </c>
      <c r="Y621" s="53">
        <f t="shared" si="416"/>
        <v>0</v>
      </c>
      <c r="Z621" s="53">
        <f t="shared" si="417"/>
        <v>0</v>
      </c>
      <c r="AB621" s="53">
        <f t="shared" si="404"/>
        <v>0</v>
      </c>
      <c r="AC621" s="53">
        <f t="shared" si="405"/>
        <v>0</v>
      </c>
      <c r="AD621" s="53">
        <f t="shared" si="406"/>
        <v>0</v>
      </c>
      <c r="AE621" s="53">
        <f t="shared" si="407"/>
        <v>0</v>
      </c>
      <c r="AF621" s="53">
        <f t="shared" si="408"/>
        <v>0</v>
      </c>
    </row>
    <row r="622" spans="2:32">
      <c r="B622" s="43" t="str">
        <f t="shared" si="401"/>
        <v>Asset 86</v>
      </c>
      <c r="F622" s="43" t="str">
        <f t="shared" ref="F622:L622" si="434">F126</f>
        <v>13 Aanhangwagens</v>
      </c>
      <c r="G622" s="43">
        <f t="shared" si="434"/>
        <v>1998</v>
      </c>
      <c r="H622" s="48">
        <f t="shared" si="434"/>
        <v>3630.24</v>
      </c>
      <c r="I622" s="43">
        <f t="shared" si="434"/>
        <v>2021</v>
      </c>
      <c r="J622" s="43">
        <f t="shared" si="434"/>
        <v>10</v>
      </c>
      <c r="K622" s="43">
        <f t="shared" si="434"/>
        <v>1</v>
      </c>
      <c r="L622" s="48">
        <f t="shared" si="434"/>
        <v>0</v>
      </c>
      <c r="N622" s="44">
        <f t="shared" si="403"/>
        <v>0</v>
      </c>
      <c r="P622" s="49">
        <f t="shared" si="412"/>
        <v>0</v>
      </c>
      <c r="Q622" s="49">
        <f t="shared" si="412"/>
        <v>0</v>
      </c>
      <c r="R622" s="49">
        <f t="shared" si="412"/>
        <v>0</v>
      </c>
      <c r="S622" s="49">
        <f t="shared" si="412"/>
        <v>0</v>
      </c>
      <c r="T622" s="49">
        <f t="shared" si="412"/>
        <v>0</v>
      </c>
      <c r="V622" s="53">
        <f t="shared" si="413"/>
        <v>0</v>
      </c>
      <c r="W622" s="53">
        <f t="shared" si="414"/>
        <v>0</v>
      </c>
      <c r="X622" s="53">
        <f t="shared" si="415"/>
        <v>0</v>
      </c>
      <c r="Y622" s="53">
        <f t="shared" si="416"/>
        <v>0</v>
      </c>
      <c r="Z622" s="53">
        <f t="shared" si="417"/>
        <v>0</v>
      </c>
      <c r="AB622" s="53">
        <f t="shared" si="404"/>
        <v>0</v>
      </c>
      <c r="AC622" s="53">
        <f t="shared" si="405"/>
        <v>0</v>
      </c>
      <c r="AD622" s="53">
        <f t="shared" si="406"/>
        <v>0</v>
      </c>
      <c r="AE622" s="53">
        <f t="shared" si="407"/>
        <v>0</v>
      </c>
      <c r="AF622" s="53">
        <f t="shared" si="408"/>
        <v>0</v>
      </c>
    </row>
    <row r="623" spans="2:32">
      <c r="B623" s="43" t="str">
        <f t="shared" si="401"/>
        <v>Asset 87</v>
      </c>
      <c r="F623" s="43" t="str">
        <f t="shared" ref="F623:L623" si="435">F127</f>
        <v>37 ICT middelen 1</v>
      </c>
      <c r="G623" s="43">
        <f t="shared" si="435"/>
        <v>2000</v>
      </c>
      <c r="H623" s="48">
        <f t="shared" si="435"/>
        <v>63690.75</v>
      </c>
      <c r="I623" s="43">
        <f t="shared" si="435"/>
        <v>2021</v>
      </c>
      <c r="J623" s="43">
        <f t="shared" si="435"/>
        <v>5</v>
      </c>
      <c r="K623" s="43">
        <f t="shared" si="435"/>
        <v>1</v>
      </c>
      <c r="L623" s="48">
        <f t="shared" si="435"/>
        <v>0</v>
      </c>
      <c r="N623" s="44">
        <f t="shared" si="403"/>
        <v>0</v>
      </c>
      <c r="P623" s="49">
        <f t="shared" si="412"/>
        <v>0</v>
      </c>
      <c r="Q623" s="49">
        <f t="shared" si="412"/>
        <v>0</v>
      </c>
      <c r="R623" s="49">
        <f t="shared" si="412"/>
        <v>0</v>
      </c>
      <c r="S623" s="49">
        <f t="shared" si="412"/>
        <v>0</v>
      </c>
      <c r="T623" s="49">
        <f t="shared" si="412"/>
        <v>0</v>
      </c>
      <c r="V623" s="53">
        <f t="shared" si="413"/>
        <v>0</v>
      </c>
      <c r="W623" s="53">
        <f t="shared" si="414"/>
        <v>0</v>
      </c>
      <c r="X623" s="53">
        <f t="shared" si="415"/>
        <v>0</v>
      </c>
      <c r="Y623" s="53">
        <f t="shared" si="416"/>
        <v>0</v>
      </c>
      <c r="Z623" s="53">
        <f t="shared" si="417"/>
        <v>0</v>
      </c>
      <c r="AB623" s="53">
        <f t="shared" si="404"/>
        <v>0</v>
      </c>
      <c r="AC623" s="53">
        <f t="shared" si="405"/>
        <v>0</v>
      </c>
      <c r="AD623" s="53">
        <f t="shared" si="406"/>
        <v>0</v>
      </c>
      <c r="AE623" s="53">
        <f t="shared" si="407"/>
        <v>0</v>
      </c>
      <c r="AF623" s="53">
        <f t="shared" si="408"/>
        <v>0</v>
      </c>
    </row>
    <row r="624" spans="2:32">
      <c r="B624" s="43" t="str">
        <f t="shared" si="401"/>
        <v>Asset 88</v>
      </c>
      <c r="F624" s="43" t="str">
        <f t="shared" ref="F624:L624" si="436">F128</f>
        <v>08 Inrichting gebouwen</v>
      </c>
      <c r="G624" s="43">
        <f t="shared" si="436"/>
        <v>2000</v>
      </c>
      <c r="H624" s="48">
        <f t="shared" si="436"/>
        <v>53314.77</v>
      </c>
      <c r="I624" s="43">
        <f t="shared" si="436"/>
        <v>2021</v>
      </c>
      <c r="J624" s="43">
        <f t="shared" si="436"/>
        <v>10</v>
      </c>
      <c r="K624" s="43">
        <f t="shared" si="436"/>
        <v>0</v>
      </c>
      <c r="L624" s="48">
        <f t="shared" si="436"/>
        <v>0</v>
      </c>
      <c r="N624" s="44">
        <f t="shared" si="403"/>
        <v>0</v>
      </c>
      <c r="P624" s="49">
        <f t="shared" si="412"/>
        <v>0</v>
      </c>
      <c r="Q624" s="49">
        <f t="shared" si="412"/>
        <v>0</v>
      </c>
      <c r="R624" s="49">
        <f t="shared" si="412"/>
        <v>0</v>
      </c>
      <c r="S624" s="49">
        <f t="shared" si="412"/>
        <v>0</v>
      </c>
      <c r="T624" s="49">
        <f t="shared" si="412"/>
        <v>0</v>
      </c>
      <c r="V624" s="53">
        <f t="shared" si="413"/>
        <v>0</v>
      </c>
      <c r="W624" s="53">
        <f t="shared" si="414"/>
        <v>0</v>
      </c>
      <c r="X624" s="53">
        <f t="shared" si="415"/>
        <v>0</v>
      </c>
      <c r="Y624" s="53">
        <f t="shared" si="416"/>
        <v>0</v>
      </c>
      <c r="Z624" s="53">
        <f t="shared" si="417"/>
        <v>0</v>
      </c>
      <c r="AB624" s="53">
        <f t="shared" si="404"/>
        <v>0</v>
      </c>
      <c r="AC624" s="53">
        <f t="shared" si="405"/>
        <v>0</v>
      </c>
      <c r="AD624" s="53">
        <f t="shared" si="406"/>
        <v>0</v>
      </c>
      <c r="AE624" s="53">
        <f t="shared" si="407"/>
        <v>0</v>
      </c>
      <c r="AF624" s="53">
        <f t="shared" si="408"/>
        <v>0</v>
      </c>
    </row>
    <row r="625" spans="2:32">
      <c r="B625" s="43" t="str">
        <f t="shared" si="401"/>
        <v>Asset 89</v>
      </c>
      <c r="F625" s="43" t="str">
        <f t="shared" ref="F625:L625" si="437">F129</f>
        <v>14 Overig rollend materieel</v>
      </c>
      <c r="G625" s="43">
        <f t="shared" si="437"/>
        <v>2000</v>
      </c>
      <c r="H625" s="48">
        <f t="shared" si="437"/>
        <v>36334.86</v>
      </c>
      <c r="I625" s="43">
        <f t="shared" si="437"/>
        <v>2021</v>
      </c>
      <c r="J625" s="43">
        <f t="shared" si="437"/>
        <v>10</v>
      </c>
      <c r="K625" s="43">
        <f t="shared" si="437"/>
        <v>1</v>
      </c>
      <c r="L625" s="48">
        <f t="shared" si="437"/>
        <v>0</v>
      </c>
      <c r="N625" s="44">
        <f t="shared" si="403"/>
        <v>0</v>
      </c>
      <c r="P625" s="49">
        <f t="shared" si="412"/>
        <v>0</v>
      </c>
      <c r="Q625" s="49">
        <f t="shared" si="412"/>
        <v>0</v>
      </c>
      <c r="R625" s="49">
        <f t="shared" si="412"/>
        <v>0</v>
      </c>
      <c r="S625" s="49">
        <f t="shared" si="412"/>
        <v>0</v>
      </c>
      <c r="T625" s="49">
        <f t="shared" si="412"/>
        <v>0</v>
      </c>
      <c r="V625" s="53">
        <f t="shared" si="413"/>
        <v>0</v>
      </c>
      <c r="W625" s="53">
        <f t="shared" si="414"/>
        <v>0</v>
      </c>
      <c r="X625" s="53">
        <f t="shared" si="415"/>
        <v>0</v>
      </c>
      <c r="Y625" s="53">
        <f t="shared" si="416"/>
        <v>0</v>
      </c>
      <c r="Z625" s="53">
        <f t="shared" si="417"/>
        <v>0</v>
      </c>
      <c r="AB625" s="53">
        <f t="shared" si="404"/>
        <v>0</v>
      </c>
      <c r="AC625" s="53">
        <f t="shared" si="405"/>
        <v>0</v>
      </c>
      <c r="AD625" s="53">
        <f t="shared" si="406"/>
        <v>0</v>
      </c>
      <c r="AE625" s="53">
        <f t="shared" si="407"/>
        <v>0</v>
      </c>
      <c r="AF625" s="53">
        <f t="shared" si="408"/>
        <v>0</v>
      </c>
    </row>
    <row r="626" spans="2:32">
      <c r="B626" s="43" t="str">
        <f t="shared" si="401"/>
        <v>Asset 90</v>
      </c>
      <c r="F626" s="43" t="str">
        <f t="shared" ref="F626:L626" si="438">F130</f>
        <v>06 Utiliteitsgebouwen</v>
      </c>
      <c r="G626" s="43">
        <f t="shared" si="438"/>
        <v>2000</v>
      </c>
      <c r="H626" s="48">
        <f t="shared" si="438"/>
        <v>61022.52</v>
      </c>
      <c r="I626" s="43">
        <f t="shared" si="438"/>
        <v>2021</v>
      </c>
      <c r="J626" s="43">
        <f t="shared" si="438"/>
        <v>30</v>
      </c>
      <c r="K626" s="43">
        <f t="shared" si="438"/>
        <v>0</v>
      </c>
      <c r="L626" s="48">
        <f t="shared" si="438"/>
        <v>25541.383007029126</v>
      </c>
      <c r="N626" s="44">
        <f t="shared" si="403"/>
        <v>8.5</v>
      </c>
      <c r="P626" s="49">
        <f t="shared" si="412"/>
        <v>3004.8685890622501</v>
      </c>
      <c r="Q626" s="49">
        <f t="shared" si="412"/>
        <v>3004.8685890622501</v>
      </c>
      <c r="R626" s="49">
        <f t="shared" si="412"/>
        <v>3004.8685890622501</v>
      </c>
      <c r="S626" s="49">
        <f t="shared" si="412"/>
        <v>3004.8685890622501</v>
      </c>
      <c r="T626" s="49">
        <f t="shared" si="412"/>
        <v>3004.8685890622501</v>
      </c>
      <c r="V626" s="53">
        <f t="shared" si="413"/>
        <v>22536.514417966875</v>
      </c>
      <c r="W626" s="53">
        <f t="shared" si="414"/>
        <v>19531.645828904624</v>
      </c>
      <c r="X626" s="53">
        <f t="shared" si="415"/>
        <v>16526.777239842373</v>
      </c>
      <c r="Y626" s="53">
        <f t="shared" si="416"/>
        <v>13521.908650780122</v>
      </c>
      <c r="Z626" s="53">
        <f t="shared" si="417"/>
        <v>10517.040061717871</v>
      </c>
      <c r="AB626" s="53">
        <f t="shared" si="404"/>
        <v>3703.5005360192231</v>
      </c>
      <c r="AC626" s="53">
        <f t="shared" si="405"/>
        <v>3590.8179639293885</v>
      </c>
      <c r="AD626" s="53">
        <f t="shared" si="406"/>
        <v>3500.6719062575212</v>
      </c>
      <c r="AE626" s="53">
        <f t="shared" si="407"/>
        <v>3410.5258485856539</v>
      </c>
      <c r="AF626" s="53">
        <f t="shared" si="408"/>
        <v>3320.3797909137861</v>
      </c>
    </row>
    <row r="627" spans="2:32">
      <c r="B627" s="43" t="str">
        <f t="shared" si="401"/>
        <v>Asset 91</v>
      </c>
      <c r="F627" s="43" t="str">
        <f t="shared" ref="F627:L627" si="439">F131</f>
        <v>11 Werktuigen</v>
      </c>
      <c r="G627" s="43">
        <f t="shared" si="439"/>
        <v>2001</v>
      </c>
      <c r="H627" s="48">
        <f t="shared" si="439"/>
        <v>11928.48</v>
      </c>
      <c r="I627" s="43">
        <f t="shared" si="439"/>
        <v>2021</v>
      </c>
      <c r="J627" s="43">
        <f t="shared" si="439"/>
        <v>10</v>
      </c>
      <c r="K627" s="43">
        <f t="shared" si="439"/>
        <v>1</v>
      </c>
      <c r="L627" s="48">
        <f t="shared" si="439"/>
        <v>0</v>
      </c>
      <c r="N627" s="44">
        <f t="shared" si="403"/>
        <v>0</v>
      </c>
      <c r="P627" s="49">
        <f t="shared" si="412"/>
        <v>0</v>
      </c>
      <c r="Q627" s="49">
        <f t="shared" si="412"/>
        <v>0</v>
      </c>
      <c r="R627" s="49">
        <f t="shared" si="412"/>
        <v>0</v>
      </c>
      <c r="S627" s="49">
        <f t="shared" si="412"/>
        <v>0</v>
      </c>
      <c r="T627" s="49">
        <f t="shared" si="412"/>
        <v>0</v>
      </c>
      <c r="V627" s="53">
        <f t="shared" si="413"/>
        <v>0</v>
      </c>
      <c r="W627" s="53">
        <f t="shared" si="414"/>
        <v>0</v>
      </c>
      <c r="X627" s="53">
        <f t="shared" si="415"/>
        <v>0</v>
      </c>
      <c r="Y627" s="53">
        <f t="shared" si="416"/>
        <v>0</v>
      </c>
      <c r="Z627" s="53">
        <f t="shared" si="417"/>
        <v>0</v>
      </c>
      <c r="AB627" s="53">
        <f t="shared" si="404"/>
        <v>0</v>
      </c>
      <c r="AC627" s="53">
        <f t="shared" si="405"/>
        <v>0</v>
      </c>
      <c r="AD627" s="53">
        <f t="shared" si="406"/>
        <v>0</v>
      </c>
      <c r="AE627" s="53">
        <f t="shared" si="407"/>
        <v>0</v>
      </c>
      <c r="AF627" s="53">
        <f t="shared" si="408"/>
        <v>0</v>
      </c>
    </row>
    <row r="628" spans="2:32">
      <c r="B628" s="43" t="str">
        <f t="shared" si="401"/>
        <v>Asset 92</v>
      </c>
      <c r="F628" s="43" t="str">
        <f t="shared" ref="F628:L628" si="440">F132</f>
        <v>14 Overig rollend materieel</v>
      </c>
      <c r="G628" s="43">
        <f t="shared" si="440"/>
        <v>2001</v>
      </c>
      <c r="H628" s="48">
        <f t="shared" si="440"/>
        <v>70639.289999999994</v>
      </c>
      <c r="I628" s="43">
        <f t="shared" si="440"/>
        <v>2021</v>
      </c>
      <c r="J628" s="43">
        <f t="shared" si="440"/>
        <v>10</v>
      </c>
      <c r="K628" s="43">
        <f t="shared" si="440"/>
        <v>1</v>
      </c>
      <c r="L628" s="48">
        <f t="shared" si="440"/>
        <v>0</v>
      </c>
      <c r="N628" s="44">
        <f t="shared" si="403"/>
        <v>0</v>
      </c>
      <c r="P628" s="49">
        <f t="shared" si="412"/>
        <v>0</v>
      </c>
      <c r="Q628" s="49">
        <f t="shared" si="412"/>
        <v>0</v>
      </c>
      <c r="R628" s="49">
        <f t="shared" si="412"/>
        <v>0</v>
      </c>
      <c r="S628" s="49">
        <f t="shared" si="412"/>
        <v>0</v>
      </c>
      <c r="T628" s="49">
        <f t="shared" si="412"/>
        <v>0</v>
      </c>
      <c r="V628" s="53">
        <f t="shared" si="413"/>
        <v>0</v>
      </c>
      <c r="W628" s="53">
        <f t="shared" si="414"/>
        <v>0</v>
      </c>
      <c r="X628" s="53">
        <f t="shared" si="415"/>
        <v>0</v>
      </c>
      <c r="Y628" s="53">
        <f t="shared" si="416"/>
        <v>0</v>
      </c>
      <c r="Z628" s="53">
        <f t="shared" si="417"/>
        <v>0</v>
      </c>
      <c r="AB628" s="53">
        <f t="shared" si="404"/>
        <v>0</v>
      </c>
      <c r="AC628" s="53">
        <f t="shared" si="405"/>
        <v>0</v>
      </c>
      <c r="AD628" s="53">
        <f t="shared" si="406"/>
        <v>0</v>
      </c>
      <c r="AE628" s="53">
        <f t="shared" si="407"/>
        <v>0</v>
      </c>
      <c r="AF628" s="53">
        <f t="shared" si="408"/>
        <v>0</v>
      </c>
    </row>
    <row r="629" spans="2:32">
      <c r="B629" s="43" t="str">
        <f t="shared" si="401"/>
        <v>Asset 93</v>
      </c>
      <c r="F629" s="43" t="str">
        <f t="shared" ref="F629:L629" si="441">F133</f>
        <v>09 Bedrijfsinventaris</v>
      </c>
      <c r="G629" s="43">
        <f t="shared" si="441"/>
        <v>2001</v>
      </c>
      <c r="H629" s="48">
        <f t="shared" si="441"/>
        <v>55051.729999999996</v>
      </c>
      <c r="I629" s="43">
        <f t="shared" si="441"/>
        <v>2021</v>
      </c>
      <c r="J629" s="43">
        <f t="shared" si="441"/>
        <v>10</v>
      </c>
      <c r="K629" s="43">
        <f t="shared" si="441"/>
        <v>1</v>
      </c>
      <c r="L629" s="48">
        <f t="shared" si="441"/>
        <v>0</v>
      </c>
      <c r="N629" s="44">
        <f t="shared" si="403"/>
        <v>0</v>
      </c>
      <c r="P629" s="49">
        <f t="shared" si="412"/>
        <v>0</v>
      </c>
      <c r="Q629" s="49">
        <f t="shared" si="412"/>
        <v>0</v>
      </c>
      <c r="R629" s="49">
        <f t="shared" si="412"/>
        <v>0</v>
      </c>
      <c r="S629" s="49">
        <f t="shared" si="412"/>
        <v>0</v>
      </c>
      <c r="T629" s="49">
        <f t="shared" si="412"/>
        <v>0</v>
      </c>
      <c r="V629" s="53">
        <f t="shared" si="413"/>
        <v>0</v>
      </c>
      <c r="W629" s="53">
        <f t="shared" si="414"/>
        <v>0</v>
      </c>
      <c r="X629" s="53">
        <f t="shared" si="415"/>
        <v>0</v>
      </c>
      <c r="Y629" s="53">
        <f t="shared" si="416"/>
        <v>0</v>
      </c>
      <c r="Z629" s="53">
        <f t="shared" si="417"/>
        <v>0</v>
      </c>
      <c r="AB629" s="53">
        <f t="shared" si="404"/>
        <v>0</v>
      </c>
      <c r="AC629" s="53">
        <f t="shared" si="405"/>
        <v>0</v>
      </c>
      <c r="AD629" s="53">
        <f t="shared" si="406"/>
        <v>0</v>
      </c>
      <c r="AE629" s="53">
        <f t="shared" si="407"/>
        <v>0</v>
      </c>
      <c r="AF629" s="53">
        <f t="shared" si="408"/>
        <v>0</v>
      </c>
    </row>
    <row r="630" spans="2:32">
      <c r="B630" s="43" t="str">
        <f t="shared" si="401"/>
        <v>Asset 94</v>
      </c>
      <c r="F630" s="43" t="str">
        <f t="shared" ref="F630:L630" si="442">F134</f>
        <v>10 Gereedschap</v>
      </c>
      <c r="G630" s="43">
        <f t="shared" si="442"/>
        <v>2002</v>
      </c>
      <c r="H630" s="48">
        <f t="shared" si="442"/>
        <v>26546</v>
      </c>
      <c r="I630" s="43">
        <f t="shared" si="442"/>
        <v>2021</v>
      </c>
      <c r="J630" s="43">
        <f t="shared" si="442"/>
        <v>10</v>
      </c>
      <c r="K630" s="43">
        <f t="shared" si="442"/>
        <v>1</v>
      </c>
      <c r="L630" s="48">
        <f t="shared" si="442"/>
        <v>0</v>
      </c>
      <c r="N630" s="44">
        <f t="shared" si="403"/>
        <v>0</v>
      </c>
      <c r="P630" s="49">
        <f t="shared" si="412"/>
        <v>0</v>
      </c>
      <c r="Q630" s="49">
        <f t="shared" si="412"/>
        <v>0</v>
      </c>
      <c r="R630" s="49">
        <f t="shared" si="412"/>
        <v>0</v>
      </c>
      <c r="S630" s="49">
        <f t="shared" si="412"/>
        <v>0</v>
      </c>
      <c r="T630" s="49">
        <f t="shared" si="412"/>
        <v>0</v>
      </c>
      <c r="V630" s="53">
        <f t="shared" si="413"/>
        <v>0</v>
      </c>
      <c r="W630" s="53">
        <f t="shared" si="414"/>
        <v>0</v>
      </c>
      <c r="X630" s="53">
        <f t="shared" si="415"/>
        <v>0</v>
      </c>
      <c r="Y630" s="53">
        <f t="shared" si="416"/>
        <v>0</v>
      </c>
      <c r="Z630" s="53">
        <f t="shared" si="417"/>
        <v>0</v>
      </c>
      <c r="AB630" s="53">
        <f t="shared" si="404"/>
        <v>0</v>
      </c>
      <c r="AC630" s="53">
        <f t="shared" si="405"/>
        <v>0</v>
      </c>
      <c r="AD630" s="53">
        <f t="shared" si="406"/>
        <v>0</v>
      </c>
      <c r="AE630" s="53">
        <f t="shared" si="407"/>
        <v>0</v>
      </c>
      <c r="AF630" s="53">
        <f t="shared" si="408"/>
        <v>0</v>
      </c>
    </row>
    <row r="631" spans="2:32">
      <c r="B631" s="43" t="str">
        <f t="shared" si="401"/>
        <v>Asset 95</v>
      </c>
      <c r="F631" s="43" t="str">
        <f t="shared" ref="F631:L631" si="443">F135</f>
        <v>03 Verremeting</v>
      </c>
      <c r="G631" s="43">
        <f t="shared" si="443"/>
        <v>2001</v>
      </c>
      <c r="H631" s="48">
        <f t="shared" si="443"/>
        <v>16968.61</v>
      </c>
      <c r="I631" s="43">
        <f t="shared" si="443"/>
        <v>2021</v>
      </c>
      <c r="J631" s="43">
        <f t="shared" si="443"/>
        <v>5</v>
      </c>
      <c r="K631" s="43">
        <f t="shared" si="443"/>
        <v>1</v>
      </c>
      <c r="L631" s="48">
        <f t="shared" si="443"/>
        <v>0</v>
      </c>
      <c r="N631" s="44">
        <f t="shared" si="403"/>
        <v>0</v>
      </c>
      <c r="P631" s="49">
        <f t="shared" si="412"/>
        <v>0</v>
      </c>
      <c r="Q631" s="49">
        <f t="shared" si="412"/>
        <v>0</v>
      </c>
      <c r="R631" s="49">
        <f t="shared" si="412"/>
        <v>0</v>
      </c>
      <c r="S631" s="49">
        <f t="shared" si="412"/>
        <v>0</v>
      </c>
      <c r="T631" s="49">
        <f t="shared" si="412"/>
        <v>0</v>
      </c>
      <c r="V631" s="53">
        <f t="shared" si="413"/>
        <v>0</v>
      </c>
      <c r="W631" s="53">
        <f t="shared" si="414"/>
        <v>0</v>
      </c>
      <c r="X631" s="53">
        <f t="shared" si="415"/>
        <v>0</v>
      </c>
      <c r="Y631" s="53">
        <f t="shared" si="416"/>
        <v>0</v>
      </c>
      <c r="Z631" s="53">
        <f t="shared" si="417"/>
        <v>0</v>
      </c>
      <c r="AB631" s="53">
        <f t="shared" si="404"/>
        <v>0</v>
      </c>
      <c r="AC631" s="53">
        <f t="shared" si="405"/>
        <v>0</v>
      </c>
      <c r="AD631" s="53">
        <f t="shared" si="406"/>
        <v>0</v>
      </c>
      <c r="AE631" s="53">
        <f t="shared" si="407"/>
        <v>0</v>
      </c>
      <c r="AF631" s="53">
        <f t="shared" si="408"/>
        <v>0</v>
      </c>
    </row>
    <row r="632" spans="2:32">
      <c r="B632" s="43" t="str">
        <f t="shared" si="401"/>
        <v>Asset 96</v>
      </c>
      <c r="F632" s="43" t="str">
        <f t="shared" ref="F632:L632" si="444">F136</f>
        <v>08 Inrichting gebouwen</v>
      </c>
      <c r="G632" s="43">
        <f t="shared" si="444"/>
        <v>2001</v>
      </c>
      <c r="H632" s="48">
        <f t="shared" si="444"/>
        <v>7752.83</v>
      </c>
      <c r="I632" s="43">
        <f t="shared" si="444"/>
        <v>2021</v>
      </c>
      <c r="J632" s="43">
        <f t="shared" si="444"/>
        <v>10</v>
      </c>
      <c r="K632" s="43">
        <f t="shared" si="444"/>
        <v>0</v>
      </c>
      <c r="L632" s="48">
        <f t="shared" si="444"/>
        <v>0</v>
      </c>
      <c r="N632" s="44">
        <f t="shared" si="403"/>
        <v>0</v>
      </c>
      <c r="P632" s="49">
        <f t="shared" si="412"/>
        <v>0</v>
      </c>
      <c r="Q632" s="49">
        <f t="shared" si="412"/>
        <v>0</v>
      </c>
      <c r="R632" s="49">
        <f t="shared" si="412"/>
        <v>0</v>
      </c>
      <c r="S632" s="49">
        <f t="shared" si="412"/>
        <v>0</v>
      </c>
      <c r="T632" s="49">
        <f t="shared" si="412"/>
        <v>0</v>
      </c>
      <c r="V632" s="53">
        <f t="shared" si="413"/>
        <v>0</v>
      </c>
      <c r="W632" s="53">
        <f t="shared" si="414"/>
        <v>0</v>
      </c>
      <c r="X632" s="53">
        <f t="shared" si="415"/>
        <v>0</v>
      </c>
      <c r="Y632" s="53">
        <f t="shared" si="416"/>
        <v>0</v>
      </c>
      <c r="Z632" s="53">
        <f t="shared" si="417"/>
        <v>0</v>
      </c>
      <c r="AB632" s="53">
        <f t="shared" si="404"/>
        <v>0</v>
      </c>
      <c r="AC632" s="53">
        <f t="shared" si="405"/>
        <v>0</v>
      </c>
      <c r="AD632" s="53">
        <f t="shared" si="406"/>
        <v>0</v>
      </c>
      <c r="AE632" s="53">
        <f t="shared" si="407"/>
        <v>0</v>
      </c>
      <c r="AF632" s="53">
        <f t="shared" si="408"/>
        <v>0</v>
      </c>
    </row>
    <row r="633" spans="2:32">
      <c r="B633" s="43" t="str">
        <f t="shared" si="401"/>
        <v>Asset 97</v>
      </c>
      <c r="F633" s="43" t="str">
        <f t="shared" ref="F633:L633" si="445">F137</f>
        <v>37 ICT middelen 1 (gaschromatografen en comptabele meting)</v>
      </c>
      <c r="G633" s="43">
        <f t="shared" si="445"/>
        <v>2001</v>
      </c>
      <c r="H633" s="48">
        <f t="shared" si="445"/>
        <v>757040.92</v>
      </c>
      <c r="I633" s="43">
        <f t="shared" si="445"/>
        <v>2021</v>
      </c>
      <c r="J633" s="43">
        <f t="shared" si="445"/>
        <v>5</v>
      </c>
      <c r="K633" s="43">
        <f t="shared" si="445"/>
        <v>0</v>
      </c>
      <c r="L633" s="48">
        <f t="shared" si="445"/>
        <v>0</v>
      </c>
      <c r="N633" s="44">
        <f t="shared" si="403"/>
        <v>0</v>
      </c>
      <c r="P633" s="49">
        <f t="shared" si="412"/>
        <v>0</v>
      </c>
      <c r="Q633" s="49">
        <f t="shared" si="412"/>
        <v>0</v>
      </c>
      <c r="R633" s="49">
        <f t="shared" si="412"/>
        <v>0</v>
      </c>
      <c r="S633" s="49">
        <f t="shared" si="412"/>
        <v>0</v>
      </c>
      <c r="T633" s="49">
        <f t="shared" si="412"/>
        <v>0</v>
      </c>
      <c r="V633" s="53">
        <f t="shared" si="413"/>
        <v>0</v>
      </c>
      <c r="W633" s="53">
        <f t="shared" si="414"/>
        <v>0</v>
      </c>
      <c r="X633" s="53">
        <f t="shared" si="415"/>
        <v>0</v>
      </c>
      <c r="Y633" s="53">
        <f t="shared" si="416"/>
        <v>0</v>
      </c>
      <c r="Z633" s="53">
        <f t="shared" si="417"/>
        <v>0</v>
      </c>
      <c r="AB633" s="53">
        <f t="shared" si="404"/>
        <v>0</v>
      </c>
      <c r="AC633" s="53">
        <f t="shared" si="405"/>
        <v>0</v>
      </c>
      <c r="AD633" s="53">
        <f t="shared" si="406"/>
        <v>0</v>
      </c>
      <c r="AE633" s="53">
        <f t="shared" si="407"/>
        <v>0</v>
      </c>
      <c r="AF633" s="53">
        <f t="shared" si="408"/>
        <v>0</v>
      </c>
    </row>
    <row r="634" spans="2:32">
      <c r="B634" s="43" t="str">
        <f t="shared" si="401"/>
        <v>Asset 98</v>
      </c>
      <c r="F634" s="43" t="str">
        <f t="shared" ref="F634:L634" si="446">F138</f>
        <v>13 Aanhangwagens</v>
      </c>
      <c r="G634" s="43">
        <f t="shared" si="446"/>
        <v>2001</v>
      </c>
      <c r="H634" s="48">
        <f t="shared" si="446"/>
        <v>2746.92</v>
      </c>
      <c r="I634" s="43">
        <f t="shared" si="446"/>
        <v>2021</v>
      </c>
      <c r="J634" s="43">
        <f t="shared" si="446"/>
        <v>10</v>
      </c>
      <c r="K634" s="43">
        <f t="shared" si="446"/>
        <v>1</v>
      </c>
      <c r="L634" s="48">
        <f t="shared" si="446"/>
        <v>0</v>
      </c>
      <c r="N634" s="44">
        <f t="shared" si="403"/>
        <v>0</v>
      </c>
      <c r="P634" s="49">
        <f t="shared" si="412"/>
        <v>0</v>
      </c>
      <c r="Q634" s="49">
        <f t="shared" si="412"/>
        <v>0</v>
      </c>
      <c r="R634" s="49">
        <f t="shared" si="412"/>
        <v>0</v>
      </c>
      <c r="S634" s="49">
        <f t="shared" si="412"/>
        <v>0</v>
      </c>
      <c r="T634" s="49">
        <f t="shared" si="412"/>
        <v>0</v>
      </c>
      <c r="V634" s="53">
        <f t="shared" si="413"/>
        <v>0</v>
      </c>
      <c r="W634" s="53">
        <f t="shared" si="414"/>
        <v>0</v>
      </c>
      <c r="X634" s="53">
        <f t="shared" si="415"/>
        <v>0</v>
      </c>
      <c r="Y634" s="53">
        <f t="shared" si="416"/>
        <v>0</v>
      </c>
      <c r="Z634" s="53">
        <f t="shared" si="417"/>
        <v>0</v>
      </c>
      <c r="AB634" s="53">
        <f t="shared" si="404"/>
        <v>0</v>
      </c>
      <c r="AC634" s="53">
        <f t="shared" si="405"/>
        <v>0</v>
      </c>
      <c r="AD634" s="53">
        <f t="shared" si="406"/>
        <v>0</v>
      </c>
      <c r="AE634" s="53">
        <f t="shared" si="407"/>
        <v>0</v>
      </c>
      <c r="AF634" s="53">
        <f t="shared" si="408"/>
        <v>0</v>
      </c>
    </row>
    <row r="635" spans="2:32">
      <c r="B635" s="43" t="str">
        <f t="shared" si="401"/>
        <v>Asset 99</v>
      </c>
      <c r="F635" s="43" t="str">
        <f t="shared" ref="F635:L635" si="447">F139</f>
        <v>11 Werktuigen</v>
      </c>
      <c r="G635" s="43">
        <f t="shared" si="447"/>
        <v>2002</v>
      </c>
      <c r="H635" s="48">
        <f t="shared" si="447"/>
        <v>108571.05</v>
      </c>
      <c r="I635" s="43">
        <f t="shared" si="447"/>
        <v>2021</v>
      </c>
      <c r="J635" s="43">
        <f t="shared" si="447"/>
        <v>10</v>
      </c>
      <c r="K635" s="43">
        <f t="shared" si="447"/>
        <v>1</v>
      </c>
      <c r="L635" s="48">
        <f t="shared" si="447"/>
        <v>0</v>
      </c>
      <c r="N635" s="44">
        <f t="shared" si="403"/>
        <v>0</v>
      </c>
      <c r="P635" s="49">
        <f t="shared" si="412"/>
        <v>0</v>
      </c>
      <c r="Q635" s="49">
        <f t="shared" si="412"/>
        <v>0</v>
      </c>
      <c r="R635" s="49">
        <f t="shared" si="412"/>
        <v>0</v>
      </c>
      <c r="S635" s="49">
        <f t="shared" si="412"/>
        <v>0</v>
      </c>
      <c r="T635" s="49">
        <f t="shared" si="412"/>
        <v>0</v>
      </c>
      <c r="V635" s="53">
        <f t="shared" si="413"/>
        <v>0</v>
      </c>
      <c r="W635" s="53">
        <f t="shared" si="414"/>
        <v>0</v>
      </c>
      <c r="X635" s="53">
        <f t="shared" si="415"/>
        <v>0</v>
      </c>
      <c r="Y635" s="53">
        <f t="shared" si="416"/>
        <v>0</v>
      </c>
      <c r="Z635" s="53">
        <f t="shared" si="417"/>
        <v>0</v>
      </c>
      <c r="AB635" s="53">
        <f t="shared" si="404"/>
        <v>0</v>
      </c>
      <c r="AC635" s="53">
        <f t="shared" si="405"/>
        <v>0</v>
      </c>
      <c r="AD635" s="53">
        <f t="shared" si="406"/>
        <v>0</v>
      </c>
      <c r="AE635" s="53">
        <f t="shared" si="407"/>
        <v>0</v>
      </c>
      <c r="AF635" s="53">
        <f t="shared" si="408"/>
        <v>0</v>
      </c>
    </row>
    <row r="636" spans="2:32">
      <c r="B636" s="43" t="str">
        <f t="shared" si="401"/>
        <v>Asset 100</v>
      </c>
      <c r="F636" s="43" t="str">
        <f t="shared" ref="F636:L636" si="448">F140</f>
        <v>37 ICT middelen 1 (gaschromatografen en comptabele meting)</v>
      </c>
      <c r="G636" s="43">
        <f t="shared" si="448"/>
        <v>2002</v>
      </c>
      <c r="H636" s="48">
        <f t="shared" si="448"/>
        <v>27589.78</v>
      </c>
      <c r="I636" s="43">
        <f t="shared" si="448"/>
        <v>2021</v>
      </c>
      <c r="J636" s="43">
        <f t="shared" si="448"/>
        <v>5</v>
      </c>
      <c r="K636" s="43">
        <f t="shared" si="448"/>
        <v>0</v>
      </c>
      <c r="L636" s="48">
        <f t="shared" si="448"/>
        <v>0</v>
      </c>
      <c r="N636" s="44">
        <f t="shared" si="403"/>
        <v>0</v>
      </c>
      <c r="P636" s="49">
        <f t="shared" si="412"/>
        <v>0</v>
      </c>
      <c r="Q636" s="49">
        <f t="shared" si="412"/>
        <v>0</v>
      </c>
      <c r="R636" s="49">
        <f t="shared" si="412"/>
        <v>0</v>
      </c>
      <c r="S636" s="49">
        <f t="shared" si="412"/>
        <v>0</v>
      </c>
      <c r="T636" s="49">
        <f t="shared" si="412"/>
        <v>0</v>
      </c>
      <c r="V636" s="53">
        <f t="shared" si="413"/>
        <v>0</v>
      </c>
      <c r="W636" s="53">
        <f t="shared" si="414"/>
        <v>0</v>
      </c>
      <c r="X636" s="53">
        <f t="shared" si="415"/>
        <v>0</v>
      </c>
      <c r="Y636" s="53">
        <f t="shared" si="416"/>
        <v>0</v>
      </c>
      <c r="Z636" s="53">
        <f t="shared" si="417"/>
        <v>0</v>
      </c>
      <c r="AB636" s="53">
        <f t="shared" si="404"/>
        <v>0</v>
      </c>
      <c r="AC636" s="53">
        <f t="shared" si="405"/>
        <v>0</v>
      </c>
      <c r="AD636" s="53">
        <f t="shared" si="406"/>
        <v>0</v>
      </c>
      <c r="AE636" s="53">
        <f t="shared" si="407"/>
        <v>0</v>
      </c>
      <c r="AF636" s="53">
        <f t="shared" si="408"/>
        <v>0</v>
      </c>
    </row>
    <row r="637" spans="2:32">
      <c r="B637" s="43" t="str">
        <f t="shared" si="401"/>
        <v>Asset 101</v>
      </c>
      <c r="F637" s="43" t="str">
        <f t="shared" ref="F637:L637" si="449">F141</f>
        <v>14 Overig rollend materieel</v>
      </c>
      <c r="G637" s="43">
        <f t="shared" si="449"/>
        <v>2002</v>
      </c>
      <c r="H637" s="48">
        <f t="shared" si="449"/>
        <v>7905</v>
      </c>
      <c r="I637" s="43">
        <f t="shared" si="449"/>
        <v>2021</v>
      </c>
      <c r="J637" s="43">
        <f t="shared" si="449"/>
        <v>10</v>
      </c>
      <c r="K637" s="43">
        <f t="shared" si="449"/>
        <v>1</v>
      </c>
      <c r="L637" s="48">
        <f t="shared" si="449"/>
        <v>0</v>
      </c>
      <c r="N637" s="44">
        <f t="shared" si="403"/>
        <v>0</v>
      </c>
      <c r="P637" s="49">
        <f t="shared" si="412"/>
        <v>0</v>
      </c>
      <c r="Q637" s="49">
        <f t="shared" si="412"/>
        <v>0</v>
      </c>
      <c r="R637" s="49">
        <f t="shared" si="412"/>
        <v>0</v>
      </c>
      <c r="S637" s="49">
        <f t="shared" si="412"/>
        <v>0</v>
      </c>
      <c r="T637" s="49">
        <f t="shared" si="412"/>
        <v>0</v>
      </c>
      <c r="V637" s="53">
        <f t="shared" si="413"/>
        <v>0</v>
      </c>
      <c r="W637" s="53">
        <f t="shared" si="414"/>
        <v>0</v>
      </c>
      <c r="X637" s="53">
        <f t="shared" si="415"/>
        <v>0</v>
      </c>
      <c r="Y637" s="53">
        <f t="shared" si="416"/>
        <v>0</v>
      </c>
      <c r="Z637" s="53">
        <f t="shared" si="417"/>
        <v>0</v>
      </c>
      <c r="AB637" s="53">
        <f t="shared" si="404"/>
        <v>0</v>
      </c>
      <c r="AC637" s="53">
        <f t="shared" si="405"/>
        <v>0</v>
      </c>
      <c r="AD637" s="53">
        <f t="shared" si="406"/>
        <v>0</v>
      </c>
      <c r="AE637" s="53">
        <f t="shared" si="407"/>
        <v>0</v>
      </c>
      <c r="AF637" s="53">
        <f t="shared" si="408"/>
        <v>0</v>
      </c>
    </row>
    <row r="638" spans="2:32">
      <c r="B638" s="43" t="str">
        <f t="shared" si="401"/>
        <v>Asset 102</v>
      </c>
      <c r="F638" s="43" t="str">
        <f t="shared" ref="F638:L638" si="450">F142</f>
        <v>13 Aanhangwagens</v>
      </c>
      <c r="G638" s="43">
        <f t="shared" si="450"/>
        <v>2002</v>
      </c>
      <c r="H638" s="48">
        <f t="shared" si="450"/>
        <v>1243</v>
      </c>
      <c r="I638" s="43">
        <f t="shared" si="450"/>
        <v>2021</v>
      </c>
      <c r="J638" s="43">
        <f t="shared" si="450"/>
        <v>10</v>
      </c>
      <c r="K638" s="43">
        <f t="shared" si="450"/>
        <v>1</v>
      </c>
      <c r="L638" s="48">
        <f t="shared" si="450"/>
        <v>0</v>
      </c>
      <c r="N638" s="44">
        <f t="shared" si="403"/>
        <v>0</v>
      </c>
      <c r="P638" s="49">
        <f t="shared" si="412"/>
        <v>0</v>
      </c>
      <c r="Q638" s="49">
        <f t="shared" si="412"/>
        <v>0</v>
      </c>
      <c r="R638" s="49">
        <f t="shared" si="412"/>
        <v>0</v>
      </c>
      <c r="S638" s="49">
        <f t="shared" si="412"/>
        <v>0</v>
      </c>
      <c r="T638" s="49">
        <f t="shared" si="412"/>
        <v>0</v>
      </c>
      <c r="V638" s="53">
        <f t="shared" si="413"/>
        <v>0</v>
      </c>
      <c r="W638" s="53">
        <f t="shared" si="414"/>
        <v>0</v>
      </c>
      <c r="X638" s="53">
        <f t="shared" si="415"/>
        <v>0</v>
      </c>
      <c r="Y638" s="53">
        <f t="shared" si="416"/>
        <v>0</v>
      </c>
      <c r="Z638" s="53">
        <f t="shared" si="417"/>
        <v>0</v>
      </c>
      <c r="AB638" s="53">
        <f t="shared" si="404"/>
        <v>0</v>
      </c>
      <c r="AC638" s="53">
        <f t="shared" si="405"/>
        <v>0</v>
      </c>
      <c r="AD638" s="53">
        <f t="shared" si="406"/>
        <v>0</v>
      </c>
      <c r="AE638" s="53">
        <f t="shared" si="407"/>
        <v>0</v>
      </c>
      <c r="AF638" s="53">
        <f t="shared" si="408"/>
        <v>0</v>
      </c>
    </row>
    <row r="639" spans="2:32">
      <c r="B639" s="43" t="str">
        <f t="shared" si="401"/>
        <v>Asset 103</v>
      </c>
      <c r="F639" s="43" t="str">
        <f t="shared" ref="F639:L639" si="451">F143</f>
        <v>06 Utiliteitsgebouwen</v>
      </c>
      <c r="G639" s="43">
        <f t="shared" si="451"/>
        <v>2002</v>
      </c>
      <c r="H639" s="48">
        <f t="shared" si="451"/>
        <v>68637.27</v>
      </c>
      <c r="I639" s="43">
        <f t="shared" si="451"/>
        <v>2021</v>
      </c>
      <c r="J639" s="43">
        <f t="shared" si="451"/>
        <v>30</v>
      </c>
      <c r="K639" s="43">
        <f t="shared" si="451"/>
        <v>0</v>
      </c>
      <c r="L639" s="48">
        <f t="shared" si="451"/>
        <v>33068.469795601901</v>
      </c>
      <c r="N639" s="44">
        <f t="shared" si="403"/>
        <v>10.5</v>
      </c>
      <c r="P639" s="49">
        <f t="shared" si="412"/>
        <v>3149.3780757716095</v>
      </c>
      <c r="Q639" s="49">
        <f t="shared" si="412"/>
        <v>3149.3780757716099</v>
      </c>
      <c r="R639" s="49">
        <f t="shared" si="412"/>
        <v>3149.3780757716099</v>
      </c>
      <c r="S639" s="49">
        <f t="shared" si="412"/>
        <v>3149.3780757716099</v>
      </c>
      <c r="T639" s="49">
        <f t="shared" si="412"/>
        <v>3149.3780757716099</v>
      </c>
      <c r="V639" s="53">
        <f t="shared" si="413"/>
        <v>29919.091719830292</v>
      </c>
      <c r="W639" s="53">
        <f t="shared" si="414"/>
        <v>26769.713644058684</v>
      </c>
      <c r="X639" s="53">
        <f t="shared" si="415"/>
        <v>23620.335568287075</v>
      </c>
      <c r="Y639" s="53">
        <f t="shared" si="416"/>
        <v>20470.957492515467</v>
      </c>
      <c r="Z639" s="53">
        <f t="shared" si="417"/>
        <v>17321.579416743858</v>
      </c>
      <c r="AB639" s="53">
        <f t="shared" si="404"/>
        <v>4076.8699190863485</v>
      </c>
      <c r="AC639" s="53">
        <f t="shared" si="405"/>
        <v>3952.4694850933702</v>
      </c>
      <c r="AD639" s="53">
        <f t="shared" si="406"/>
        <v>3857.988142820222</v>
      </c>
      <c r="AE639" s="53">
        <f t="shared" si="407"/>
        <v>3763.5068005470739</v>
      </c>
      <c r="AF639" s="53">
        <f t="shared" si="408"/>
        <v>3669.0254582739258</v>
      </c>
    </row>
    <row r="640" spans="2:32">
      <c r="B640" s="43" t="str">
        <f t="shared" si="401"/>
        <v>Asset 104</v>
      </c>
      <c r="F640" s="43" t="str">
        <f t="shared" ref="F640:L640" si="452">F144</f>
        <v>09 Bedrijfsinventaris</v>
      </c>
      <c r="G640" s="43">
        <f t="shared" si="452"/>
        <v>2003</v>
      </c>
      <c r="H640" s="48">
        <f t="shared" si="452"/>
        <v>108222.26</v>
      </c>
      <c r="I640" s="43">
        <f t="shared" si="452"/>
        <v>2021</v>
      </c>
      <c r="J640" s="43">
        <f t="shared" si="452"/>
        <v>10</v>
      </c>
      <c r="K640" s="43">
        <f t="shared" si="452"/>
        <v>1</v>
      </c>
      <c r="L640" s="48">
        <f t="shared" si="452"/>
        <v>0</v>
      </c>
      <c r="N640" s="44">
        <f t="shared" si="403"/>
        <v>0</v>
      </c>
      <c r="P640" s="49">
        <f t="shared" si="412"/>
        <v>0</v>
      </c>
      <c r="Q640" s="49">
        <f t="shared" si="412"/>
        <v>0</v>
      </c>
      <c r="R640" s="49">
        <f t="shared" si="412"/>
        <v>0</v>
      </c>
      <c r="S640" s="49">
        <f t="shared" si="412"/>
        <v>0</v>
      </c>
      <c r="T640" s="49">
        <f t="shared" si="412"/>
        <v>0</v>
      </c>
      <c r="V640" s="53">
        <f t="shared" si="413"/>
        <v>0</v>
      </c>
      <c r="W640" s="53">
        <f t="shared" si="414"/>
        <v>0</v>
      </c>
      <c r="X640" s="53">
        <f t="shared" si="415"/>
        <v>0</v>
      </c>
      <c r="Y640" s="53">
        <f t="shared" si="416"/>
        <v>0</v>
      </c>
      <c r="Z640" s="53">
        <f t="shared" si="417"/>
        <v>0</v>
      </c>
      <c r="AB640" s="53">
        <f t="shared" si="404"/>
        <v>0</v>
      </c>
      <c r="AC640" s="53">
        <f t="shared" si="405"/>
        <v>0</v>
      </c>
      <c r="AD640" s="53">
        <f t="shared" si="406"/>
        <v>0</v>
      </c>
      <c r="AE640" s="53">
        <f t="shared" si="407"/>
        <v>0</v>
      </c>
      <c r="AF640" s="53">
        <f t="shared" si="408"/>
        <v>0</v>
      </c>
    </row>
    <row r="641" spans="2:32">
      <c r="B641" s="43" t="str">
        <f t="shared" si="401"/>
        <v>Asset 105</v>
      </c>
      <c r="F641" s="43" t="str">
        <f t="shared" ref="F641:L641" si="453">F145</f>
        <v>11 Werktuigen</v>
      </c>
      <c r="G641" s="43">
        <f t="shared" si="453"/>
        <v>2003</v>
      </c>
      <c r="H641" s="48">
        <f t="shared" si="453"/>
        <v>135681.9</v>
      </c>
      <c r="I641" s="43">
        <f t="shared" si="453"/>
        <v>2021</v>
      </c>
      <c r="J641" s="43">
        <f t="shared" si="453"/>
        <v>10</v>
      </c>
      <c r="K641" s="43">
        <f t="shared" si="453"/>
        <v>1</v>
      </c>
      <c r="L641" s="48">
        <f t="shared" si="453"/>
        <v>0</v>
      </c>
      <c r="N641" s="44">
        <f t="shared" si="403"/>
        <v>0</v>
      </c>
      <c r="P641" s="49">
        <f t="shared" si="412"/>
        <v>0</v>
      </c>
      <c r="Q641" s="49">
        <f t="shared" si="412"/>
        <v>0</v>
      </c>
      <c r="R641" s="49">
        <f t="shared" si="412"/>
        <v>0</v>
      </c>
      <c r="S641" s="49">
        <f t="shared" si="412"/>
        <v>0</v>
      </c>
      <c r="T641" s="49">
        <f t="shared" si="412"/>
        <v>0</v>
      </c>
      <c r="V641" s="53">
        <f t="shared" si="413"/>
        <v>0</v>
      </c>
      <c r="W641" s="53">
        <f t="shared" si="414"/>
        <v>0</v>
      </c>
      <c r="X641" s="53">
        <f t="shared" si="415"/>
        <v>0</v>
      </c>
      <c r="Y641" s="53">
        <f t="shared" si="416"/>
        <v>0</v>
      </c>
      <c r="Z641" s="53">
        <f t="shared" si="417"/>
        <v>0</v>
      </c>
      <c r="AB641" s="53">
        <f t="shared" si="404"/>
        <v>0</v>
      </c>
      <c r="AC641" s="53">
        <f t="shared" si="405"/>
        <v>0</v>
      </c>
      <c r="AD641" s="53">
        <f t="shared" si="406"/>
        <v>0</v>
      </c>
      <c r="AE641" s="53">
        <f t="shared" si="407"/>
        <v>0</v>
      </c>
      <c r="AF641" s="53">
        <f t="shared" si="408"/>
        <v>0</v>
      </c>
    </row>
    <row r="642" spans="2:32">
      <c r="B642" s="43" t="str">
        <f t="shared" si="401"/>
        <v>Asset 106</v>
      </c>
      <c r="F642" s="43" t="str">
        <f t="shared" ref="F642:L642" si="454">F146</f>
        <v>37 ICT middelen 1</v>
      </c>
      <c r="G642" s="43">
        <f t="shared" si="454"/>
        <v>2003</v>
      </c>
      <c r="H642" s="48">
        <f t="shared" si="454"/>
        <v>869353.66999999993</v>
      </c>
      <c r="I642" s="43">
        <f t="shared" si="454"/>
        <v>2021</v>
      </c>
      <c r="J642" s="43">
        <f t="shared" si="454"/>
        <v>5</v>
      </c>
      <c r="K642" s="43">
        <f t="shared" si="454"/>
        <v>1</v>
      </c>
      <c r="L642" s="48">
        <f t="shared" si="454"/>
        <v>0</v>
      </c>
      <c r="N642" s="44">
        <f t="shared" si="403"/>
        <v>0</v>
      </c>
      <c r="P642" s="49">
        <f t="shared" si="412"/>
        <v>0</v>
      </c>
      <c r="Q642" s="49">
        <f t="shared" si="412"/>
        <v>0</v>
      </c>
      <c r="R642" s="49">
        <f t="shared" si="412"/>
        <v>0</v>
      </c>
      <c r="S642" s="49">
        <f t="shared" si="412"/>
        <v>0</v>
      </c>
      <c r="T642" s="49">
        <f t="shared" si="412"/>
        <v>0</v>
      </c>
      <c r="V642" s="53">
        <f t="shared" si="413"/>
        <v>0</v>
      </c>
      <c r="W642" s="53">
        <f t="shared" si="414"/>
        <v>0</v>
      </c>
      <c r="X642" s="53">
        <f t="shared" si="415"/>
        <v>0</v>
      </c>
      <c r="Y642" s="53">
        <f t="shared" si="416"/>
        <v>0</v>
      </c>
      <c r="Z642" s="53">
        <f t="shared" si="417"/>
        <v>0</v>
      </c>
      <c r="AB642" s="53">
        <f t="shared" si="404"/>
        <v>0</v>
      </c>
      <c r="AC642" s="53">
        <f t="shared" si="405"/>
        <v>0</v>
      </c>
      <c r="AD642" s="53">
        <f t="shared" si="406"/>
        <v>0</v>
      </c>
      <c r="AE642" s="53">
        <f t="shared" si="407"/>
        <v>0</v>
      </c>
      <c r="AF642" s="53">
        <f t="shared" si="408"/>
        <v>0</v>
      </c>
    </row>
    <row r="643" spans="2:32">
      <c r="B643" s="43" t="str">
        <f t="shared" si="401"/>
        <v>Asset 107</v>
      </c>
      <c r="F643" s="43" t="str">
        <f t="shared" ref="F643:L643" si="455">F147</f>
        <v>37 ICT middelen 1 (gaschromatografen en comptabele meting)</v>
      </c>
      <c r="G643" s="43">
        <f t="shared" si="455"/>
        <v>2003</v>
      </c>
      <c r="H643" s="48">
        <f t="shared" si="455"/>
        <v>1210667.97</v>
      </c>
      <c r="I643" s="43">
        <f t="shared" si="455"/>
        <v>2021</v>
      </c>
      <c r="J643" s="43">
        <f t="shared" si="455"/>
        <v>5</v>
      </c>
      <c r="K643" s="43">
        <f t="shared" si="455"/>
        <v>0</v>
      </c>
      <c r="L643" s="48">
        <f t="shared" si="455"/>
        <v>0</v>
      </c>
      <c r="N643" s="44">
        <f t="shared" si="403"/>
        <v>0</v>
      </c>
      <c r="P643" s="49">
        <f t="shared" si="412"/>
        <v>0</v>
      </c>
      <c r="Q643" s="49">
        <f t="shared" si="412"/>
        <v>0</v>
      </c>
      <c r="R643" s="49">
        <f t="shared" si="412"/>
        <v>0</v>
      </c>
      <c r="S643" s="49">
        <f t="shared" si="412"/>
        <v>0</v>
      </c>
      <c r="T643" s="49">
        <f t="shared" si="412"/>
        <v>0</v>
      </c>
      <c r="V643" s="53">
        <f t="shared" si="413"/>
        <v>0</v>
      </c>
      <c r="W643" s="53">
        <f t="shared" si="414"/>
        <v>0</v>
      </c>
      <c r="X643" s="53">
        <f t="shared" si="415"/>
        <v>0</v>
      </c>
      <c r="Y643" s="53">
        <f t="shared" si="416"/>
        <v>0</v>
      </c>
      <c r="Z643" s="53">
        <f t="shared" si="417"/>
        <v>0</v>
      </c>
      <c r="AB643" s="53">
        <f t="shared" si="404"/>
        <v>0</v>
      </c>
      <c r="AC643" s="53">
        <f t="shared" si="405"/>
        <v>0</v>
      </c>
      <c r="AD643" s="53">
        <f t="shared" si="406"/>
        <v>0</v>
      </c>
      <c r="AE643" s="53">
        <f t="shared" si="407"/>
        <v>0</v>
      </c>
      <c r="AF643" s="53">
        <f t="shared" si="408"/>
        <v>0</v>
      </c>
    </row>
    <row r="644" spans="2:32">
      <c r="B644" s="43" t="str">
        <f t="shared" si="401"/>
        <v>Asset 108</v>
      </c>
      <c r="F644" s="43" t="str">
        <f t="shared" ref="F644:L644" si="456">F148</f>
        <v>10 Gereedschap</v>
      </c>
      <c r="G644" s="43">
        <f t="shared" si="456"/>
        <v>2003</v>
      </c>
      <c r="H644" s="48">
        <f t="shared" si="456"/>
        <v>62325</v>
      </c>
      <c r="I644" s="43">
        <f t="shared" si="456"/>
        <v>2021</v>
      </c>
      <c r="J644" s="43">
        <f t="shared" si="456"/>
        <v>10</v>
      </c>
      <c r="K644" s="43">
        <f t="shared" si="456"/>
        <v>1</v>
      </c>
      <c r="L644" s="48">
        <f t="shared" si="456"/>
        <v>0</v>
      </c>
      <c r="N644" s="44">
        <f t="shared" si="403"/>
        <v>0</v>
      </c>
      <c r="P644" s="49">
        <f t="shared" si="412"/>
        <v>0</v>
      </c>
      <c r="Q644" s="49">
        <f t="shared" si="412"/>
        <v>0</v>
      </c>
      <c r="R644" s="49">
        <f t="shared" si="412"/>
        <v>0</v>
      </c>
      <c r="S644" s="49">
        <f t="shared" si="412"/>
        <v>0</v>
      </c>
      <c r="T644" s="49">
        <f t="shared" si="412"/>
        <v>0</v>
      </c>
      <c r="V644" s="53">
        <f t="shared" si="413"/>
        <v>0</v>
      </c>
      <c r="W644" s="53">
        <f t="shared" si="414"/>
        <v>0</v>
      </c>
      <c r="X644" s="53">
        <f t="shared" si="415"/>
        <v>0</v>
      </c>
      <c r="Y644" s="53">
        <f t="shared" si="416"/>
        <v>0</v>
      </c>
      <c r="Z644" s="53">
        <f t="shared" si="417"/>
        <v>0</v>
      </c>
      <c r="AB644" s="53">
        <f t="shared" si="404"/>
        <v>0</v>
      </c>
      <c r="AC644" s="53">
        <f t="shared" si="405"/>
        <v>0</v>
      </c>
      <c r="AD644" s="53">
        <f t="shared" si="406"/>
        <v>0</v>
      </c>
      <c r="AE644" s="53">
        <f t="shared" si="407"/>
        <v>0</v>
      </c>
      <c r="AF644" s="53">
        <f t="shared" si="408"/>
        <v>0</v>
      </c>
    </row>
    <row r="645" spans="2:32">
      <c r="B645" s="43" t="str">
        <f t="shared" si="401"/>
        <v>Asset 109</v>
      </c>
      <c r="F645" s="43" t="str">
        <f t="shared" ref="F645:L645" si="457">F149</f>
        <v>06 Utiliteitsgebouwen</v>
      </c>
      <c r="G645" s="43">
        <f t="shared" si="457"/>
        <v>2003</v>
      </c>
      <c r="H645" s="48">
        <f t="shared" si="457"/>
        <v>206366.74</v>
      </c>
      <c r="I645" s="43">
        <f t="shared" si="457"/>
        <v>2021</v>
      </c>
      <c r="J645" s="43">
        <f t="shared" si="457"/>
        <v>30</v>
      </c>
      <c r="K645" s="43">
        <f t="shared" si="457"/>
        <v>0</v>
      </c>
      <c r="L645" s="48">
        <f t="shared" si="457"/>
        <v>105414.90479883776</v>
      </c>
      <c r="N645" s="44">
        <f t="shared" si="403"/>
        <v>11.5</v>
      </c>
      <c r="P645" s="49">
        <f t="shared" si="412"/>
        <v>9166.5134607685013</v>
      </c>
      <c r="Q645" s="49">
        <f t="shared" si="412"/>
        <v>9166.5134607685013</v>
      </c>
      <c r="R645" s="49">
        <f t="shared" si="412"/>
        <v>9166.5134607685013</v>
      </c>
      <c r="S645" s="49">
        <f t="shared" si="412"/>
        <v>9166.5134607685013</v>
      </c>
      <c r="T645" s="49">
        <f t="shared" si="412"/>
        <v>9166.5134607685013</v>
      </c>
      <c r="V645" s="53">
        <f t="shared" si="413"/>
        <v>96248.391338069254</v>
      </c>
      <c r="W645" s="53">
        <f t="shared" si="414"/>
        <v>87081.877877300751</v>
      </c>
      <c r="X645" s="53">
        <f t="shared" si="415"/>
        <v>77915.364416532248</v>
      </c>
      <c r="Y645" s="53">
        <f t="shared" si="416"/>
        <v>68748.850955763744</v>
      </c>
      <c r="Z645" s="53">
        <f t="shared" si="417"/>
        <v>59582.337494995241</v>
      </c>
      <c r="AB645" s="53">
        <f t="shared" si="404"/>
        <v>12150.213592248649</v>
      </c>
      <c r="AC645" s="53">
        <f t="shared" si="405"/>
        <v>11778.969797087524</v>
      </c>
      <c r="AD645" s="53">
        <f t="shared" si="406"/>
        <v>11503.974393264469</v>
      </c>
      <c r="AE645" s="53">
        <f t="shared" si="407"/>
        <v>11228.978989441413</v>
      </c>
      <c r="AF645" s="53">
        <f t="shared" si="408"/>
        <v>10953.983585618358</v>
      </c>
    </row>
    <row r="646" spans="2:32">
      <c r="B646" s="43" t="str">
        <f t="shared" si="401"/>
        <v>Asset 110</v>
      </c>
      <c r="F646" s="43" t="str">
        <f t="shared" ref="F646:L646" si="458">F150</f>
        <v>13 Aanhangwagens</v>
      </c>
      <c r="G646" s="43">
        <f t="shared" si="458"/>
        <v>2003</v>
      </c>
      <c r="H646" s="48">
        <f t="shared" si="458"/>
        <v>1830.54</v>
      </c>
      <c r="I646" s="43">
        <f t="shared" si="458"/>
        <v>2021</v>
      </c>
      <c r="J646" s="43">
        <f t="shared" si="458"/>
        <v>10</v>
      </c>
      <c r="K646" s="43">
        <f t="shared" si="458"/>
        <v>1</v>
      </c>
      <c r="L646" s="48">
        <f t="shared" si="458"/>
        <v>0</v>
      </c>
      <c r="N646" s="44">
        <f t="shared" si="403"/>
        <v>0</v>
      </c>
      <c r="P646" s="49">
        <f t="shared" si="412"/>
        <v>0</v>
      </c>
      <c r="Q646" s="49">
        <f t="shared" si="412"/>
        <v>0</v>
      </c>
      <c r="R646" s="49">
        <f t="shared" si="412"/>
        <v>0</v>
      </c>
      <c r="S646" s="49">
        <f t="shared" si="412"/>
        <v>0</v>
      </c>
      <c r="T646" s="49">
        <f t="shared" si="412"/>
        <v>0</v>
      </c>
      <c r="V646" s="53">
        <f t="shared" si="413"/>
        <v>0</v>
      </c>
      <c r="W646" s="53">
        <f t="shared" si="414"/>
        <v>0</v>
      </c>
      <c r="X646" s="53">
        <f t="shared" si="415"/>
        <v>0</v>
      </c>
      <c r="Y646" s="53">
        <f t="shared" si="416"/>
        <v>0</v>
      </c>
      <c r="Z646" s="53">
        <f t="shared" si="417"/>
        <v>0</v>
      </c>
      <c r="AB646" s="53">
        <f t="shared" si="404"/>
        <v>0</v>
      </c>
      <c r="AC646" s="53">
        <f t="shared" si="405"/>
        <v>0</v>
      </c>
      <c r="AD646" s="53">
        <f t="shared" si="406"/>
        <v>0</v>
      </c>
      <c r="AE646" s="53">
        <f t="shared" si="407"/>
        <v>0</v>
      </c>
      <c r="AF646" s="53">
        <f t="shared" si="408"/>
        <v>0</v>
      </c>
    </row>
    <row r="647" spans="2:32">
      <c r="B647" s="43" t="str">
        <f t="shared" si="401"/>
        <v>Asset 111</v>
      </c>
      <c r="F647" s="43" t="str">
        <f t="shared" ref="F647:L647" si="459">F151</f>
        <v>37 ICT middelen 1</v>
      </c>
      <c r="G647" s="43">
        <f t="shared" si="459"/>
        <v>2004</v>
      </c>
      <c r="H647" s="48">
        <f t="shared" si="459"/>
        <v>2583848.4300000002</v>
      </c>
      <c r="I647" s="43">
        <f t="shared" si="459"/>
        <v>2021</v>
      </c>
      <c r="J647" s="43">
        <f t="shared" si="459"/>
        <v>5</v>
      </c>
      <c r="K647" s="43">
        <f t="shared" si="459"/>
        <v>1</v>
      </c>
      <c r="L647" s="48">
        <f t="shared" si="459"/>
        <v>0</v>
      </c>
      <c r="N647" s="44">
        <f t="shared" si="403"/>
        <v>0</v>
      </c>
      <c r="P647" s="49">
        <f t="shared" si="412"/>
        <v>0</v>
      </c>
      <c r="Q647" s="49">
        <f t="shared" si="412"/>
        <v>0</v>
      </c>
      <c r="R647" s="49">
        <f t="shared" si="412"/>
        <v>0</v>
      </c>
      <c r="S647" s="49">
        <f t="shared" si="412"/>
        <v>0</v>
      </c>
      <c r="T647" s="49">
        <f t="shared" si="412"/>
        <v>0</v>
      </c>
      <c r="V647" s="53">
        <f t="shared" si="413"/>
        <v>0</v>
      </c>
      <c r="W647" s="53">
        <f t="shared" si="414"/>
        <v>0</v>
      </c>
      <c r="X647" s="53">
        <f t="shared" si="415"/>
        <v>0</v>
      </c>
      <c r="Y647" s="53">
        <f t="shared" si="416"/>
        <v>0</v>
      </c>
      <c r="Z647" s="53">
        <f t="shared" si="417"/>
        <v>0</v>
      </c>
      <c r="AB647" s="53">
        <f t="shared" si="404"/>
        <v>0</v>
      </c>
      <c r="AC647" s="53">
        <f t="shared" si="405"/>
        <v>0</v>
      </c>
      <c r="AD647" s="53">
        <f t="shared" si="406"/>
        <v>0</v>
      </c>
      <c r="AE647" s="53">
        <f t="shared" si="407"/>
        <v>0</v>
      </c>
      <c r="AF647" s="53">
        <f t="shared" si="408"/>
        <v>0</v>
      </c>
    </row>
    <row r="648" spans="2:32">
      <c r="B648" s="43" t="str">
        <f t="shared" si="401"/>
        <v>Asset 112</v>
      </c>
      <c r="F648" s="43" t="str">
        <f t="shared" ref="F648:L648" si="460">F152</f>
        <v>37 ICT middelen 1 (gaschromatografen en comptabele meting)</v>
      </c>
      <c r="G648" s="43">
        <f t="shared" si="460"/>
        <v>2004</v>
      </c>
      <c r="H648" s="48">
        <f t="shared" si="460"/>
        <v>263122.5</v>
      </c>
      <c r="I648" s="43">
        <f t="shared" si="460"/>
        <v>2021</v>
      </c>
      <c r="J648" s="43">
        <f t="shared" si="460"/>
        <v>5</v>
      </c>
      <c r="K648" s="43">
        <f t="shared" si="460"/>
        <v>0</v>
      </c>
      <c r="L648" s="48">
        <f t="shared" si="460"/>
        <v>0</v>
      </c>
      <c r="N648" s="44">
        <f t="shared" si="403"/>
        <v>0</v>
      </c>
      <c r="P648" s="49">
        <f t="shared" si="412"/>
        <v>0</v>
      </c>
      <c r="Q648" s="49">
        <f t="shared" si="412"/>
        <v>0</v>
      </c>
      <c r="R648" s="49">
        <f t="shared" si="412"/>
        <v>0</v>
      </c>
      <c r="S648" s="49">
        <f t="shared" si="412"/>
        <v>0</v>
      </c>
      <c r="T648" s="49">
        <f t="shared" si="412"/>
        <v>0</v>
      </c>
      <c r="V648" s="53">
        <f t="shared" si="413"/>
        <v>0</v>
      </c>
      <c r="W648" s="53">
        <f t="shared" si="414"/>
        <v>0</v>
      </c>
      <c r="X648" s="53">
        <f t="shared" si="415"/>
        <v>0</v>
      </c>
      <c r="Y648" s="53">
        <f t="shared" si="416"/>
        <v>0</v>
      </c>
      <c r="Z648" s="53">
        <f t="shared" si="417"/>
        <v>0</v>
      </c>
      <c r="AB648" s="53">
        <f t="shared" si="404"/>
        <v>0</v>
      </c>
      <c r="AC648" s="53">
        <f t="shared" si="405"/>
        <v>0</v>
      </c>
      <c r="AD648" s="53">
        <f t="shared" si="406"/>
        <v>0</v>
      </c>
      <c r="AE648" s="53">
        <f t="shared" si="407"/>
        <v>0</v>
      </c>
      <c r="AF648" s="53">
        <f t="shared" si="408"/>
        <v>0</v>
      </c>
    </row>
    <row r="649" spans="2:32">
      <c r="B649" s="43" t="str">
        <f t="shared" si="401"/>
        <v>Asset 113</v>
      </c>
      <c r="F649" s="43" t="str">
        <f t="shared" ref="F649:L649" si="461">F153</f>
        <v>09 Bedrijfsinventaris</v>
      </c>
      <c r="G649" s="43">
        <f t="shared" si="461"/>
        <v>2004</v>
      </c>
      <c r="H649" s="48">
        <f t="shared" si="461"/>
        <v>142655</v>
      </c>
      <c r="I649" s="43">
        <f t="shared" si="461"/>
        <v>2021</v>
      </c>
      <c r="J649" s="43">
        <f t="shared" si="461"/>
        <v>10</v>
      </c>
      <c r="K649" s="43">
        <f t="shared" si="461"/>
        <v>1</v>
      </c>
      <c r="L649" s="48">
        <f t="shared" si="461"/>
        <v>0</v>
      </c>
      <c r="N649" s="44">
        <f t="shared" si="403"/>
        <v>0</v>
      </c>
      <c r="P649" s="49">
        <f t="shared" si="412"/>
        <v>0</v>
      </c>
      <c r="Q649" s="49">
        <f t="shared" si="412"/>
        <v>0</v>
      </c>
      <c r="R649" s="49">
        <f t="shared" si="412"/>
        <v>0</v>
      </c>
      <c r="S649" s="49">
        <f t="shared" si="412"/>
        <v>0</v>
      </c>
      <c r="T649" s="49">
        <f t="shared" si="412"/>
        <v>0</v>
      </c>
      <c r="V649" s="53">
        <f t="shared" si="413"/>
        <v>0</v>
      </c>
      <c r="W649" s="53">
        <f t="shared" si="414"/>
        <v>0</v>
      </c>
      <c r="X649" s="53">
        <f t="shared" si="415"/>
        <v>0</v>
      </c>
      <c r="Y649" s="53">
        <f t="shared" si="416"/>
        <v>0</v>
      </c>
      <c r="Z649" s="53">
        <f t="shared" si="417"/>
        <v>0</v>
      </c>
      <c r="AB649" s="53">
        <f t="shared" si="404"/>
        <v>0</v>
      </c>
      <c r="AC649" s="53">
        <f t="shared" si="405"/>
        <v>0</v>
      </c>
      <c r="AD649" s="53">
        <f t="shared" si="406"/>
        <v>0</v>
      </c>
      <c r="AE649" s="53">
        <f t="shared" si="407"/>
        <v>0</v>
      </c>
      <c r="AF649" s="53">
        <f t="shared" si="408"/>
        <v>0</v>
      </c>
    </row>
    <row r="650" spans="2:32">
      <c r="B650" s="43" t="str">
        <f t="shared" si="401"/>
        <v>Asset 114</v>
      </c>
      <c r="F650" s="43" t="str">
        <f t="shared" ref="F650:L650" si="462">F154</f>
        <v>11 Werktuigen</v>
      </c>
      <c r="G650" s="43">
        <f t="shared" si="462"/>
        <v>2004</v>
      </c>
      <c r="H650" s="48">
        <f t="shared" si="462"/>
        <v>77020.09</v>
      </c>
      <c r="I650" s="43">
        <f t="shared" si="462"/>
        <v>2021</v>
      </c>
      <c r="J650" s="43">
        <f t="shared" si="462"/>
        <v>10</v>
      </c>
      <c r="K650" s="43">
        <f t="shared" si="462"/>
        <v>1</v>
      </c>
      <c r="L650" s="48">
        <f t="shared" si="462"/>
        <v>0</v>
      </c>
      <c r="N650" s="44">
        <f t="shared" si="403"/>
        <v>0</v>
      </c>
      <c r="P650" s="49">
        <f t="shared" si="412"/>
        <v>0</v>
      </c>
      <c r="Q650" s="49">
        <f t="shared" si="412"/>
        <v>0</v>
      </c>
      <c r="R650" s="49">
        <f t="shared" si="412"/>
        <v>0</v>
      </c>
      <c r="S650" s="49">
        <f t="shared" si="412"/>
        <v>0</v>
      </c>
      <c r="T650" s="49">
        <f t="shared" si="412"/>
        <v>0</v>
      </c>
      <c r="V650" s="53">
        <f t="shared" si="413"/>
        <v>0</v>
      </c>
      <c r="W650" s="53">
        <f t="shared" si="414"/>
        <v>0</v>
      </c>
      <c r="X650" s="53">
        <f t="shared" si="415"/>
        <v>0</v>
      </c>
      <c r="Y650" s="53">
        <f t="shared" si="416"/>
        <v>0</v>
      </c>
      <c r="Z650" s="53">
        <f t="shared" si="417"/>
        <v>0</v>
      </c>
      <c r="AB650" s="53">
        <f t="shared" si="404"/>
        <v>0</v>
      </c>
      <c r="AC650" s="53">
        <f t="shared" si="405"/>
        <v>0</v>
      </c>
      <c r="AD650" s="53">
        <f t="shared" si="406"/>
        <v>0</v>
      </c>
      <c r="AE650" s="53">
        <f t="shared" si="407"/>
        <v>0</v>
      </c>
      <c r="AF650" s="53">
        <f t="shared" si="408"/>
        <v>0</v>
      </c>
    </row>
    <row r="651" spans="2:32">
      <c r="B651" s="43" t="str">
        <f t="shared" si="401"/>
        <v>Asset 115</v>
      </c>
      <c r="F651" s="43" t="str">
        <f t="shared" ref="F651:L651" si="463">F155</f>
        <v>14 Overig rollend materieel</v>
      </c>
      <c r="G651" s="43">
        <f t="shared" si="463"/>
        <v>2004</v>
      </c>
      <c r="H651" s="48">
        <f t="shared" si="463"/>
        <v>195332.07</v>
      </c>
      <c r="I651" s="43">
        <f t="shared" si="463"/>
        <v>2021</v>
      </c>
      <c r="J651" s="43">
        <f t="shared" si="463"/>
        <v>10</v>
      </c>
      <c r="K651" s="43">
        <f t="shared" si="463"/>
        <v>1</v>
      </c>
      <c r="L651" s="48">
        <f t="shared" si="463"/>
        <v>0</v>
      </c>
      <c r="N651" s="44">
        <f t="shared" si="403"/>
        <v>0</v>
      </c>
      <c r="P651" s="49">
        <f t="shared" si="412"/>
        <v>0</v>
      </c>
      <c r="Q651" s="49">
        <f t="shared" si="412"/>
        <v>0</v>
      </c>
      <c r="R651" s="49">
        <f t="shared" si="412"/>
        <v>0</v>
      </c>
      <c r="S651" s="49">
        <f t="shared" si="412"/>
        <v>0</v>
      </c>
      <c r="T651" s="49">
        <f t="shared" si="412"/>
        <v>0</v>
      </c>
      <c r="V651" s="53">
        <f t="shared" si="413"/>
        <v>0</v>
      </c>
      <c r="W651" s="53">
        <f t="shared" si="414"/>
        <v>0</v>
      </c>
      <c r="X651" s="53">
        <f t="shared" si="415"/>
        <v>0</v>
      </c>
      <c r="Y651" s="53">
        <f t="shared" si="416"/>
        <v>0</v>
      </c>
      <c r="Z651" s="53">
        <f t="shared" si="417"/>
        <v>0</v>
      </c>
      <c r="AB651" s="53">
        <f t="shared" si="404"/>
        <v>0</v>
      </c>
      <c r="AC651" s="53">
        <f t="shared" si="405"/>
        <v>0</v>
      </c>
      <c r="AD651" s="53">
        <f t="shared" si="406"/>
        <v>0</v>
      </c>
      <c r="AE651" s="53">
        <f t="shared" si="407"/>
        <v>0</v>
      </c>
      <c r="AF651" s="53">
        <f t="shared" si="408"/>
        <v>0</v>
      </c>
    </row>
    <row r="652" spans="2:32">
      <c r="B652" s="43" t="str">
        <f t="shared" si="401"/>
        <v>Asset 116</v>
      </c>
      <c r="F652" s="43" t="str">
        <f t="shared" ref="F652:L652" si="464">F156</f>
        <v>13 Aanhangwagens</v>
      </c>
      <c r="G652" s="43">
        <f t="shared" si="464"/>
        <v>2004</v>
      </c>
      <c r="H652" s="48">
        <f t="shared" si="464"/>
        <v>1265</v>
      </c>
      <c r="I652" s="43">
        <f t="shared" si="464"/>
        <v>2021</v>
      </c>
      <c r="J652" s="43">
        <f t="shared" si="464"/>
        <v>10</v>
      </c>
      <c r="K652" s="43">
        <f t="shared" si="464"/>
        <v>1</v>
      </c>
      <c r="L652" s="48">
        <f t="shared" si="464"/>
        <v>0</v>
      </c>
      <c r="N652" s="44">
        <f t="shared" si="403"/>
        <v>0</v>
      </c>
      <c r="P652" s="49">
        <f t="shared" si="412"/>
        <v>0</v>
      </c>
      <c r="Q652" s="49">
        <f t="shared" si="412"/>
        <v>0</v>
      </c>
      <c r="R652" s="49">
        <f t="shared" si="412"/>
        <v>0</v>
      </c>
      <c r="S652" s="49">
        <f t="shared" si="412"/>
        <v>0</v>
      </c>
      <c r="T652" s="49">
        <f t="shared" si="412"/>
        <v>0</v>
      </c>
      <c r="V652" s="53">
        <f t="shared" si="413"/>
        <v>0</v>
      </c>
      <c r="W652" s="53">
        <f t="shared" si="414"/>
        <v>0</v>
      </c>
      <c r="X652" s="53">
        <f t="shared" si="415"/>
        <v>0</v>
      </c>
      <c r="Y652" s="53">
        <f t="shared" si="416"/>
        <v>0</v>
      </c>
      <c r="Z652" s="53">
        <f t="shared" si="417"/>
        <v>0</v>
      </c>
      <c r="AB652" s="53">
        <f t="shared" si="404"/>
        <v>0</v>
      </c>
      <c r="AC652" s="53">
        <f t="shared" si="405"/>
        <v>0</v>
      </c>
      <c r="AD652" s="53">
        <f t="shared" si="406"/>
        <v>0</v>
      </c>
      <c r="AE652" s="53">
        <f t="shared" si="407"/>
        <v>0</v>
      </c>
      <c r="AF652" s="53">
        <f t="shared" si="408"/>
        <v>0</v>
      </c>
    </row>
    <row r="653" spans="2:32">
      <c r="B653" s="43" t="str">
        <f t="shared" si="401"/>
        <v>Asset 117</v>
      </c>
      <c r="F653" s="43" t="str">
        <f t="shared" ref="F653:L653" si="465">F157</f>
        <v>08 Inrichting gebouwen</v>
      </c>
      <c r="G653" s="43">
        <f t="shared" si="465"/>
        <v>2004</v>
      </c>
      <c r="H653" s="48">
        <f t="shared" si="465"/>
        <v>62865.23</v>
      </c>
      <c r="I653" s="43">
        <f t="shared" si="465"/>
        <v>2021</v>
      </c>
      <c r="J653" s="43">
        <f t="shared" si="465"/>
        <v>10</v>
      </c>
      <c r="K653" s="43">
        <f t="shared" si="465"/>
        <v>0</v>
      </c>
      <c r="L653" s="48">
        <f t="shared" si="465"/>
        <v>0</v>
      </c>
      <c r="N653" s="44">
        <f t="shared" si="403"/>
        <v>0</v>
      </c>
      <c r="P653" s="49">
        <f t="shared" si="412"/>
        <v>0</v>
      </c>
      <c r="Q653" s="49">
        <f t="shared" si="412"/>
        <v>0</v>
      </c>
      <c r="R653" s="49">
        <f t="shared" si="412"/>
        <v>0</v>
      </c>
      <c r="S653" s="49">
        <f t="shared" si="412"/>
        <v>0</v>
      </c>
      <c r="T653" s="49">
        <f t="shared" si="412"/>
        <v>0</v>
      </c>
      <c r="V653" s="53">
        <f t="shared" si="413"/>
        <v>0</v>
      </c>
      <c r="W653" s="53">
        <f t="shared" si="414"/>
        <v>0</v>
      </c>
      <c r="X653" s="53">
        <f t="shared" si="415"/>
        <v>0</v>
      </c>
      <c r="Y653" s="53">
        <f t="shared" si="416"/>
        <v>0</v>
      </c>
      <c r="Z653" s="53">
        <f t="shared" si="417"/>
        <v>0</v>
      </c>
      <c r="AB653" s="53">
        <f t="shared" si="404"/>
        <v>0</v>
      </c>
      <c r="AC653" s="53">
        <f t="shared" si="405"/>
        <v>0</v>
      </c>
      <c r="AD653" s="53">
        <f t="shared" si="406"/>
        <v>0</v>
      </c>
      <c r="AE653" s="53">
        <f t="shared" si="407"/>
        <v>0</v>
      </c>
      <c r="AF653" s="53">
        <f t="shared" si="408"/>
        <v>0</v>
      </c>
    </row>
    <row r="654" spans="2:32">
      <c r="B654" s="43" t="str">
        <f t="shared" si="401"/>
        <v>Asset 118</v>
      </c>
      <c r="F654" s="43" t="str">
        <f t="shared" ref="F654:L654" si="466">F158</f>
        <v>12 Motorvoertuigen</v>
      </c>
      <c r="G654" s="43">
        <f t="shared" si="466"/>
        <v>2004</v>
      </c>
      <c r="H654" s="48">
        <f t="shared" si="466"/>
        <v>47369.03</v>
      </c>
      <c r="I654" s="43">
        <f t="shared" si="466"/>
        <v>2021</v>
      </c>
      <c r="J654" s="43">
        <f t="shared" si="466"/>
        <v>10</v>
      </c>
      <c r="K654" s="43">
        <f t="shared" si="466"/>
        <v>1</v>
      </c>
      <c r="L654" s="48">
        <f t="shared" si="466"/>
        <v>0</v>
      </c>
      <c r="N654" s="44">
        <f t="shared" si="403"/>
        <v>0</v>
      </c>
      <c r="P654" s="49">
        <f t="shared" si="412"/>
        <v>0</v>
      </c>
      <c r="Q654" s="49">
        <f t="shared" si="412"/>
        <v>0</v>
      </c>
      <c r="R654" s="49">
        <f t="shared" si="412"/>
        <v>0</v>
      </c>
      <c r="S654" s="49">
        <f t="shared" si="412"/>
        <v>0</v>
      </c>
      <c r="T654" s="49">
        <f t="shared" si="412"/>
        <v>0</v>
      </c>
      <c r="V654" s="53">
        <f t="shared" si="413"/>
        <v>0</v>
      </c>
      <c r="W654" s="53">
        <f t="shared" si="414"/>
        <v>0</v>
      </c>
      <c r="X654" s="53">
        <f t="shared" si="415"/>
        <v>0</v>
      </c>
      <c r="Y654" s="53">
        <f t="shared" si="416"/>
        <v>0</v>
      </c>
      <c r="Z654" s="53">
        <f t="shared" si="417"/>
        <v>0</v>
      </c>
      <c r="AB654" s="53">
        <f t="shared" si="404"/>
        <v>0</v>
      </c>
      <c r="AC654" s="53">
        <f t="shared" si="405"/>
        <v>0</v>
      </c>
      <c r="AD654" s="53">
        <f t="shared" si="406"/>
        <v>0</v>
      </c>
      <c r="AE654" s="53">
        <f t="shared" si="407"/>
        <v>0</v>
      </c>
      <c r="AF654" s="53">
        <f t="shared" si="408"/>
        <v>0</v>
      </c>
    </row>
    <row r="655" spans="2:32">
      <c r="B655" s="43" t="str">
        <f t="shared" si="401"/>
        <v>Asset 119</v>
      </c>
      <c r="F655" s="43" t="str">
        <f t="shared" ref="F655:L655" si="467">F159</f>
        <v>06 Utiliteitsgebouwen</v>
      </c>
      <c r="G655" s="43">
        <f t="shared" si="467"/>
        <v>2005</v>
      </c>
      <c r="H655" s="48">
        <f t="shared" si="467"/>
        <v>13716.41</v>
      </c>
      <c r="I655" s="43">
        <f t="shared" si="467"/>
        <v>2021</v>
      </c>
      <c r="J655" s="43">
        <f t="shared" si="467"/>
        <v>30</v>
      </c>
      <c r="K655" s="43">
        <f t="shared" si="467"/>
        <v>0</v>
      </c>
      <c r="L655" s="48">
        <f t="shared" si="467"/>
        <v>7968.2289834864932</v>
      </c>
      <c r="N655" s="44">
        <f t="shared" si="403"/>
        <v>13.5</v>
      </c>
      <c r="P655" s="49">
        <f t="shared" si="412"/>
        <v>590.23918396196245</v>
      </c>
      <c r="Q655" s="49">
        <f t="shared" si="412"/>
        <v>590.23918396196245</v>
      </c>
      <c r="R655" s="49">
        <f t="shared" si="412"/>
        <v>590.23918396196245</v>
      </c>
      <c r="S655" s="49">
        <f t="shared" si="412"/>
        <v>590.23918396196245</v>
      </c>
      <c r="T655" s="49">
        <f t="shared" si="412"/>
        <v>590.23918396196245</v>
      </c>
      <c r="V655" s="53">
        <f t="shared" si="413"/>
        <v>7377.989799524531</v>
      </c>
      <c r="W655" s="53">
        <f t="shared" si="414"/>
        <v>6787.7506155625688</v>
      </c>
      <c r="X655" s="53">
        <f t="shared" si="415"/>
        <v>6197.5114316006066</v>
      </c>
      <c r="Y655" s="53">
        <f t="shared" si="416"/>
        <v>5607.2722476386443</v>
      </c>
      <c r="Z655" s="53">
        <f t="shared" si="417"/>
        <v>5017.0330636766821</v>
      </c>
      <c r="AB655" s="53">
        <f t="shared" si="404"/>
        <v>818.95686774722287</v>
      </c>
      <c r="AC655" s="53">
        <f t="shared" si="405"/>
        <v>793.87170242883951</v>
      </c>
      <c r="AD655" s="53">
        <f t="shared" si="406"/>
        <v>776.16452690998062</v>
      </c>
      <c r="AE655" s="53">
        <f t="shared" si="407"/>
        <v>758.45735139112185</v>
      </c>
      <c r="AF655" s="53">
        <f t="shared" si="408"/>
        <v>740.75017587226284</v>
      </c>
    </row>
    <row r="656" spans="2:32">
      <c r="B656" s="43" t="str">
        <f t="shared" si="401"/>
        <v>Asset 120</v>
      </c>
      <c r="F656" s="43" t="str">
        <f t="shared" ref="F656:L656" si="468">F160</f>
        <v>13 Aanhangwagens</v>
      </c>
      <c r="G656" s="43">
        <f t="shared" si="468"/>
        <v>2005</v>
      </c>
      <c r="H656" s="48">
        <f t="shared" si="468"/>
        <v>5690.5</v>
      </c>
      <c r="I656" s="43">
        <f t="shared" si="468"/>
        <v>2021</v>
      </c>
      <c r="J656" s="43">
        <f t="shared" si="468"/>
        <v>10</v>
      </c>
      <c r="K656" s="43">
        <f t="shared" si="468"/>
        <v>1</v>
      </c>
      <c r="L656" s="48">
        <f t="shared" si="468"/>
        <v>0</v>
      </c>
      <c r="N656" s="44">
        <f t="shared" si="403"/>
        <v>0</v>
      </c>
      <c r="P656" s="49">
        <f t="shared" ref="P656:T706" si="469">IF(P$535&lt;=$G656+$J656,VDB($L656,0,$N656,P$535-2022,MIN(P$535-2021,$N656),1),0)</f>
        <v>0</v>
      </c>
      <c r="Q656" s="49">
        <f t="shared" si="469"/>
        <v>0</v>
      </c>
      <c r="R656" s="49">
        <f t="shared" si="469"/>
        <v>0</v>
      </c>
      <c r="S656" s="49">
        <f t="shared" si="469"/>
        <v>0</v>
      </c>
      <c r="T656" s="49">
        <f t="shared" si="469"/>
        <v>0</v>
      </c>
      <c r="V656" s="53">
        <f t="shared" si="413"/>
        <v>0</v>
      </c>
      <c r="W656" s="53">
        <f t="shared" si="414"/>
        <v>0</v>
      </c>
      <c r="X656" s="53">
        <f t="shared" si="415"/>
        <v>0</v>
      </c>
      <c r="Y656" s="53">
        <f t="shared" si="416"/>
        <v>0</v>
      </c>
      <c r="Z656" s="53">
        <f t="shared" si="417"/>
        <v>0</v>
      </c>
      <c r="AB656" s="53">
        <f t="shared" si="404"/>
        <v>0</v>
      </c>
      <c r="AC656" s="53">
        <f t="shared" si="405"/>
        <v>0</v>
      </c>
      <c r="AD656" s="53">
        <f t="shared" si="406"/>
        <v>0</v>
      </c>
      <c r="AE656" s="53">
        <f t="shared" si="407"/>
        <v>0</v>
      </c>
      <c r="AF656" s="53">
        <f t="shared" si="408"/>
        <v>0</v>
      </c>
    </row>
    <row r="657" spans="2:32">
      <c r="B657" s="43" t="str">
        <f t="shared" si="401"/>
        <v>Asset 121</v>
      </c>
      <c r="F657" s="43" t="str">
        <f t="shared" ref="F657:L657" si="470">F161</f>
        <v>08 Inrichting gebouwen</v>
      </c>
      <c r="G657" s="43">
        <f t="shared" si="470"/>
        <v>2005</v>
      </c>
      <c r="H657" s="48">
        <f t="shared" si="470"/>
        <v>149702.98000000001</v>
      </c>
      <c r="I657" s="43">
        <f t="shared" si="470"/>
        <v>2021</v>
      </c>
      <c r="J657" s="43">
        <f t="shared" si="470"/>
        <v>10</v>
      </c>
      <c r="K657" s="43">
        <f t="shared" si="470"/>
        <v>0</v>
      </c>
      <c r="L657" s="48">
        <f t="shared" si="470"/>
        <v>0</v>
      </c>
      <c r="N657" s="44">
        <f t="shared" si="403"/>
        <v>0</v>
      </c>
      <c r="P657" s="49">
        <f t="shared" si="469"/>
        <v>0</v>
      </c>
      <c r="Q657" s="49">
        <f t="shared" si="469"/>
        <v>0</v>
      </c>
      <c r="R657" s="49">
        <f t="shared" si="469"/>
        <v>0</v>
      </c>
      <c r="S657" s="49">
        <f t="shared" si="469"/>
        <v>0</v>
      </c>
      <c r="T657" s="49">
        <f t="shared" si="469"/>
        <v>0</v>
      </c>
      <c r="V657" s="53">
        <f t="shared" si="413"/>
        <v>0</v>
      </c>
      <c r="W657" s="53">
        <f t="shared" si="414"/>
        <v>0</v>
      </c>
      <c r="X657" s="53">
        <f t="shared" si="415"/>
        <v>0</v>
      </c>
      <c r="Y657" s="53">
        <f t="shared" si="416"/>
        <v>0</v>
      </c>
      <c r="Z657" s="53">
        <f t="shared" si="417"/>
        <v>0</v>
      </c>
      <c r="AB657" s="53">
        <f t="shared" si="404"/>
        <v>0</v>
      </c>
      <c r="AC657" s="53">
        <f t="shared" si="405"/>
        <v>0</v>
      </c>
      <c r="AD657" s="53">
        <f t="shared" si="406"/>
        <v>0</v>
      </c>
      <c r="AE657" s="53">
        <f t="shared" si="407"/>
        <v>0</v>
      </c>
      <c r="AF657" s="53">
        <f t="shared" si="408"/>
        <v>0</v>
      </c>
    </row>
    <row r="658" spans="2:32">
      <c r="B658" s="43" t="str">
        <f t="shared" si="401"/>
        <v>Asset 122</v>
      </c>
      <c r="F658" s="43" t="str">
        <f t="shared" ref="F658:L658" si="471">F162</f>
        <v>12 Motorvoertuigen</v>
      </c>
      <c r="G658" s="43">
        <f t="shared" si="471"/>
        <v>2005</v>
      </c>
      <c r="H658" s="48">
        <f t="shared" si="471"/>
        <v>144500</v>
      </c>
      <c r="I658" s="43">
        <f t="shared" si="471"/>
        <v>2021</v>
      </c>
      <c r="J658" s="43">
        <f t="shared" si="471"/>
        <v>10</v>
      </c>
      <c r="K658" s="43">
        <f t="shared" si="471"/>
        <v>1</v>
      </c>
      <c r="L658" s="48">
        <f t="shared" si="471"/>
        <v>0</v>
      </c>
      <c r="N658" s="44">
        <f t="shared" si="403"/>
        <v>0</v>
      </c>
      <c r="P658" s="49">
        <f t="shared" si="469"/>
        <v>0</v>
      </c>
      <c r="Q658" s="49">
        <f t="shared" si="469"/>
        <v>0</v>
      </c>
      <c r="R658" s="49">
        <f t="shared" si="469"/>
        <v>0</v>
      </c>
      <c r="S658" s="49">
        <f t="shared" si="469"/>
        <v>0</v>
      </c>
      <c r="T658" s="49">
        <f t="shared" si="469"/>
        <v>0</v>
      </c>
      <c r="V658" s="53">
        <f t="shared" si="413"/>
        <v>0</v>
      </c>
      <c r="W658" s="53">
        <f t="shared" si="414"/>
        <v>0</v>
      </c>
      <c r="X658" s="53">
        <f t="shared" si="415"/>
        <v>0</v>
      </c>
      <c r="Y658" s="53">
        <f t="shared" si="416"/>
        <v>0</v>
      </c>
      <c r="Z658" s="53">
        <f t="shared" si="417"/>
        <v>0</v>
      </c>
      <c r="AB658" s="53">
        <f t="shared" si="404"/>
        <v>0</v>
      </c>
      <c r="AC658" s="53">
        <f t="shared" si="405"/>
        <v>0</v>
      </c>
      <c r="AD658" s="53">
        <f t="shared" si="406"/>
        <v>0</v>
      </c>
      <c r="AE658" s="53">
        <f t="shared" si="407"/>
        <v>0</v>
      </c>
      <c r="AF658" s="53">
        <f t="shared" si="408"/>
        <v>0</v>
      </c>
    </row>
    <row r="659" spans="2:32">
      <c r="B659" s="43" t="str">
        <f t="shared" si="401"/>
        <v>Asset 123</v>
      </c>
      <c r="F659" s="43" t="str">
        <f t="shared" ref="F659:L659" si="472">F163</f>
        <v>09 Bedrijfsinventaris</v>
      </c>
      <c r="G659" s="43">
        <f t="shared" si="472"/>
        <v>2005</v>
      </c>
      <c r="H659" s="48">
        <f t="shared" si="472"/>
        <v>22500</v>
      </c>
      <c r="I659" s="43">
        <f t="shared" si="472"/>
        <v>2021</v>
      </c>
      <c r="J659" s="43">
        <f t="shared" si="472"/>
        <v>10</v>
      </c>
      <c r="K659" s="43">
        <f t="shared" si="472"/>
        <v>1</v>
      </c>
      <c r="L659" s="48">
        <f t="shared" si="472"/>
        <v>0</v>
      </c>
      <c r="N659" s="44">
        <f t="shared" si="403"/>
        <v>0</v>
      </c>
      <c r="P659" s="49">
        <f t="shared" si="469"/>
        <v>0</v>
      </c>
      <c r="Q659" s="49">
        <f t="shared" si="469"/>
        <v>0</v>
      </c>
      <c r="R659" s="49">
        <f t="shared" si="469"/>
        <v>0</v>
      </c>
      <c r="S659" s="49">
        <f t="shared" si="469"/>
        <v>0</v>
      </c>
      <c r="T659" s="49">
        <f t="shared" si="469"/>
        <v>0</v>
      </c>
      <c r="V659" s="53">
        <f t="shared" si="413"/>
        <v>0</v>
      </c>
      <c r="W659" s="53">
        <f t="shared" si="414"/>
        <v>0</v>
      </c>
      <c r="X659" s="53">
        <f t="shared" si="415"/>
        <v>0</v>
      </c>
      <c r="Y659" s="53">
        <f t="shared" si="416"/>
        <v>0</v>
      </c>
      <c r="Z659" s="53">
        <f t="shared" si="417"/>
        <v>0</v>
      </c>
      <c r="AB659" s="53">
        <f t="shared" si="404"/>
        <v>0</v>
      </c>
      <c r="AC659" s="53">
        <f t="shared" si="405"/>
        <v>0</v>
      </c>
      <c r="AD659" s="53">
        <f t="shared" si="406"/>
        <v>0</v>
      </c>
      <c r="AE659" s="53">
        <f t="shared" si="407"/>
        <v>0</v>
      </c>
      <c r="AF659" s="53">
        <f t="shared" si="408"/>
        <v>0</v>
      </c>
    </row>
    <row r="660" spans="2:32">
      <c r="B660" s="43" t="str">
        <f t="shared" si="401"/>
        <v>Asset 124</v>
      </c>
      <c r="F660" s="43" t="str">
        <f t="shared" ref="F660:L660" si="473">F164</f>
        <v>14 Overig rollend materieel</v>
      </c>
      <c r="G660" s="43">
        <f t="shared" si="473"/>
        <v>2006</v>
      </c>
      <c r="H660" s="48">
        <f t="shared" si="473"/>
        <v>23374</v>
      </c>
      <c r="I660" s="43">
        <f t="shared" si="473"/>
        <v>2021</v>
      </c>
      <c r="J660" s="43">
        <f t="shared" si="473"/>
        <v>10</v>
      </c>
      <c r="K660" s="43">
        <f t="shared" si="473"/>
        <v>1</v>
      </c>
      <c r="L660" s="48">
        <f t="shared" si="473"/>
        <v>0</v>
      </c>
      <c r="N660" s="44">
        <f t="shared" si="403"/>
        <v>0</v>
      </c>
      <c r="P660" s="49">
        <f t="shared" si="469"/>
        <v>0</v>
      </c>
      <c r="Q660" s="49">
        <f t="shared" si="469"/>
        <v>0</v>
      </c>
      <c r="R660" s="49">
        <f t="shared" si="469"/>
        <v>0</v>
      </c>
      <c r="S660" s="49">
        <f t="shared" si="469"/>
        <v>0</v>
      </c>
      <c r="T660" s="49">
        <f t="shared" si="469"/>
        <v>0</v>
      </c>
      <c r="V660" s="53">
        <f t="shared" si="413"/>
        <v>0</v>
      </c>
      <c r="W660" s="53">
        <f t="shared" si="414"/>
        <v>0</v>
      </c>
      <c r="X660" s="53">
        <f t="shared" si="415"/>
        <v>0</v>
      </c>
      <c r="Y660" s="53">
        <f t="shared" si="416"/>
        <v>0</v>
      </c>
      <c r="Z660" s="53">
        <f t="shared" si="417"/>
        <v>0</v>
      </c>
      <c r="AB660" s="53">
        <f t="shared" si="404"/>
        <v>0</v>
      </c>
      <c r="AC660" s="53">
        <f t="shared" si="405"/>
        <v>0</v>
      </c>
      <c r="AD660" s="53">
        <f t="shared" si="406"/>
        <v>0</v>
      </c>
      <c r="AE660" s="53">
        <f t="shared" si="407"/>
        <v>0</v>
      </c>
      <c r="AF660" s="53">
        <f t="shared" si="408"/>
        <v>0</v>
      </c>
    </row>
    <row r="661" spans="2:32">
      <c r="B661" s="43" t="str">
        <f t="shared" si="401"/>
        <v>Asset 125</v>
      </c>
      <c r="F661" s="43" t="str">
        <f t="shared" ref="F661:L661" si="474">F165</f>
        <v>06 Utiliteitsgebouwen</v>
      </c>
      <c r="G661" s="43">
        <f t="shared" si="474"/>
        <v>2006</v>
      </c>
      <c r="H661" s="48">
        <f t="shared" si="474"/>
        <v>216791.4</v>
      </c>
      <c r="I661" s="43">
        <f t="shared" si="474"/>
        <v>2021</v>
      </c>
      <c r="J661" s="43">
        <f t="shared" si="474"/>
        <v>30</v>
      </c>
      <c r="K661" s="43">
        <f t="shared" si="474"/>
        <v>0</v>
      </c>
      <c r="L661" s="48">
        <f t="shared" si="474"/>
        <v>132877.0119526372</v>
      </c>
      <c r="N661" s="44">
        <f t="shared" si="403"/>
        <v>14.5</v>
      </c>
      <c r="P661" s="49">
        <f t="shared" si="469"/>
        <v>9163.9318588025653</v>
      </c>
      <c r="Q661" s="49">
        <f t="shared" si="469"/>
        <v>9163.9318588025653</v>
      </c>
      <c r="R661" s="49">
        <f t="shared" si="469"/>
        <v>9163.9318588025653</v>
      </c>
      <c r="S661" s="49">
        <f t="shared" si="469"/>
        <v>9163.9318588025653</v>
      </c>
      <c r="T661" s="49">
        <f t="shared" si="469"/>
        <v>9163.9318588025653</v>
      </c>
      <c r="V661" s="53">
        <f t="shared" si="413"/>
        <v>123713.08009383464</v>
      </c>
      <c r="W661" s="53">
        <f t="shared" si="414"/>
        <v>114549.14823503207</v>
      </c>
      <c r="X661" s="53">
        <f t="shared" si="415"/>
        <v>105385.21637622951</v>
      </c>
      <c r="Y661" s="53">
        <f t="shared" si="416"/>
        <v>96221.284517426946</v>
      </c>
      <c r="Z661" s="53">
        <f t="shared" si="417"/>
        <v>87057.352658624382</v>
      </c>
      <c r="AB661" s="53">
        <f t="shared" si="404"/>
        <v>12999.037341711439</v>
      </c>
      <c r="AC661" s="53">
        <f t="shared" si="405"/>
        <v>12600.406305853528</v>
      </c>
      <c r="AD661" s="53">
        <f t="shared" si="406"/>
        <v>12325.48835008945</v>
      </c>
      <c r="AE661" s="53">
        <f t="shared" si="407"/>
        <v>12050.570394325374</v>
      </c>
      <c r="AF661" s="53">
        <f t="shared" si="408"/>
        <v>11775.652438561297</v>
      </c>
    </row>
    <row r="662" spans="2:32">
      <c r="B662" s="43" t="str">
        <f t="shared" si="401"/>
        <v>Asset 126</v>
      </c>
      <c r="F662" s="43" t="str">
        <f t="shared" ref="F662:L662" si="475">F166</f>
        <v>11 Werktuigen</v>
      </c>
      <c r="G662" s="43">
        <f t="shared" si="475"/>
        <v>2006</v>
      </c>
      <c r="H662" s="48">
        <f t="shared" si="475"/>
        <v>39984.959999999999</v>
      </c>
      <c r="I662" s="43">
        <f t="shared" si="475"/>
        <v>2021</v>
      </c>
      <c r="J662" s="43">
        <f t="shared" si="475"/>
        <v>10</v>
      </c>
      <c r="K662" s="43">
        <f t="shared" si="475"/>
        <v>1</v>
      </c>
      <c r="L662" s="48">
        <f t="shared" si="475"/>
        <v>0</v>
      </c>
      <c r="N662" s="44">
        <f t="shared" si="403"/>
        <v>0</v>
      </c>
      <c r="P662" s="49">
        <f t="shared" si="469"/>
        <v>0</v>
      </c>
      <c r="Q662" s="49">
        <f t="shared" si="469"/>
        <v>0</v>
      </c>
      <c r="R662" s="49">
        <f t="shared" si="469"/>
        <v>0</v>
      </c>
      <c r="S662" s="49">
        <f t="shared" si="469"/>
        <v>0</v>
      </c>
      <c r="T662" s="49">
        <f t="shared" si="469"/>
        <v>0</v>
      </c>
      <c r="V662" s="53">
        <f t="shared" si="413"/>
        <v>0</v>
      </c>
      <c r="W662" s="53">
        <f t="shared" si="414"/>
        <v>0</v>
      </c>
      <c r="X662" s="53">
        <f t="shared" si="415"/>
        <v>0</v>
      </c>
      <c r="Y662" s="53">
        <f t="shared" si="416"/>
        <v>0</v>
      </c>
      <c r="Z662" s="53">
        <f t="shared" si="417"/>
        <v>0</v>
      </c>
      <c r="AB662" s="53">
        <f t="shared" si="404"/>
        <v>0</v>
      </c>
      <c r="AC662" s="53">
        <f t="shared" si="405"/>
        <v>0</v>
      </c>
      <c r="AD662" s="53">
        <f t="shared" si="406"/>
        <v>0</v>
      </c>
      <c r="AE662" s="53">
        <f t="shared" si="407"/>
        <v>0</v>
      </c>
      <c r="AF662" s="53">
        <f t="shared" si="408"/>
        <v>0</v>
      </c>
    </row>
    <row r="663" spans="2:32">
      <c r="B663" s="43" t="str">
        <f t="shared" si="401"/>
        <v>Asset 127</v>
      </c>
      <c r="F663" s="43" t="str">
        <f t="shared" ref="F663:L663" si="476">F167</f>
        <v>06 Utiliteitsgebouwen</v>
      </c>
      <c r="G663" s="43">
        <f t="shared" si="476"/>
        <v>2007</v>
      </c>
      <c r="H663" s="48">
        <f t="shared" si="476"/>
        <v>25858.771191949236</v>
      </c>
      <c r="I663" s="43">
        <f t="shared" si="476"/>
        <v>2021</v>
      </c>
      <c r="J663" s="43">
        <f t="shared" si="476"/>
        <v>30</v>
      </c>
      <c r="K663" s="43">
        <f t="shared" si="476"/>
        <v>0</v>
      </c>
      <c r="L663" s="48">
        <f t="shared" si="476"/>
        <v>16708.652536273155</v>
      </c>
      <c r="N663" s="44">
        <f t="shared" si="403"/>
        <v>15.5</v>
      </c>
      <c r="P663" s="49">
        <f t="shared" si="469"/>
        <v>1077.977582985365</v>
      </c>
      <c r="Q663" s="49">
        <f t="shared" si="469"/>
        <v>1077.977582985365</v>
      </c>
      <c r="R663" s="49">
        <f t="shared" si="469"/>
        <v>1077.977582985365</v>
      </c>
      <c r="S663" s="49">
        <f t="shared" si="469"/>
        <v>1077.977582985365</v>
      </c>
      <c r="T663" s="49">
        <f t="shared" si="469"/>
        <v>1077.977582985365</v>
      </c>
      <c r="V663" s="53">
        <f t="shared" si="413"/>
        <v>15630.674953287791</v>
      </c>
      <c r="W663" s="53">
        <f t="shared" si="414"/>
        <v>14552.697370302427</v>
      </c>
      <c r="X663" s="53">
        <f t="shared" si="415"/>
        <v>13474.719787317063</v>
      </c>
      <c r="Y663" s="53">
        <f t="shared" si="416"/>
        <v>12396.742204331698</v>
      </c>
      <c r="Z663" s="53">
        <f t="shared" si="417"/>
        <v>11318.764621346334</v>
      </c>
      <c r="AB663" s="53">
        <f t="shared" si="404"/>
        <v>1562.5285065372864</v>
      </c>
      <c r="AC663" s="53">
        <f t="shared" si="405"/>
        <v>1514.5585040944377</v>
      </c>
      <c r="AD663" s="53">
        <f t="shared" si="406"/>
        <v>1482.2191766048768</v>
      </c>
      <c r="AE663" s="53">
        <f t="shared" si="407"/>
        <v>1449.8798491153159</v>
      </c>
      <c r="AF663" s="53">
        <f t="shared" si="408"/>
        <v>1417.540521625755</v>
      </c>
    </row>
    <row r="664" spans="2:32">
      <c r="B664" s="43" t="str">
        <f t="shared" si="401"/>
        <v>Asset 128</v>
      </c>
      <c r="F664" s="43" t="str">
        <f t="shared" ref="F664:L664" si="477">F168</f>
        <v>11 Werktuigen</v>
      </c>
      <c r="G664" s="43">
        <f t="shared" si="477"/>
        <v>2007</v>
      </c>
      <c r="H664" s="48">
        <f t="shared" si="477"/>
        <v>1088351.8199999998</v>
      </c>
      <c r="I664" s="43">
        <f t="shared" si="477"/>
        <v>2021</v>
      </c>
      <c r="J664" s="43">
        <f t="shared" si="477"/>
        <v>10</v>
      </c>
      <c r="K664" s="43">
        <f t="shared" si="477"/>
        <v>1</v>
      </c>
      <c r="L664" s="48">
        <f t="shared" si="477"/>
        <v>0</v>
      </c>
      <c r="N664" s="44">
        <f t="shared" si="403"/>
        <v>0</v>
      </c>
      <c r="P664" s="49">
        <f t="shared" si="469"/>
        <v>0</v>
      </c>
      <c r="Q664" s="49">
        <f t="shared" si="469"/>
        <v>0</v>
      </c>
      <c r="R664" s="49">
        <f t="shared" si="469"/>
        <v>0</v>
      </c>
      <c r="S664" s="49">
        <f t="shared" si="469"/>
        <v>0</v>
      </c>
      <c r="T664" s="49">
        <f t="shared" si="469"/>
        <v>0</v>
      </c>
      <c r="V664" s="53">
        <f t="shared" si="413"/>
        <v>0</v>
      </c>
      <c r="W664" s="53">
        <f t="shared" si="414"/>
        <v>0</v>
      </c>
      <c r="X664" s="53">
        <f t="shared" si="415"/>
        <v>0</v>
      </c>
      <c r="Y664" s="53">
        <f t="shared" si="416"/>
        <v>0</v>
      </c>
      <c r="Z664" s="53">
        <f t="shared" si="417"/>
        <v>0</v>
      </c>
      <c r="AB664" s="53">
        <f t="shared" si="404"/>
        <v>0</v>
      </c>
      <c r="AC664" s="53">
        <f t="shared" si="405"/>
        <v>0</v>
      </c>
      <c r="AD664" s="53">
        <f t="shared" si="406"/>
        <v>0</v>
      </c>
      <c r="AE664" s="53">
        <f t="shared" si="407"/>
        <v>0</v>
      </c>
      <c r="AF664" s="53">
        <f t="shared" si="408"/>
        <v>0</v>
      </c>
    </row>
    <row r="665" spans="2:32">
      <c r="B665" s="43" t="str">
        <f t="shared" si="401"/>
        <v>Asset 129</v>
      </c>
      <c r="F665" s="43" t="str">
        <f t="shared" ref="F665:L665" si="478">F169</f>
        <v>14 Overig rollend materieel</v>
      </c>
      <c r="G665" s="43">
        <f t="shared" si="478"/>
        <v>2007</v>
      </c>
      <c r="H665" s="48">
        <f t="shared" si="478"/>
        <v>661943.85</v>
      </c>
      <c r="I665" s="43">
        <f t="shared" si="478"/>
        <v>2021</v>
      </c>
      <c r="J665" s="43">
        <f t="shared" si="478"/>
        <v>10</v>
      </c>
      <c r="K665" s="43">
        <f t="shared" si="478"/>
        <v>1</v>
      </c>
      <c r="L665" s="48">
        <f t="shared" si="478"/>
        <v>0</v>
      </c>
      <c r="N665" s="44">
        <f t="shared" si="403"/>
        <v>0</v>
      </c>
      <c r="P665" s="49">
        <f t="shared" si="469"/>
        <v>0</v>
      </c>
      <c r="Q665" s="49">
        <f t="shared" si="469"/>
        <v>0</v>
      </c>
      <c r="R665" s="49">
        <f t="shared" si="469"/>
        <v>0</v>
      </c>
      <c r="S665" s="49">
        <f t="shared" si="469"/>
        <v>0</v>
      </c>
      <c r="T665" s="49">
        <f t="shared" si="469"/>
        <v>0</v>
      </c>
      <c r="V665" s="53">
        <f t="shared" si="413"/>
        <v>0</v>
      </c>
      <c r="W665" s="53">
        <f t="shared" si="414"/>
        <v>0</v>
      </c>
      <c r="X665" s="53">
        <f t="shared" si="415"/>
        <v>0</v>
      </c>
      <c r="Y665" s="53">
        <f t="shared" si="416"/>
        <v>0</v>
      </c>
      <c r="Z665" s="53">
        <f t="shared" si="417"/>
        <v>0</v>
      </c>
      <c r="AB665" s="53">
        <f t="shared" si="404"/>
        <v>0</v>
      </c>
      <c r="AC665" s="53">
        <f t="shared" si="405"/>
        <v>0</v>
      </c>
      <c r="AD665" s="53">
        <f t="shared" si="406"/>
        <v>0</v>
      </c>
      <c r="AE665" s="53">
        <f t="shared" si="407"/>
        <v>0</v>
      </c>
      <c r="AF665" s="53">
        <f t="shared" si="408"/>
        <v>0</v>
      </c>
    </row>
    <row r="666" spans="2:32">
      <c r="B666" s="43" t="str">
        <f t="shared" ref="B666:B729" si="479">B170</f>
        <v>Asset 130</v>
      </c>
      <c r="F666" s="43" t="str">
        <f t="shared" ref="F666:L666" si="480">F170</f>
        <v>12 Motorvoertuigen</v>
      </c>
      <c r="G666" s="43">
        <f t="shared" si="480"/>
        <v>2007</v>
      </c>
      <c r="H666" s="48">
        <f t="shared" si="480"/>
        <v>154091.65000000002</v>
      </c>
      <c r="I666" s="43">
        <f t="shared" si="480"/>
        <v>2021</v>
      </c>
      <c r="J666" s="43">
        <f t="shared" si="480"/>
        <v>10</v>
      </c>
      <c r="K666" s="43">
        <f t="shared" si="480"/>
        <v>1</v>
      </c>
      <c r="L666" s="48">
        <f t="shared" si="480"/>
        <v>0</v>
      </c>
      <c r="N666" s="44">
        <f t="shared" ref="N666:N729" si="481">MAX(0,IF(G666&lt;=2021, J666-2021+G666-0.5,J666))</f>
        <v>0</v>
      </c>
      <c r="P666" s="49">
        <f t="shared" si="469"/>
        <v>0</v>
      </c>
      <c r="Q666" s="49">
        <f t="shared" si="469"/>
        <v>0</v>
      </c>
      <c r="R666" s="49">
        <f t="shared" si="469"/>
        <v>0</v>
      </c>
      <c r="S666" s="49">
        <f t="shared" si="469"/>
        <v>0</v>
      </c>
      <c r="T666" s="49">
        <f t="shared" si="469"/>
        <v>0</v>
      </c>
      <c r="V666" s="53">
        <f t="shared" si="413"/>
        <v>0</v>
      </c>
      <c r="W666" s="53">
        <f t="shared" si="414"/>
        <v>0</v>
      </c>
      <c r="X666" s="53">
        <f t="shared" si="415"/>
        <v>0</v>
      </c>
      <c r="Y666" s="53">
        <f t="shared" si="416"/>
        <v>0</v>
      </c>
      <c r="Z666" s="53">
        <f t="shared" si="417"/>
        <v>0</v>
      </c>
      <c r="AB666" s="53">
        <f t="shared" ref="AB666:AB729" si="482">(P666+V666*I$16)*IF($K666=1,$F$19,1)</f>
        <v>0</v>
      </c>
      <c r="AC666" s="53">
        <f t="shared" ref="AC666:AC729" si="483">(Q666+W666*J$16)*IF($K666=1,$F$19,1)</f>
        <v>0</v>
      </c>
      <c r="AD666" s="53">
        <f t="shared" ref="AD666:AD729" si="484">(R666+X666*K$16)*IF($K666=1,$F$19,1)</f>
        <v>0</v>
      </c>
      <c r="AE666" s="53">
        <f t="shared" ref="AE666:AE729" si="485">(S666+Y666*L$16)*IF($K666=1,$F$19,1)</f>
        <v>0</v>
      </c>
      <c r="AF666" s="53">
        <f t="shared" ref="AF666:AF729" si="486">(T666+Z666*M$16)*IF($K666=1,$F$19,1)</f>
        <v>0</v>
      </c>
    </row>
    <row r="667" spans="2:32">
      <c r="B667" s="43" t="str">
        <f t="shared" si="479"/>
        <v>Asset 131</v>
      </c>
      <c r="F667" s="43" t="str">
        <f t="shared" ref="F667:L667" si="487">F171</f>
        <v>05 Wegen en terreinvoorzieningen</v>
      </c>
      <c r="G667" s="43">
        <f t="shared" si="487"/>
        <v>2007</v>
      </c>
      <c r="H667" s="48">
        <f t="shared" si="487"/>
        <v>79744.08</v>
      </c>
      <c r="I667" s="43">
        <f t="shared" si="487"/>
        <v>2021</v>
      </c>
      <c r="J667" s="43">
        <f t="shared" si="487"/>
        <v>10</v>
      </c>
      <c r="K667" s="43">
        <f t="shared" si="487"/>
        <v>0</v>
      </c>
      <c r="L667" s="48">
        <f t="shared" si="487"/>
        <v>0</v>
      </c>
      <c r="N667" s="44">
        <f t="shared" si="481"/>
        <v>0</v>
      </c>
      <c r="P667" s="49">
        <f t="shared" si="469"/>
        <v>0</v>
      </c>
      <c r="Q667" s="49">
        <f t="shared" si="469"/>
        <v>0</v>
      </c>
      <c r="R667" s="49">
        <f t="shared" si="469"/>
        <v>0</v>
      </c>
      <c r="S667" s="49">
        <f t="shared" si="469"/>
        <v>0</v>
      </c>
      <c r="T667" s="49">
        <f t="shared" si="469"/>
        <v>0</v>
      </c>
      <c r="V667" s="53">
        <f t="shared" si="413"/>
        <v>0</v>
      </c>
      <c r="W667" s="53">
        <f t="shared" si="414"/>
        <v>0</v>
      </c>
      <c r="X667" s="53">
        <f t="shared" si="415"/>
        <v>0</v>
      </c>
      <c r="Y667" s="53">
        <f t="shared" si="416"/>
        <v>0</v>
      </c>
      <c r="Z667" s="53">
        <f t="shared" si="417"/>
        <v>0</v>
      </c>
      <c r="AB667" s="53">
        <f t="shared" si="482"/>
        <v>0</v>
      </c>
      <c r="AC667" s="53">
        <f t="shared" si="483"/>
        <v>0</v>
      </c>
      <c r="AD667" s="53">
        <f t="shared" si="484"/>
        <v>0</v>
      </c>
      <c r="AE667" s="53">
        <f t="shared" si="485"/>
        <v>0</v>
      </c>
      <c r="AF667" s="53">
        <f t="shared" si="486"/>
        <v>0</v>
      </c>
    </row>
    <row r="668" spans="2:32">
      <c r="B668" s="43" t="str">
        <f t="shared" si="479"/>
        <v>Asset 132</v>
      </c>
      <c r="F668" s="43" t="str">
        <f t="shared" ref="F668:L668" si="488">F172</f>
        <v>20 Kantoorgebouwen</v>
      </c>
      <c r="G668" s="43">
        <f t="shared" si="488"/>
        <v>2008</v>
      </c>
      <c r="H668" s="48">
        <f t="shared" si="488"/>
        <v>4978200.5000000009</v>
      </c>
      <c r="I668" s="43">
        <f t="shared" si="488"/>
        <v>2021</v>
      </c>
      <c r="J668" s="43">
        <f t="shared" si="488"/>
        <v>30</v>
      </c>
      <c r="K668" s="43">
        <f t="shared" si="488"/>
        <v>0</v>
      </c>
      <c r="L668" s="48">
        <f t="shared" si="488"/>
        <v>3386936.2239016104</v>
      </c>
      <c r="N668" s="44">
        <f t="shared" si="481"/>
        <v>16.5</v>
      </c>
      <c r="P668" s="49">
        <f t="shared" si="469"/>
        <v>205268.86205464305</v>
      </c>
      <c r="Q668" s="49">
        <f t="shared" si="469"/>
        <v>205268.86205464305</v>
      </c>
      <c r="R668" s="49">
        <f t="shared" si="469"/>
        <v>205268.86205464305</v>
      </c>
      <c r="S668" s="49">
        <f t="shared" si="469"/>
        <v>205268.86205464305</v>
      </c>
      <c r="T668" s="49">
        <f t="shared" si="469"/>
        <v>205268.86205464305</v>
      </c>
      <c r="V668" s="53">
        <f t="shared" si="413"/>
        <v>3181667.3618469671</v>
      </c>
      <c r="W668" s="53">
        <f t="shared" si="414"/>
        <v>2976398.4997923239</v>
      </c>
      <c r="X668" s="53">
        <f t="shared" si="415"/>
        <v>2771129.6377376807</v>
      </c>
      <c r="Y668" s="53">
        <f t="shared" si="416"/>
        <v>2565860.7756830375</v>
      </c>
      <c r="Z668" s="53">
        <f t="shared" si="417"/>
        <v>2360591.9136283942</v>
      </c>
      <c r="AB668" s="53">
        <f t="shared" si="482"/>
        <v>303900.55027189903</v>
      </c>
      <c r="AC668" s="53">
        <f t="shared" si="483"/>
        <v>294560.81704841275</v>
      </c>
      <c r="AD668" s="53">
        <f t="shared" si="484"/>
        <v>288402.75118677347</v>
      </c>
      <c r="AE668" s="53">
        <f t="shared" si="485"/>
        <v>282244.6853251342</v>
      </c>
      <c r="AF668" s="53">
        <f t="shared" si="486"/>
        <v>276086.61946349486</v>
      </c>
    </row>
    <row r="669" spans="2:32">
      <c r="B669" s="43" t="str">
        <f t="shared" si="479"/>
        <v>Asset 133</v>
      </c>
      <c r="F669" s="43" t="str">
        <f t="shared" ref="F669:L669" si="489">F173</f>
        <v>06 Utiliteitsgebouwen</v>
      </c>
      <c r="G669" s="43">
        <f t="shared" si="489"/>
        <v>2008</v>
      </c>
      <c r="H669" s="48">
        <f t="shared" si="489"/>
        <v>233293.04544821067</v>
      </c>
      <c r="I669" s="43">
        <f t="shared" si="489"/>
        <v>2021</v>
      </c>
      <c r="J669" s="43">
        <f t="shared" si="489"/>
        <v>30</v>
      </c>
      <c r="K669" s="43">
        <f t="shared" si="489"/>
        <v>0</v>
      </c>
      <c r="L669" s="48">
        <f t="shared" si="489"/>
        <v>158721.74421517763</v>
      </c>
      <c r="N669" s="44">
        <f t="shared" si="481"/>
        <v>16.5</v>
      </c>
      <c r="P669" s="49">
        <f t="shared" si="469"/>
        <v>9619.4996494047045</v>
      </c>
      <c r="Q669" s="49">
        <f t="shared" si="469"/>
        <v>9619.4996494047064</v>
      </c>
      <c r="R669" s="49">
        <f t="shared" si="469"/>
        <v>9619.4996494047064</v>
      </c>
      <c r="S669" s="49">
        <f t="shared" si="469"/>
        <v>9619.4996494047064</v>
      </c>
      <c r="T669" s="49">
        <f t="shared" si="469"/>
        <v>9619.4996494047064</v>
      </c>
      <c r="V669" s="53">
        <f t="shared" ref="V669:V732" si="490">IF(OR(V$535&lt;=$G669+$J669,$J669=0),IF(U669=0,$L669,U669)-P669,0)</f>
        <v>149102.24456577294</v>
      </c>
      <c r="W669" s="53">
        <f t="shared" ref="W669:W732" si="491">IF(OR(W$535&lt;=$G669+$J669,$J669=0),IF(V669=0,$L669,V669)-Q669,0)</f>
        <v>139482.74491636825</v>
      </c>
      <c r="X669" s="53">
        <f t="shared" ref="X669:X732" si="492">IF(OR(X$535&lt;=$G669+$J669,$J669=0),IF(W669=0,$L669,W669)-R669,0)</f>
        <v>129863.24526696354</v>
      </c>
      <c r="Y669" s="53">
        <f t="shared" ref="Y669:Y732" si="493">IF(OR(Y$535&lt;=$G669+$J669,$J669=0),IF(X669=0,$L669,X669)-S669,0)</f>
        <v>120243.74561755883</v>
      </c>
      <c r="Z669" s="53">
        <f t="shared" ref="Z669:Z732" si="494">IF(OR(Z$535&lt;=$G669+$J669,$J669=0),IF(Y669=0,$L669,Y669)-T669,0)</f>
        <v>110624.24596815412</v>
      </c>
      <c r="AB669" s="53">
        <f>(P669+V669*I$16)*IF($K669=1,$F$19,1)</f>
        <v>14241.669230943666</v>
      </c>
      <c r="AC669" s="53">
        <f t="shared" si="483"/>
        <v>13803.981996895753</v>
      </c>
      <c r="AD669" s="53">
        <f t="shared" si="484"/>
        <v>13515.397007413612</v>
      </c>
      <c r="AE669" s="53">
        <f t="shared" si="485"/>
        <v>13226.812017931472</v>
      </c>
      <c r="AF669" s="53">
        <f t="shared" si="486"/>
        <v>12938.22702844933</v>
      </c>
    </row>
    <row r="670" spans="2:32">
      <c r="B670" s="43" t="str">
        <f t="shared" si="479"/>
        <v>Asset 134</v>
      </c>
      <c r="F670" s="43" t="str">
        <f t="shared" ref="F670:L670" si="495">F174</f>
        <v>10 Gereedschap</v>
      </c>
      <c r="G670" s="43">
        <f t="shared" si="495"/>
        <v>2008</v>
      </c>
      <c r="H670" s="48">
        <f t="shared" si="495"/>
        <v>178157.88</v>
      </c>
      <c r="I670" s="43">
        <f t="shared" si="495"/>
        <v>2021</v>
      </c>
      <c r="J670" s="43">
        <f t="shared" si="495"/>
        <v>10</v>
      </c>
      <c r="K670" s="43">
        <f t="shared" si="495"/>
        <v>1</v>
      </c>
      <c r="L670" s="48">
        <f t="shared" si="495"/>
        <v>0</v>
      </c>
      <c r="N670" s="44">
        <f t="shared" si="481"/>
        <v>0</v>
      </c>
      <c r="P670" s="49">
        <f t="shared" si="469"/>
        <v>0</v>
      </c>
      <c r="Q670" s="49">
        <f t="shared" si="469"/>
        <v>0</v>
      </c>
      <c r="R670" s="49">
        <f t="shared" si="469"/>
        <v>0</v>
      </c>
      <c r="S670" s="49">
        <f t="shared" si="469"/>
        <v>0</v>
      </c>
      <c r="T670" s="49">
        <f t="shared" si="469"/>
        <v>0</v>
      </c>
      <c r="V670" s="53">
        <f t="shared" si="490"/>
        <v>0</v>
      </c>
      <c r="W670" s="53">
        <f t="shared" si="491"/>
        <v>0</v>
      </c>
      <c r="X670" s="53">
        <f t="shared" si="492"/>
        <v>0</v>
      </c>
      <c r="Y670" s="53">
        <f t="shared" si="493"/>
        <v>0</v>
      </c>
      <c r="Z670" s="53">
        <f t="shared" si="494"/>
        <v>0</v>
      </c>
      <c r="AB670" s="53">
        <f t="shared" si="482"/>
        <v>0</v>
      </c>
      <c r="AC670" s="53">
        <f t="shared" si="483"/>
        <v>0</v>
      </c>
      <c r="AD670" s="53">
        <f t="shared" si="484"/>
        <v>0</v>
      </c>
      <c r="AE670" s="53">
        <f t="shared" si="485"/>
        <v>0</v>
      </c>
      <c r="AF670" s="53">
        <f t="shared" si="486"/>
        <v>0</v>
      </c>
    </row>
    <row r="671" spans="2:32">
      <c r="B671" s="43" t="str">
        <f t="shared" si="479"/>
        <v>Asset 135</v>
      </c>
      <c r="F671" s="43" t="str">
        <f t="shared" ref="F671:L671" si="496">F175</f>
        <v>14 Overig rollend materieel</v>
      </c>
      <c r="G671" s="43">
        <f t="shared" si="496"/>
        <v>2008</v>
      </c>
      <c r="H671" s="48">
        <f t="shared" si="496"/>
        <v>1299449.8500000001</v>
      </c>
      <c r="I671" s="43">
        <f t="shared" si="496"/>
        <v>2021</v>
      </c>
      <c r="J671" s="43">
        <f t="shared" si="496"/>
        <v>10</v>
      </c>
      <c r="K671" s="43">
        <f t="shared" si="496"/>
        <v>1</v>
      </c>
      <c r="L671" s="48">
        <f t="shared" si="496"/>
        <v>0</v>
      </c>
      <c r="N671" s="44">
        <f t="shared" si="481"/>
        <v>0</v>
      </c>
      <c r="P671" s="49">
        <f t="shared" si="469"/>
        <v>0</v>
      </c>
      <c r="Q671" s="49">
        <f t="shared" si="469"/>
        <v>0</v>
      </c>
      <c r="R671" s="49">
        <f t="shared" si="469"/>
        <v>0</v>
      </c>
      <c r="S671" s="49">
        <f t="shared" si="469"/>
        <v>0</v>
      </c>
      <c r="T671" s="49">
        <f t="shared" si="469"/>
        <v>0</v>
      </c>
      <c r="V671" s="53">
        <f t="shared" si="490"/>
        <v>0</v>
      </c>
      <c r="W671" s="53">
        <f t="shared" si="491"/>
        <v>0</v>
      </c>
      <c r="X671" s="53">
        <f t="shared" si="492"/>
        <v>0</v>
      </c>
      <c r="Y671" s="53">
        <f t="shared" si="493"/>
        <v>0</v>
      </c>
      <c r="Z671" s="53">
        <f t="shared" si="494"/>
        <v>0</v>
      </c>
      <c r="AB671" s="53">
        <f t="shared" si="482"/>
        <v>0</v>
      </c>
      <c r="AC671" s="53">
        <f t="shared" si="483"/>
        <v>0</v>
      </c>
      <c r="AD671" s="53">
        <f t="shared" si="484"/>
        <v>0</v>
      </c>
      <c r="AE671" s="53">
        <f t="shared" si="485"/>
        <v>0</v>
      </c>
      <c r="AF671" s="53">
        <f t="shared" si="486"/>
        <v>0</v>
      </c>
    </row>
    <row r="672" spans="2:32">
      <c r="B672" s="43" t="str">
        <f t="shared" si="479"/>
        <v>Asset 136</v>
      </c>
      <c r="F672" s="43" t="str">
        <f t="shared" ref="F672:L672" si="497">F176</f>
        <v>37 ICT middelen 1 (gaschromatografen en comptabele meting)</v>
      </c>
      <c r="G672" s="43">
        <f t="shared" si="497"/>
        <v>2008</v>
      </c>
      <c r="H672" s="48">
        <f t="shared" si="497"/>
        <v>8310.1200000000008</v>
      </c>
      <c r="I672" s="43">
        <f t="shared" si="497"/>
        <v>2021</v>
      </c>
      <c r="J672" s="43">
        <f t="shared" si="497"/>
        <v>5</v>
      </c>
      <c r="K672" s="43">
        <f t="shared" si="497"/>
        <v>0</v>
      </c>
      <c r="L672" s="48">
        <f t="shared" si="497"/>
        <v>0</v>
      </c>
      <c r="N672" s="44">
        <f t="shared" si="481"/>
        <v>0</v>
      </c>
      <c r="P672" s="49">
        <f t="shared" si="469"/>
        <v>0</v>
      </c>
      <c r="Q672" s="49">
        <f t="shared" si="469"/>
        <v>0</v>
      </c>
      <c r="R672" s="49">
        <f t="shared" si="469"/>
        <v>0</v>
      </c>
      <c r="S672" s="49">
        <f t="shared" si="469"/>
        <v>0</v>
      </c>
      <c r="T672" s="49">
        <f t="shared" si="469"/>
        <v>0</v>
      </c>
      <c r="V672" s="53">
        <f t="shared" si="490"/>
        <v>0</v>
      </c>
      <c r="W672" s="53">
        <f t="shared" si="491"/>
        <v>0</v>
      </c>
      <c r="X672" s="53">
        <f t="shared" si="492"/>
        <v>0</v>
      </c>
      <c r="Y672" s="53">
        <f t="shared" si="493"/>
        <v>0</v>
      </c>
      <c r="Z672" s="53">
        <f t="shared" si="494"/>
        <v>0</v>
      </c>
      <c r="AB672" s="53">
        <f t="shared" si="482"/>
        <v>0</v>
      </c>
      <c r="AC672" s="53">
        <f t="shared" si="483"/>
        <v>0</v>
      </c>
      <c r="AD672" s="53">
        <f t="shared" si="484"/>
        <v>0</v>
      </c>
      <c r="AE672" s="53">
        <f t="shared" si="485"/>
        <v>0</v>
      </c>
      <c r="AF672" s="53">
        <f t="shared" si="486"/>
        <v>0</v>
      </c>
    </row>
    <row r="673" spans="2:32">
      <c r="B673" s="43" t="str">
        <f t="shared" si="479"/>
        <v>Asset 137</v>
      </c>
      <c r="F673" s="43" t="str">
        <f t="shared" ref="F673:L673" si="498">F177</f>
        <v>11 Werktuigen</v>
      </c>
      <c r="G673" s="43">
        <f t="shared" si="498"/>
        <v>2008</v>
      </c>
      <c r="H673" s="48">
        <f t="shared" si="498"/>
        <v>427546.18</v>
      </c>
      <c r="I673" s="43">
        <f t="shared" si="498"/>
        <v>2021</v>
      </c>
      <c r="J673" s="43">
        <f t="shared" si="498"/>
        <v>10</v>
      </c>
      <c r="K673" s="43">
        <f t="shared" si="498"/>
        <v>1</v>
      </c>
      <c r="L673" s="48">
        <f t="shared" si="498"/>
        <v>0</v>
      </c>
      <c r="N673" s="44">
        <f t="shared" si="481"/>
        <v>0</v>
      </c>
      <c r="P673" s="49">
        <f t="shared" si="469"/>
        <v>0</v>
      </c>
      <c r="Q673" s="49">
        <f t="shared" si="469"/>
        <v>0</v>
      </c>
      <c r="R673" s="49">
        <f t="shared" si="469"/>
        <v>0</v>
      </c>
      <c r="S673" s="49">
        <f t="shared" si="469"/>
        <v>0</v>
      </c>
      <c r="T673" s="49">
        <f t="shared" si="469"/>
        <v>0</v>
      </c>
      <c r="V673" s="53">
        <f t="shared" si="490"/>
        <v>0</v>
      </c>
      <c r="W673" s="53">
        <f t="shared" si="491"/>
        <v>0</v>
      </c>
      <c r="X673" s="53">
        <f t="shared" si="492"/>
        <v>0</v>
      </c>
      <c r="Y673" s="53">
        <f t="shared" si="493"/>
        <v>0</v>
      </c>
      <c r="Z673" s="53">
        <f t="shared" si="494"/>
        <v>0</v>
      </c>
      <c r="AB673" s="53">
        <f t="shared" si="482"/>
        <v>0</v>
      </c>
      <c r="AC673" s="53">
        <f t="shared" si="483"/>
        <v>0</v>
      </c>
      <c r="AD673" s="53">
        <f t="shared" si="484"/>
        <v>0</v>
      </c>
      <c r="AE673" s="53">
        <f t="shared" si="485"/>
        <v>0</v>
      </c>
      <c r="AF673" s="53">
        <f t="shared" si="486"/>
        <v>0</v>
      </c>
    </row>
    <row r="674" spans="2:32">
      <c r="B674" s="43" t="str">
        <f t="shared" si="479"/>
        <v>Asset 138</v>
      </c>
      <c r="F674" s="43" t="str">
        <f t="shared" ref="F674:L674" si="499">F178</f>
        <v>08 Inrichting gebouwen</v>
      </c>
      <c r="G674" s="43">
        <f t="shared" si="499"/>
        <v>2008</v>
      </c>
      <c r="H674" s="48">
        <f t="shared" si="499"/>
        <v>1194171.3899999999</v>
      </c>
      <c r="I674" s="43">
        <f t="shared" si="499"/>
        <v>2021</v>
      </c>
      <c r="J674" s="43">
        <f t="shared" si="499"/>
        <v>10</v>
      </c>
      <c r="K674" s="43">
        <f t="shared" si="499"/>
        <v>0</v>
      </c>
      <c r="L674" s="48">
        <f t="shared" si="499"/>
        <v>0</v>
      </c>
      <c r="N674" s="44">
        <f t="shared" si="481"/>
        <v>0</v>
      </c>
      <c r="P674" s="49">
        <f t="shared" si="469"/>
        <v>0</v>
      </c>
      <c r="Q674" s="49">
        <f t="shared" si="469"/>
        <v>0</v>
      </c>
      <c r="R674" s="49">
        <f t="shared" si="469"/>
        <v>0</v>
      </c>
      <c r="S674" s="49">
        <f t="shared" si="469"/>
        <v>0</v>
      </c>
      <c r="T674" s="49">
        <f t="shared" si="469"/>
        <v>0</v>
      </c>
      <c r="V674" s="53">
        <f t="shared" si="490"/>
        <v>0</v>
      </c>
      <c r="W674" s="53">
        <f t="shared" si="491"/>
        <v>0</v>
      </c>
      <c r="X674" s="53">
        <f t="shared" si="492"/>
        <v>0</v>
      </c>
      <c r="Y674" s="53">
        <f t="shared" si="493"/>
        <v>0</v>
      </c>
      <c r="Z674" s="53">
        <f t="shared" si="494"/>
        <v>0</v>
      </c>
      <c r="AB674" s="53">
        <f t="shared" si="482"/>
        <v>0</v>
      </c>
      <c r="AC674" s="53">
        <f t="shared" si="483"/>
        <v>0</v>
      </c>
      <c r="AD674" s="53">
        <f t="shared" si="484"/>
        <v>0</v>
      </c>
      <c r="AE674" s="53">
        <f t="shared" si="485"/>
        <v>0</v>
      </c>
      <c r="AF674" s="53">
        <f t="shared" si="486"/>
        <v>0</v>
      </c>
    </row>
    <row r="675" spans="2:32">
      <c r="B675" s="43" t="str">
        <f t="shared" si="479"/>
        <v>Asset 139</v>
      </c>
      <c r="F675" s="43" t="str">
        <f t="shared" ref="F675:L675" si="500">F179</f>
        <v>08 Inrichting gebouwen</v>
      </c>
      <c r="G675" s="43">
        <f t="shared" si="500"/>
        <v>2009</v>
      </c>
      <c r="H675" s="48">
        <f t="shared" si="500"/>
        <v>124506.82</v>
      </c>
      <c r="I675" s="43">
        <f t="shared" si="500"/>
        <v>2021</v>
      </c>
      <c r="J675" s="43">
        <f t="shared" si="500"/>
        <v>10</v>
      </c>
      <c r="K675" s="43">
        <f t="shared" si="500"/>
        <v>0</v>
      </c>
      <c r="L675" s="48">
        <f t="shared" si="500"/>
        <v>0</v>
      </c>
      <c r="N675" s="44">
        <f t="shared" si="481"/>
        <v>0</v>
      </c>
      <c r="P675" s="49">
        <f t="shared" si="469"/>
        <v>0</v>
      </c>
      <c r="Q675" s="49">
        <f t="shared" si="469"/>
        <v>0</v>
      </c>
      <c r="R675" s="49">
        <f t="shared" si="469"/>
        <v>0</v>
      </c>
      <c r="S675" s="49">
        <f t="shared" si="469"/>
        <v>0</v>
      </c>
      <c r="T675" s="49">
        <f t="shared" si="469"/>
        <v>0</v>
      </c>
      <c r="V675" s="53">
        <f t="shared" si="490"/>
        <v>0</v>
      </c>
      <c r="W675" s="53">
        <f t="shared" si="491"/>
        <v>0</v>
      </c>
      <c r="X675" s="53">
        <f t="shared" si="492"/>
        <v>0</v>
      </c>
      <c r="Y675" s="53">
        <f t="shared" si="493"/>
        <v>0</v>
      </c>
      <c r="Z675" s="53">
        <f t="shared" si="494"/>
        <v>0</v>
      </c>
      <c r="AB675" s="53">
        <f t="shared" si="482"/>
        <v>0</v>
      </c>
      <c r="AC675" s="53">
        <f t="shared" si="483"/>
        <v>0</v>
      </c>
      <c r="AD675" s="53">
        <f t="shared" si="484"/>
        <v>0</v>
      </c>
      <c r="AE675" s="53">
        <f t="shared" si="485"/>
        <v>0</v>
      </c>
      <c r="AF675" s="53">
        <f t="shared" si="486"/>
        <v>0</v>
      </c>
    </row>
    <row r="676" spans="2:32">
      <c r="B676" s="43" t="str">
        <f t="shared" si="479"/>
        <v>Asset 140</v>
      </c>
      <c r="F676" s="43" t="str">
        <f t="shared" ref="F676:L676" si="501">F180</f>
        <v>14 Overig rollend materieel</v>
      </c>
      <c r="G676" s="43">
        <f t="shared" si="501"/>
        <v>2009</v>
      </c>
      <c r="H676" s="48">
        <f t="shared" si="501"/>
        <v>285378.59999999998</v>
      </c>
      <c r="I676" s="43">
        <f t="shared" si="501"/>
        <v>2021</v>
      </c>
      <c r="J676" s="43">
        <f t="shared" si="501"/>
        <v>10</v>
      </c>
      <c r="K676" s="43">
        <f t="shared" si="501"/>
        <v>1</v>
      </c>
      <c r="L676" s="48">
        <f t="shared" si="501"/>
        <v>0</v>
      </c>
      <c r="N676" s="44">
        <f t="shared" si="481"/>
        <v>0</v>
      </c>
      <c r="P676" s="49">
        <f t="shared" si="469"/>
        <v>0</v>
      </c>
      <c r="Q676" s="49">
        <f t="shared" si="469"/>
        <v>0</v>
      </c>
      <c r="R676" s="49">
        <f t="shared" si="469"/>
        <v>0</v>
      </c>
      <c r="S676" s="49">
        <f t="shared" si="469"/>
        <v>0</v>
      </c>
      <c r="T676" s="49">
        <f t="shared" si="469"/>
        <v>0</v>
      </c>
      <c r="V676" s="53">
        <f t="shared" si="490"/>
        <v>0</v>
      </c>
      <c r="W676" s="53">
        <f t="shared" si="491"/>
        <v>0</v>
      </c>
      <c r="X676" s="53">
        <f t="shared" si="492"/>
        <v>0</v>
      </c>
      <c r="Y676" s="53">
        <f t="shared" si="493"/>
        <v>0</v>
      </c>
      <c r="Z676" s="53">
        <f t="shared" si="494"/>
        <v>0</v>
      </c>
      <c r="AB676" s="53">
        <f t="shared" si="482"/>
        <v>0</v>
      </c>
      <c r="AC676" s="53">
        <f t="shared" si="483"/>
        <v>0</v>
      </c>
      <c r="AD676" s="53">
        <f t="shared" si="484"/>
        <v>0</v>
      </c>
      <c r="AE676" s="53">
        <f t="shared" si="485"/>
        <v>0</v>
      </c>
      <c r="AF676" s="53">
        <f t="shared" si="486"/>
        <v>0</v>
      </c>
    </row>
    <row r="677" spans="2:32">
      <c r="B677" s="43" t="str">
        <f t="shared" si="479"/>
        <v>Asset 141</v>
      </c>
      <c r="F677" s="43" t="str">
        <f t="shared" ref="F677:L677" si="502">F181</f>
        <v>06 Utiliteitsgebouwen</v>
      </c>
      <c r="G677" s="43">
        <f t="shared" si="502"/>
        <v>2009</v>
      </c>
      <c r="H677" s="48">
        <f t="shared" si="502"/>
        <v>35389.120000000003</v>
      </c>
      <c r="I677" s="43">
        <f t="shared" si="502"/>
        <v>2021</v>
      </c>
      <c r="J677" s="43">
        <f t="shared" si="502"/>
        <v>30</v>
      </c>
      <c r="K677" s="43">
        <f t="shared" si="502"/>
        <v>0</v>
      </c>
      <c r="L677" s="48">
        <f t="shared" si="502"/>
        <v>24744.506996892218</v>
      </c>
      <c r="N677" s="44">
        <f t="shared" si="481"/>
        <v>17.5</v>
      </c>
      <c r="P677" s="49">
        <f t="shared" si="469"/>
        <v>1413.971828393841</v>
      </c>
      <c r="Q677" s="49">
        <f t="shared" si="469"/>
        <v>1413.971828393841</v>
      </c>
      <c r="R677" s="49">
        <f t="shared" si="469"/>
        <v>1413.971828393841</v>
      </c>
      <c r="S677" s="49">
        <f t="shared" si="469"/>
        <v>1413.971828393841</v>
      </c>
      <c r="T677" s="49">
        <f t="shared" si="469"/>
        <v>1413.971828393841</v>
      </c>
      <c r="V677" s="53">
        <f t="shared" si="490"/>
        <v>23330.535168498376</v>
      </c>
      <c r="W677" s="53">
        <f t="shared" si="491"/>
        <v>21916.563340104534</v>
      </c>
      <c r="X677" s="53">
        <f t="shared" si="492"/>
        <v>20502.591511710692</v>
      </c>
      <c r="Y677" s="53">
        <f t="shared" si="493"/>
        <v>19088.619683316851</v>
      </c>
      <c r="Z677" s="53">
        <f t="shared" si="494"/>
        <v>17674.647854923009</v>
      </c>
      <c r="AB677" s="53">
        <f t="shared" si="482"/>
        <v>2137.2184186172908</v>
      </c>
      <c r="AC677" s="53">
        <f t="shared" si="483"/>
        <v>2071.4687285969767</v>
      </c>
      <c r="AD677" s="53">
        <f t="shared" si="484"/>
        <v>2029.0495737451618</v>
      </c>
      <c r="AE677" s="53">
        <f t="shared" si="485"/>
        <v>1986.6304188933464</v>
      </c>
      <c r="AF677" s="53">
        <f t="shared" si="486"/>
        <v>1944.2112640415312</v>
      </c>
    </row>
    <row r="678" spans="2:32">
      <c r="B678" s="43" t="str">
        <f t="shared" si="479"/>
        <v>Asset 142</v>
      </c>
      <c r="F678" s="43" t="str">
        <f t="shared" ref="F678:L678" si="503">F182</f>
        <v>09 Bedrijfsinventaris</v>
      </c>
      <c r="G678" s="43">
        <f t="shared" si="503"/>
        <v>2009</v>
      </c>
      <c r="H678" s="48">
        <f t="shared" si="503"/>
        <v>537011.27</v>
      </c>
      <c r="I678" s="43">
        <f t="shared" si="503"/>
        <v>2021</v>
      </c>
      <c r="J678" s="43">
        <f t="shared" si="503"/>
        <v>10</v>
      </c>
      <c r="K678" s="43">
        <f t="shared" si="503"/>
        <v>1</v>
      </c>
      <c r="L678" s="48">
        <f t="shared" si="503"/>
        <v>0</v>
      </c>
      <c r="N678" s="44">
        <f t="shared" si="481"/>
        <v>0</v>
      </c>
      <c r="P678" s="49">
        <f t="shared" si="469"/>
        <v>0</v>
      </c>
      <c r="Q678" s="49">
        <f t="shared" si="469"/>
        <v>0</v>
      </c>
      <c r="R678" s="49">
        <f t="shared" si="469"/>
        <v>0</v>
      </c>
      <c r="S678" s="49">
        <f t="shared" si="469"/>
        <v>0</v>
      </c>
      <c r="T678" s="49">
        <f t="shared" si="469"/>
        <v>0</v>
      </c>
      <c r="V678" s="53">
        <f t="shared" si="490"/>
        <v>0</v>
      </c>
      <c r="W678" s="53">
        <f t="shared" si="491"/>
        <v>0</v>
      </c>
      <c r="X678" s="53">
        <f t="shared" si="492"/>
        <v>0</v>
      </c>
      <c r="Y678" s="53">
        <f t="shared" si="493"/>
        <v>0</v>
      </c>
      <c r="Z678" s="53">
        <f t="shared" si="494"/>
        <v>0</v>
      </c>
      <c r="AB678" s="53">
        <f t="shared" si="482"/>
        <v>0</v>
      </c>
      <c r="AC678" s="53">
        <f t="shared" si="483"/>
        <v>0</v>
      </c>
      <c r="AD678" s="53">
        <f t="shared" si="484"/>
        <v>0</v>
      </c>
      <c r="AE678" s="53">
        <f t="shared" si="485"/>
        <v>0</v>
      </c>
      <c r="AF678" s="53">
        <f t="shared" si="486"/>
        <v>0</v>
      </c>
    </row>
    <row r="679" spans="2:32">
      <c r="B679" s="43" t="str">
        <f t="shared" si="479"/>
        <v>Asset 143</v>
      </c>
      <c r="F679" s="43" t="str">
        <f t="shared" ref="F679:L679" si="504">F183</f>
        <v>20 Kantoorgebouwen</v>
      </c>
      <c r="G679" s="43">
        <f t="shared" si="504"/>
        <v>2009</v>
      </c>
      <c r="H679" s="48">
        <f t="shared" si="504"/>
        <v>2416053.9300000006</v>
      </c>
      <c r="I679" s="43">
        <f t="shared" si="504"/>
        <v>2021</v>
      </c>
      <c r="J679" s="43">
        <f t="shared" si="504"/>
        <v>30</v>
      </c>
      <c r="K679" s="43">
        <f t="shared" si="504"/>
        <v>0</v>
      </c>
      <c r="L679" s="48">
        <f t="shared" si="504"/>
        <v>1689334.5575067692</v>
      </c>
      <c r="N679" s="44">
        <f t="shared" si="481"/>
        <v>17.5</v>
      </c>
      <c r="P679" s="49">
        <f t="shared" si="469"/>
        <v>96533.403286101093</v>
      </c>
      <c r="Q679" s="49">
        <f t="shared" si="469"/>
        <v>96533.403286101093</v>
      </c>
      <c r="R679" s="49">
        <f t="shared" si="469"/>
        <v>96533.403286101093</v>
      </c>
      <c r="S679" s="49">
        <f t="shared" si="469"/>
        <v>96533.403286101093</v>
      </c>
      <c r="T679" s="49">
        <f t="shared" si="469"/>
        <v>96533.403286101093</v>
      </c>
      <c r="V679" s="53">
        <f t="shared" si="490"/>
        <v>1592801.1542206681</v>
      </c>
      <c r="W679" s="53">
        <f t="shared" si="491"/>
        <v>1496267.7509345671</v>
      </c>
      <c r="X679" s="53">
        <f t="shared" si="492"/>
        <v>1399734.347648466</v>
      </c>
      <c r="Y679" s="53">
        <f t="shared" si="493"/>
        <v>1303200.9443623649</v>
      </c>
      <c r="Z679" s="53">
        <f t="shared" si="494"/>
        <v>1206667.5410762639</v>
      </c>
      <c r="AB679" s="53">
        <f t="shared" si="482"/>
        <v>145910.23906694181</v>
      </c>
      <c r="AC679" s="53">
        <f t="shared" si="483"/>
        <v>141421.43581413809</v>
      </c>
      <c r="AD679" s="53">
        <f t="shared" si="484"/>
        <v>138525.43371555506</v>
      </c>
      <c r="AE679" s="53">
        <f t="shared" si="485"/>
        <v>135629.43161697203</v>
      </c>
      <c r="AF679" s="53">
        <f t="shared" si="486"/>
        <v>132733.42951838899</v>
      </c>
    </row>
    <row r="680" spans="2:32">
      <c r="B680" s="43" t="str">
        <f t="shared" si="479"/>
        <v>Asset 144</v>
      </c>
      <c r="F680" s="43" t="str">
        <f t="shared" ref="F680:L680" si="505">F184</f>
        <v>05 Wegen en terreinvoorzieningen</v>
      </c>
      <c r="G680" s="43">
        <f t="shared" si="505"/>
        <v>2009</v>
      </c>
      <c r="H680" s="48">
        <f t="shared" si="505"/>
        <v>97690.9</v>
      </c>
      <c r="I680" s="43">
        <f t="shared" si="505"/>
        <v>2021</v>
      </c>
      <c r="J680" s="43">
        <f t="shared" si="505"/>
        <v>10</v>
      </c>
      <c r="K680" s="43">
        <f t="shared" si="505"/>
        <v>0</v>
      </c>
      <c r="L680" s="48">
        <f t="shared" si="505"/>
        <v>0</v>
      </c>
      <c r="N680" s="44">
        <f t="shared" si="481"/>
        <v>0</v>
      </c>
      <c r="P680" s="49">
        <f t="shared" si="469"/>
        <v>0</v>
      </c>
      <c r="Q680" s="49">
        <f t="shared" si="469"/>
        <v>0</v>
      </c>
      <c r="R680" s="49">
        <f t="shared" si="469"/>
        <v>0</v>
      </c>
      <c r="S680" s="49">
        <f t="shared" si="469"/>
        <v>0</v>
      </c>
      <c r="T680" s="49">
        <f t="shared" si="469"/>
        <v>0</v>
      </c>
      <c r="V680" s="53">
        <f t="shared" si="490"/>
        <v>0</v>
      </c>
      <c r="W680" s="53">
        <f t="shared" si="491"/>
        <v>0</v>
      </c>
      <c r="X680" s="53">
        <f t="shared" si="492"/>
        <v>0</v>
      </c>
      <c r="Y680" s="53">
        <f t="shared" si="493"/>
        <v>0</v>
      </c>
      <c r="Z680" s="53">
        <f t="shared" si="494"/>
        <v>0</v>
      </c>
      <c r="AB680" s="53">
        <f t="shared" si="482"/>
        <v>0</v>
      </c>
      <c r="AC680" s="53">
        <f t="shared" si="483"/>
        <v>0</v>
      </c>
      <c r="AD680" s="53">
        <f t="shared" si="484"/>
        <v>0</v>
      </c>
      <c r="AE680" s="53">
        <f t="shared" si="485"/>
        <v>0</v>
      </c>
      <c r="AF680" s="53">
        <f t="shared" si="486"/>
        <v>0</v>
      </c>
    </row>
    <row r="681" spans="2:32">
      <c r="B681" s="43" t="str">
        <f t="shared" si="479"/>
        <v>Asset 145</v>
      </c>
      <c r="F681" s="43" t="str">
        <f t="shared" ref="F681:L681" si="506">F185</f>
        <v>13 Aanhangwagens</v>
      </c>
      <c r="G681" s="43">
        <f t="shared" si="506"/>
        <v>2009</v>
      </c>
      <c r="H681" s="48">
        <f t="shared" si="506"/>
        <v>655669.05999999994</v>
      </c>
      <c r="I681" s="43">
        <f t="shared" si="506"/>
        <v>2021</v>
      </c>
      <c r="J681" s="43">
        <f t="shared" si="506"/>
        <v>10</v>
      </c>
      <c r="K681" s="43">
        <f t="shared" si="506"/>
        <v>1</v>
      </c>
      <c r="L681" s="48">
        <f t="shared" si="506"/>
        <v>0</v>
      </c>
      <c r="N681" s="44">
        <f t="shared" si="481"/>
        <v>0</v>
      </c>
      <c r="P681" s="49">
        <f t="shared" si="469"/>
        <v>0</v>
      </c>
      <c r="Q681" s="49">
        <f t="shared" si="469"/>
        <v>0</v>
      </c>
      <c r="R681" s="49">
        <f t="shared" si="469"/>
        <v>0</v>
      </c>
      <c r="S681" s="49">
        <f t="shared" si="469"/>
        <v>0</v>
      </c>
      <c r="T681" s="49">
        <f t="shared" si="469"/>
        <v>0</v>
      </c>
      <c r="V681" s="53">
        <f t="shared" si="490"/>
        <v>0</v>
      </c>
      <c r="W681" s="53">
        <f t="shared" si="491"/>
        <v>0</v>
      </c>
      <c r="X681" s="53">
        <f t="shared" si="492"/>
        <v>0</v>
      </c>
      <c r="Y681" s="53">
        <f t="shared" si="493"/>
        <v>0</v>
      </c>
      <c r="Z681" s="53">
        <f t="shared" si="494"/>
        <v>0</v>
      </c>
      <c r="AB681" s="53">
        <f t="shared" si="482"/>
        <v>0</v>
      </c>
      <c r="AC681" s="53">
        <f t="shared" si="483"/>
        <v>0</v>
      </c>
      <c r="AD681" s="53">
        <f t="shared" si="484"/>
        <v>0</v>
      </c>
      <c r="AE681" s="53">
        <f t="shared" si="485"/>
        <v>0</v>
      </c>
      <c r="AF681" s="53">
        <f t="shared" si="486"/>
        <v>0</v>
      </c>
    </row>
    <row r="682" spans="2:32">
      <c r="B682" s="43" t="str">
        <f t="shared" si="479"/>
        <v>Asset 146</v>
      </c>
      <c r="F682" s="43" t="str">
        <f t="shared" ref="F682:L682" si="507">F186</f>
        <v>11 Werktuigen</v>
      </c>
      <c r="G682" s="43">
        <f t="shared" si="507"/>
        <v>2010</v>
      </c>
      <c r="H682" s="48">
        <f t="shared" si="507"/>
        <v>453194.78213502961</v>
      </c>
      <c r="I682" s="43">
        <f t="shared" si="507"/>
        <v>2021</v>
      </c>
      <c r="J682" s="43">
        <f t="shared" si="507"/>
        <v>10</v>
      </c>
      <c r="K682" s="43">
        <f t="shared" si="507"/>
        <v>1</v>
      </c>
      <c r="L682" s="48">
        <f t="shared" si="507"/>
        <v>0</v>
      </c>
      <c r="N682" s="44">
        <f t="shared" si="481"/>
        <v>0</v>
      </c>
      <c r="P682" s="49">
        <f t="shared" si="469"/>
        <v>0</v>
      </c>
      <c r="Q682" s="49">
        <f t="shared" si="469"/>
        <v>0</v>
      </c>
      <c r="R682" s="49">
        <f t="shared" si="469"/>
        <v>0</v>
      </c>
      <c r="S682" s="49">
        <f t="shared" si="469"/>
        <v>0</v>
      </c>
      <c r="T682" s="49">
        <f t="shared" si="469"/>
        <v>0</v>
      </c>
      <c r="V682" s="53">
        <f t="shared" si="490"/>
        <v>0</v>
      </c>
      <c r="W682" s="53">
        <f t="shared" si="491"/>
        <v>0</v>
      </c>
      <c r="X682" s="53">
        <f t="shared" si="492"/>
        <v>0</v>
      </c>
      <c r="Y682" s="53">
        <f t="shared" si="493"/>
        <v>0</v>
      </c>
      <c r="Z682" s="53">
        <f t="shared" si="494"/>
        <v>0</v>
      </c>
      <c r="AB682" s="53">
        <f t="shared" si="482"/>
        <v>0</v>
      </c>
      <c r="AC682" s="53">
        <f t="shared" si="483"/>
        <v>0</v>
      </c>
      <c r="AD682" s="53">
        <f t="shared" si="484"/>
        <v>0</v>
      </c>
      <c r="AE682" s="53">
        <f t="shared" si="485"/>
        <v>0</v>
      </c>
      <c r="AF682" s="53">
        <f t="shared" si="486"/>
        <v>0</v>
      </c>
    </row>
    <row r="683" spans="2:32">
      <c r="B683" s="43" t="str">
        <f t="shared" si="479"/>
        <v>Asset 147</v>
      </c>
      <c r="F683" s="43" t="str">
        <f t="shared" ref="F683:L683" si="508">F187</f>
        <v>14 Overig rollend materieel</v>
      </c>
      <c r="G683" s="43">
        <f t="shared" si="508"/>
        <v>2010</v>
      </c>
      <c r="H683" s="48">
        <f t="shared" si="508"/>
        <v>179634.02000000002</v>
      </c>
      <c r="I683" s="43">
        <f t="shared" si="508"/>
        <v>2021</v>
      </c>
      <c r="J683" s="43">
        <f t="shared" si="508"/>
        <v>10</v>
      </c>
      <c r="K683" s="43">
        <f t="shared" si="508"/>
        <v>1</v>
      </c>
      <c r="L683" s="48">
        <f t="shared" si="508"/>
        <v>0</v>
      </c>
      <c r="N683" s="44">
        <f t="shared" si="481"/>
        <v>0</v>
      </c>
      <c r="P683" s="49">
        <f t="shared" si="469"/>
        <v>0</v>
      </c>
      <c r="Q683" s="49">
        <f t="shared" si="469"/>
        <v>0</v>
      </c>
      <c r="R683" s="49">
        <f t="shared" si="469"/>
        <v>0</v>
      </c>
      <c r="S683" s="49">
        <f t="shared" si="469"/>
        <v>0</v>
      </c>
      <c r="T683" s="49">
        <f t="shared" si="469"/>
        <v>0</v>
      </c>
      <c r="V683" s="53">
        <f t="shared" si="490"/>
        <v>0</v>
      </c>
      <c r="W683" s="53">
        <f t="shared" si="491"/>
        <v>0</v>
      </c>
      <c r="X683" s="53">
        <f t="shared" si="492"/>
        <v>0</v>
      </c>
      <c r="Y683" s="53">
        <f t="shared" si="493"/>
        <v>0</v>
      </c>
      <c r="Z683" s="53">
        <f t="shared" si="494"/>
        <v>0</v>
      </c>
      <c r="AB683" s="53">
        <f t="shared" si="482"/>
        <v>0</v>
      </c>
      <c r="AC683" s="53">
        <f t="shared" si="483"/>
        <v>0</v>
      </c>
      <c r="AD683" s="53">
        <f t="shared" si="484"/>
        <v>0</v>
      </c>
      <c r="AE683" s="53">
        <f t="shared" si="485"/>
        <v>0</v>
      </c>
      <c r="AF683" s="53">
        <f t="shared" si="486"/>
        <v>0</v>
      </c>
    </row>
    <row r="684" spans="2:32">
      <c r="B684" s="43" t="str">
        <f t="shared" si="479"/>
        <v>Asset 148</v>
      </c>
      <c r="F684" s="43" t="str">
        <f t="shared" ref="F684:L684" si="509">F188</f>
        <v>12 Motorvoertuigen</v>
      </c>
      <c r="G684" s="43">
        <f t="shared" si="509"/>
        <v>2011</v>
      </c>
      <c r="H684" s="48">
        <f t="shared" si="509"/>
        <v>293470.62269139342</v>
      </c>
      <c r="I684" s="43">
        <f t="shared" si="509"/>
        <v>2021</v>
      </c>
      <c r="J684" s="43">
        <f t="shared" si="509"/>
        <v>10</v>
      </c>
      <c r="K684" s="43">
        <f t="shared" si="509"/>
        <v>1</v>
      </c>
      <c r="L684" s="48">
        <f t="shared" si="509"/>
        <v>0</v>
      </c>
      <c r="N684" s="44">
        <f t="shared" si="481"/>
        <v>0</v>
      </c>
      <c r="P684" s="49">
        <f t="shared" si="469"/>
        <v>0</v>
      </c>
      <c r="Q684" s="49">
        <f t="shared" si="469"/>
        <v>0</v>
      </c>
      <c r="R684" s="49">
        <f t="shared" si="469"/>
        <v>0</v>
      </c>
      <c r="S684" s="49">
        <f t="shared" si="469"/>
        <v>0</v>
      </c>
      <c r="T684" s="49">
        <f t="shared" si="469"/>
        <v>0</v>
      </c>
      <c r="V684" s="53">
        <f t="shared" si="490"/>
        <v>0</v>
      </c>
      <c r="W684" s="53">
        <f t="shared" si="491"/>
        <v>0</v>
      </c>
      <c r="X684" s="53">
        <f t="shared" si="492"/>
        <v>0</v>
      </c>
      <c r="Y684" s="53">
        <f t="shared" si="493"/>
        <v>0</v>
      </c>
      <c r="Z684" s="53">
        <f t="shared" si="494"/>
        <v>0</v>
      </c>
      <c r="AB684" s="53">
        <f t="shared" si="482"/>
        <v>0</v>
      </c>
      <c r="AC684" s="53">
        <f t="shared" si="483"/>
        <v>0</v>
      </c>
      <c r="AD684" s="53">
        <f t="shared" si="484"/>
        <v>0</v>
      </c>
      <c r="AE684" s="53">
        <f t="shared" si="485"/>
        <v>0</v>
      </c>
      <c r="AF684" s="53">
        <f t="shared" si="486"/>
        <v>0</v>
      </c>
    </row>
    <row r="685" spans="2:32">
      <c r="B685" s="43" t="str">
        <f t="shared" si="479"/>
        <v>Asset 149</v>
      </c>
      <c r="F685" s="43" t="str">
        <f t="shared" ref="F685:L685" si="510">F189</f>
        <v>08 Inrichting gebouwen</v>
      </c>
      <c r="G685" s="43">
        <f t="shared" si="510"/>
        <v>2011</v>
      </c>
      <c r="H685" s="48">
        <f t="shared" si="510"/>
        <v>309147.61872011481</v>
      </c>
      <c r="I685" s="43">
        <f t="shared" si="510"/>
        <v>2021</v>
      </c>
      <c r="J685" s="43">
        <f t="shared" si="510"/>
        <v>10</v>
      </c>
      <c r="K685" s="43">
        <f t="shared" si="510"/>
        <v>0</v>
      </c>
      <c r="L685" s="48">
        <f t="shared" si="510"/>
        <v>0</v>
      </c>
      <c r="N685" s="44">
        <f t="shared" si="481"/>
        <v>0</v>
      </c>
      <c r="P685" s="49">
        <f t="shared" si="469"/>
        <v>0</v>
      </c>
      <c r="Q685" s="49">
        <f t="shared" si="469"/>
        <v>0</v>
      </c>
      <c r="R685" s="49">
        <f t="shared" si="469"/>
        <v>0</v>
      </c>
      <c r="S685" s="49">
        <f t="shared" si="469"/>
        <v>0</v>
      </c>
      <c r="T685" s="49">
        <f t="shared" si="469"/>
        <v>0</v>
      </c>
      <c r="V685" s="53">
        <f t="shared" si="490"/>
        <v>0</v>
      </c>
      <c r="W685" s="53">
        <f t="shared" si="491"/>
        <v>0</v>
      </c>
      <c r="X685" s="53">
        <f t="shared" si="492"/>
        <v>0</v>
      </c>
      <c r="Y685" s="53">
        <f t="shared" si="493"/>
        <v>0</v>
      </c>
      <c r="Z685" s="53">
        <f t="shared" si="494"/>
        <v>0</v>
      </c>
      <c r="AB685" s="53">
        <f t="shared" si="482"/>
        <v>0</v>
      </c>
      <c r="AC685" s="53">
        <f t="shared" si="483"/>
        <v>0</v>
      </c>
      <c r="AD685" s="53">
        <f t="shared" si="484"/>
        <v>0</v>
      </c>
      <c r="AE685" s="53">
        <f t="shared" si="485"/>
        <v>0</v>
      </c>
      <c r="AF685" s="53">
        <f t="shared" si="486"/>
        <v>0</v>
      </c>
    </row>
    <row r="686" spans="2:32">
      <c r="B686" s="43" t="str">
        <f t="shared" si="479"/>
        <v>Asset 150</v>
      </c>
      <c r="F686" s="43" t="str">
        <f t="shared" ref="F686:L686" si="511">F190</f>
        <v>38 ICT middelen 2</v>
      </c>
      <c r="G686" s="43">
        <f t="shared" si="511"/>
        <v>2011</v>
      </c>
      <c r="H686" s="48">
        <f t="shared" si="511"/>
        <v>24343500.983545668</v>
      </c>
      <c r="I686" s="43">
        <f t="shared" si="511"/>
        <v>2021</v>
      </c>
      <c r="J686" s="43">
        <f t="shared" si="511"/>
        <v>10</v>
      </c>
      <c r="K686" s="43">
        <f t="shared" si="511"/>
        <v>1</v>
      </c>
      <c r="L686" s="48">
        <f t="shared" si="511"/>
        <v>0</v>
      </c>
      <c r="N686" s="44">
        <f t="shared" si="481"/>
        <v>0</v>
      </c>
      <c r="P686" s="49">
        <f t="shared" si="469"/>
        <v>0</v>
      </c>
      <c r="Q686" s="49">
        <f t="shared" si="469"/>
        <v>0</v>
      </c>
      <c r="R686" s="49">
        <f t="shared" si="469"/>
        <v>0</v>
      </c>
      <c r="S686" s="49">
        <f t="shared" si="469"/>
        <v>0</v>
      </c>
      <c r="T686" s="49">
        <f t="shared" si="469"/>
        <v>0</v>
      </c>
      <c r="V686" s="53">
        <f t="shared" si="490"/>
        <v>0</v>
      </c>
      <c r="W686" s="53">
        <f t="shared" si="491"/>
        <v>0</v>
      </c>
      <c r="X686" s="53">
        <f t="shared" si="492"/>
        <v>0</v>
      </c>
      <c r="Y686" s="53">
        <f t="shared" si="493"/>
        <v>0</v>
      </c>
      <c r="Z686" s="53">
        <f t="shared" si="494"/>
        <v>0</v>
      </c>
      <c r="AB686" s="53">
        <f t="shared" si="482"/>
        <v>0</v>
      </c>
      <c r="AC686" s="53">
        <f t="shared" si="483"/>
        <v>0</v>
      </c>
      <c r="AD686" s="53">
        <f t="shared" si="484"/>
        <v>0</v>
      </c>
      <c r="AE686" s="53">
        <f t="shared" si="485"/>
        <v>0</v>
      </c>
      <c r="AF686" s="53">
        <f t="shared" si="486"/>
        <v>0</v>
      </c>
    </row>
    <row r="687" spans="2:32">
      <c r="B687" s="43" t="str">
        <f t="shared" si="479"/>
        <v>Asset 151</v>
      </c>
      <c r="F687" s="43" t="str">
        <f t="shared" ref="F687:L687" si="512">F191</f>
        <v>11 Werktuigen</v>
      </c>
      <c r="G687" s="43">
        <f t="shared" si="512"/>
        <v>2011</v>
      </c>
      <c r="H687" s="48">
        <f t="shared" si="512"/>
        <v>345005.47060998465</v>
      </c>
      <c r="I687" s="43">
        <f t="shared" si="512"/>
        <v>2021</v>
      </c>
      <c r="J687" s="43">
        <f t="shared" si="512"/>
        <v>10</v>
      </c>
      <c r="K687" s="43">
        <f t="shared" si="512"/>
        <v>1</v>
      </c>
      <c r="L687" s="48">
        <f t="shared" si="512"/>
        <v>0</v>
      </c>
      <c r="N687" s="44">
        <f t="shared" si="481"/>
        <v>0</v>
      </c>
      <c r="P687" s="49">
        <f t="shared" si="469"/>
        <v>0</v>
      </c>
      <c r="Q687" s="49">
        <f t="shared" si="469"/>
        <v>0</v>
      </c>
      <c r="R687" s="49">
        <f t="shared" si="469"/>
        <v>0</v>
      </c>
      <c r="S687" s="49">
        <f t="shared" si="469"/>
        <v>0</v>
      </c>
      <c r="T687" s="49">
        <f t="shared" si="469"/>
        <v>0</v>
      </c>
      <c r="V687" s="53">
        <f t="shared" si="490"/>
        <v>0</v>
      </c>
      <c r="W687" s="53">
        <f t="shared" si="491"/>
        <v>0</v>
      </c>
      <c r="X687" s="53">
        <f t="shared" si="492"/>
        <v>0</v>
      </c>
      <c r="Y687" s="53">
        <f t="shared" si="493"/>
        <v>0</v>
      </c>
      <c r="Z687" s="53">
        <f t="shared" si="494"/>
        <v>0</v>
      </c>
      <c r="AB687" s="53">
        <f t="shared" si="482"/>
        <v>0</v>
      </c>
      <c r="AC687" s="53">
        <f t="shared" si="483"/>
        <v>0</v>
      </c>
      <c r="AD687" s="53">
        <f t="shared" si="484"/>
        <v>0</v>
      </c>
      <c r="AE687" s="53">
        <f t="shared" si="485"/>
        <v>0</v>
      </c>
      <c r="AF687" s="53">
        <f t="shared" si="486"/>
        <v>0</v>
      </c>
    </row>
    <row r="688" spans="2:32">
      <c r="B688" s="43" t="str">
        <f t="shared" si="479"/>
        <v>Asset 152</v>
      </c>
      <c r="F688" s="43" t="str">
        <f t="shared" ref="F688:L688" si="513">F192</f>
        <v>13 Aanhangwagens</v>
      </c>
      <c r="G688" s="43">
        <f t="shared" si="513"/>
        <v>2011</v>
      </c>
      <c r="H688" s="48">
        <f t="shared" si="513"/>
        <v>10931.96</v>
      </c>
      <c r="I688" s="43">
        <f t="shared" si="513"/>
        <v>2021</v>
      </c>
      <c r="J688" s="43">
        <f t="shared" si="513"/>
        <v>10</v>
      </c>
      <c r="K688" s="43">
        <f t="shared" si="513"/>
        <v>1</v>
      </c>
      <c r="L688" s="48">
        <f t="shared" si="513"/>
        <v>0</v>
      </c>
      <c r="N688" s="44">
        <f t="shared" si="481"/>
        <v>0</v>
      </c>
      <c r="P688" s="49">
        <f t="shared" si="469"/>
        <v>0</v>
      </c>
      <c r="Q688" s="49">
        <f t="shared" si="469"/>
        <v>0</v>
      </c>
      <c r="R688" s="49">
        <f t="shared" si="469"/>
        <v>0</v>
      </c>
      <c r="S688" s="49">
        <f t="shared" si="469"/>
        <v>0</v>
      </c>
      <c r="T688" s="49">
        <f t="shared" si="469"/>
        <v>0</v>
      </c>
      <c r="V688" s="53">
        <f t="shared" si="490"/>
        <v>0</v>
      </c>
      <c r="W688" s="53">
        <f t="shared" si="491"/>
        <v>0</v>
      </c>
      <c r="X688" s="53">
        <f t="shared" si="492"/>
        <v>0</v>
      </c>
      <c r="Y688" s="53">
        <f t="shared" si="493"/>
        <v>0</v>
      </c>
      <c r="Z688" s="53">
        <f t="shared" si="494"/>
        <v>0</v>
      </c>
      <c r="AB688" s="53">
        <f t="shared" si="482"/>
        <v>0</v>
      </c>
      <c r="AC688" s="53">
        <f t="shared" si="483"/>
        <v>0</v>
      </c>
      <c r="AD688" s="53">
        <f t="shared" si="484"/>
        <v>0</v>
      </c>
      <c r="AE688" s="53">
        <f t="shared" si="485"/>
        <v>0</v>
      </c>
      <c r="AF688" s="53">
        <f t="shared" si="486"/>
        <v>0</v>
      </c>
    </row>
    <row r="689" spans="2:32">
      <c r="B689" s="43" t="str">
        <f t="shared" si="479"/>
        <v>Asset 153</v>
      </c>
      <c r="F689" s="43" t="str">
        <f t="shared" ref="F689:L689" si="514">F193</f>
        <v>37 ICT middelen 1 (transparency)</v>
      </c>
      <c r="G689" s="43">
        <f t="shared" si="514"/>
        <v>2012</v>
      </c>
      <c r="H689" s="48">
        <f t="shared" si="514"/>
        <v>817297.73457401327</v>
      </c>
      <c r="I689" s="43">
        <f t="shared" si="514"/>
        <v>2021</v>
      </c>
      <c r="J689" s="43">
        <f t="shared" si="514"/>
        <v>5</v>
      </c>
      <c r="K689" s="43">
        <f t="shared" si="514"/>
        <v>0</v>
      </c>
      <c r="L689" s="48">
        <f t="shared" si="514"/>
        <v>0</v>
      </c>
      <c r="N689" s="44">
        <f t="shared" si="481"/>
        <v>0</v>
      </c>
      <c r="P689" s="49">
        <f t="shared" si="469"/>
        <v>0</v>
      </c>
      <c r="Q689" s="49">
        <f t="shared" si="469"/>
        <v>0</v>
      </c>
      <c r="R689" s="49">
        <f t="shared" si="469"/>
        <v>0</v>
      </c>
      <c r="S689" s="49">
        <f t="shared" si="469"/>
        <v>0</v>
      </c>
      <c r="T689" s="49">
        <f t="shared" si="469"/>
        <v>0</v>
      </c>
      <c r="V689" s="53">
        <f t="shared" si="490"/>
        <v>0</v>
      </c>
      <c r="W689" s="53">
        <f t="shared" si="491"/>
        <v>0</v>
      </c>
      <c r="X689" s="53">
        <f t="shared" si="492"/>
        <v>0</v>
      </c>
      <c r="Y689" s="53">
        <f t="shared" si="493"/>
        <v>0</v>
      </c>
      <c r="Z689" s="53">
        <f t="shared" si="494"/>
        <v>0</v>
      </c>
      <c r="AB689" s="53">
        <f t="shared" si="482"/>
        <v>0</v>
      </c>
      <c r="AC689" s="53">
        <f t="shared" si="483"/>
        <v>0</v>
      </c>
      <c r="AD689" s="53">
        <f t="shared" si="484"/>
        <v>0</v>
      </c>
      <c r="AE689" s="53">
        <f t="shared" si="485"/>
        <v>0</v>
      </c>
      <c r="AF689" s="53">
        <f t="shared" si="486"/>
        <v>0</v>
      </c>
    </row>
    <row r="690" spans="2:32">
      <c r="B690" s="43" t="str">
        <f t="shared" si="479"/>
        <v>Asset 154</v>
      </c>
      <c r="F690" s="43" t="str">
        <f t="shared" ref="F690:L690" si="515">F194</f>
        <v>11 Werktuigen</v>
      </c>
      <c r="G690" s="43">
        <f t="shared" si="515"/>
        <v>2012</v>
      </c>
      <c r="H690" s="48">
        <f t="shared" si="515"/>
        <v>237528.30775638262</v>
      </c>
      <c r="I690" s="43">
        <f t="shared" si="515"/>
        <v>2021</v>
      </c>
      <c r="J690" s="43">
        <f t="shared" si="515"/>
        <v>10</v>
      </c>
      <c r="K690" s="43">
        <f t="shared" si="515"/>
        <v>1</v>
      </c>
      <c r="L690" s="48">
        <f t="shared" si="515"/>
        <v>13628.978016883706</v>
      </c>
      <c r="N690" s="44">
        <f t="shared" si="481"/>
        <v>0.5</v>
      </c>
      <c r="P690" s="49">
        <f t="shared" si="469"/>
        <v>13628.978016883706</v>
      </c>
      <c r="Q690" s="49">
        <f t="shared" si="469"/>
        <v>0</v>
      </c>
      <c r="R690" s="49">
        <f t="shared" si="469"/>
        <v>0</v>
      </c>
      <c r="S690" s="49">
        <f t="shared" si="469"/>
        <v>0</v>
      </c>
      <c r="T690" s="49">
        <f t="shared" si="469"/>
        <v>0</v>
      </c>
      <c r="V690" s="53">
        <f t="shared" si="490"/>
        <v>0</v>
      </c>
      <c r="W690" s="53">
        <f t="shared" si="491"/>
        <v>0</v>
      </c>
      <c r="X690" s="53">
        <f t="shared" si="492"/>
        <v>0</v>
      </c>
      <c r="Y690" s="53">
        <f t="shared" si="493"/>
        <v>0</v>
      </c>
      <c r="Z690" s="53">
        <f t="shared" si="494"/>
        <v>0</v>
      </c>
      <c r="AB690" s="53">
        <f t="shared" si="482"/>
        <v>12770.352401820033</v>
      </c>
      <c r="AC690" s="53">
        <f t="shared" si="483"/>
        <v>0</v>
      </c>
      <c r="AD690" s="53">
        <f t="shared" si="484"/>
        <v>0</v>
      </c>
      <c r="AE690" s="53">
        <f t="shared" si="485"/>
        <v>0</v>
      </c>
      <c r="AF690" s="53">
        <f t="shared" si="486"/>
        <v>0</v>
      </c>
    </row>
    <row r="691" spans="2:32">
      <c r="B691" s="43" t="str">
        <f t="shared" si="479"/>
        <v>Asset 155</v>
      </c>
      <c r="F691" s="43" t="str">
        <f t="shared" ref="F691:L691" si="516">F195</f>
        <v>13 Aanhangwagens</v>
      </c>
      <c r="G691" s="43">
        <f t="shared" si="516"/>
        <v>2012</v>
      </c>
      <c r="H691" s="48">
        <f t="shared" si="516"/>
        <v>20000</v>
      </c>
      <c r="I691" s="43">
        <f t="shared" si="516"/>
        <v>2021</v>
      </c>
      <c r="J691" s="43">
        <f t="shared" si="516"/>
        <v>10</v>
      </c>
      <c r="K691" s="43">
        <f t="shared" si="516"/>
        <v>1</v>
      </c>
      <c r="L691" s="48">
        <f t="shared" si="516"/>
        <v>1147.5666328463135</v>
      </c>
      <c r="N691" s="44">
        <f t="shared" si="481"/>
        <v>0.5</v>
      </c>
      <c r="P691" s="49">
        <f t="shared" si="469"/>
        <v>1147.5666328463135</v>
      </c>
      <c r="Q691" s="49">
        <f t="shared" si="469"/>
        <v>0</v>
      </c>
      <c r="R691" s="49">
        <f t="shared" si="469"/>
        <v>0</v>
      </c>
      <c r="S691" s="49">
        <f t="shared" si="469"/>
        <v>0</v>
      </c>
      <c r="T691" s="49">
        <f t="shared" si="469"/>
        <v>0</v>
      </c>
      <c r="V691" s="53">
        <f t="shared" si="490"/>
        <v>0</v>
      </c>
      <c r="W691" s="53">
        <f t="shared" si="491"/>
        <v>0</v>
      </c>
      <c r="X691" s="53">
        <f t="shared" si="492"/>
        <v>0</v>
      </c>
      <c r="Y691" s="53">
        <f t="shared" si="493"/>
        <v>0</v>
      </c>
      <c r="Z691" s="53">
        <f t="shared" si="494"/>
        <v>0</v>
      </c>
      <c r="AB691" s="53">
        <f t="shared" si="482"/>
        <v>1075.2699349769957</v>
      </c>
      <c r="AC691" s="53">
        <f t="shared" si="483"/>
        <v>0</v>
      </c>
      <c r="AD691" s="53">
        <f t="shared" si="484"/>
        <v>0</v>
      </c>
      <c r="AE691" s="53">
        <f t="shared" si="485"/>
        <v>0</v>
      </c>
      <c r="AF691" s="53">
        <f t="shared" si="486"/>
        <v>0</v>
      </c>
    </row>
    <row r="692" spans="2:32">
      <c r="B692" s="43" t="str">
        <f t="shared" si="479"/>
        <v>Asset 156</v>
      </c>
      <c r="F692" s="43" t="str">
        <f t="shared" ref="F692:L692" si="517">F196</f>
        <v>20 Kantoorgebouwen</v>
      </c>
      <c r="G692" s="43">
        <f t="shared" si="517"/>
        <v>2012</v>
      </c>
      <c r="H692" s="48">
        <f t="shared" si="517"/>
        <v>701380.67501665035</v>
      </c>
      <c r="I692" s="43">
        <f t="shared" si="517"/>
        <v>2021</v>
      </c>
      <c r="J692" s="43">
        <f t="shared" si="517"/>
        <v>30</v>
      </c>
      <c r="K692" s="43">
        <f t="shared" si="517"/>
        <v>0</v>
      </c>
      <c r="L692" s="48">
        <f t="shared" si="517"/>
        <v>550002.05737442558</v>
      </c>
      <c r="N692" s="44">
        <f t="shared" si="481"/>
        <v>20.5</v>
      </c>
      <c r="P692" s="49">
        <f t="shared" si="469"/>
        <v>26829.368652411005</v>
      </c>
      <c r="Q692" s="49">
        <f t="shared" si="469"/>
        <v>26829.368652411005</v>
      </c>
      <c r="R692" s="49">
        <f t="shared" si="469"/>
        <v>26829.368652411005</v>
      </c>
      <c r="S692" s="49">
        <f t="shared" si="469"/>
        <v>26829.368652411005</v>
      </c>
      <c r="T692" s="49">
        <f t="shared" si="469"/>
        <v>26829.368652411005</v>
      </c>
      <c r="V692" s="53">
        <f t="shared" si="490"/>
        <v>523172.6887220146</v>
      </c>
      <c r="W692" s="53">
        <f t="shared" si="491"/>
        <v>496343.32006960362</v>
      </c>
      <c r="X692" s="53">
        <f t="shared" si="492"/>
        <v>469513.95141719264</v>
      </c>
      <c r="Y692" s="53">
        <f t="shared" si="493"/>
        <v>442684.58276478166</v>
      </c>
      <c r="Z692" s="53">
        <f t="shared" si="494"/>
        <v>415855.21411237068</v>
      </c>
      <c r="AB692" s="53">
        <f t="shared" si="482"/>
        <v>43047.72200279346</v>
      </c>
      <c r="AC692" s="53">
        <f t="shared" si="483"/>
        <v>41719.668254499113</v>
      </c>
      <c r="AD692" s="53">
        <f t="shared" si="484"/>
        <v>40914.787194926786</v>
      </c>
      <c r="AE692" s="53">
        <f t="shared" si="485"/>
        <v>40109.906135354453</v>
      </c>
      <c r="AF692" s="53">
        <f t="shared" si="486"/>
        <v>39305.025075782127</v>
      </c>
    </row>
    <row r="693" spans="2:32">
      <c r="B693" s="43" t="str">
        <f t="shared" si="479"/>
        <v>Asset 157</v>
      </c>
      <c r="F693" s="43" t="str">
        <f t="shared" ref="F693:L693" si="518">F197</f>
        <v>10 Gereedschap</v>
      </c>
      <c r="G693" s="43">
        <f t="shared" si="518"/>
        <v>2012</v>
      </c>
      <c r="H693" s="48">
        <f t="shared" si="518"/>
        <v>102288.01000000001</v>
      </c>
      <c r="I693" s="43">
        <f t="shared" si="518"/>
        <v>2021</v>
      </c>
      <c r="J693" s="43">
        <f t="shared" si="518"/>
        <v>10</v>
      </c>
      <c r="K693" s="43">
        <f t="shared" si="518"/>
        <v>1</v>
      </c>
      <c r="L693" s="48">
        <f t="shared" si="518"/>
        <v>5869.1153608124732</v>
      </c>
      <c r="N693" s="44">
        <f t="shared" si="481"/>
        <v>0.5</v>
      </c>
      <c r="P693" s="49">
        <f t="shared" si="469"/>
        <v>5869.1153608124732</v>
      </c>
      <c r="Q693" s="49">
        <f t="shared" si="469"/>
        <v>0</v>
      </c>
      <c r="R693" s="49">
        <f t="shared" si="469"/>
        <v>0</v>
      </c>
      <c r="S693" s="49">
        <f t="shared" si="469"/>
        <v>0</v>
      </c>
      <c r="T693" s="49">
        <f t="shared" si="469"/>
        <v>0</v>
      </c>
      <c r="V693" s="53">
        <f t="shared" si="490"/>
        <v>0</v>
      </c>
      <c r="W693" s="53">
        <f t="shared" si="491"/>
        <v>0</v>
      </c>
      <c r="X693" s="53">
        <f t="shared" si="492"/>
        <v>0</v>
      </c>
      <c r="Y693" s="53">
        <f t="shared" si="493"/>
        <v>0</v>
      </c>
      <c r="Z693" s="53">
        <f t="shared" si="494"/>
        <v>0</v>
      </c>
      <c r="AB693" s="53">
        <f t="shared" si="482"/>
        <v>5499.3610930812874</v>
      </c>
      <c r="AC693" s="53">
        <f t="shared" si="483"/>
        <v>0</v>
      </c>
      <c r="AD693" s="53">
        <f t="shared" si="484"/>
        <v>0</v>
      </c>
      <c r="AE693" s="53">
        <f t="shared" si="485"/>
        <v>0</v>
      </c>
      <c r="AF693" s="53">
        <f t="shared" si="486"/>
        <v>0</v>
      </c>
    </row>
    <row r="694" spans="2:32">
      <c r="B694" s="43" t="str">
        <f t="shared" si="479"/>
        <v>Asset 158</v>
      </c>
      <c r="F694" s="43" t="str">
        <f t="shared" ref="F694:L694" si="519">F198</f>
        <v>09 Bedrijfsinventaris</v>
      </c>
      <c r="G694" s="43">
        <f t="shared" si="519"/>
        <v>2012</v>
      </c>
      <c r="H694" s="48">
        <f t="shared" si="519"/>
        <v>321753.96830222307</v>
      </c>
      <c r="I694" s="43">
        <f t="shared" si="519"/>
        <v>2021</v>
      </c>
      <c r="J694" s="43">
        <f t="shared" si="519"/>
        <v>10</v>
      </c>
      <c r="K694" s="43">
        <f t="shared" si="519"/>
        <v>1</v>
      </c>
      <c r="L694" s="48">
        <f t="shared" si="519"/>
        <v>18461.705900476001</v>
      </c>
      <c r="N694" s="44">
        <f t="shared" si="481"/>
        <v>0.5</v>
      </c>
      <c r="P694" s="49">
        <f t="shared" si="469"/>
        <v>18461.705900476001</v>
      </c>
      <c r="Q694" s="49">
        <f t="shared" si="469"/>
        <v>0</v>
      </c>
      <c r="R694" s="49">
        <f t="shared" si="469"/>
        <v>0</v>
      </c>
      <c r="S694" s="49">
        <f t="shared" si="469"/>
        <v>0</v>
      </c>
      <c r="T694" s="49">
        <f t="shared" si="469"/>
        <v>0</v>
      </c>
      <c r="V694" s="53">
        <f t="shared" si="490"/>
        <v>0</v>
      </c>
      <c r="W694" s="53">
        <f t="shared" si="491"/>
        <v>0</v>
      </c>
      <c r="X694" s="53">
        <f t="shared" si="492"/>
        <v>0</v>
      </c>
      <c r="Y694" s="53">
        <f t="shared" si="493"/>
        <v>0</v>
      </c>
      <c r="Z694" s="53">
        <f t="shared" si="494"/>
        <v>0</v>
      </c>
      <c r="AB694" s="53">
        <f t="shared" si="482"/>
        <v>17298.618428746013</v>
      </c>
      <c r="AC694" s="53">
        <f t="shared" si="483"/>
        <v>0</v>
      </c>
      <c r="AD694" s="53">
        <f t="shared" si="484"/>
        <v>0</v>
      </c>
      <c r="AE694" s="53">
        <f t="shared" si="485"/>
        <v>0</v>
      </c>
      <c r="AF694" s="53">
        <f t="shared" si="486"/>
        <v>0</v>
      </c>
    </row>
    <row r="695" spans="2:32">
      <c r="B695" s="43" t="str">
        <f t="shared" si="479"/>
        <v>Asset 159</v>
      </c>
      <c r="F695" s="43" t="str">
        <f t="shared" ref="F695:L695" si="520">F199</f>
        <v>14 Overig rollend materieel</v>
      </c>
      <c r="G695" s="43">
        <f t="shared" si="520"/>
        <v>2012</v>
      </c>
      <c r="H695" s="48">
        <f t="shared" si="520"/>
        <v>341738.83030935976</v>
      </c>
      <c r="I695" s="43">
        <f t="shared" si="520"/>
        <v>2021</v>
      </c>
      <c r="J695" s="43">
        <f t="shared" si="520"/>
        <v>10</v>
      </c>
      <c r="K695" s="43">
        <f t="shared" si="520"/>
        <v>1</v>
      </c>
      <c r="L695" s="48">
        <f t="shared" si="520"/>
        <v>19608.403940547396</v>
      </c>
      <c r="N695" s="44">
        <f t="shared" si="481"/>
        <v>0.5</v>
      </c>
      <c r="P695" s="49">
        <f t="shared" si="469"/>
        <v>19608.403940547396</v>
      </c>
      <c r="Q695" s="49">
        <f t="shared" si="469"/>
        <v>0</v>
      </c>
      <c r="R695" s="49">
        <f t="shared" si="469"/>
        <v>0</v>
      </c>
      <c r="S695" s="49">
        <f t="shared" si="469"/>
        <v>0</v>
      </c>
      <c r="T695" s="49">
        <f t="shared" si="469"/>
        <v>0</v>
      </c>
      <c r="V695" s="53">
        <f t="shared" si="490"/>
        <v>0</v>
      </c>
      <c r="W695" s="53">
        <f t="shared" si="491"/>
        <v>0</v>
      </c>
      <c r="X695" s="53">
        <f t="shared" si="492"/>
        <v>0</v>
      </c>
      <c r="Y695" s="53">
        <f t="shared" si="493"/>
        <v>0</v>
      </c>
      <c r="Z695" s="53">
        <f t="shared" si="494"/>
        <v>0</v>
      </c>
      <c r="AB695" s="53">
        <f t="shared" si="482"/>
        <v>18373.074492292912</v>
      </c>
      <c r="AC695" s="53">
        <f t="shared" si="483"/>
        <v>0</v>
      </c>
      <c r="AD695" s="53">
        <f t="shared" si="484"/>
        <v>0</v>
      </c>
      <c r="AE695" s="53">
        <f t="shared" si="485"/>
        <v>0</v>
      </c>
      <c r="AF695" s="53">
        <f t="shared" si="486"/>
        <v>0</v>
      </c>
    </row>
    <row r="696" spans="2:32">
      <c r="B696" s="43" t="str">
        <f t="shared" si="479"/>
        <v>Asset 160</v>
      </c>
      <c r="F696" s="43" t="str">
        <f t="shared" ref="F696:L696" si="521">F200</f>
        <v>08 Inrichting gebouwen</v>
      </c>
      <c r="G696" s="43">
        <f t="shared" si="521"/>
        <v>2012</v>
      </c>
      <c r="H696" s="48">
        <f t="shared" si="521"/>
        <v>737114.28212566266</v>
      </c>
      <c r="I696" s="43">
        <f t="shared" si="521"/>
        <v>2021</v>
      </c>
      <c r="J696" s="43">
        <f t="shared" si="521"/>
        <v>10</v>
      </c>
      <c r="K696" s="43">
        <f t="shared" si="521"/>
        <v>0</v>
      </c>
      <c r="L696" s="48">
        <f t="shared" si="521"/>
        <v>42294.387738093574</v>
      </c>
      <c r="N696" s="44">
        <f t="shared" si="481"/>
        <v>0.5</v>
      </c>
      <c r="P696" s="49">
        <f t="shared" si="469"/>
        <v>42294.387738093574</v>
      </c>
      <c r="Q696" s="49">
        <f t="shared" si="469"/>
        <v>0</v>
      </c>
      <c r="R696" s="49">
        <f t="shared" si="469"/>
        <v>0</v>
      </c>
      <c r="S696" s="49">
        <f t="shared" si="469"/>
        <v>0</v>
      </c>
      <c r="T696" s="49">
        <f t="shared" si="469"/>
        <v>0</v>
      </c>
      <c r="V696" s="53">
        <f t="shared" si="490"/>
        <v>0</v>
      </c>
      <c r="W696" s="53">
        <f t="shared" si="491"/>
        <v>0</v>
      </c>
      <c r="X696" s="53">
        <f t="shared" si="492"/>
        <v>0</v>
      </c>
      <c r="Y696" s="53">
        <f t="shared" si="493"/>
        <v>0</v>
      </c>
      <c r="Z696" s="53">
        <f t="shared" si="494"/>
        <v>0</v>
      </c>
      <c r="AB696" s="53">
        <f t="shared" si="482"/>
        <v>42294.387738093574</v>
      </c>
      <c r="AC696" s="53">
        <f t="shared" si="483"/>
        <v>0</v>
      </c>
      <c r="AD696" s="53">
        <f t="shared" si="484"/>
        <v>0</v>
      </c>
      <c r="AE696" s="53">
        <f t="shared" si="485"/>
        <v>0</v>
      </c>
      <c r="AF696" s="53">
        <f t="shared" si="486"/>
        <v>0</v>
      </c>
    </row>
    <row r="697" spans="2:32">
      <c r="B697" s="43" t="str">
        <f t="shared" si="479"/>
        <v>Asset 161</v>
      </c>
      <c r="F697" s="43" t="str">
        <f t="shared" ref="F697:L697" si="522">F201</f>
        <v>11 Werktuigen</v>
      </c>
      <c r="G697" s="43">
        <f t="shared" si="522"/>
        <v>2013</v>
      </c>
      <c r="H697" s="48">
        <f t="shared" si="522"/>
        <v>5005059.40396435</v>
      </c>
      <c r="I697" s="43">
        <f t="shared" si="522"/>
        <v>2021</v>
      </c>
      <c r="J697" s="43">
        <f t="shared" si="522"/>
        <v>10</v>
      </c>
      <c r="K697" s="43">
        <f t="shared" si="522"/>
        <v>1</v>
      </c>
      <c r="L697" s="48">
        <f t="shared" si="522"/>
        <v>842175.83099752699</v>
      </c>
      <c r="N697" s="44">
        <f t="shared" si="481"/>
        <v>1.5</v>
      </c>
      <c r="P697" s="49">
        <f t="shared" si="469"/>
        <v>561450.55399835133</v>
      </c>
      <c r="Q697" s="49">
        <f t="shared" si="469"/>
        <v>280725.27699917566</v>
      </c>
      <c r="R697" s="49">
        <f t="shared" si="469"/>
        <v>0</v>
      </c>
      <c r="S697" s="49">
        <f t="shared" si="469"/>
        <v>0</v>
      </c>
      <c r="T697" s="49">
        <f t="shared" si="469"/>
        <v>0</v>
      </c>
      <c r="V697" s="53">
        <f t="shared" si="490"/>
        <v>280725.27699917566</v>
      </c>
      <c r="W697" s="53">
        <f t="shared" si="491"/>
        <v>0</v>
      </c>
      <c r="X697" s="53">
        <f t="shared" si="492"/>
        <v>0</v>
      </c>
      <c r="Y697" s="53">
        <f t="shared" si="493"/>
        <v>0</v>
      </c>
      <c r="Z697" s="53">
        <f t="shared" si="494"/>
        <v>0</v>
      </c>
      <c r="AB697" s="53">
        <f t="shared" si="482"/>
        <v>534233.39621745027</v>
      </c>
      <c r="AC697" s="53">
        <f t="shared" si="483"/>
        <v>263039.58454822761</v>
      </c>
      <c r="AD697" s="53">
        <f t="shared" si="484"/>
        <v>0</v>
      </c>
      <c r="AE697" s="53">
        <f t="shared" si="485"/>
        <v>0</v>
      </c>
      <c r="AF697" s="53">
        <f t="shared" si="486"/>
        <v>0</v>
      </c>
    </row>
    <row r="698" spans="2:32">
      <c r="B698" s="43" t="str">
        <f t="shared" si="479"/>
        <v>Asset 162</v>
      </c>
      <c r="F698" s="43" t="str">
        <f t="shared" ref="F698:L698" si="523">F202</f>
        <v>20 Kantoorgebouwen</v>
      </c>
      <c r="G698" s="43">
        <f t="shared" si="523"/>
        <v>2013</v>
      </c>
      <c r="H698" s="48">
        <f t="shared" si="523"/>
        <v>1237826.9064472313</v>
      </c>
      <c r="I698" s="43">
        <f t="shared" si="523"/>
        <v>2021</v>
      </c>
      <c r="J698" s="43">
        <f t="shared" si="523"/>
        <v>30</v>
      </c>
      <c r="K698" s="43">
        <f t="shared" si="523"/>
        <v>0</v>
      </c>
      <c r="L698" s="48">
        <f t="shared" si="523"/>
        <v>995129.04477620148</v>
      </c>
      <c r="N698" s="44">
        <f t="shared" si="481"/>
        <v>21.5</v>
      </c>
      <c r="P698" s="49">
        <f t="shared" si="469"/>
        <v>46285.07185005588</v>
      </c>
      <c r="Q698" s="49">
        <f t="shared" si="469"/>
        <v>46285.071850055887</v>
      </c>
      <c r="R698" s="49">
        <f t="shared" si="469"/>
        <v>46285.071850055887</v>
      </c>
      <c r="S698" s="49">
        <f t="shared" si="469"/>
        <v>46285.071850055887</v>
      </c>
      <c r="T698" s="49">
        <f t="shared" si="469"/>
        <v>46285.071850055887</v>
      </c>
      <c r="V698" s="53">
        <f t="shared" si="490"/>
        <v>948843.97292614565</v>
      </c>
      <c r="W698" s="53">
        <f t="shared" si="491"/>
        <v>902558.90107608982</v>
      </c>
      <c r="X698" s="53">
        <f t="shared" si="492"/>
        <v>856273.82922603399</v>
      </c>
      <c r="Y698" s="53">
        <f t="shared" si="493"/>
        <v>809988.75737597817</v>
      </c>
      <c r="Z698" s="53">
        <f t="shared" si="494"/>
        <v>763703.68552592234</v>
      </c>
      <c r="AB698" s="53">
        <f t="shared" si="482"/>
        <v>75699.235010766395</v>
      </c>
      <c r="AC698" s="53">
        <f t="shared" si="483"/>
        <v>73361.838882338576</v>
      </c>
      <c r="AD698" s="53">
        <f t="shared" si="484"/>
        <v>71973.286726836901</v>
      </c>
      <c r="AE698" s="53">
        <f t="shared" si="485"/>
        <v>70584.734571335226</v>
      </c>
      <c r="AF698" s="53">
        <f t="shared" si="486"/>
        <v>69196.182415833551</v>
      </c>
    </row>
    <row r="699" spans="2:32">
      <c r="B699" s="43" t="str">
        <f t="shared" si="479"/>
        <v>Asset 163</v>
      </c>
      <c r="F699" s="43" t="str">
        <f t="shared" ref="F699:L699" si="524">F203</f>
        <v>09 Bedrijfsinventaris</v>
      </c>
      <c r="G699" s="43">
        <f t="shared" si="524"/>
        <v>2013</v>
      </c>
      <c r="H699" s="48">
        <f t="shared" si="524"/>
        <v>292655.61609467439</v>
      </c>
      <c r="I699" s="43">
        <f t="shared" si="524"/>
        <v>2021</v>
      </c>
      <c r="J699" s="43">
        <f t="shared" si="524"/>
        <v>10</v>
      </c>
      <c r="K699" s="43">
        <f t="shared" si="524"/>
        <v>1</v>
      </c>
      <c r="L699" s="48">
        <f t="shared" si="524"/>
        <v>49243.668613684422</v>
      </c>
      <c r="N699" s="44">
        <f t="shared" si="481"/>
        <v>1.5</v>
      </c>
      <c r="P699" s="49">
        <f t="shared" si="469"/>
        <v>32829.11240912295</v>
      </c>
      <c r="Q699" s="49">
        <f t="shared" si="469"/>
        <v>16414.556204561475</v>
      </c>
      <c r="R699" s="49">
        <f t="shared" si="469"/>
        <v>0</v>
      </c>
      <c r="S699" s="49">
        <f t="shared" si="469"/>
        <v>0</v>
      </c>
      <c r="T699" s="49">
        <f t="shared" si="469"/>
        <v>0</v>
      </c>
      <c r="V699" s="53">
        <f t="shared" si="490"/>
        <v>16414.556204561472</v>
      </c>
      <c r="W699" s="53">
        <f t="shared" si="491"/>
        <v>-3.637978807091713E-12</v>
      </c>
      <c r="X699" s="53">
        <f t="shared" si="492"/>
        <v>0</v>
      </c>
      <c r="Y699" s="53">
        <f t="shared" si="493"/>
        <v>0</v>
      </c>
      <c r="Z699" s="53">
        <f t="shared" si="494"/>
        <v>0</v>
      </c>
      <c r="AB699" s="53">
        <f t="shared" si="482"/>
        <v>31237.671941422104</v>
      </c>
      <c r="AC699" s="53">
        <f t="shared" si="483"/>
        <v>15380.439163674104</v>
      </c>
      <c r="AD699" s="53">
        <f t="shared" si="484"/>
        <v>0</v>
      </c>
      <c r="AE699" s="53">
        <f t="shared" si="485"/>
        <v>0</v>
      </c>
      <c r="AF699" s="53">
        <f t="shared" si="486"/>
        <v>0</v>
      </c>
    </row>
    <row r="700" spans="2:32">
      <c r="B700" s="43" t="str">
        <f t="shared" si="479"/>
        <v>Asset 164</v>
      </c>
      <c r="F700" s="43" t="str">
        <f t="shared" ref="F700:L700" si="525">F204</f>
        <v>20 Kantoorgebouwen</v>
      </c>
      <c r="G700" s="43">
        <f t="shared" si="525"/>
        <v>2014</v>
      </c>
      <c r="H700" s="48">
        <f t="shared" si="525"/>
        <v>4973944.9463818558</v>
      </c>
      <c r="I700" s="43">
        <f t="shared" si="525"/>
        <v>2021</v>
      </c>
      <c r="J700" s="43">
        <f t="shared" si="525"/>
        <v>30</v>
      </c>
      <c r="K700" s="43">
        <f t="shared" si="525"/>
        <v>0</v>
      </c>
      <c r="L700" s="48">
        <f t="shared" si="525"/>
        <v>4070721.5945336674</v>
      </c>
      <c r="N700" s="44">
        <f t="shared" si="481"/>
        <v>22.5</v>
      </c>
      <c r="P700" s="49">
        <f t="shared" si="469"/>
        <v>180920.9597570519</v>
      </c>
      <c r="Q700" s="49">
        <f t="shared" si="469"/>
        <v>180920.9597570519</v>
      </c>
      <c r="R700" s="49">
        <f t="shared" si="469"/>
        <v>180920.9597570519</v>
      </c>
      <c r="S700" s="49">
        <f t="shared" si="469"/>
        <v>180920.9597570519</v>
      </c>
      <c r="T700" s="49">
        <f t="shared" si="469"/>
        <v>180920.9597570519</v>
      </c>
      <c r="V700" s="53">
        <f t="shared" si="490"/>
        <v>3889800.6347766155</v>
      </c>
      <c r="W700" s="53">
        <f t="shared" si="491"/>
        <v>3708879.6750195636</v>
      </c>
      <c r="X700" s="53">
        <f t="shared" si="492"/>
        <v>3527958.7152625117</v>
      </c>
      <c r="Y700" s="53">
        <f t="shared" si="493"/>
        <v>3347037.7555054598</v>
      </c>
      <c r="Z700" s="53">
        <f t="shared" si="494"/>
        <v>3166116.795748408</v>
      </c>
      <c r="AB700" s="53">
        <f t="shared" si="482"/>
        <v>301504.77943512698</v>
      </c>
      <c r="AC700" s="53">
        <f t="shared" si="483"/>
        <v>292187.3500076388</v>
      </c>
      <c r="AD700" s="53">
        <f t="shared" si="484"/>
        <v>286759.72121492727</v>
      </c>
      <c r="AE700" s="53">
        <f t="shared" si="485"/>
        <v>281332.09242221568</v>
      </c>
      <c r="AF700" s="53">
        <f t="shared" si="486"/>
        <v>275904.46362950414</v>
      </c>
    </row>
    <row r="701" spans="2:32">
      <c r="B701" s="43" t="str">
        <f t="shared" si="479"/>
        <v>Asset 165</v>
      </c>
      <c r="F701" s="43" t="str">
        <f t="shared" ref="F701:L701" si="526">F205</f>
        <v>09 Bedrijfsinventaris</v>
      </c>
      <c r="G701" s="43">
        <f t="shared" si="526"/>
        <v>2014</v>
      </c>
      <c r="H701" s="48">
        <f t="shared" si="526"/>
        <v>332895.6529706032</v>
      </c>
      <c r="I701" s="43">
        <f t="shared" si="526"/>
        <v>2021</v>
      </c>
      <c r="J701" s="43">
        <f t="shared" si="526"/>
        <v>10</v>
      </c>
      <c r="K701" s="43">
        <f t="shared" si="526"/>
        <v>1</v>
      </c>
      <c r="L701" s="48">
        <f t="shared" si="526"/>
        <v>90814.939173486709</v>
      </c>
      <c r="N701" s="44">
        <f t="shared" si="481"/>
        <v>2.5</v>
      </c>
      <c r="P701" s="49">
        <f t="shared" si="469"/>
        <v>36325.975669394684</v>
      </c>
      <c r="Q701" s="49">
        <f t="shared" si="469"/>
        <v>36325.975669394684</v>
      </c>
      <c r="R701" s="49">
        <f t="shared" si="469"/>
        <v>18162.987834697342</v>
      </c>
      <c r="S701" s="49">
        <f t="shared" si="469"/>
        <v>0</v>
      </c>
      <c r="T701" s="49">
        <f t="shared" si="469"/>
        <v>0</v>
      </c>
      <c r="V701" s="53">
        <f t="shared" si="490"/>
        <v>54488.963504092026</v>
      </c>
      <c r="W701" s="53">
        <f t="shared" si="491"/>
        <v>18162.987834697342</v>
      </c>
      <c r="X701" s="53">
        <f t="shared" si="492"/>
        <v>0</v>
      </c>
      <c r="Y701" s="53">
        <f t="shared" si="493"/>
        <v>0</v>
      </c>
      <c r="Z701" s="53">
        <f t="shared" si="494"/>
        <v>0</v>
      </c>
      <c r="AB701" s="53">
        <f t="shared" si="482"/>
        <v>35620.180125126186</v>
      </c>
      <c r="AC701" s="53">
        <f t="shared" si="483"/>
        <v>34548.000790256163</v>
      </c>
      <c r="AD701" s="53">
        <f t="shared" si="484"/>
        <v>17018.71960111141</v>
      </c>
      <c r="AE701" s="53">
        <f t="shared" si="485"/>
        <v>0</v>
      </c>
      <c r="AF701" s="53">
        <f t="shared" si="486"/>
        <v>0</v>
      </c>
    </row>
    <row r="702" spans="2:32">
      <c r="B702" s="43" t="str">
        <f t="shared" si="479"/>
        <v>Asset 166</v>
      </c>
      <c r="F702" s="43" t="str">
        <f t="shared" ref="F702:L702" si="527">F206</f>
        <v>10 Gereedschap</v>
      </c>
      <c r="G702" s="43">
        <f t="shared" si="527"/>
        <v>2014</v>
      </c>
      <c r="H702" s="48">
        <f t="shared" si="527"/>
        <v>294123.8734031191</v>
      </c>
      <c r="I702" s="43">
        <f t="shared" si="527"/>
        <v>2021</v>
      </c>
      <c r="J702" s="43">
        <f t="shared" si="527"/>
        <v>10</v>
      </c>
      <c r="K702" s="43">
        <f t="shared" si="527"/>
        <v>1</v>
      </c>
      <c r="L702" s="48">
        <f t="shared" si="527"/>
        <v>80237.880651848885</v>
      </c>
      <c r="N702" s="44">
        <f t="shared" si="481"/>
        <v>2.5</v>
      </c>
      <c r="P702" s="49">
        <f t="shared" si="469"/>
        <v>32095.152260739556</v>
      </c>
      <c r="Q702" s="49">
        <f t="shared" si="469"/>
        <v>32095.152260739549</v>
      </c>
      <c r="R702" s="49">
        <f t="shared" si="469"/>
        <v>16047.576130369775</v>
      </c>
      <c r="S702" s="49">
        <f t="shared" si="469"/>
        <v>0</v>
      </c>
      <c r="T702" s="49">
        <f t="shared" si="469"/>
        <v>0</v>
      </c>
      <c r="V702" s="53">
        <f t="shared" si="490"/>
        <v>48142.728391109325</v>
      </c>
      <c r="W702" s="53">
        <f t="shared" si="491"/>
        <v>16047.576130369776</v>
      </c>
      <c r="X702" s="53">
        <f t="shared" si="492"/>
        <v>1.8189894035458565E-12</v>
      </c>
      <c r="Y702" s="53">
        <f t="shared" si="493"/>
        <v>0</v>
      </c>
      <c r="Z702" s="53">
        <f t="shared" si="494"/>
        <v>0</v>
      </c>
      <c r="AB702" s="53">
        <f t="shared" si="482"/>
        <v>31471.559499889521</v>
      </c>
      <c r="AC702" s="53">
        <f t="shared" si="483"/>
        <v>30524.255033337653</v>
      </c>
      <c r="AD702" s="53">
        <f t="shared" si="484"/>
        <v>15036.57883415648</v>
      </c>
      <c r="AE702" s="53">
        <f t="shared" si="485"/>
        <v>0</v>
      </c>
      <c r="AF702" s="53">
        <f t="shared" si="486"/>
        <v>0</v>
      </c>
    </row>
    <row r="703" spans="2:32">
      <c r="B703" s="43" t="str">
        <f t="shared" si="479"/>
        <v>Asset 167</v>
      </c>
      <c r="F703" s="43" t="str">
        <f t="shared" ref="F703:L703" si="528">F207</f>
        <v>13 Aanhangwagens</v>
      </c>
      <c r="G703" s="43">
        <f t="shared" si="528"/>
        <v>2014</v>
      </c>
      <c r="H703" s="48">
        <f t="shared" si="528"/>
        <v>24919.261718386999</v>
      </c>
      <c r="I703" s="43">
        <f t="shared" si="528"/>
        <v>2021</v>
      </c>
      <c r="J703" s="43">
        <f t="shared" si="528"/>
        <v>10</v>
      </c>
      <c r="K703" s="43">
        <f t="shared" si="528"/>
        <v>1</v>
      </c>
      <c r="L703" s="48">
        <f t="shared" si="528"/>
        <v>6798.0498303573586</v>
      </c>
      <c r="N703" s="44">
        <f t="shared" si="481"/>
        <v>2.5</v>
      </c>
      <c r="P703" s="49">
        <f t="shared" si="469"/>
        <v>2719.2199321429434</v>
      </c>
      <c r="Q703" s="49">
        <f t="shared" si="469"/>
        <v>2719.2199321429434</v>
      </c>
      <c r="R703" s="49">
        <f t="shared" si="469"/>
        <v>1359.6099660714717</v>
      </c>
      <c r="S703" s="49">
        <f t="shared" si="469"/>
        <v>0</v>
      </c>
      <c r="T703" s="49">
        <f t="shared" si="469"/>
        <v>0</v>
      </c>
      <c r="V703" s="53">
        <f t="shared" si="490"/>
        <v>4078.8298982144152</v>
      </c>
      <c r="W703" s="53">
        <f t="shared" si="491"/>
        <v>1359.6099660714717</v>
      </c>
      <c r="X703" s="53">
        <f t="shared" si="492"/>
        <v>0</v>
      </c>
      <c r="Y703" s="53">
        <f t="shared" si="493"/>
        <v>0</v>
      </c>
      <c r="Z703" s="53">
        <f t="shared" si="494"/>
        <v>0</v>
      </c>
      <c r="AB703" s="53">
        <f t="shared" si="482"/>
        <v>2666.3868484713721</v>
      </c>
      <c r="AC703" s="53">
        <f t="shared" si="483"/>
        <v>2586.1277125642073</v>
      </c>
      <c r="AD703" s="53">
        <f t="shared" si="484"/>
        <v>1273.9545382089691</v>
      </c>
      <c r="AE703" s="53">
        <f t="shared" si="485"/>
        <v>0</v>
      </c>
      <c r="AF703" s="53">
        <f t="shared" si="486"/>
        <v>0</v>
      </c>
    </row>
    <row r="704" spans="2:32">
      <c r="B704" s="43" t="str">
        <f t="shared" si="479"/>
        <v>Asset 168</v>
      </c>
      <c r="F704" s="43" t="str">
        <f t="shared" ref="F704:L704" si="529">F208</f>
        <v>11 Werktuigen</v>
      </c>
      <c r="G704" s="43">
        <f t="shared" si="529"/>
        <v>2014</v>
      </c>
      <c r="H704" s="48">
        <f t="shared" si="529"/>
        <v>264974.99557180319</v>
      </c>
      <c r="I704" s="43">
        <f t="shared" si="529"/>
        <v>2021</v>
      </c>
      <c r="J704" s="43">
        <f t="shared" si="529"/>
        <v>10</v>
      </c>
      <c r="K704" s="43">
        <f t="shared" si="529"/>
        <v>1</v>
      </c>
      <c r="L704" s="48">
        <f t="shared" si="529"/>
        <v>72285.978776277945</v>
      </c>
      <c r="N704" s="44">
        <f t="shared" si="481"/>
        <v>2.5</v>
      </c>
      <c r="P704" s="49">
        <f t="shared" si="469"/>
        <v>28914.391510511181</v>
      </c>
      <c r="Q704" s="49">
        <f t="shared" si="469"/>
        <v>28914.391510511177</v>
      </c>
      <c r="R704" s="49">
        <f t="shared" si="469"/>
        <v>14457.195755255589</v>
      </c>
      <c r="S704" s="49">
        <f t="shared" si="469"/>
        <v>0</v>
      </c>
      <c r="T704" s="49">
        <f t="shared" si="469"/>
        <v>0</v>
      </c>
      <c r="V704" s="53">
        <f t="shared" si="490"/>
        <v>43371.587265766764</v>
      </c>
      <c r="W704" s="53">
        <f t="shared" si="491"/>
        <v>14457.195755255587</v>
      </c>
      <c r="X704" s="53">
        <f t="shared" si="492"/>
        <v>-1.8189894035458565E-12</v>
      </c>
      <c r="Y704" s="53">
        <f t="shared" si="493"/>
        <v>0</v>
      </c>
      <c r="Z704" s="53">
        <f t="shared" si="494"/>
        <v>0</v>
      </c>
      <c r="AB704" s="53">
        <f t="shared" si="482"/>
        <v>28352.599340657704</v>
      </c>
      <c r="AC704" s="53">
        <f t="shared" si="483"/>
        <v>27499.176618029211</v>
      </c>
      <c r="AD704" s="53">
        <f t="shared" si="484"/>
        <v>13546.392422674488</v>
      </c>
      <c r="AE704" s="53">
        <f t="shared" si="485"/>
        <v>0</v>
      </c>
      <c r="AF704" s="53">
        <f t="shared" si="486"/>
        <v>0</v>
      </c>
    </row>
    <row r="705" spans="2:32">
      <c r="B705" s="43" t="str">
        <f t="shared" si="479"/>
        <v>Asset 169</v>
      </c>
      <c r="F705" s="43" t="str">
        <f t="shared" ref="F705:L705" si="530">F209</f>
        <v>08 Inrichting gebouwen</v>
      </c>
      <c r="G705" s="43">
        <f t="shared" si="530"/>
        <v>2014</v>
      </c>
      <c r="H705" s="48">
        <f t="shared" si="530"/>
        <v>724167.86511950963</v>
      </c>
      <c r="I705" s="43">
        <f t="shared" si="530"/>
        <v>2021</v>
      </c>
      <c r="J705" s="43">
        <f t="shared" si="530"/>
        <v>10</v>
      </c>
      <c r="K705" s="43">
        <f t="shared" si="530"/>
        <v>0</v>
      </c>
      <c r="L705" s="48">
        <f t="shared" si="530"/>
        <v>197555.1799351057</v>
      </c>
      <c r="N705" s="44">
        <f t="shared" si="481"/>
        <v>2.5</v>
      </c>
      <c r="P705" s="49">
        <f t="shared" si="469"/>
        <v>79022.071974042279</v>
      </c>
      <c r="Q705" s="49">
        <f t="shared" si="469"/>
        <v>79022.071974042279</v>
      </c>
      <c r="R705" s="49">
        <f t="shared" si="469"/>
        <v>39511.03598702114</v>
      </c>
      <c r="S705" s="49">
        <f t="shared" si="469"/>
        <v>0</v>
      </c>
      <c r="T705" s="49">
        <f t="shared" si="469"/>
        <v>0</v>
      </c>
      <c r="V705" s="53">
        <f t="shared" si="490"/>
        <v>118533.10796106342</v>
      </c>
      <c r="W705" s="53">
        <f t="shared" si="491"/>
        <v>39511.03598702114</v>
      </c>
      <c r="X705" s="53">
        <f t="shared" si="492"/>
        <v>0</v>
      </c>
      <c r="Y705" s="53">
        <f t="shared" si="493"/>
        <v>0</v>
      </c>
      <c r="Z705" s="53">
        <f t="shared" si="494"/>
        <v>0</v>
      </c>
      <c r="AB705" s="53">
        <f t="shared" si="482"/>
        <v>82696.598320835241</v>
      </c>
      <c r="AC705" s="53">
        <f t="shared" si="483"/>
        <v>80207.403053652917</v>
      </c>
      <c r="AD705" s="53">
        <f t="shared" si="484"/>
        <v>39511.03598702114</v>
      </c>
      <c r="AE705" s="53">
        <f t="shared" si="485"/>
        <v>0</v>
      </c>
      <c r="AF705" s="53">
        <f t="shared" si="486"/>
        <v>0</v>
      </c>
    </row>
    <row r="706" spans="2:32">
      <c r="B706" s="43" t="str">
        <f t="shared" si="479"/>
        <v>Asset 170</v>
      </c>
      <c r="F706" s="43" t="str">
        <f t="shared" ref="F706:L706" si="531">F210</f>
        <v>14 Overig rollend materieel (odorisatie)</v>
      </c>
      <c r="G706" s="43">
        <f t="shared" si="531"/>
        <v>2014</v>
      </c>
      <c r="H706" s="48">
        <f t="shared" si="531"/>
        <v>1415.9999999999968</v>
      </c>
      <c r="I706" s="43">
        <f t="shared" si="531"/>
        <v>2021</v>
      </c>
      <c r="J706" s="43">
        <f t="shared" si="531"/>
        <v>10</v>
      </c>
      <c r="K706" s="43">
        <f t="shared" si="531"/>
        <v>0</v>
      </c>
      <c r="L706" s="48">
        <f t="shared" si="531"/>
        <v>386.28907503641284</v>
      </c>
      <c r="N706" s="44">
        <f t="shared" si="481"/>
        <v>2.5</v>
      </c>
      <c r="P706" s="49">
        <f t="shared" si="469"/>
        <v>154.51563001456515</v>
      </c>
      <c r="Q706" s="49">
        <f t="shared" si="469"/>
        <v>154.51563001456512</v>
      </c>
      <c r="R706" s="49">
        <f t="shared" si="469"/>
        <v>77.257815007282559</v>
      </c>
      <c r="S706" s="49">
        <f t="shared" si="469"/>
        <v>0</v>
      </c>
      <c r="T706" s="49">
        <f t="shared" si="469"/>
        <v>0</v>
      </c>
      <c r="V706" s="53">
        <f t="shared" si="490"/>
        <v>231.77344502184769</v>
      </c>
      <c r="W706" s="53">
        <f t="shared" si="491"/>
        <v>77.257815007282574</v>
      </c>
      <c r="X706" s="53">
        <f t="shared" si="492"/>
        <v>1.4210854715202004E-14</v>
      </c>
      <c r="Y706" s="53">
        <f t="shared" si="493"/>
        <v>0</v>
      </c>
      <c r="Z706" s="53">
        <f t="shared" si="494"/>
        <v>0</v>
      </c>
      <c r="AB706" s="53">
        <f t="shared" si="482"/>
        <v>161.70060681024242</v>
      </c>
      <c r="AC706" s="53">
        <f t="shared" si="483"/>
        <v>156.83336446478359</v>
      </c>
      <c r="AD706" s="53">
        <f t="shared" si="484"/>
        <v>77.257815007282559</v>
      </c>
      <c r="AE706" s="53">
        <f t="shared" si="485"/>
        <v>0</v>
      </c>
      <c r="AF706" s="53">
        <f t="shared" si="486"/>
        <v>0</v>
      </c>
    </row>
    <row r="707" spans="2:32">
      <c r="B707" s="43" t="str">
        <f t="shared" si="479"/>
        <v>Asset 171</v>
      </c>
      <c r="F707" s="43" t="str">
        <f t="shared" ref="F707:L707" si="532">F211</f>
        <v>14 Overig rollend materieel (odorisatie)</v>
      </c>
      <c r="G707" s="43">
        <f t="shared" si="532"/>
        <v>2015</v>
      </c>
      <c r="H707" s="48">
        <f t="shared" si="532"/>
        <v>43315.304046858677</v>
      </c>
      <c r="I707" s="43">
        <f t="shared" si="532"/>
        <v>2021</v>
      </c>
      <c r="J707" s="43">
        <f t="shared" si="532"/>
        <v>10</v>
      </c>
      <c r="K707" s="43">
        <f t="shared" si="532"/>
        <v>0</v>
      </c>
      <c r="L707" s="48">
        <f t="shared" si="532"/>
        <v>16379.370300704035</v>
      </c>
      <c r="N707" s="44">
        <f t="shared" si="481"/>
        <v>3.5</v>
      </c>
      <c r="P707" s="49">
        <f t="shared" ref="P707:T740" si="533">IF(P$535&lt;=$G707+$J707,VDB($L707,0,$N707,P$535-2022,MIN(P$535-2021,$N707),1),0)</f>
        <v>4679.8200859154385</v>
      </c>
      <c r="Q707" s="49">
        <f t="shared" si="533"/>
        <v>4679.8200859154385</v>
      </c>
      <c r="R707" s="49">
        <f t="shared" si="533"/>
        <v>4679.8200859154385</v>
      </c>
      <c r="S707" s="49">
        <f t="shared" si="533"/>
        <v>2339.9100429577193</v>
      </c>
      <c r="T707" s="49">
        <f t="shared" si="533"/>
        <v>0</v>
      </c>
      <c r="V707" s="53">
        <f t="shared" si="490"/>
        <v>11699.550214788596</v>
      </c>
      <c r="W707" s="53">
        <f t="shared" si="491"/>
        <v>7019.7301288731578</v>
      </c>
      <c r="X707" s="53">
        <f t="shared" si="492"/>
        <v>2339.9100429577193</v>
      </c>
      <c r="Y707" s="53">
        <f t="shared" si="493"/>
        <v>0</v>
      </c>
      <c r="Z707" s="53">
        <f t="shared" si="494"/>
        <v>0</v>
      </c>
      <c r="AB707" s="53">
        <f t="shared" si="482"/>
        <v>5042.506142573885</v>
      </c>
      <c r="AC707" s="53">
        <f t="shared" si="483"/>
        <v>4890.4119897816336</v>
      </c>
      <c r="AD707" s="53">
        <f t="shared" si="484"/>
        <v>4750.0173872041705</v>
      </c>
      <c r="AE707" s="53">
        <f t="shared" si="485"/>
        <v>2339.9100429577193</v>
      </c>
      <c r="AF707" s="53">
        <f t="shared" si="486"/>
        <v>0</v>
      </c>
    </row>
    <row r="708" spans="2:32">
      <c r="B708" s="43" t="str">
        <f t="shared" si="479"/>
        <v>Asset 172</v>
      </c>
      <c r="F708" s="43" t="str">
        <f t="shared" ref="F708:L708" si="534">F212</f>
        <v>13 Aanhangwagens</v>
      </c>
      <c r="G708" s="43">
        <f t="shared" si="534"/>
        <v>2015</v>
      </c>
      <c r="H708" s="48">
        <f t="shared" si="534"/>
        <v>78424.550748692549</v>
      </c>
      <c r="I708" s="43">
        <f t="shared" si="534"/>
        <v>2021</v>
      </c>
      <c r="J708" s="43">
        <f t="shared" si="534"/>
        <v>10</v>
      </c>
      <c r="K708" s="43">
        <f t="shared" si="534"/>
        <v>1</v>
      </c>
      <c r="L708" s="48">
        <f t="shared" si="534"/>
        <v>29655.679110310892</v>
      </c>
      <c r="N708" s="44">
        <f t="shared" si="481"/>
        <v>3.5</v>
      </c>
      <c r="P708" s="49">
        <f t="shared" si="533"/>
        <v>8473.051174374541</v>
      </c>
      <c r="Q708" s="49">
        <f t="shared" si="533"/>
        <v>8473.051174374541</v>
      </c>
      <c r="R708" s="49">
        <f t="shared" si="533"/>
        <v>8473.051174374541</v>
      </c>
      <c r="S708" s="49">
        <f t="shared" si="533"/>
        <v>4236.5255871872705</v>
      </c>
      <c r="T708" s="49">
        <f t="shared" si="533"/>
        <v>0</v>
      </c>
      <c r="V708" s="53">
        <f t="shared" si="490"/>
        <v>21182.627935936351</v>
      </c>
      <c r="W708" s="53">
        <f t="shared" si="491"/>
        <v>12709.57676156181</v>
      </c>
      <c r="X708" s="53">
        <f t="shared" si="492"/>
        <v>4236.5255871872687</v>
      </c>
      <c r="Y708" s="53">
        <f t="shared" si="493"/>
        <v>-1.8189894035458565E-12</v>
      </c>
      <c r="Z708" s="53">
        <f t="shared" si="494"/>
        <v>0</v>
      </c>
      <c r="AB708" s="53">
        <f t="shared" si="482"/>
        <v>8554.5407440440886</v>
      </c>
      <c r="AC708" s="53">
        <f t="shared" si="483"/>
        <v>8296.5151531564479</v>
      </c>
      <c r="AD708" s="53">
        <f t="shared" si="484"/>
        <v>8058.3376846447791</v>
      </c>
      <c r="AE708" s="53">
        <f t="shared" si="485"/>
        <v>3969.6244751944728</v>
      </c>
      <c r="AF708" s="53">
        <f t="shared" si="486"/>
        <v>0</v>
      </c>
    </row>
    <row r="709" spans="2:32">
      <c r="B709" s="43" t="str">
        <f t="shared" si="479"/>
        <v>Asset 173</v>
      </c>
      <c r="F709" s="43" t="str">
        <f t="shared" ref="F709:L709" si="535">F213</f>
        <v>11 Werktuigen</v>
      </c>
      <c r="G709" s="43">
        <f t="shared" si="535"/>
        <v>2015</v>
      </c>
      <c r="H709" s="48">
        <f t="shared" si="535"/>
        <v>481116.61247078225</v>
      </c>
      <c r="I709" s="43">
        <f t="shared" si="535"/>
        <v>2021</v>
      </c>
      <c r="J709" s="43">
        <f t="shared" si="535"/>
        <v>10</v>
      </c>
      <c r="K709" s="43">
        <f t="shared" si="535"/>
        <v>1</v>
      </c>
      <c r="L709" s="48">
        <f t="shared" si="535"/>
        <v>181930.78236168518</v>
      </c>
      <c r="N709" s="44">
        <f t="shared" si="481"/>
        <v>3.5</v>
      </c>
      <c r="P709" s="49">
        <f t="shared" si="533"/>
        <v>51980.223531910051</v>
      </c>
      <c r="Q709" s="49">
        <f t="shared" si="533"/>
        <v>51980.223531910058</v>
      </c>
      <c r="R709" s="49">
        <f t="shared" si="533"/>
        <v>51980.223531910058</v>
      </c>
      <c r="S709" s="49">
        <f t="shared" si="533"/>
        <v>25990.111765955029</v>
      </c>
      <c r="T709" s="49">
        <f t="shared" si="533"/>
        <v>0</v>
      </c>
      <c r="V709" s="53">
        <f t="shared" si="490"/>
        <v>129950.55882977514</v>
      </c>
      <c r="W709" s="53">
        <f t="shared" si="491"/>
        <v>77970.33529786508</v>
      </c>
      <c r="X709" s="53">
        <f t="shared" si="492"/>
        <v>25990.111765955022</v>
      </c>
      <c r="Y709" s="53">
        <f t="shared" si="493"/>
        <v>-7.2759576141834259E-12</v>
      </c>
      <c r="Z709" s="53">
        <f t="shared" si="494"/>
        <v>0</v>
      </c>
      <c r="AB709" s="53">
        <f t="shared" si="482"/>
        <v>52480.143331728199</v>
      </c>
      <c r="AC709" s="53">
        <f t="shared" si="483"/>
        <v>50897.215574622714</v>
      </c>
      <c r="AD709" s="53">
        <f t="shared" si="484"/>
        <v>49436.051491140723</v>
      </c>
      <c r="AE709" s="53">
        <f t="shared" si="485"/>
        <v>24352.734724699865</v>
      </c>
      <c r="AF709" s="53">
        <f t="shared" si="486"/>
        <v>0</v>
      </c>
    </row>
    <row r="710" spans="2:32">
      <c r="B710" s="43" t="str">
        <f t="shared" si="479"/>
        <v>Asset 174</v>
      </c>
      <c r="F710" s="43" t="str">
        <f t="shared" ref="F710:L710" si="536">F214</f>
        <v>39 ICT middelen 3</v>
      </c>
      <c r="G710" s="43">
        <f t="shared" si="536"/>
        <v>2015</v>
      </c>
      <c r="H710" s="48">
        <f t="shared" si="536"/>
        <v>13785822.782425826</v>
      </c>
      <c r="I710" s="43">
        <f t="shared" si="536"/>
        <v>2021</v>
      </c>
      <c r="J710" s="43">
        <f t="shared" si="536"/>
        <v>15</v>
      </c>
      <c r="K710" s="43">
        <f t="shared" si="536"/>
        <v>1</v>
      </c>
      <c r="L710" s="48">
        <f t="shared" si="536"/>
        <v>8440110.7970265597</v>
      </c>
      <c r="N710" s="44">
        <f t="shared" si="481"/>
        <v>8.5</v>
      </c>
      <c r="P710" s="49">
        <f t="shared" si="533"/>
        <v>992954.21141488943</v>
      </c>
      <c r="Q710" s="49">
        <f t="shared" si="533"/>
        <v>992954.21141488943</v>
      </c>
      <c r="R710" s="49">
        <f t="shared" si="533"/>
        <v>992954.21141488943</v>
      </c>
      <c r="S710" s="49">
        <f t="shared" si="533"/>
        <v>992954.21141488943</v>
      </c>
      <c r="T710" s="49">
        <f t="shared" si="533"/>
        <v>992954.21141488943</v>
      </c>
      <c r="V710" s="53">
        <f t="shared" si="490"/>
        <v>7447156.5856116703</v>
      </c>
      <c r="W710" s="53">
        <f t="shared" si="491"/>
        <v>6454202.3741967808</v>
      </c>
      <c r="X710" s="53">
        <f t="shared" si="492"/>
        <v>5461248.1627818914</v>
      </c>
      <c r="Y710" s="53">
        <f t="shared" si="493"/>
        <v>4468293.951367002</v>
      </c>
      <c r="Z710" s="53">
        <f t="shared" si="494"/>
        <v>3475339.7399521125</v>
      </c>
      <c r="AB710" s="53">
        <f t="shared" si="482"/>
        <v>1146715.6534380137</v>
      </c>
      <c r="AC710" s="53">
        <f t="shared" si="483"/>
        <v>1111825.724834423</v>
      </c>
      <c r="AD710" s="53">
        <f t="shared" si="484"/>
        <v>1083913.7819515504</v>
      </c>
      <c r="AE710" s="53">
        <f t="shared" si="485"/>
        <v>1056001.839068678</v>
      </c>
      <c r="AF710" s="53">
        <f t="shared" si="486"/>
        <v>1028089.8961858053</v>
      </c>
    </row>
    <row r="711" spans="2:32">
      <c r="B711" s="43" t="str">
        <f t="shared" si="479"/>
        <v>Asset 175</v>
      </c>
      <c r="F711" s="43" t="str">
        <f t="shared" ref="F711:L711" si="537">F215</f>
        <v>12 Motorvoertuigen</v>
      </c>
      <c r="G711" s="43">
        <f t="shared" si="537"/>
        <v>2015</v>
      </c>
      <c r="H711" s="48">
        <f t="shared" si="537"/>
        <v>43877.173224174046</v>
      </c>
      <c r="I711" s="43">
        <f t="shared" si="537"/>
        <v>2021</v>
      </c>
      <c r="J711" s="43">
        <f t="shared" si="537"/>
        <v>10</v>
      </c>
      <c r="K711" s="43">
        <f t="shared" si="537"/>
        <v>1</v>
      </c>
      <c r="L711" s="48">
        <f t="shared" si="537"/>
        <v>16591.837083941773</v>
      </c>
      <c r="N711" s="44">
        <f t="shared" si="481"/>
        <v>3.5</v>
      </c>
      <c r="P711" s="49">
        <f t="shared" si="533"/>
        <v>4740.5248811262209</v>
      </c>
      <c r="Q711" s="49">
        <f t="shared" si="533"/>
        <v>4740.5248811262209</v>
      </c>
      <c r="R711" s="49">
        <f t="shared" si="533"/>
        <v>4740.5248811262209</v>
      </c>
      <c r="S711" s="49">
        <f t="shared" si="533"/>
        <v>2370.2624405631104</v>
      </c>
      <c r="T711" s="49">
        <f t="shared" si="533"/>
        <v>0</v>
      </c>
      <c r="V711" s="53">
        <f t="shared" si="490"/>
        <v>11851.312202815552</v>
      </c>
      <c r="W711" s="53">
        <f t="shared" si="491"/>
        <v>7110.7873216893313</v>
      </c>
      <c r="X711" s="53">
        <f t="shared" si="492"/>
        <v>2370.2624405631104</v>
      </c>
      <c r="Y711" s="53">
        <f t="shared" si="493"/>
        <v>0</v>
      </c>
      <c r="Z711" s="53">
        <f t="shared" si="494"/>
        <v>0</v>
      </c>
      <c r="AB711" s="53">
        <f t="shared" si="482"/>
        <v>4786.1168791704522</v>
      </c>
      <c r="AC711" s="53">
        <f t="shared" si="483"/>
        <v>4641.7560452279558</v>
      </c>
      <c r="AD711" s="53">
        <f t="shared" si="484"/>
        <v>4508.4998908194984</v>
      </c>
      <c r="AE711" s="53">
        <f t="shared" si="485"/>
        <v>2220.9359068076346</v>
      </c>
      <c r="AF711" s="53">
        <f t="shared" si="486"/>
        <v>0</v>
      </c>
    </row>
    <row r="712" spans="2:32">
      <c r="B712" s="43" t="str">
        <f t="shared" si="479"/>
        <v>Asset 176</v>
      </c>
      <c r="F712" s="43" t="str">
        <f t="shared" ref="F712:L712" si="538">F216</f>
        <v>09 Bedrijfsinventaris</v>
      </c>
      <c r="G712" s="43">
        <f t="shared" si="538"/>
        <v>2015</v>
      </c>
      <c r="H712" s="48">
        <f t="shared" si="538"/>
        <v>153470.91831934603</v>
      </c>
      <c r="I712" s="43">
        <f t="shared" si="538"/>
        <v>2021</v>
      </c>
      <c r="J712" s="43">
        <f t="shared" si="538"/>
        <v>10</v>
      </c>
      <c r="K712" s="43">
        <f t="shared" si="538"/>
        <v>1</v>
      </c>
      <c r="L712" s="48">
        <f t="shared" si="538"/>
        <v>58033.922579009974</v>
      </c>
      <c r="N712" s="44">
        <f t="shared" si="481"/>
        <v>3.5</v>
      </c>
      <c r="P712" s="49">
        <f t="shared" si="533"/>
        <v>16581.120736859993</v>
      </c>
      <c r="Q712" s="49">
        <f t="shared" si="533"/>
        <v>16581.120736859993</v>
      </c>
      <c r="R712" s="49">
        <f t="shared" si="533"/>
        <v>16581.120736859993</v>
      </c>
      <c r="S712" s="49">
        <f t="shared" si="533"/>
        <v>8290.5603684299967</v>
      </c>
      <c r="T712" s="49">
        <f t="shared" si="533"/>
        <v>0</v>
      </c>
      <c r="V712" s="53">
        <f t="shared" si="490"/>
        <v>41452.80184214998</v>
      </c>
      <c r="W712" s="53">
        <f t="shared" si="491"/>
        <v>24871.681105289987</v>
      </c>
      <c r="X712" s="53">
        <f t="shared" si="492"/>
        <v>8290.5603684299931</v>
      </c>
      <c r="Y712" s="53">
        <f t="shared" si="493"/>
        <v>-3.637978807091713E-12</v>
      </c>
      <c r="Z712" s="53">
        <f t="shared" si="494"/>
        <v>0</v>
      </c>
      <c r="AB712" s="53">
        <f t="shared" si="482"/>
        <v>16740.589665546748</v>
      </c>
      <c r="AC712" s="53">
        <f t="shared" si="483"/>
        <v>16235.653086307515</v>
      </c>
      <c r="AD712" s="53">
        <f t="shared" si="484"/>
        <v>15769.55778239438</v>
      </c>
      <c r="AE712" s="53">
        <f t="shared" si="485"/>
        <v>7768.2550652189075</v>
      </c>
      <c r="AF712" s="53">
        <f t="shared" si="486"/>
        <v>0</v>
      </c>
    </row>
    <row r="713" spans="2:32">
      <c r="B713" s="43" t="str">
        <f t="shared" si="479"/>
        <v>Asset 177</v>
      </c>
      <c r="F713" s="43" t="str">
        <f t="shared" ref="F713:L713" si="539">F217</f>
        <v>20 Kantoorgebouwen</v>
      </c>
      <c r="G713" s="43">
        <f t="shared" si="539"/>
        <v>2015</v>
      </c>
      <c r="H713" s="48">
        <f t="shared" si="539"/>
        <v>2375369.7957282378</v>
      </c>
      <c r="I713" s="43">
        <f t="shared" si="539"/>
        <v>2021</v>
      </c>
      <c r="J713" s="43">
        <f t="shared" si="539"/>
        <v>30</v>
      </c>
      <c r="K713" s="43">
        <f t="shared" si="539"/>
        <v>0</v>
      </c>
      <c r="L713" s="48">
        <f t="shared" si="539"/>
        <v>2010322.0086927759</v>
      </c>
      <c r="N713" s="44">
        <f t="shared" si="481"/>
        <v>23.5</v>
      </c>
      <c r="P713" s="49">
        <f t="shared" si="533"/>
        <v>85545.61739118195</v>
      </c>
      <c r="Q713" s="49">
        <f t="shared" si="533"/>
        <v>85545.61739118195</v>
      </c>
      <c r="R713" s="49">
        <f t="shared" si="533"/>
        <v>85545.61739118195</v>
      </c>
      <c r="S713" s="49">
        <f t="shared" si="533"/>
        <v>85545.61739118195</v>
      </c>
      <c r="T713" s="49">
        <f t="shared" si="533"/>
        <v>85545.61739118195</v>
      </c>
      <c r="V713" s="53">
        <f t="shared" si="490"/>
        <v>1924776.391301594</v>
      </c>
      <c r="W713" s="53">
        <f t="shared" si="491"/>
        <v>1839230.7739104121</v>
      </c>
      <c r="X713" s="53">
        <f t="shared" si="492"/>
        <v>1753685.1565192302</v>
      </c>
      <c r="Y713" s="53">
        <f t="shared" si="493"/>
        <v>1668139.5391280483</v>
      </c>
      <c r="Z713" s="53">
        <f t="shared" si="494"/>
        <v>1582593.9217368665</v>
      </c>
      <c r="AB713" s="53">
        <f t="shared" si="482"/>
        <v>145213.68552153136</v>
      </c>
      <c r="AC713" s="53">
        <f t="shared" si="483"/>
        <v>140722.54060849431</v>
      </c>
      <c r="AD713" s="53">
        <f t="shared" si="484"/>
        <v>138156.17208675886</v>
      </c>
      <c r="AE713" s="53">
        <f t="shared" si="485"/>
        <v>135589.80356502341</v>
      </c>
      <c r="AF713" s="53">
        <f t="shared" si="486"/>
        <v>133023.43504328793</v>
      </c>
    </row>
    <row r="714" spans="2:32">
      <c r="B714" s="43" t="str">
        <f t="shared" si="479"/>
        <v>Asset 178</v>
      </c>
      <c r="F714" s="43" t="str">
        <f t="shared" ref="F714:L714" si="540">F218</f>
        <v>06 Utiliteitsgebouwen</v>
      </c>
      <c r="G714" s="43">
        <f t="shared" si="540"/>
        <v>2015</v>
      </c>
      <c r="H714" s="48">
        <f t="shared" si="540"/>
        <v>516544.29057147249</v>
      </c>
      <c r="I714" s="43">
        <f t="shared" si="540"/>
        <v>2021</v>
      </c>
      <c r="J714" s="43">
        <f t="shared" si="540"/>
        <v>30</v>
      </c>
      <c r="K714" s="43">
        <f t="shared" si="540"/>
        <v>0</v>
      </c>
      <c r="L714" s="48">
        <f t="shared" si="540"/>
        <v>437161.55592610373</v>
      </c>
      <c r="N714" s="44">
        <f t="shared" si="481"/>
        <v>23.5</v>
      </c>
      <c r="P714" s="49">
        <f t="shared" si="533"/>
        <v>18602.619401110798</v>
      </c>
      <c r="Q714" s="49">
        <f t="shared" si="533"/>
        <v>18602.619401110798</v>
      </c>
      <c r="R714" s="49">
        <f t="shared" si="533"/>
        <v>18602.619401110798</v>
      </c>
      <c r="S714" s="49">
        <f t="shared" si="533"/>
        <v>18602.619401110798</v>
      </c>
      <c r="T714" s="49">
        <f t="shared" si="533"/>
        <v>18602.619401110798</v>
      </c>
      <c r="V714" s="53">
        <f t="shared" si="490"/>
        <v>418558.93652499293</v>
      </c>
      <c r="W714" s="53">
        <f t="shared" si="491"/>
        <v>399956.31712388212</v>
      </c>
      <c r="X714" s="53">
        <f t="shared" si="492"/>
        <v>381353.69772277132</v>
      </c>
      <c r="Y714" s="53">
        <f t="shared" si="493"/>
        <v>362751.07832166052</v>
      </c>
      <c r="Z714" s="53">
        <f t="shared" si="494"/>
        <v>344148.45892054972</v>
      </c>
      <c r="AB714" s="53">
        <f t="shared" si="482"/>
        <v>31577.946433385579</v>
      </c>
      <c r="AC714" s="53">
        <f t="shared" si="483"/>
        <v>30601.308914827263</v>
      </c>
      <c r="AD714" s="53">
        <f t="shared" si="484"/>
        <v>30043.230332793937</v>
      </c>
      <c r="AE714" s="53">
        <f t="shared" si="485"/>
        <v>29485.151750760611</v>
      </c>
      <c r="AF714" s="53">
        <f t="shared" si="486"/>
        <v>28927.073168727289</v>
      </c>
    </row>
    <row r="715" spans="2:32">
      <c r="B715" s="43" t="str">
        <f t="shared" si="479"/>
        <v>Asset 179</v>
      </c>
      <c r="F715" s="43" t="str">
        <f t="shared" ref="F715:L715" si="541">F219</f>
        <v>08 Inrichting gebouwen</v>
      </c>
      <c r="G715" s="43">
        <f t="shared" si="541"/>
        <v>2015</v>
      </c>
      <c r="H715" s="48">
        <f t="shared" si="541"/>
        <v>406758.82739129546</v>
      </c>
      <c r="I715" s="43">
        <f t="shared" si="541"/>
        <v>2021</v>
      </c>
      <c r="J715" s="43">
        <f t="shared" si="541"/>
        <v>10</v>
      </c>
      <c r="K715" s="43">
        <f t="shared" si="541"/>
        <v>0</v>
      </c>
      <c r="L715" s="48">
        <f t="shared" si="541"/>
        <v>153812.9214033616</v>
      </c>
      <c r="N715" s="44">
        <f t="shared" si="481"/>
        <v>3.5</v>
      </c>
      <c r="P715" s="49">
        <f t="shared" si="533"/>
        <v>43946.548972389028</v>
      </c>
      <c r="Q715" s="49">
        <f t="shared" si="533"/>
        <v>43946.548972389035</v>
      </c>
      <c r="R715" s="49">
        <f t="shared" si="533"/>
        <v>43946.548972389035</v>
      </c>
      <c r="S715" s="49">
        <f t="shared" si="533"/>
        <v>21973.274486194518</v>
      </c>
      <c r="T715" s="49">
        <f t="shared" si="533"/>
        <v>0</v>
      </c>
      <c r="V715" s="53">
        <f t="shared" si="490"/>
        <v>109866.37243097258</v>
      </c>
      <c r="W715" s="53">
        <f t="shared" si="491"/>
        <v>65919.823458583545</v>
      </c>
      <c r="X715" s="53">
        <f t="shared" si="492"/>
        <v>21973.27448619451</v>
      </c>
      <c r="Y715" s="53">
        <f t="shared" si="493"/>
        <v>-7.2759576141834259E-12</v>
      </c>
      <c r="Z715" s="53">
        <f t="shared" si="494"/>
        <v>0</v>
      </c>
      <c r="AB715" s="53">
        <f t="shared" si="482"/>
        <v>47352.406517749179</v>
      </c>
      <c r="AC715" s="53">
        <f t="shared" si="483"/>
        <v>45924.143676146545</v>
      </c>
      <c r="AD715" s="53">
        <f t="shared" si="484"/>
        <v>44605.747206974869</v>
      </c>
      <c r="AE715" s="53">
        <f t="shared" si="485"/>
        <v>21973.274486194518</v>
      </c>
      <c r="AF715" s="53">
        <f t="shared" si="486"/>
        <v>0</v>
      </c>
    </row>
    <row r="716" spans="2:32">
      <c r="B716" s="43" t="str">
        <f t="shared" si="479"/>
        <v>Asset 180</v>
      </c>
      <c r="F716" s="43" t="str">
        <f t="shared" ref="F716:L716" si="542">F220</f>
        <v>20 Kantoorgebouwen</v>
      </c>
      <c r="G716" s="43">
        <f t="shared" si="542"/>
        <v>2016</v>
      </c>
      <c r="H716" s="48">
        <f t="shared" si="542"/>
        <v>229380.26938547671</v>
      </c>
      <c r="I716" s="43">
        <f t="shared" si="542"/>
        <v>2021</v>
      </c>
      <c r="J716" s="43">
        <f t="shared" si="542"/>
        <v>30</v>
      </c>
      <c r="K716" s="43">
        <f t="shared" si="542"/>
        <v>0</v>
      </c>
      <c r="L716" s="48">
        <f t="shared" si="542"/>
        <v>200783.5579674957</v>
      </c>
      <c r="N716" s="44">
        <f t="shared" si="481"/>
        <v>24.5</v>
      </c>
      <c r="P716" s="49">
        <f t="shared" si="533"/>
        <v>8195.2472639794159</v>
      </c>
      <c r="Q716" s="49">
        <f t="shared" si="533"/>
        <v>8195.2472639794159</v>
      </c>
      <c r="R716" s="49">
        <f t="shared" si="533"/>
        <v>8195.2472639794159</v>
      </c>
      <c r="S716" s="49">
        <f t="shared" si="533"/>
        <v>8195.2472639794159</v>
      </c>
      <c r="T716" s="49">
        <f t="shared" si="533"/>
        <v>8195.2472639794159</v>
      </c>
      <c r="V716" s="53">
        <f t="shared" si="490"/>
        <v>192588.31070351627</v>
      </c>
      <c r="W716" s="53">
        <f t="shared" si="491"/>
        <v>184393.06343953684</v>
      </c>
      <c r="X716" s="53">
        <f t="shared" si="492"/>
        <v>176197.81617555741</v>
      </c>
      <c r="Y716" s="53">
        <f t="shared" si="493"/>
        <v>168002.56891157798</v>
      </c>
      <c r="Z716" s="53">
        <f t="shared" si="494"/>
        <v>159807.32164759855</v>
      </c>
      <c r="AB716" s="53">
        <f t="shared" si="482"/>
        <v>14165.484895788421</v>
      </c>
      <c r="AC716" s="53">
        <f t="shared" si="483"/>
        <v>13727.03916716552</v>
      </c>
      <c r="AD716" s="53">
        <f t="shared" si="484"/>
        <v>13481.181749246138</v>
      </c>
      <c r="AE716" s="53">
        <f t="shared" si="485"/>
        <v>13235.324331326756</v>
      </c>
      <c r="AF716" s="53">
        <f t="shared" si="486"/>
        <v>12989.466913407372</v>
      </c>
    </row>
    <row r="717" spans="2:32">
      <c r="B717" s="43" t="str">
        <f t="shared" si="479"/>
        <v>Asset 181</v>
      </c>
      <c r="F717" s="43" t="str">
        <f t="shared" ref="F717:L717" si="543">F221</f>
        <v>39 ICT middelen 3</v>
      </c>
      <c r="G717" s="43">
        <f t="shared" si="543"/>
        <v>2016</v>
      </c>
      <c r="H717" s="48">
        <f t="shared" si="543"/>
        <v>529286.5107518764</v>
      </c>
      <c r="I717" s="43">
        <f t="shared" si="543"/>
        <v>2021</v>
      </c>
      <c r="J717" s="43">
        <f t="shared" si="543"/>
        <v>15</v>
      </c>
      <c r="K717" s="43">
        <f t="shared" si="543"/>
        <v>1</v>
      </c>
      <c r="L717" s="48">
        <f t="shared" si="543"/>
        <v>359294.38470756344</v>
      </c>
      <c r="N717" s="44">
        <f t="shared" si="481"/>
        <v>9.5</v>
      </c>
      <c r="P717" s="49">
        <f t="shared" si="533"/>
        <v>37820.461548164574</v>
      </c>
      <c r="Q717" s="49">
        <f t="shared" si="533"/>
        <v>37820.461548164567</v>
      </c>
      <c r="R717" s="49">
        <f t="shared" si="533"/>
        <v>37820.461548164567</v>
      </c>
      <c r="S717" s="49">
        <f t="shared" si="533"/>
        <v>37820.461548164567</v>
      </c>
      <c r="T717" s="49">
        <f t="shared" si="533"/>
        <v>37820.461548164567</v>
      </c>
      <c r="V717" s="53">
        <f t="shared" si="490"/>
        <v>321473.92315939884</v>
      </c>
      <c r="W717" s="53">
        <f t="shared" si="491"/>
        <v>283653.46161123429</v>
      </c>
      <c r="X717" s="53">
        <f t="shared" si="492"/>
        <v>245833.00006306972</v>
      </c>
      <c r="Y717" s="53">
        <f t="shared" si="493"/>
        <v>208012.53851490514</v>
      </c>
      <c r="Z717" s="53">
        <f t="shared" si="494"/>
        <v>170192.07696674057</v>
      </c>
      <c r="AB717" s="53">
        <f t="shared" si="482"/>
        <v>44775.625516641267</v>
      </c>
      <c r="AC717" s="53">
        <f t="shared" si="483"/>
        <v>43411.271276521999</v>
      </c>
      <c r="AD717" s="53">
        <f t="shared" si="484"/>
        <v>42348.138102403092</v>
      </c>
      <c r="AE717" s="53">
        <f t="shared" si="485"/>
        <v>41285.004928284186</v>
      </c>
      <c r="AF717" s="53">
        <f t="shared" si="486"/>
        <v>40221.87175416528</v>
      </c>
    </row>
    <row r="718" spans="2:32">
      <c r="B718" s="43" t="str">
        <f t="shared" si="479"/>
        <v>Asset 182</v>
      </c>
      <c r="F718" s="43" t="str">
        <f t="shared" ref="F718:L718" si="544">F222</f>
        <v>12 Motorvoertuigen</v>
      </c>
      <c r="G718" s="43">
        <f t="shared" si="544"/>
        <v>2016</v>
      </c>
      <c r="H718" s="48">
        <f t="shared" si="544"/>
        <v>28567.827468907908</v>
      </c>
      <c r="I718" s="43">
        <f t="shared" si="544"/>
        <v>2021</v>
      </c>
      <c r="J718" s="43">
        <f t="shared" si="544"/>
        <v>10</v>
      </c>
      <c r="K718" s="43">
        <f t="shared" si="544"/>
        <v>1</v>
      </c>
      <c r="L718" s="48">
        <f t="shared" si="544"/>
        <v>13778.977338155324</v>
      </c>
      <c r="N718" s="44">
        <f t="shared" si="481"/>
        <v>4.5</v>
      </c>
      <c r="P718" s="49">
        <f t="shared" si="533"/>
        <v>3061.9949640345167</v>
      </c>
      <c r="Q718" s="49">
        <f t="shared" si="533"/>
        <v>3061.9949640345167</v>
      </c>
      <c r="R718" s="49">
        <f t="shared" si="533"/>
        <v>3061.9949640345167</v>
      </c>
      <c r="S718" s="49">
        <f t="shared" si="533"/>
        <v>3061.9949640345167</v>
      </c>
      <c r="T718" s="49">
        <f t="shared" si="533"/>
        <v>1530.9974820172583</v>
      </c>
      <c r="V718" s="53">
        <f t="shared" si="490"/>
        <v>10716.982374120807</v>
      </c>
      <c r="W718" s="53">
        <f t="shared" si="491"/>
        <v>7654.9874100862908</v>
      </c>
      <c r="X718" s="53">
        <f t="shared" si="492"/>
        <v>4592.9924460517741</v>
      </c>
      <c r="Y718" s="53">
        <f t="shared" si="493"/>
        <v>1530.9974820172574</v>
      </c>
      <c r="Z718" s="53">
        <f t="shared" si="494"/>
        <v>-9.0949470177292824E-13</v>
      </c>
      <c r="AB718" s="53">
        <f t="shared" si="482"/>
        <v>3180.3854683214295</v>
      </c>
      <c r="AC718" s="53">
        <f t="shared" si="483"/>
        <v>3084.2709773978681</v>
      </c>
      <c r="AD718" s="53">
        <f t="shared" si="484"/>
        <v>2998.1982989588578</v>
      </c>
      <c r="AE718" s="53">
        <f t="shared" si="485"/>
        <v>2912.1256205198474</v>
      </c>
      <c r="AF718" s="53">
        <f t="shared" si="486"/>
        <v>1434.5446406501712</v>
      </c>
    </row>
    <row r="719" spans="2:32">
      <c r="B719" s="43" t="str">
        <f t="shared" si="479"/>
        <v>Asset 183</v>
      </c>
      <c r="F719" s="43" t="str">
        <f t="shared" ref="F719:L719" si="545">F223</f>
        <v>06 Utiliteitsgebouwen</v>
      </c>
      <c r="G719" s="43">
        <f t="shared" si="545"/>
        <v>2016</v>
      </c>
      <c r="H719" s="48">
        <f t="shared" si="545"/>
        <v>69569.550579382194</v>
      </c>
      <c r="I719" s="43">
        <f t="shared" si="545"/>
        <v>2021</v>
      </c>
      <c r="J719" s="43">
        <f t="shared" si="545"/>
        <v>30</v>
      </c>
      <c r="K719" s="43">
        <f t="shared" si="545"/>
        <v>0</v>
      </c>
      <c r="L719" s="48">
        <f t="shared" si="545"/>
        <v>60896.353156050573</v>
      </c>
      <c r="N719" s="44">
        <f t="shared" si="481"/>
        <v>24.5</v>
      </c>
      <c r="P719" s="49">
        <f t="shared" si="533"/>
        <v>2485.5654349408396</v>
      </c>
      <c r="Q719" s="49">
        <f t="shared" si="533"/>
        <v>2485.5654349408401</v>
      </c>
      <c r="R719" s="49">
        <f t="shared" si="533"/>
        <v>2485.5654349408401</v>
      </c>
      <c r="S719" s="49">
        <f t="shared" si="533"/>
        <v>2485.5654349408401</v>
      </c>
      <c r="T719" s="49">
        <f t="shared" si="533"/>
        <v>2485.5654349408401</v>
      </c>
      <c r="V719" s="53">
        <f t="shared" si="490"/>
        <v>58410.787721109737</v>
      </c>
      <c r="W719" s="53">
        <f t="shared" si="491"/>
        <v>55925.222286168893</v>
      </c>
      <c r="X719" s="53">
        <f t="shared" si="492"/>
        <v>53439.65685122805</v>
      </c>
      <c r="Y719" s="53">
        <f t="shared" si="493"/>
        <v>50954.091416287207</v>
      </c>
      <c r="Z719" s="53">
        <f t="shared" si="494"/>
        <v>48468.525981346364</v>
      </c>
      <c r="AB719" s="53">
        <f t="shared" si="482"/>
        <v>4296.2998542952409</v>
      </c>
      <c r="AC719" s="53">
        <f t="shared" si="483"/>
        <v>4163.3221035259066</v>
      </c>
      <c r="AD719" s="53">
        <f t="shared" si="484"/>
        <v>4088.7551404776814</v>
      </c>
      <c r="AE719" s="53">
        <f t="shared" si="485"/>
        <v>4014.1881774294561</v>
      </c>
      <c r="AF719" s="53">
        <f t="shared" si="486"/>
        <v>3939.6212143812309</v>
      </c>
    </row>
    <row r="720" spans="2:32">
      <c r="B720" s="43" t="str">
        <f t="shared" si="479"/>
        <v>Asset 184</v>
      </c>
      <c r="F720" s="43" t="str">
        <f t="shared" ref="F720:L720" si="546">F224</f>
        <v>09 Bedrijfsinventaris</v>
      </c>
      <c r="G720" s="43">
        <f t="shared" si="546"/>
        <v>2016</v>
      </c>
      <c r="H720" s="48">
        <f t="shared" si="546"/>
        <v>285684.31746031862</v>
      </c>
      <c r="I720" s="43">
        <f t="shared" si="546"/>
        <v>2021</v>
      </c>
      <c r="J720" s="43">
        <f t="shared" si="546"/>
        <v>10</v>
      </c>
      <c r="K720" s="43">
        <f t="shared" si="546"/>
        <v>1</v>
      </c>
      <c r="L720" s="48">
        <f t="shared" si="546"/>
        <v>137792.68796118168</v>
      </c>
      <c r="N720" s="44">
        <f t="shared" si="481"/>
        <v>4.5</v>
      </c>
      <c r="P720" s="49">
        <f t="shared" si="533"/>
        <v>30620.59732470704</v>
      </c>
      <c r="Q720" s="49">
        <f t="shared" si="533"/>
        <v>30620.597324707043</v>
      </c>
      <c r="R720" s="49">
        <f t="shared" si="533"/>
        <v>30620.597324707043</v>
      </c>
      <c r="S720" s="49">
        <f t="shared" si="533"/>
        <v>30620.597324707043</v>
      </c>
      <c r="T720" s="49">
        <f t="shared" si="533"/>
        <v>15310.298662353522</v>
      </c>
      <c r="V720" s="53">
        <f t="shared" si="490"/>
        <v>107172.09063647465</v>
      </c>
      <c r="W720" s="53">
        <f t="shared" si="491"/>
        <v>76551.493311767612</v>
      </c>
      <c r="X720" s="53">
        <f t="shared" si="492"/>
        <v>45930.895987060569</v>
      </c>
      <c r="Y720" s="53">
        <f t="shared" si="493"/>
        <v>15310.298662353525</v>
      </c>
      <c r="Z720" s="53">
        <f t="shared" si="494"/>
        <v>3.637978807091713E-12</v>
      </c>
      <c r="AB720" s="53">
        <f t="shared" si="482"/>
        <v>31804.527409968177</v>
      </c>
      <c r="AC720" s="53">
        <f t="shared" si="483"/>
        <v>30843.362170244287</v>
      </c>
      <c r="AD720" s="53">
        <f t="shared" si="484"/>
        <v>29982.617179446774</v>
      </c>
      <c r="AE720" s="53">
        <f t="shared" si="485"/>
        <v>29121.87218864926</v>
      </c>
      <c r="AF720" s="53">
        <f t="shared" si="486"/>
        <v>14345.749846625251</v>
      </c>
    </row>
    <row r="721" spans="2:32">
      <c r="B721" s="43" t="str">
        <f t="shared" si="479"/>
        <v>Asset 185</v>
      </c>
      <c r="F721" s="43" t="str">
        <f t="shared" ref="F721:L721" si="547">F225</f>
        <v>08 Inrichting gebouwen</v>
      </c>
      <c r="G721" s="43">
        <f t="shared" si="547"/>
        <v>2016</v>
      </c>
      <c r="H721" s="48">
        <f t="shared" si="547"/>
        <v>23169.006741347624</v>
      </c>
      <c r="I721" s="43">
        <f t="shared" si="547"/>
        <v>2021</v>
      </c>
      <c r="J721" s="43">
        <f t="shared" si="547"/>
        <v>10</v>
      </c>
      <c r="K721" s="43">
        <f t="shared" si="547"/>
        <v>0</v>
      </c>
      <c r="L721" s="48">
        <f t="shared" si="547"/>
        <v>11174.991139387506</v>
      </c>
      <c r="N721" s="44">
        <f t="shared" si="481"/>
        <v>4.5</v>
      </c>
      <c r="P721" s="49">
        <f t="shared" si="533"/>
        <v>2483.3313643083347</v>
      </c>
      <c r="Q721" s="49">
        <f t="shared" si="533"/>
        <v>2483.3313643083347</v>
      </c>
      <c r="R721" s="49">
        <f t="shared" si="533"/>
        <v>2483.3313643083347</v>
      </c>
      <c r="S721" s="49">
        <f t="shared" si="533"/>
        <v>2483.3313643083347</v>
      </c>
      <c r="T721" s="49">
        <f t="shared" si="533"/>
        <v>1241.6656821541674</v>
      </c>
      <c r="V721" s="53">
        <f t="shared" si="490"/>
        <v>8691.6597750791716</v>
      </c>
      <c r="W721" s="53">
        <f t="shared" si="491"/>
        <v>6208.3284107708369</v>
      </c>
      <c r="X721" s="53">
        <f t="shared" si="492"/>
        <v>3724.9970464625021</v>
      </c>
      <c r="Y721" s="53">
        <f t="shared" si="493"/>
        <v>1241.6656821541674</v>
      </c>
      <c r="Z721" s="53">
        <f t="shared" si="494"/>
        <v>0</v>
      </c>
      <c r="AB721" s="53">
        <f t="shared" si="482"/>
        <v>2752.7728173357891</v>
      </c>
      <c r="AC721" s="53">
        <f t="shared" si="483"/>
        <v>2669.5812166314599</v>
      </c>
      <c r="AD721" s="53">
        <f t="shared" si="484"/>
        <v>2595.08127570221</v>
      </c>
      <c r="AE721" s="53">
        <f t="shared" si="485"/>
        <v>2520.58133477296</v>
      </c>
      <c r="AF721" s="53">
        <f t="shared" si="486"/>
        <v>1241.6656821541674</v>
      </c>
    </row>
    <row r="722" spans="2:32">
      <c r="B722" s="43" t="str">
        <f t="shared" si="479"/>
        <v>Asset 186</v>
      </c>
      <c r="F722" s="43" t="str">
        <f t="shared" ref="F722:L722" si="548">F226</f>
        <v>11 Werktuigen (KC)</v>
      </c>
      <c r="G722" s="43">
        <f t="shared" si="548"/>
        <v>2017</v>
      </c>
      <c r="H722" s="48">
        <f t="shared" si="548"/>
        <v>42505.139899436123</v>
      </c>
      <c r="I722" s="43">
        <f t="shared" si="548"/>
        <v>2021</v>
      </c>
      <c r="J722" s="43">
        <f t="shared" si="548"/>
        <v>10</v>
      </c>
      <c r="K722" s="43">
        <f t="shared" si="548"/>
        <v>0</v>
      </c>
      <c r="L722" s="48">
        <f t="shared" si="548"/>
        <v>25007.119857240814</v>
      </c>
      <c r="N722" s="44">
        <f t="shared" si="481"/>
        <v>5.5</v>
      </c>
      <c r="P722" s="49">
        <f t="shared" si="533"/>
        <v>4546.7490649528754</v>
      </c>
      <c r="Q722" s="49">
        <f t="shared" si="533"/>
        <v>4546.7490649528754</v>
      </c>
      <c r="R722" s="49">
        <f t="shared" si="533"/>
        <v>4546.7490649528754</v>
      </c>
      <c r="S722" s="49">
        <f t="shared" si="533"/>
        <v>4546.7490649528754</v>
      </c>
      <c r="T722" s="49">
        <f t="shared" si="533"/>
        <v>4546.7490649528754</v>
      </c>
      <c r="V722" s="53">
        <f t="shared" si="490"/>
        <v>20460.37079228794</v>
      </c>
      <c r="W722" s="53">
        <f t="shared" si="491"/>
        <v>15913.621727335065</v>
      </c>
      <c r="X722" s="53">
        <f t="shared" si="492"/>
        <v>11366.872662382189</v>
      </c>
      <c r="Y722" s="53">
        <f t="shared" si="493"/>
        <v>6820.123597429314</v>
      </c>
      <c r="Z722" s="53">
        <f t="shared" si="494"/>
        <v>2273.3745324764386</v>
      </c>
      <c r="AB722" s="53">
        <f t="shared" si="482"/>
        <v>5181.0205595138013</v>
      </c>
      <c r="AC722" s="53">
        <f t="shared" si="483"/>
        <v>5024.1577167729274</v>
      </c>
      <c r="AD722" s="53">
        <f t="shared" si="484"/>
        <v>4887.7552448243414</v>
      </c>
      <c r="AE722" s="53">
        <f t="shared" si="485"/>
        <v>4751.3527728757545</v>
      </c>
      <c r="AF722" s="53">
        <f t="shared" si="486"/>
        <v>4614.9503009271684</v>
      </c>
    </row>
    <row r="723" spans="2:32">
      <c r="B723" s="43" t="str">
        <f t="shared" si="479"/>
        <v>Asset 187</v>
      </c>
      <c r="F723" s="43" t="str">
        <f t="shared" ref="F723:L723" si="549">F227</f>
        <v>10 Gereedschap</v>
      </c>
      <c r="G723" s="43">
        <f t="shared" si="549"/>
        <v>2017</v>
      </c>
      <c r="H723" s="48">
        <f t="shared" si="549"/>
        <v>283180.78041617683</v>
      </c>
      <c r="I723" s="43">
        <f t="shared" si="549"/>
        <v>2021</v>
      </c>
      <c r="J723" s="43">
        <f t="shared" si="549"/>
        <v>10</v>
      </c>
      <c r="K723" s="43">
        <f t="shared" si="549"/>
        <v>1</v>
      </c>
      <c r="L723" s="48">
        <f t="shared" si="549"/>
        <v>166604.2208986652</v>
      </c>
      <c r="N723" s="44">
        <f t="shared" si="481"/>
        <v>5.5</v>
      </c>
      <c r="P723" s="49">
        <f t="shared" si="533"/>
        <v>30291.676527030038</v>
      </c>
      <c r="Q723" s="49">
        <f t="shared" si="533"/>
        <v>30291.676527030035</v>
      </c>
      <c r="R723" s="49">
        <f t="shared" si="533"/>
        <v>30291.676527030035</v>
      </c>
      <c r="S723" s="49">
        <f t="shared" si="533"/>
        <v>30291.676527030035</v>
      </c>
      <c r="T723" s="49">
        <f t="shared" si="533"/>
        <v>30291.676527030035</v>
      </c>
      <c r="V723" s="53">
        <f t="shared" si="490"/>
        <v>136312.54437163516</v>
      </c>
      <c r="W723" s="53">
        <f t="shared" si="491"/>
        <v>106020.86784460512</v>
      </c>
      <c r="X723" s="53">
        <f t="shared" si="492"/>
        <v>75729.191317575081</v>
      </c>
      <c r="Y723" s="53">
        <f t="shared" si="493"/>
        <v>45437.514790545043</v>
      </c>
      <c r="Z723" s="53">
        <f t="shared" si="494"/>
        <v>15145.838263515008</v>
      </c>
      <c r="AB723" s="53">
        <f t="shared" si="482"/>
        <v>32342.771382190032</v>
      </c>
      <c r="AC723" s="53">
        <f t="shared" si="483"/>
        <v>31363.547500938996</v>
      </c>
      <c r="AD723" s="53">
        <f t="shared" si="484"/>
        <v>30512.048473764178</v>
      </c>
      <c r="AE723" s="53">
        <f t="shared" si="485"/>
        <v>29660.549446589364</v>
      </c>
      <c r="AF723" s="53">
        <f t="shared" si="486"/>
        <v>28809.050419414554</v>
      </c>
    </row>
    <row r="724" spans="2:32">
      <c r="B724" s="43" t="str">
        <f t="shared" si="479"/>
        <v>Asset 188</v>
      </c>
      <c r="F724" s="43" t="str">
        <f t="shared" ref="F724:L724" si="550">F228</f>
        <v>10 Gereedschap</v>
      </c>
      <c r="G724" s="43">
        <f t="shared" si="550"/>
        <v>2016</v>
      </c>
      <c r="H724" s="48">
        <f t="shared" si="550"/>
        <v>59355.750635093973</v>
      </c>
      <c r="I724" s="43">
        <f t="shared" si="550"/>
        <v>2021</v>
      </c>
      <c r="J724" s="43">
        <f t="shared" si="550"/>
        <v>10</v>
      </c>
      <c r="K724" s="43">
        <f t="shared" si="550"/>
        <v>1</v>
      </c>
      <c r="L724" s="48">
        <f t="shared" si="550"/>
        <v>28628.76232994219</v>
      </c>
      <c r="N724" s="44">
        <f t="shared" si="481"/>
        <v>4.5</v>
      </c>
      <c r="P724" s="49">
        <f t="shared" si="533"/>
        <v>6361.9471844315976</v>
      </c>
      <c r="Q724" s="49">
        <f t="shared" si="533"/>
        <v>6361.9471844315976</v>
      </c>
      <c r="R724" s="49">
        <f t="shared" si="533"/>
        <v>6361.9471844315976</v>
      </c>
      <c r="S724" s="49">
        <f t="shared" si="533"/>
        <v>6361.9471844315976</v>
      </c>
      <c r="T724" s="49">
        <f t="shared" si="533"/>
        <v>3180.9735922157988</v>
      </c>
      <c r="V724" s="53">
        <f t="shared" si="490"/>
        <v>22266.815145510591</v>
      </c>
      <c r="W724" s="53">
        <f t="shared" si="491"/>
        <v>15904.867961078993</v>
      </c>
      <c r="X724" s="53">
        <f t="shared" si="492"/>
        <v>9542.9207766473955</v>
      </c>
      <c r="Y724" s="53">
        <f t="shared" si="493"/>
        <v>3180.9735922157979</v>
      </c>
      <c r="Z724" s="53">
        <f t="shared" si="494"/>
        <v>-9.0949470177292824E-13</v>
      </c>
      <c r="AB724" s="53">
        <f t="shared" si="482"/>
        <v>6607.9286913440537</v>
      </c>
      <c r="AC724" s="53">
        <f t="shared" si="483"/>
        <v>6408.2303501983379</v>
      </c>
      <c r="AD724" s="53">
        <f t="shared" si="484"/>
        <v>6229.3960148439655</v>
      </c>
      <c r="AE724" s="53">
        <f t="shared" si="485"/>
        <v>6050.5616794895932</v>
      </c>
      <c r="AF724" s="53">
        <f t="shared" si="486"/>
        <v>2980.5722559062037</v>
      </c>
    </row>
    <row r="725" spans="2:32">
      <c r="B725" s="43" t="str">
        <f t="shared" si="479"/>
        <v>Asset 189</v>
      </c>
      <c r="F725" s="43" t="str">
        <f t="shared" ref="F725:L725" si="551">F229</f>
        <v>20 Kantoorgebouwen</v>
      </c>
      <c r="G725" s="43">
        <f t="shared" si="551"/>
        <v>2017</v>
      </c>
      <c r="H725" s="48">
        <f t="shared" si="551"/>
        <v>1235103.6006231268</v>
      </c>
      <c r="I725" s="43">
        <f t="shared" si="551"/>
        <v>2021</v>
      </c>
      <c r="J725" s="43">
        <f t="shared" si="551"/>
        <v>30</v>
      </c>
      <c r="K725" s="43">
        <f t="shared" si="551"/>
        <v>0</v>
      </c>
      <c r="L725" s="48">
        <f t="shared" si="551"/>
        <v>1123005.4133120223</v>
      </c>
      <c r="N725" s="44">
        <f t="shared" si="481"/>
        <v>25.5</v>
      </c>
      <c r="P725" s="49">
        <f t="shared" si="533"/>
        <v>44039.427973020487</v>
      </c>
      <c r="Q725" s="49">
        <f t="shared" si="533"/>
        <v>44039.427973020487</v>
      </c>
      <c r="R725" s="49">
        <f t="shared" si="533"/>
        <v>44039.427973020487</v>
      </c>
      <c r="S725" s="49">
        <f t="shared" si="533"/>
        <v>44039.427973020487</v>
      </c>
      <c r="T725" s="49">
        <f t="shared" si="533"/>
        <v>44039.427973020487</v>
      </c>
      <c r="V725" s="53">
        <f t="shared" si="490"/>
        <v>1078965.9853390018</v>
      </c>
      <c r="W725" s="53">
        <f t="shared" si="491"/>
        <v>1034926.5573659813</v>
      </c>
      <c r="X725" s="53">
        <f t="shared" si="492"/>
        <v>990887.12939296081</v>
      </c>
      <c r="Y725" s="53">
        <f t="shared" si="493"/>
        <v>946847.70141994033</v>
      </c>
      <c r="Z725" s="53">
        <f t="shared" si="494"/>
        <v>902808.27344691986</v>
      </c>
      <c r="AB725" s="53">
        <f t="shared" si="482"/>
        <v>77487.373518529552</v>
      </c>
      <c r="AC725" s="53">
        <f t="shared" si="483"/>
        <v>75087.224693999917</v>
      </c>
      <c r="AD725" s="53">
        <f t="shared" si="484"/>
        <v>73766.041854809315</v>
      </c>
      <c r="AE725" s="53">
        <f t="shared" si="485"/>
        <v>72444.859015618698</v>
      </c>
      <c r="AF725" s="53">
        <f t="shared" si="486"/>
        <v>71123.676176428082</v>
      </c>
    </row>
    <row r="726" spans="2:32">
      <c r="B726" s="43" t="str">
        <f t="shared" si="479"/>
        <v>Asset 190</v>
      </c>
      <c r="F726" s="43" t="str">
        <f t="shared" ref="F726:L726" si="552">F230</f>
        <v>13 Aanhangwagens</v>
      </c>
      <c r="G726" s="43">
        <f t="shared" si="552"/>
        <v>2017</v>
      </c>
      <c r="H726" s="48">
        <f t="shared" si="552"/>
        <v>251242.94461834809</v>
      </c>
      <c r="I726" s="43">
        <f t="shared" si="552"/>
        <v>2021</v>
      </c>
      <c r="J726" s="43">
        <f t="shared" si="552"/>
        <v>10</v>
      </c>
      <c r="K726" s="43">
        <f t="shared" si="552"/>
        <v>1</v>
      </c>
      <c r="L726" s="48">
        <f t="shared" si="552"/>
        <v>147814.18069019204</v>
      </c>
      <c r="N726" s="44">
        <f t="shared" si="481"/>
        <v>5.5</v>
      </c>
      <c r="P726" s="49">
        <f t="shared" si="533"/>
        <v>26875.305580034918</v>
      </c>
      <c r="Q726" s="49">
        <f t="shared" si="533"/>
        <v>26875.305580034918</v>
      </c>
      <c r="R726" s="49">
        <f t="shared" si="533"/>
        <v>26875.305580034918</v>
      </c>
      <c r="S726" s="49">
        <f t="shared" si="533"/>
        <v>26875.305580034918</v>
      </c>
      <c r="T726" s="49">
        <f t="shared" si="533"/>
        <v>26875.305580034918</v>
      </c>
      <c r="V726" s="53">
        <f t="shared" si="490"/>
        <v>120938.87511015713</v>
      </c>
      <c r="W726" s="53">
        <f t="shared" si="491"/>
        <v>94063.569530122215</v>
      </c>
      <c r="X726" s="53">
        <f t="shared" si="492"/>
        <v>67188.263950087305</v>
      </c>
      <c r="Y726" s="53">
        <f t="shared" si="493"/>
        <v>40312.958370052387</v>
      </c>
      <c r="Z726" s="53">
        <f t="shared" si="494"/>
        <v>13437.65279001747</v>
      </c>
      <c r="AB726" s="53">
        <f t="shared" si="482"/>
        <v>28695.072833817452</v>
      </c>
      <c r="AC726" s="53">
        <f t="shared" si="483"/>
        <v>27826.288267984455</v>
      </c>
      <c r="AD726" s="53">
        <f t="shared" si="484"/>
        <v>27070.823428129672</v>
      </c>
      <c r="AE726" s="53">
        <f t="shared" si="485"/>
        <v>26315.358588274892</v>
      </c>
      <c r="AF726" s="53">
        <f t="shared" si="486"/>
        <v>25559.893748420109</v>
      </c>
    </row>
    <row r="727" spans="2:32">
      <c r="B727" s="43" t="str">
        <f t="shared" si="479"/>
        <v>Asset 191</v>
      </c>
      <c r="F727" s="43" t="str">
        <f t="shared" ref="F727:L727" si="553">F231</f>
        <v>12 Motorvoertuigen</v>
      </c>
      <c r="G727" s="43">
        <f t="shared" si="553"/>
        <v>2017</v>
      </c>
      <c r="H727" s="48">
        <f t="shared" si="553"/>
        <v>342149.84909853589</v>
      </c>
      <c r="I727" s="43">
        <f t="shared" si="553"/>
        <v>2021</v>
      </c>
      <c r="J727" s="43">
        <f t="shared" si="553"/>
        <v>10</v>
      </c>
      <c r="K727" s="43">
        <f t="shared" si="553"/>
        <v>1</v>
      </c>
      <c r="L727" s="48">
        <f t="shared" si="553"/>
        <v>201297.59143922853</v>
      </c>
      <c r="N727" s="44">
        <f t="shared" si="481"/>
        <v>5.5</v>
      </c>
      <c r="P727" s="49">
        <f t="shared" si="533"/>
        <v>36599.562079859737</v>
      </c>
      <c r="Q727" s="49">
        <f t="shared" si="533"/>
        <v>36599.56207985973</v>
      </c>
      <c r="R727" s="49">
        <f t="shared" si="533"/>
        <v>36599.56207985973</v>
      </c>
      <c r="S727" s="49">
        <f t="shared" si="533"/>
        <v>36599.56207985973</v>
      </c>
      <c r="T727" s="49">
        <f t="shared" si="533"/>
        <v>36599.56207985973</v>
      </c>
      <c r="V727" s="53">
        <f t="shared" si="490"/>
        <v>164698.02935936878</v>
      </c>
      <c r="W727" s="53">
        <f t="shared" si="491"/>
        <v>128098.46727950906</v>
      </c>
      <c r="X727" s="53">
        <f t="shared" si="492"/>
        <v>91498.905199649336</v>
      </c>
      <c r="Y727" s="53">
        <f t="shared" si="493"/>
        <v>54899.343119789606</v>
      </c>
      <c r="Z727" s="53">
        <f t="shared" si="494"/>
        <v>18299.781039929876</v>
      </c>
      <c r="AB727" s="53">
        <f t="shared" si="482"/>
        <v>39077.773327630166</v>
      </c>
      <c r="AC727" s="53">
        <f t="shared" si="483"/>
        <v>37894.63758405557</v>
      </c>
      <c r="AD727" s="53">
        <f t="shared" si="484"/>
        <v>36865.82389399071</v>
      </c>
      <c r="AE727" s="53">
        <f t="shared" si="485"/>
        <v>35837.010203925856</v>
      </c>
      <c r="AF727" s="53">
        <f t="shared" si="486"/>
        <v>34808.196513860996</v>
      </c>
    </row>
    <row r="728" spans="2:32">
      <c r="B728" s="43" t="str">
        <f t="shared" si="479"/>
        <v>Asset 192</v>
      </c>
      <c r="F728" s="43" t="str">
        <f t="shared" ref="F728:L728" si="554">F232</f>
        <v>10 Gereedschap (gaschromatografen en comptabele meters)</v>
      </c>
      <c r="G728" s="43">
        <f t="shared" si="554"/>
        <v>2017</v>
      </c>
      <c r="H728" s="48">
        <f t="shared" si="554"/>
        <v>492613.45921199484</v>
      </c>
      <c r="I728" s="43">
        <f t="shared" si="554"/>
        <v>2021</v>
      </c>
      <c r="J728" s="43">
        <f t="shared" si="554"/>
        <v>10</v>
      </c>
      <c r="K728" s="43">
        <f t="shared" si="554"/>
        <v>0</v>
      </c>
      <c r="L728" s="48">
        <f t="shared" si="554"/>
        <v>289820.09815635922</v>
      </c>
      <c r="N728" s="44">
        <f t="shared" si="481"/>
        <v>5.5</v>
      </c>
      <c r="P728" s="49">
        <f t="shared" si="533"/>
        <v>52694.563301156224</v>
      </c>
      <c r="Q728" s="49">
        <f t="shared" si="533"/>
        <v>52694.563301156224</v>
      </c>
      <c r="R728" s="49">
        <f t="shared" si="533"/>
        <v>52694.563301156224</v>
      </c>
      <c r="S728" s="49">
        <f t="shared" si="533"/>
        <v>52694.563301156224</v>
      </c>
      <c r="T728" s="49">
        <f t="shared" si="533"/>
        <v>52694.563301156224</v>
      </c>
      <c r="V728" s="53">
        <f t="shared" si="490"/>
        <v>237125.534855203</v>
      </c>
      <c r="W728" s="53">
        <f t="shared" si="491"/>
        <v>184430.97155404679</v>
      </c>
      <c r="X728" s="53">
        <f t="shared" si="492"/>
        <v>131736.40825289057</v>
      </c>
      <c r="Y728" s="53">
        <f t="shared" si="493"/>
        <v>79041.844951734354</v>
      </c>
      <c r="Z728" s="53">
        <f t="shared" si="494"/>
        <v>26347.28165057813</v>
      </c>
      <c r="AB728" s="53">
        <f t="shared" si="482"/>
        <v>60045.454881667516</v>
      </c>
      <c r="AC728" s="53">
        <f t="shared" si="483"/>
        <v>58227.492447777629</v>
      </c>
      <c r="AD728" s="53">
        <f t="shared" si="484"/>
        <v>56646.655548742943</v>
      </c>
      <c r="AE728" s="53">
        <f t="shared" si="485"/>
        <v>55065.818649708257</v>
      </c>
      <c r="AF728" s="53">
        <f t="shared" si="486"/>
        <v>53484.981750673571</v>
      </c>
    </row>
    <row r="729" spans="2:32">
      <c r="B729" s="43" t="str">
        <f t="shared" si="479"/>
        <v>Asset 193</v>
      </c>
      <c r="F729" s="43" t="str">
        <f t="shared" ref="F729:L729" si="555">F233</f>
        <v>11 Werktuigen</v>
      </c>
      <c r="G729" s="43">
        <f t="shared" si="555"/>
        <v>2017</v>
      </c>
      <c r="H729" s="48">
        <f t="shared" si="555"/>
        <v>2185364.6124668787</v>
      </c>
      <c r="I729" s="43">
        <f t="shared" si="555"/>
        <v>2021</v>
      </c>
      <c r="J729" s="43">
        <f t="shared" si="555"/>
        <v>10</v>
      </c>
      <c r="K729" s="43">
        <f t="shared" si="555"/>
        <v>1</v>
      </c>
      <c r="L729" s="48">
        <f t="shared" si="555"/>
        <v>1285719.20772473</v>
      </c>
      <c r="N729" s="44">
        <f t="shared" si="481"/>
        <v>5.5</v>
      </c>
      <c r="P729" s="49">
        <f t="shared" si="533"/>
        <v>233767.12867722363</v>
      </c>
      <c r="Q729" s="49">
        <f t="shared" si="533"/>
        <v>233767.12867722366</v>
      </c>
      <c r="R729" s="49">
        <f t="shared" si="533"/>
        <v>233767.12867722366</v>
      </c>
      <c r="S729" s="49">
        <f t="shared" si="533"/>
        <v>233767.12867722366</v>
      </c>
      <c r="T729" s="49">
        <f t="shared" si="533"/>
        <v>233767.12867722366</v>
      </c>
      <c r="V729" s="53">
        <f t="shared" si="490"/>
        <v>1051952.0790475064</v>
      </c>
      <c r="W729" s="53">
        <f t="shared" si="491"/>
        <v>818184.95037028275</v>
      </c>
      <c r="X729" s="53">
        <f t="shared" si="492"/>
        <v>584417.82169305906</v>
      </c>
      <c r="Y729" s="53">
        <f t="shared" si="493"/>
        <v>350650.69301583536</v>
      </c>
      <c r="Z729" s="53">
        <f t="shared" si="494"/>
        <v>116883.5643386117</v>
      </c>
      <c r="AB729" s="53">
        <f t="shared" si="482"/>
        <v>249595.8516106515</v>
      </c>
      <c r="AC729" s="53">
        <f t="shared" si="483"/>
        <v>242038.97852546722</v>
      </c>
      <c r="AD729" s="53">
        <f t="shared" si="484"/>
        <v>235467.78453835048</v>
      </c>
      <c r="AE729" s="53">
        <f t="shared" si="485"/>
        <v>228896.59055123373</v>
      </c>
      <c r="AF729" s="53">
        <f t="shared" si="486"/>
        <v>222325.39656411696</v>
      </c>
    </row>
    <row r="730" spans="2:32">
      <c r="B730" s="43" t="str">
        <f t="shared" ref="B730:B779" si="556">B234</f>
        <v>Asset 194</v>
      </c>
      <c r="F730" s="43" t="str">
        <f t="shared" ref="F730:L730" si="557">F234</f>
        <v>14 Overig rollend materieel</v>
      </c>
      <c r="G730" s="43">
        <f t="shared" si="557"/>
        <v>2017</v>
      </c>
      <c r="H730" s="48">
        <f t="shared" si="557"/>
        <v>68624.022512808762</v>
      </c>
      <c r="I730" s="43">
        <f t="shared" si="557"/>
        <v>2021</v>
      </c>
      <c r="J730" s="43">
        <f t="shared" si="557"/>
        <v>10</v>
      </c>
      <c r="K730" s="43">
        <f t="shared" si="557"/>
        <v>1</v>
      </c>
      <c r="L730" s="48">
        <f t="shared" si="557"/>
        <v>40373.685632465487</v>
      </c>
      <c r="N730" s="44">
        <f t="shared" ref="N730:N779" si="558">MAX(0,IF(G730&lt;=2021, J730-2021+G730-0.5,J730))</f>
        <v>5.5</v>
      </c>
      <c r="P730" s="49">
        <f t="shared" si="533"/>
        <v>7340.6701149937253</v>
      </c>
      <c r="Q730" s="49">
        <f t="shared" si="533"/>
        <v>7340.6701149937253</v>
      </c>
      <c r="R730" s="49">
        <f t="shared" si="533"/>
        <v>7340.6701149937253</v>
      </c>
      <c r="S730" s="49">
        <f t="shared" si="533"/>
        <v>7340.6701149937253</v>
      </c>
      <c r="T730" s="49">
        <f t="shared" si="533"/>
        <v>7340.6701149937253</v>
      </c>
      <c r="V730" s="53">
        <f t="shared" si="490"/>
        <v>33033.015517471766</v>
      </c>
      <c r="W730" s="53">
        <f t="shared" si="491"/>
        <v>25692.34540247804</v>
      </c>
      <c r="X730" s="53">
        <f t="shared" si="492"/>
        <v>18351.675287484315</v>
      </c>
      <c r="Y730" s="53">
        <f t="shared" si="493"/>
        <v>11011.00517249059</v>
      </c>
      <c r="Z730" s="53">
        <f t="shared" si="494"/>
        <v>3670.3350574968645</v>
      </c>
      <c r="AB730" s="53">
        <f t="shared" ref="AB730:AB779" si="559">(P730+V730*I$16)*IF($K730=1,$F$19,1)</f>
        <v>7837.7178994851229</v>
      </c>
      <c r="AC730" s="53">
        <f t="shared" ref="AC730:AC779" si="560">(Q730+W730*J$16)*IF($K730=1,$F$19,1)</f>
        <v>7600.4197270127788</v>
      </c>
      <c r="AD730" s="53">
        <f t="shared" ref="AD730:AD779" si="561">(R730+X730*K$16)*IF($K730=1,$F$19,1)</f>
        <v>7394.0734900803054</v>
      </c>
      <c r="AE730" s="53">
        <f t="shared" ref="AE730:AE779" si="562">(S730+Y730*L$16)*IF($K730=1,$F$19,1)</f>
        <v>7187.7272531478311</v>
      </c>
      <c r="AF730" s="53">
        <f t="shared" ref="AF730:AF779" si="563">(T730+Z730*M$16)*IF($K730=1,$F$19,1)</f>
        <v>6981.3810162153577</v>
      </c>
    </row>
    <row r="731" spans="2:32">
      <c r="B731" s="43" t="str">
        <f t="shared" si="556"/>
        <v>Asset 195</v>
      </c>
      <c r="F731" s="43" t="str">
        <f t="shared" ref="F731:L731" si="564">F235</f>
        <v>09 Bedrijfsinventaris</v>
      </c>
      <c r="G731" s="43">
        <f t="shared" si="564"/>
        <v>2017</v>
      </c>
      <c r="H731" s="48">
        <f t="shared" si="564"/>
        <v>75086.588886849713</v>
      </c>
      <c r="I731" s="43">
        <f t="shared" si="564"/>
        <v>2021</v>
      </c>
      <c r="J731" s="43">
        <f t="shared" si="564"/>
        <v>10</v>
      </c>
      <c r="K731" s="43">
        <f t="shared" si="564"/>
        <v>1</v>
      </c>
      <c r="L731" s="48">
        <f t="shared" si="564"/>
        <v>44175.81808711389</v>
      </c>
      <c r="N731" s="44">
        <f t="shared" si="558"/>
        <v>5.5</v>
      </c>
      <c r="P731" s="49">
        <f t="shared" si="533"/>
        <v>8031.9669249297986</v>
      </c>
      <c r="Q731" s="49">
        <f t="shared" si="533"/>
        <v>8031.9669249297976</v>
      </c>
      <c r="R731" s="49">
        <f t="shared" si="533"/>
        <v>8031.9669249297976</v>
      </c>
      <c r="S731" s="49">
        <f t="shared" si="533"/>
        <v>8031.9669249297976</v>
      </c>
      <c r="T731" s="49">
        <f t="shared" si="533"/>
        <v>8031.9669249297976</v>
      </c>
      <c r="V731" s="53">
        <f t="shared" si="490"/>
        <v>36143.851162184088</v>
      </c>
      <c r="W731" s="53">
        <f t="shared" si="491"/>
        <v>28111.884237254289</v>
      </c>
      <c r="X731" s="53">
        <f t="shared" si="492"/>
        <v>20079.917312324491</v>
      </c>
      <c r="Y731" s="53">
        <f t="shared" si="493"/>
        <v>12047.950387394692</v>
      </c>
      <c r="Z731" s="53">
        <f t="shared" si="494"/>
        <v>4015.9834624648947</v>
      </c>
      <c r="AB731" s="53">
        <f t="shared" si="559"/>
        <v>8575.8234533671839</v>
      </c>
      <c r="AC731" s="53">
        <f t="shared" si="560"/>
        <v>8316.1780745684391</v>
      </c>
      <c r="AD731" s="53">
        <f t="shared" si="561"/>
        <v>8090.3994843086621</v>
      </c>
      <c r="AE731" s="53">
        <f t="shared" si="562"/>
        <v>7864.6208940488859</v>
      </c>
      <c r="AF731" s="53">
        <f t="shared" si="563"/>
        <v>7638.8423037891089</v>
      </c>
    </row>
    <row r="732" spans="2:32">
      <c r="B732" s="43" t="str">
        <f t="shared" si="556"/>
        <v>Asset 196</v>
      </c>
      <c r="F732" s="43" t="str">
        <f t="shared" ref="F732:L732" si="565">F236</f>
        <v>08 Inrichting gebouwen</v>
      </c>
      <c r="G732" s="43">
        <f t="shared" si="565"/>
        <v>2017</v>
      </c>
      <c r="H732" s="48">
        <f t="shared" si="565"/>
        <v>894081.48176313401</v>
      </c>
      <c r="I732" s="43">
        <f t="shared" si="565"/>
        <v>2021</v>
      </c>
      <c r="J732" s="43">
        <f t="shared" si="565"/>
        <v>10</v>
      </c>
      <c r="K732" s="43">
        <f t="shared" si="565"/>
        <v>0</v>
      </c>
      <c r="L732" s="48">
        <f t="shared" si="565"/>
        <v>526016.44952794898</v>
      </c>
      <c r="N732" s="44">
        <f t="shared" si="558"/>
        <v>5.5</v>
      </c>
      <c r="P732" s="49">
        <f t="shared" si="533"/>
        <v>95639.354459627095</v>
      </c>
      <c r="Q732" s="49">
        <f t="shared" si="533"/>
        <v>95639.354459627095</v>
      </c>
      <c r="R732" s="49">
        <f t="shared" si="533"/>
        <v>95639.354459627095</v>
      </c>
      <c r="S732" s="49">
        <f t="shared" si="533"/>
        <v>95639.354459627095</v>
      </c>
      <c r="T732" s="49">
        <f t="shared" si="533"/>
        <v>95639.354459627095</v>
      </c>
      <c r="V732" s="53">
        <f t="shared" si="490"/>
        <v>430377.09506832191</v>
      </c>
      <c r="W732" s="53">
        <f t="shared" si="491"/>
        <v>334737.74060869485</v>
      </c>
      <c r="X732" s="53">
        <f t="shared" si="492"/>
        <v>239098.38614906775</v>
      </c>
      <c r="Y732" s="53">
        <f t="shared" si="493"/>
        <v>143459.03168944066</v>
      </c>
      <c r="Z732" s="53">
        <f t="shared" si="494"/>
        <v>47819.677229813562</v>
      </c>
      <c r="AB732" s="53">
        <f t="shared" si="559"/>
        <v>108981.04440674507</v>
      </c>
      <c r="AC732" s="53">
        <f t="shared" si="560"/>
        <v>105681.48667788794</v>
      </c>
      <c r="AD732" s="53">
        <f t="shared" si="561"/>
        <v>102812.30604409912</v>
      </c>
      <c r="AE732" s="53">
        <f t="shared" si="562"/>
        <v>99943.125410310313</v>
      </c>
      <c r="AF732" s="53">
        <f t="shared" si="563"/>
        <v>97073.944776521501</v>
      </c>
    </row>
    <row r="733" spans="2:32">
      <c r="B733" s="43" t="str">
        <f t="shared" si="556"/>
        <v>Asset 197</v>
      </c>
      <c r="F733" s="43" t="str">
        <f t="shared" ref="F733:L733" si="566">F237</f>
        <v>09 Bedrijfsinventaris</v>
      </c>
      <c r="G733" s="43">
        <f t="shared" si="566"/>
        <v>2018</v>
      </c>
      <c r="H733" s="48">
        <f t="shared" si="566"/>
        <v>490885.08786120504</v>
      </c>
      <c r="I733" s="43">
        <f t="shared" si="566"/>
        <v>2021</v>
      </c>
      <c r="J733" s="43">
        <f t="shared" si="566"/>
        <v>10</v>
      </c>
      <c r="K733" s="43">
        <f t="shared" si="566"/>
        <v>1</v>
      </c>
      <c r="L733" s="48">
        <f t="shared" si="566"/>
        <v>336600.51580018562</v>
      </c>
      <c r="N733" s="44">
        <f t="shared" si="558"/>
        <v>6.5</v>
      </c>
      <c r="P733" s="49">
        <f t="shared" si="533"/>
        <v>51784.6947384901</v>
      </c>
      <c r="Q733" s="49">
        <f t="shared" si="533"/>
        <v>51784.694738490092</v>
      </c>
      <c r="R733" s="49">
        <f t="shared" si="533"/>
        <v>51784.694738490092</v>
      </c>
      <c r="S733" s="49">
        <f t="shared" si="533"/>
        <v>51784.694738490092</v>
      </c>
      <c r="T733" s="49">
        <f t="shared" si="533"/>
        <v>51784.694738490092</v>
      </c>
      <c r="V733" s="53">
        <f t="shared" ref="V733:V740" si="567">IF(OR(V$535&lt;=$G733+$J733,$J733=0),IF(U733=0,$L733,U733)-P733,0)</f>
        <v>284815.82106169552</v>
      </c>
      <c r="W733" s="53">
        <f t="shared" ref="W733:W740" si="568">IF(OR(W$535&lt;=$G733+$J733,$J733=0),IF(V733=0,$L733,V733)-Q733,0)</f>
        <v>233031.12632320542</v>
      </c>
      <c r="X733" s="53">
        <f t="shared" ref="X733:X740" si="569">IF(OR(X$535&lt;=$G733+$J733,$J733=0),IF(W733=0,$L733,W733)-R733,0)</f>
        <v>181246.43158471532</v>
      </c>
      <c r="Y733" s="53">
        <f t="shared" ref="Y733:Y740" si="570">IF(OR(Y$535&lt;=$G733+$J733,$J733=0),IF(X733=0,$L733,X733)-S733,0)</f>
        <v>129461.73684622522</v>
      </c>
      <c r="Z733" s="53">
        <f t="shared" ref="Z733:Z740" si="571">IF(OR(Z$535&lt;=$G733+$J733,$J733=0),IF(Y733=0,$L733,Y733)-T733,0)</f>
        <v>77677.04210773512</v>
      </c>
      <c r="AB733" s="53">
        <f t="shared" si="559"/>
        <v>56795.304124344293</v>
      </c>
      <c r="AC733" s="53">
        <f t="shared" si="560"/>
        <v>55072.763930910522</v>
      </c>
      <c r="AD733" s="53">
        <f t="shared" si="561"/>
        <v>53617.096161811569</v>
      </c>
      <c r="AE733" s="53">
        <f t="shared" si="562"/>
        <v>52161.428392712616</v>
      </c>
      <c r="AF733" s="53">
        <f t="shared" si="563"/>
        <v>50705.760623613656</v>
      </c>
    </row>
    <row r="734" spans="2:32">
      <c r="B734" s="43" t="str">
        <f t="shared" si="556"/>
        <v>Asset 198</v>
      </c>
      <c r="F734" s="43" t="str">
        <f t="shared" ref="F734:L734" si="572">F238</f>
        <v>08 Inrichting gebouwen</v>
      </c>
      <c r="G734" s="43">
        <f t="shared" si="572"/>
        <v>2018</v>
      </c>
      <c r="H734" s="48">
        <f t="shared" si="572"/>
        <v>533703.76265516167</v>
      </c>
      <c r="I734" s="43">
        <f t="shared" si="572"/>
        <v>2021</v>
      </c>
      <c r="J734" s="43">
        <f t="shared" si="572"/>
        <v>10</v>
      </c>
      <c r="K734" s="43">
        <f t="shared" si="572"/>
        <v>0</v>
      </c>
      <c r="L734" s="48">
        <f t="shared" si="572"/>
        <v>365961.33440708811</v>
      </c>
      <c r="N734" s="44">
        <f t="shared" si="558"/>
        <v>6.5</v>
      </c>
      <c r="P734" s="49">
        <f t="shared" si="533"/>
        <v>56301.743754936637</v>
      </c>
      <c r="Q734" s="49">
        <f t="shared" si="533"/>
        <v>56301.743754936637</v>
      </c>
      <c r="R734" s="49">
        <f t="shared" si="533"/>
        <v>56301.743754936637</v>
      </c>
      <c r="S734" s="49">
        <f t="shared" si="533"/>
        <v>56301.743754936637</v>
      </c>
      <c r="T734" s="49">
        <f t="shared" si="533"/>
        <v>56301.743754936637</v>
      </c>
      <c r="V734" s="53">
        <f t="shared" si="567"/>
        <v>309659.5906521515</v>
      </c>
      <c r="W734" s="53">
        <f t="shared" si="568"/>
        <v>253357.84689721485</v>
      </c>
      <c r="X734" s="53">
        <f t="shared" si="569"/>
        <v>197056.10314227821</v>
      </c>
      <c r="Y734" s="53">
        <f t="shared" si="570"/>
        <v>140754.35938734157</v>
      </c>
      <c r="Z734" s="53">
        <f t="shared" si="571"/>
        <v>84452.615632404923</v>
      </c>
      <c r="AB734" s="53">
        <f t="shared" si="559"/>
        <v>65901.19106515334</v>
      </c>
      <c r="AC734" s="53">
        <f t="shared" si="560"/>
        <v>63902.47916185308</v>
      </c>
      <c r="AD734" s="53">
        <f t="shared" si="561"/>
        <v>62213.426849204981</v>
      </c>
      <c r="AE734" s="53">
        <f t="shared" si="562"/>
        <v>60524.374536556883</v>
      </c>
      <c r="AF734" s="53">
        <f t="shared" si="563"/>
        <v>58835.322223908785</v>
      </c>
    </row>
    <row r="735" spans="2:32">
      <c r="B735" s="43" t="str">
        <f t="shared" si="556"/>
        <v>Asset 199</v>
      </c>
      <c r="F735" s="43" t="str">
        <f t="shared" ref="F735:L735" si="573">F239</f>
        <v>11 Werktuigen</v>
      </c>
      <c r="G735" s="43">
        <f t="shared" si="573"/>
        <v>2018</v>
      </c>
      <c r="H735" s="48">
        <f t="shared" si="573"/>
        <v>2619455.826851733</v>
      </c>
      <c r="I735" s="43">
        <f t="shared" si="573"/>
        <v>2021</v>
      </c>
      <c r="J735" s="43">
        <f t="shared" si="573"/>
        <v>10</v>
      </c>
      <c r="K735" s="43">
        <f t="shared" si="573"/>
        <v>1</v>
      </c>
      <c r="L735" s="48">
        <f t="shared" si="573"/>
        <v>1796164.1211708463</v>
      </c>
      <c r="N735" s="44">
        <f t="shared" si="558"/>
        <v>6.5</v>
      </c>
      <c r="P735" s="49">
        <f t="shared" si="533"/>
        <v>276332.94171859173</v>
      </c>
      <c r="Q735" s="49">
        <f t="shared" si="533"/>
        <v>276332.94171859173</v>
      </c>
      <c r="R735" s="49">
        <f t="shared" si="533"/>
        <v>276332.94171859173</v>
      </c>
      <c r="S735" s="49">
        <f t="shared" si="533"/>
        <v>276332.94171859173</v>
      </c>
      <c r="T735" s="49">
        <f t="shared" si="533"/>
        <v>276332.94171859173</v>
      </c>
      <c r="V735" s="53">
        <f t="shared" si="567"/>
        <v>1519831.1794522544</v>
      </c>
      <c r="W735" s="53">
        <f t="shared" si="568"/>
        <v>1243498.2377336626</v>
      </c>
      <c r="X735" s="53">
        <f t="shared" si="569"/>
        <v>967165.29601507087</v>
      </c>
      <c r="Y735" s="53">
        <f t="shared" si="570"/>
        <v>690832.35429647914</v>
      </c>
      <c r="Z735" s="53">
        <f t="shared" si="571"/>
        <v>414499.41257788741</v>
      </c>
      <c r="AB735" s="53">
        <f t="shared" si="559"/>
        <v>303070.50265987008</v>
      </c>
      <c r="AC735" s="53">
        <f t="shared" si="560"/>
        <v>293878.70185301371</v>
      </c>
      <c r="AD735" s="53">
        <f t="shared" si="561"/>
        <v>286110.98286130413</v>
      </c>
      <c r="AE735" s="53">
        <f t="shared" si="562"/>
        <v>278343.26386959449</v>
      </c>
      <c r="AF735" s="53">
        <f t="shared" si="563"/>
        <v>270575.54487788485</v>
      </c>
    </row>
    <row r="736" spans="2:32">
      <c r="B736" s="43" t="str">
        <f t="shared" si="556"/>
        <v>Asset 200</v>
      </c>
      <c r="F736" s="43" t="str">
        <f t="shared" ref="F736:L736" si="574">F240</f>
        <v>10 Gereedschap</v>
      </c>
      <c r="G736" s="43">
        <f t="shared" si="574"/>
        <v>2018</v>
      </c>
      <c r="H736" s="48">
        <f t="shared" si="574"/>
        <v>252164.79428194632</v>
      </c>
      <c r="I736" s="43">
        <f t="shared" si="574"/>
        <v>2021</v>
      </c>
      <c r="J736" s="43">
        <f t="shared" si="574"/>
        <v>10</v>
      </c>
      <c r="K736" s="43">
        <f t="shared" si="574"/>
        <v>1</v>
      </c>
      <c r="L736" s="48">
        <f t="shared" si="574"/>
        <v>172909.7133338665</v>
      </c>
      <c r="N736" s="44">
        <f t="shared" si="558"/>
        <v>6.5</v>
      </c>
      <c r="P736" s="49">
        <f t="shared" si="533"/>
        <v>26601.494359056385</v>
      </c>
      <c r="Q736" s="49">
        <f t="shared" si="533"/>
        <v>26601.494359056385</v>
      </c>
      <c r="R736" s="49">
        <f t="shared" si="533"/>
        <v>26601.494359056385</v>
      </c>
      <c r="S736" s="49">
        <f t="shared" si="533"/>
        <v>26601.494359056385</v>
      </c>
      <c r="T736" s="49">
        <f t="shared" si="533"/>
        <v>26601.494359056385</v>
      </c>
      <c r="V736" s="53">
        <f t="shared" si="567"/>
        <v>146308.21897481012</v>
      </c>
      <c r="W736" s="53">
        <f t="shared" si="568"/>
        <v>119706.72461575374</v>
      </c>
      <c r="X736" s="53">
        <f t="shared" si="569"/>
        <v>93105.230256697367</v>
      </c>
      <c r="Y736" s="53">
        <f t="shared" si="570"/>
        <v>66503.735897640989</v>
      </c>
      <c r="Z736" s="53">
        <f t="shared" si="571"/>
        <v>39902.241538584603</v>
      </c>
      <c r="AB736" s="53">
        <f t="shared" si="559"/>
        <v>29175.415050997144</v>
      </c>
      <c r="AC736" s="53">
        <f t="shared" si="560"/>
        <v>28290.556243384672</v>
      </c>
      <c r="AD736" s="53">
        <f t="shared" si="561"/>
        <v>27542.788236951597</v>
      </c>
      <c r="AE736" s="53">
        <f t="shared" si="562"/>
        <v>26795.020230518523</v>
      </c>
      <c r="AF736" s="53">
        <f t="shared" si="563"/>
        <v>26047.252224085449</v>
      </c>
    </row>
    <row r="737" spans="2:32">
      <c r="B737" s="43" t="str">
        <f t="shared" si="556"/>
        <v>Asset 201</v>
      </c>
      <c r="F737" s="43" t="str">
        <f t="shared" ref="F737:L737" si="575">F241</f>
        <v>11 Werktuigen (KC)</v>
      </c>
      <c r="G737" s="43">
        <f t="shared" si="575"/>
        <v>2018</v>
      </c>
      <c r="H737" s="48">
        <f t="shared" si="575"/>
        <v>13021546.318391869</v>
      </c>
      <c r="I737" s="43">
        <f t="shared" si="575"/>
        <v>2021</v>
      </c>
      <c r="J737" s="43">
        <f t="shared" si="575"/>
        <v>10</v>
      </c>
      <c r="K737" s="43">
        <f t="shared" si="575"/>
        <v>0</v>
      </c>
      <c r="L737" s="48">
        <f t="shared" si="575"/>
        <v>8928890.519742161</v>
      </c>
      <c r="N737" s="44">
        <f t="shared" si="558"/>
        <v>6.5</v>
      </c>
      <c r="P737" s="49">
        <f t="shared" si="533"/>
        <v>1373675.4645757172</v>
      </c>
      <c r="Q737" s="49">
        <f t="shared" si="533"/>
        <v>1373675.464575717</v>
      </c>
      <c r="R737" s="49">
        <f t="shared" si="533"/>
        <v>1373675.464575717</v>
      </c>
      <c r="S737" s="49">
        <f t="shared" si="533"/>
        <v>1373675.464575717</v>
      </c>
      <c r="T737" s="49">
        <f t="shared" si="533"/>
        <v>1373675.464575717</v>
      </c>
      <c r="V737" s="53">
        <f t="shared" si="567"/>
        <v>7555215.0551664438</v>
      </c>
      <c r="W737" s="53">
        <f t="shared" si="568"/>
        <v>6181539.5905907266</v>
      </c>
      <c r="X737" s="53">
        <f t="shared" si="569"/>
        <v>4807864.1260150094</v>
      </c>
      <c r="Y737" s="53">
        <f t="shared" si="570"/>
        <v>3434188.6614392921</v>
      </c>
      <c r="Z737" s="53">
        <f t="shared" si="571"/>
        <v>2060513.1968635751</v>
      </c>
      <c r="AB737" s="53">
        <f t="shared" si="559"/>
        <v>1607887.131285877</v>
      </c>
      <c r="AC737" s="53">
        <f t="shared" si="560"/>
        <v>1559121.6522934388</v>
      </c>
      <c r="AD737" s="53">
        <f t="shared" si="561"/>
        <v>1517911.3883561674</v>
      </c>
      <c r="AE737" s="53">
        <f t="shared" si="562"/>
        <v>1476701.1244188957</v>
      </c>
      <c r="AF737" s="53">
        <f t="shared" si="563"/>
        <v>1435490.8604816243</v>
      </c>
    </row>
    <row r="738" spans="2:32">
      <c r="B738" s="43" t="str">
        <f t="shared" si="556"/>
        <v>Asset 202</v>
      </c>
      <c r="F738" s="43" t="str">
        <f t="shared" ref="F738:L738" si="576">F242</f>
        <v>20 Kantoorgebouwen</v>
      </c>
      <c r="G738" s="43">
        <f t="shared" si="576"/>
        <v>2018</v>
      </c>
      <c r="H738" s="48">
        <f t="shared" si="576"/>
        <v>5158473.573657441</v>
      </c>
      <c r="I738" s="43">
        <f t="shared" si="576"/>
        <v>2021</v>
      </c>
      <c r="J738" s="43">
        <f t="shared" si="576"/>
        <v>30</v>
      </c>
      <c r="K738" s="43">
        <f t="shared" si="576"/>
        <v>0</v>
      </c>
      <c r="L738" s="48">
        <f t="shared" si="576"/>
        <v>4806925.7125234623</v>
      </c>
      <c r="N738" s="44">
        <f t="shared" si="558"/>
        <v>26.5</v>
      </c>
      <c r="P738" s="49">
        <f t="shared" si="533"/>
        <v>181393.4231140929</v>
      </c>
      <c r="Q738" s="49">
        <f t="shared" si="533"/>
        <v>181393.4231140929</v>
      </c>
      <c r="R738" s="49">
        <f t="shared" si="533"/>
        <v>181393.4231140929</v>
      </c>
      <c r="S738" s="49">
        <f t="shared" si="533"/>
        <v>181393.4231140929</v>
      </c>
      <c r="T738" s="49">
        <f t="shared" si="533"/>
        <v>181393.4231140929</v>
      </c>
      <c r="V738" s="53">
        <f t="shared" si="567"/>
        <v>4625532.2894093692</v>
      </c>
      <c r="W738" s="53">
        <f t="shared" si="568"/>
        <v>4444138.8662952762</v>
      </c>
      <c r="X738" s="53">
        <f t="shared" si="569"/>
        <v>4262745.4431811832</v>
      </c>
      <c r="Y738" s="53">
        <f t="shared" si="570"/>
        <v>4081352.0200670902</v>
      </c>
      <c r="Z738" s="53">
        <f t="shared" si="571"/>
        <v>3899958.5969529971</v>
      </c>
      <c r="AB738" s="53">
        <f t="shared" si="559"/>
        <v>324784.92408578331</v>
      </c>
      <c r="AC738" s="53">
        <f t="shared" si="560"/>
        <v>314717.58910295123</v>
      </c>
      <c r="AD738" s="53">
        <f t="shared" si="561"/>
        <v>309275.7864095284</v>
      </c>
      <c r="AE738" s="53">
        <f t="shared" si="562"/>
        <v>303833.98371610558</v>
      </c>
      <c r="AF738" s="53">
        <f t="shared" si="563"/>
        <v>298392.18102268281</v>
      </c>
    </row>
    <row r="739" spans="2:32">
      <c r="B739" s="43" t="str">
        <f t="shared" si="556"/>
        <v>Asset 203</v>
      </c>
      <c r="F739" s="43" t="str">
        <f t="shared" ref="F739:L739" si="577">F243</f>
        <v>39 ICT middelen 3 (KC)</v>
      </c>
      <c r="G739" s="43">
        <f t="shared" si="577"/>
        <v>2018</v>
      </c>
      <c r="H739" s="48">
        <f t="shared" si="577"/>
        <v>21147142.000000007</v>
      </c>
      <c r="I739" s="43">
        <f t="shared" si="577"/>
        <v>2021</v>
      </c>
      <c r="J739" s="43">
        <f t="shared" si="577"/>
        <v>15</v>
      </c>
      <c r="K739" s="43">
        <f t="shared" si="577"/>
        <v>0</v>
      </c>
      <c r="L739" s="48">
        <f t="shared" si="577"/>
        <v>17103297.263965867</v>
      </c>
      <c r="N739" s="44">
        <f t="shared" si="558"/>
        <v>11.5</v>
      </c>
      <c r="P739" s="49">
        <f t="shared" si="533"/>
        <v>1487243.240344858</v>
      </c>
      <c r="Q739" s="49">
        <f t="shared" si="533"/>
        <v>1487243.240344858</v>
      </c>
      <c r="R739" s="49">
        <f t="shared" si="533"/>
        <v>1487243.240344858</v>
      </c>
      <c r="S739" s="49">
        <f t="shared" si="533"/>
        <v>1487243.240344858</v>
      </c>
      <c r="T739" s="49">
        <f t="shared" si="533"/>
        <v>1487243.240344858</v>
      </c>
      <c r="V739" s="53">
        <f t="shared" si="567"/>
        <v>15616054.02362101</v>
      </c>
      <c r="W739" s="53">
        <f t="shared" si="568"/>
        <v>14128810.783276152</v>
      </c>
      <c r="X739" s="53">
        <f t="shared" si="569"/>
        <v>12641567.542931294</v>
      </c>
      <c r="Y739" s="53">
        <f t="shared" si="570"/>
        <v>11154324.302586436</v>
      </c>
      <c r="Z739" s="53">
        <f t="shared" si="571"/>
        <v>9667081.0622415785</v>
      </c>
      <c r="AB739" s="53">
        <f t="shared" si="559"/>
        <v>1971340.9150771094</v>
      </c>
      <c r="AC739" s="53">
        <f t="shared" si="560"/>
        <v>1911107.5638431427</v>
      </c>
      <c r="AD739" s="53">
        <f t="shared" si="561"/>
        <v>1866490.2666327967</v>
      </c>
      <c r="AE739" s="53">
        <f t="shared" si="562"/>
        <v>1821872.9694224512</v>
      </c>
      <c r="AF739" s="53">
        <f t="shared" si="563"/>
        <v>1777255.6722121052</v>
      </c>
    </row>
    <row r="740" spans="2:32">
      <c r="B740" s="43" t="str">
        <f t="shared" si="556"/>
        <v>Asset 204</v>
      </c>
      <c r="F740" s="43" t="str">
        <f t="shared" ref="F740:L740" si="578">F244</f>
        <v>37 ICT middelen 1 (KC)</v>
      </c>
      <c r="G740" s="43">
        <f t="shared" si="578"/>
        <v>2018</v>
      </c>
      <c r="H740" s="48">
        <f t="shared" si="578"/>
        <v>1669649.9999999995</v>
      </c>
      <c r="I740" s="43">
        <f t="shared" si="578"/>
        <v>2021</v>
      </c>
      <c r="J740" s="43">
        <f t="shared" si="578"/>
        <v>5</v>
      </c>
      <c r="K740" s="43">
        <f t="shared" si="578"/>
        <v>0</v>
      </c>
      <c r="L740" s="48">
        <f t="shared" si="578"/>
        <v>528406.65386783984</v>
      </c>
      <c r="N740" s="44">
        <f t="shared" si="558"/>
        <v>1.5</v>
      </c>
      <c r="P740" s="49">
        <f t="shared" si="533"/>
        <v>352271.10257855989</v>
      </c>
      <c r="Q740" s="49">
        <f t="shared" si="533"/>
        <v>176135.55128927995</v>
      </c>
      <c r="R740" s="49">
        <f t="shared" si="533"/>
        <v>0</v>
      </c>
      <c r="S740" s="49">
        <f t="shared" si="533"/>
        <v>0</v>
      </c>
      <c r="T740" s="49">
        <f t="shared" si="533"/>
        <v>0</v>
      </c>
      <c r="V740" s="53">
        <f t="shared" si="567"/>
        <v>176135.55128927995</v>
      </c>
      <c r="W740" s="53">
        <f t="shared" si="568"/>
        <v>0</v>
      </c>
      <c r="X740" s="53">
        <f t="shared" si="569"/>
        <v>0</v>
      </c>
      <c r="Y740" s="53">
        <f t="shared" si="570"/>
        <v>0</v>
      </c>
      <c r="Z740" s="53">
        <f t="shared" si="571"/>
        <v>0</v>
      </c>
      <c r="AB740" s="53">
        <f t="shared" si="559"/>
        <v>357731.30466852756</v>
      </c>
      <c r="AC740" s="53">
        <f t="shared" si="560"/>
        <v>176135.55128927995</v>
      </c>
      <c r="AD740" s="53">
        <f t="shared" si="561"/>
        <v>0</v>
      </c>
      <c r="AE740" s="53">
        <f t="shared" si="562"/>
        <v>0</v>
      </c>
      <c r="AF740" s="53">
        <f t="shared" si="563"/>
        <v>0</v>
      </c>
    </row>
    <row r="741" spans="2:32">
      <c r="B741" s="43" t="str">
        <f t="shared" si="556"/>
        <v>Asset 205</v>
      </c>
      <c r="F741" s="43" t="str">
        <f t="shared" ref="F741:L741" si="579">F245</f>
        <v>05 Wegen en terreinvoorzieningen</v>
      </c>
      <c r="G741" s="43">
        <f t="shared" si="579"/>
        <v>2017</v>
      </c>
      <c r="H741" s="48">
        <f t="shared" si="579"/>
        <v>41129.587663444909</v>
      </c>
      <c r="I741" s="43">
        <f t="shared" si="579"/>
        <v>2021</v>
      </c>
      <c r="J741" s="43">
        <f t="shared" si="579"/>
        <v>10</v>
      </c>
      <c r="K741" s="43">
        <f t="shared" si="579"/>
        <v>0</v>
      </c>
      <c r="L741" s="48">
        <f t="shared" si="579"/>
        <v>24197.83891576614</v>
      </c>
      <c r="N741" s="44">
        <f t="shared" si="558"/>
        <v>5.5</v>
      </c>
      <c r="P741" s="49">
        <f t="shared" ref="P741:T779" si="580">IF(P$535&lt;=$G741+$J741,VDB($L741,0,$N741,P$535-2022,MIN(P$535-2021,$N741),1),0)</f>
        <v>4399.6070755938435</v>
      </c>
      <c r="Q741" s="49">
        <f t="shared" si="580"/>
        <v>4399.6070755938435</v>
      </c>
      <c r="R741" s="49">
        <f t="shared" si="580"/>
        <v>4399.6070755938435</v>
      </c>
      <c r="S741" s="49">
        <f t="shared" si="580"/>
        <v>4399.6070755938435</v>
      </c>
      <c r="T741" s="49">
        <f t="shared" si="580"/>
        <v>4399.6070755938435</v>
      </c>
      <c r="V741" s="53">
        <f t="shared" ref="V741:V779" si="581">IF(OR(V$535&lt;=$G741+$J741,$J741=0),IF(U741=0,$L741,U741)-P741,0)</f>
        <v>19798.231840172295</v>
      </c>
      <c r="W741" s="53">
        <f t="shared" ref="W741:W779" si="582">IF(OR(W$535&lt;=$G741+$J741,$J741=0),IF(V741=0,$L741,V741)-Q741,0)</f>
        <v>15398.624764578452</v>
      </c>
      <c r="X741" s="53">
        <f t="shared" ref="X741:X779" si="583">IF(OR(X$535&lt;=$G741+$J741,$J741=0),IF(W741=0,$L741,W741)-R741,0)</f>
        <v>10999.017688984608</v>
      </c>
      <c r="Y741" s="53">
        <f t="shared" ref="Y741:Y779" si="584">IF(OR(Y$535&lt;=$G741+$J741,$J741=0),IF(X741=0,$L741,X741)-S741,0)</f>
        <v>6599.4106133907644</v>
      </c>
      <c r="Z741" s="53">
        <f t="shared" ref="Z741:Z779" si="585">IF(OR(Z$535&lt;=$G741+$J741,$J741=0),IF(Y741=0,$L741,Y741)-T741,0)</f>
        <v>2199.8035377969209</v>
      </c>
      <c r="AB741" s="53">
        <f t="shared" si="559"/>
        <v>5013.352262639185</v>
      </c>
      <c r="AC741" s="53">
        <f t="shared" si="560"/>
        <v>4861.5658185311968</v>
      </c>
      <c r="AD741" s="53">
        <f t="shared" si="561"/>
        <v>4729.5776062633813</v>
      </c>
      <c r="AE741" s="53">
        <f t="shared" si="562"/>
        <v>4597.5893939955668</v>
      </c>
      <c r="AF741" s="53">
        <f t="shared" si="563"/>
        <v>4465.6011817277513</v>
      </c>
    </row>
    <row r="742" spans="2:32">
      <c r="B742" s="43" t="str">
        <f t="shared" si="556"/>
        <v>Asset 206</v>
      </c>
      <c r="F742" s="43" t="str">
        <f t="shared" ref="F742:L742" si="586">F246</f>
        <v>06 Utiliteitsgebouwen</v>
      </c>
      <c r="G742" s="43">
        <f t="shared" si="586"/>
        <v>2018</v>
      </c>
      <c r="H742" s="48">
        <f t="shared" si="586"/>
        <v>1769813.2968497979</v>
      </c>
      <c r="I742" s="43">
        <f t="shared" si="586"/>
        <v>2021</v>
      </c>
      <c r="J742" s="43">
        <f t="shared" si="586"/>
        <v>30</v>
      </c>
      <c r="K742" s="43">
        <f t="shared" si="586"/>
        <v>0</v>
      </c>
      <c r="L742" s="48">
        <f t="shared" si="586"/>
        <v>1649201.2455850111</v>
      </c>
      <c r="N742" s="44">
        <f t="shared" si="558"/>
        <v>26.5</v>
      </c>
      <c r="P742" s="49">
        <f t="shared" si="580"/>
        <v>62234.00926735891</v>
      </c>
      <c r="Q742" s="49">
        <f t="shared" si="580"/>
        <v>62234.00926735891</v>
      </c>
      <c r="R742" s="49">
        <f t="shared" si="580"/>
        <v>62234.00926735891</v>
      </c>
      <c r="S742" s="49">
        <f t="shared" si="580"/>
        <v>62234.00926735891</v>
      </c>
      <c r="T742" s="49">
        <f t="shared" si="580"/>
        <v>62234.00926735891</v>
      </c>
      <c r="V742" s="53">
        <f t="shared" si="581"/>
        <v>1586967.2363176523</v>
      </c>
      <c r="W742" s="53">
        <f t="shared" si="582"/>
        <v>1524733.2270502935</v>
      </c>
      <c r="X742" s="53">
        <f t="shared" si="583"/>
        <v>1462499.2177829347</v>
      </c>
      <c r="Y742" s="53">
        <f t="shared" si="584"/>
        <v>1400265.2085155759</v>
      </c>
      <c r="Z742" s="53">
        <f t="shared" si="585"/>
        <v>1338031.199248217</v>
      </c>
      <c r="AB742" s="53">
        <f t="shared" si="559"/>
        <v>111429.99359320613</v>
      </c>
      <c r="AC742" s="53">
        <f t="shared" si="560"/>
        <v>107976.00607886771</v>
      </c>
      <c r="AD742" s="53">
        <f t="shared" si="561"/>
        <v>106108.98580084695</v>
      </c>
      <c r="AE742" s="53">
        <f t="shared" si="562"/>
        <v>104241.96552282618</v>
      </c>
      <c r="AF742" s="53">
        <f t="shared" si="563"/>
        <v>102374.94524480542</v>
      </c>
    </row>
    <row r="743" spans="2:32">
      <c r="B743" s="43" t="str">
        <f t="shared" si="556"/>
        <v>Asset 207</v>
      </c>
      <c r="F743" s="43" t="str">
        <f t="shared" ref="F743:L743" si="587">F247</f>
        <v>14 Overig rollend materieel</v>
      </c>
      <c r="G743" s="43">
        <f t="shared" si="587"/>
        <v>2018</v>
      </c>
      <c r="H743" s="48">
        <f t="shared" si="587"/>
        <v>20291.448993786991</v>
      </c>
      <c r="I743" s="43">
        <f t="shared" si="587"/>
        <v>2021</v>
      </c>
      <c r="J743" s="43">
        <f t="shared" si="587"/>
        <v>10</v>
      </c>
      <c r="K743" s="43">
        <f t="shared" si="587"/>
        <v>1</v>
      </c>
      <c r="L743" s="48">
        <f t="shared" si="587"/>
        <v>13913.871833835448</v>
      </c>
      <c r="N743" s="44">
        <f t="shared" si="558"/>
        <v>6.5</v>
      </c>
      <c r="P743" s="49">
        <f t="shared" si="580"/>
        <v>2140.5956667439154</v>
      </c>
      <c r="Q743" s="49">
        <f t="shared" si="580"/>
        <v>2140.595666743915</v>
      </c>
      <c r="R743" s="49">
        <f t="shared" si="580"/>
        <v>2140.595666743915</v>
      </c>
      <c r="S743" s="49">
        <f t="shared" si="580"/>
        <v>2140.595666743915</v>
      </c>
      <c r="T743" s="49">
        <f t="shared" si="580"/>
        <v>2140.595666743915</v>
      </c>
      <c r="V743" s="53">
        <f t="shared" si="581"/>
        <v>11773.276167091533</v>
      </c>
      <c r="W743" s="53">
        <f t="shared" si="582"/>
        <v>9632.6805003476184</v>
      </c>
      <c r="X743" s="53">
        <f t="shared" si="583"/>
        <v>7492.0848336037034</v>
      </c>
      <c r="Y743" s="53">
        <f t="shared" si="584"/>
        <v>5351.4891668597884</v>
      </c>
      <c r="Z743" s="53">
        <f t="shared" si="585"/>
        <v>3210.8935001158734</v>
      </c>
      <c r="AB743" s="53">
        <f t="shared" si="559"/>
        <v>2347.7164925645566</v>
      </c>
      <c r="AC743" s="53">
        <f t="shared" si="560"/>
        <v>2276.5127886038204</v>
      </c>
      <c r="AD743" s="53">
        <f t="shared" si="561"/>
        <v>2216.3406444116486</v>
      </c>
      <c r="AE743" s="53">
        <f t="shared" si="562"/>
        <v>2156.1685002194772</v>
      </c>
      <c r="AF743" s="53">
        <f t="shared" si="563"/>
        <v>2095.9963560273059</v>
      </c>
    </row>
    <row r="744" spans="2:32">
      <c r="B744" s="43" t="str">
        <f t="shared" si="556"/>
        <v>Asset 208</v>
      </c>
      <c r="F744" s="43" t="str">
        <f t="shared" ref="F744:L744" si="588">F248</f>
        <v>10 Gereedschap (odorisatie)</v>
      </c>
      <c r="G744" s="43">
        <f t="shared" si="588"/>
        <v>2018</v>
      </c>
      <c r="H744" s="48">
        <f t="shared" si="588"/>
        <v>59796.38767845487</v>
      </c>
      <c r="I744" s="43">
        <f t="shared" si="588"/>
        <v>2021</v>
      </c>
      <c r="J744" s="43">
        <f t="shared" si="588"/>
        <v>10</v>
      </c>
      <c r="K744" s="43">
        <f t="shared" si="588"/>
        <v>0</v>
      </c>
      <c r="L744" s="48">
        <f t="shared" si="588"/>
        <v>41002.457465659885</v>
      </c>
      <c r="N744" s="44">
        <f t="shared" si="558"/>
        <v>6.5</v>
      </c>
      <c r="P744" s="49">
        <f t="shared" si="580"/>
        <v>6308.07037933229</v>
      </c>
      <c r="Q744" s="49">
        <f t="shared" si="580"/>
        <v>6308.07037933229</v>
      </c>
      <c r="R744" s="49">
        <f t="shared" si="580"/>
        <v>6308.07037933229</v>
      </c>
      <c r="S744" s="49">
        <f t="shared" si="580"/>
        <v>6308.07037933229</v>
      </c>
      <c r="T744" s="49">
        <f t="shared" si="580"/>
        <v>6308.07037933229</v>
      </c>
      <c r="V744" s="53">
        <f t="shared" si="581"/>
        <v>34694.387086327595</v>
      </c>
      <c r="W744" s="53">
        <f t="shared" si="582"/>
        <v>28386.316706995305</v>
      </c>
      <c r="X744" s="53">
        <f t="shared" si="583"/>
        <v>22078.246327663015</v>
      </c>
      <c r="Y744" s="53">
        <f t="shared" si="584"/>
        <v>15770.175948330725</v>
      </c>
      <c r="Z744" s="53">
        <f t="shared" si="585"/>
        <v>9462.105568998435</v>
      </c>
      <c r="AB744" s="53">
        <f t="shared" si="559"/>
        <v>7383.5963790084452</v>
      </c>
      <c r="AC744" s="53">
        <f t="shared" si="560"/>
        <v>7159.659880542149</v>
      </c>
      <c r="AD744" s="53">
        <f t="shared" si="561"/>
        <v>6970.4177691621808</v>
      </c>
      <c r="AE744" s="53">
        <f t="shared" si="562"/>
        <v>6781.1756577822116</v>
      </c>
      <c r="AF744" s="53">
        <f t="shared" si="563"/>
        <v>6591.9335464022433</v>
      </c>
    </row>
    <row r="745" spans="2:32">
      <c r="B745" s="43" t="str">
        <f t="shared" si="556"/>
        <v>Asset 209</v>
      </c>
      <c r="F745" s="43" t="str">
        <f t="shared" ref="F745:L745" si="589">F249</f>
        <v>05 Wegen en terreinvoorzieningen</v>
      </c>
      <c r="G745" s="43">
        <f t="shared" si="589"/>
        <v>2018</v>
      </c>
      <c r="H745" s="48">
        <f t="shared" si="589"/>
        <v>70537.619152208252</v>
      </c>
      <c r="I745" s="43">
        <f t="shared" si="589"/>
        <v>2021</v>
      </c>
      <c r="J745" s="43">
        <f t="shared" si="589"/>
        <v>10</v>
      </c>
      <c r="K745" s="43">
        <f t="shared" si="589"/>
        <v>0</v>
      </c>
      <c r="L745" s="48">
        <f t="shared" si="589"/>
        <v>48367.733257897518</v>
      </c>
      <c r="N745" s="44">
        <f t="shared" si="558"/>
        <v>6.5</v>
      </c>
      <c r="P745" s="49">
        <f t="shared" si="580"/>
        <v>7441.1897319842337</v>
      </c>
      <c r="Q745" s="49">
        <f t="shared" si="580"/>
        <v>7441.1897319842337</v>
      </c>
      <c r="R745" s="49">
        <f t="shared" si="580"/>
        <v>7441.1897319842337</v>
      </c>
      <c r="S745" s="49">
        <f t="shared" si="580"/>
        <v>7441.1897319842337</v>
      </c>
      <c r="T745" s="49">
        <f t="shared" si="580"/>
        <v>7441.1897319842337</v>
      </c>
      <c r="V745" s="53">
        <f t="shared" si="581"/>
        <v>40926.543525913286</v>
      </c>
      <c r="W745" s="53">
        <f t="shared" si="582"/>
        <v>33485.353793929055</v>
      </c>
      <c r="X745" s="53">
        <f t="shared" si="583"/>
        <v>26044.164061944823</v>
      </c>
      <c r="Y745" s="53">
        <f t="shared" si="584"/>
        <v>18602.974329960591</v>
      </c>
      <c r="Z745" s="53">
        <f t="shared" si="585"/>
        <v>11161.784597976357</v>
      </c>
      <c r="AB745" s="53">
        <f t="shared" si="559"/>
        <v>8709.9125812875463</v>
      </c>
      <c r="AC745" s="53">
        <f t="shared" si="560"/>
        <v>8445.7503458021056</v>
      </c>
      <c r="AD745" s="53">
        <f t="shared" si="561"/>
        <v>8222.5146538425779</v>
      </c>
      <c r="AE745" s="53">
        <f t="shared" si="562"/>
        <v>7999.2789618830511</v>
      </c>
      <c r="AF745" s="53">
        <f t="shared" si="563"/>
        <v>7776.0432699235243</v>
      </c>
    </row>
    <row r="746" spans="2:32">
      <c r="B746" s="43" t="str">
        <f t="shared" si="556"/>
        <v>Asset 210</v>
      </c>
      <c r="F746" s="43" t="str">
        <f t="shared" ref="F746:L746" si="590">F250</f>
        <v>37 ICT middelen 1 (balancering)</v>
      </c>
      <c r="G746" s="43">
        <f t="shared" si="590"/>
        <v>2018</v>
      </c>
      <c r="H746" s="48">
        <f t="shared" si="590"/>
        <v>1033593</v>
      </c>
      <c r="I746" s="43">
        <f t="shared" si="590"/>
        <v>2021</v>
      </c>
      <c r="J746" s="43">
        <f t="shared" si="590"/>
        <v>5</v>
      </c>
      <c r="K746" s="43">
        <f t="shared" si="590"/>
        <v>0</v>
      </c>
      <c r="L746" s="48">
        <f t="shared" si="590"/>
        <v>327108.92617687664</v>
      </c>
      <c r="N746" s="44">
        <f t="shared" si="558"/>
        <v>1.5</v>
      </c>
      <c r="P746" s="49">
        <f t="shared" si="580"/>
        <v>218072.61745125111</v>
      </c>
      <c r="Q746" s="49">
        <f t="shared" si="580"/>
        <v>109036.30872562555</v>
      </c>
      <c r="R746" s="49">
        <f t="shared" si="580"/>
        <v>0</v>
      </c>
      <c r="S746" s="49">
        <f t="shared" si="580"/>
        <v>0</v>
      </c>
      <c r="T746" s="49">
        <f t="shared" si="580"/>
        <v>0</v>
      </c>
      <c r="V746" s="53">
        <f t="shared" si="581"/>
        <v>109036.30872562554</v>
      </c>
      <c r="W746" s="53">
        <f t="shared" si="582"/>
        <v>-1.4551915228366852E-11</v>
      </c>
      <c r="X746" s="53">
        <f t="shared" si="583"/>
        <v>0</v>
      </c>
      <c r="Y746" s="53">
        <f t="shared" si="584"/>
        <v>0</v>
      </c>
      <c r="Z746" s="53">
        <f t="shared" si="585"/>
        <v>0</v>
      </c>
      <c r="AB746" s="53">
        <f t="shared" si="559"/>
        <v>221452.7430217455</v>
      </c>
      <c r="AC746" s="53">
        <f t="shared" si="560"/>
        <v>109036.30872562555</v>
      </c>
      <c r="AD746" s="53">
        <f t="shared" si="561"/>
        <v>0</v>
      </c>
      <c r="AE746" s="53">
        <f t="shared" si="562"/>
        <v>0</v>
      </c>
      <c r="AF746" s="53">
        <f t="shared" si="563"/>
        <v>0</v>
      </c>
    </row>
    <row r="747" spans="2:32">
      <c r="B747" s="43" t="str">
        <f t="shared" si="556"/>
        <v>Asset 211</v>
      </c>
      <c r="F747" s="43" t="str">
        <f t="shared" ref="F747:L747" si="591">F251</f>
        <v>37 ICT middelen 1</v>
      </c>
      <c r="G747" s="43">
        <f t="shared" si="591"/>
        <v>2019</v>
      </c>
      <c r="H747" s="48">
        <f t="shared" si="591"/>
        <v>7023542.7917365544</v>
      </c>
      <c r="I747" s="43">
        <f t="shared" si="591"/>
        <v>2021</v>
      </c>
      <c r="J747" s="43">
        <f t="shared" si="591"/>
        <v>5</v>
      </c>
      <c r="K747" s="43">
        <f t="shared" si="591"/>
        <v>1</v>
      </c>
      <c r="L747" s="48">
        <f t="shared" si="591"/>
        <v>3660726.6913954271</v>
      </c>
      <c r="N747" s="44">
        <f t="shared" si="558"/>
        <v>2.5</v>
      </c>
      <c r="P747" s="49">
        <f t="shared" si="580"/>
        <v>1464290.6765581709</v>
      </c>
      <c r="Q747" s="49">
        <f t="shared" si="580"/>
        <v>1464290.6765581707</v>
      </c>
      <c r="R747" s="49">
        <f t="shared" si="580"/>
        <v>732145.33827908535</v>
      </c>
      <c r="S747" s="49">
        <f t="shared" si="580"/>
        <v>0</v>
      </c>
      <c r="T747" s="49">
        <f t="shared" si="580"/>
        <v>0</v>
      </c>
      <c r="V747" s="53">
        <f t="shared" si="581"/>
        <v>2196436.0148372562</v>
      </c>
      <c r="W747" s="53">
        <f t="shared" si="582"/>
        <v>732145.33827908547</v>
      </c>
      <c r="X747" s="53">
        <f t="shared" si="583"/>
        <v>1.1641532182693481E-10</v>
      </c>
      <c r="Y747" s="53">
        <f t="shared" si="584"/>
        <v>0</v>
      </c>
      <c r="Z747" s="53">
        <f t="shared" si="585"/>
        <v>0</v>
      </c>
      <c r="AB747" s="53">
        <f t="shared" si="559"/>
        <v>1435840.2408579839</v>
      </c>
      <c r="AC747" s="53">
        <f t="shared" si="560"/>
        <v>1392620.9693940312</v>
      </c>
      <c r="AD747" s="53">
        <f t="shared" si="561"/>
        <v>686020.18196750304</v>
      </c>
      <c r="AE747" s="53">
        <f t="shared" si="562"/>
        <v>0</v>
      </c>
      <c r="AF747" s="53">
        <f t="shared" si="563"/>
        <v>0</v>
      </c>
    </row>
    <row r="748" spans="2:32">
      <c r="B748" s="43" t="str">
        <f t="shared" si="556"/>
        <v>Asset 212</v>
      </c>
      <c r="F748" s="43" t="str">
        <f t="shared" ref="F748:L748" si="592">F252</f>
        <v>14 Overig rollend materieel</v>
      </c>
      <c r="G748" s="43">
        <f t="shared" si="592"/>
        <v>2019</v>
      </c>
      <c r="H748" s="48">
        <f t="shared" si="592"/>
        <v>857388.09237261105</v>
      </c>
      <c r="I748" s="43">
        <f t="shared" si="592"/>
        <v>2021</v>
      </c>
      <c r="J748" s="43">
        <f t="shared" si="592"/>
        <v>10</v>
      </c>
      <c r="K748" s="43">
        <f t="shared" si="592"/>
        <v>1</v>
      </c>
      <c r="L748" s="48">
        <f t="shared" si="592"/>
        <v>670316.29927401594</v>
      </c>
      <c r="N748" s="44">
        <f t="shared" si="558"/>
        <v>7.5</v>
      </c>
      <c r="P748" s="49">
        <f t="shared" si="580"/>
        <v>89375.506569868798</v>
      </c>
      <c r="Q748" s="49">
        <f t="shared" si="580"/>
        <v>89375.506569868798</v>
      </c>
      <c r="R748" s="49">
        <f t="shared" si="580"/>
        <v>89375.506569868798</v>
      </c>
      <c r="S748" s="49">
        <f t="shared" si="580"/>
        <v>89375.506569868798</v>
      </c>
      <c r="T748" s="49">
        <f t="shared" si="580"/>
        <v>89375.506569868798</v>
      </c>
      <c r="V748" s="53">
        <f t="shared" si="581"/>
        <v>580940.79270414717</v>
      </c>
      <c r="W748" s="53">
        <f t="shared" si="582"/>
        <v>491565.2861342784</v>
      </c>
      <c r="X748" s="53">
        <f t="shared" si="583"/>
        <v>402189.77956440963</v>
      </c>
      <c r="Y748" s="53">
        <f t="shared" si="584"/>
        <v>312814.27299454086</v>
      </c>
      <c r="Z748" s="53">
        <f t="shared" si="585"/>
        <v>223438.76642467207</v>
      </c>
      <c r="AB748" s="53">
        <f t="shared" si="559"/>
        <v>100619.43686164443</v>
      </c>
      <c r="AC748" s="53">
        <f t="shared" si="560"/>
        <v>97562.749849201631</v>
      </c>
      <c r="AD748" s="53">
        <f t="shared" si="561"/>
        <v>95050.40435952261</v>
      </c>
      <c r="AE748" s="53">
        <f t="shared" si="562"/>
        <v>92538.058869843604</v>
      </c>
      <c r="AF748" s="53">
        <f t="shared" si="563"/>
        <v>90025.713380164598</v>
      </c>
    </row>
    <row r="749" spans="2:32">
      <c r="B749" s="43" t="str">
        <f t="shared" si="556"/>
        <v>Asset 213</v>
      </c>
      <c r="F749" s="43" t="str">
        <f t="shared" ref="F749:L749" si="593">F253</f>
        <v>08 Inrichting gebouwen</v>
      </c>
      <c r="G749" s="43">
        <f t="shared" si="593"/>
        <v>2019</v>
      </c>
      <c r="H749" s="48">
        <f t="shared" si="593"/>
        <v>460067.29247706069</v>
      </c>
      <c r="I749" s="43">
        <f t="shared" si="593"/>
        <v>2021</v>
      </c>
      <c r="J749" s="43">
        <f t="shared" si="593"/>
        <v>10</v>
      </c>
      <c r="K749" s="43">
        <f t="shared" si="593"/>
        <v>0</v>
      </c>
      <c r="L749" s="48">
        <f t="shared" si="593"/>
        <v>359686.13006607577</v>
      </c>
      <c r="N749" s="44">
        <f t="shared" si="558"/>
        <v>7.5</v>
      </c>
      <c r="P749" s="49">
        <f t="shared" si="580"/>
        <v>47958.150675476769</v>
      </c>
      <c r="Q749" s="49">
        <f t="shared" si="580"/>
        <v>47958.150675476769</v>
      </c>
      <c r="R749" s="49">
        <f t="shared" si="580"/>
        <v>47958.150675476769</v>
      </c>
      <c r="S749" s="49">
        <f t="shared" si="580"/>
        <v>47958.150675476769</v>
      </c>
      <c r="T749" s="49">
        <f t="shared" si="580"/>
        <v>47958.150675476769</v>
      </c>
      <c r="V749" s="53">
        <f t="shared" si="581"/>
        <v>311727.97939059901</v>
      </c>
      <c r="W749" s="53">
        <f t="shared" si="582"/>
        <v>263769.82871512225</v>
      </c>
      <c r="X749" s="53">
        <f t="shared" si="583"/>
        <v>215811.67803964549</v>
      </c>
      <c r="Y749" s="53">
        <f t="shared" si="584"/>
        <v>167853.52736416872</v>
      </c>
      <c r="Z749" s="53">
        <f t="shared" si="585"/>
        <v>119895.37668869196</v>
      </c>
      <c r="AB749" s="53">
        <f t="shared" si="559"/>
        <v>57621.718036585342</v>
      </c>
      <c r="AC749" s="53">
        <f t="shared" si="560"/>
        <v>55871.245536930437</v>
      </c>
      <c r="AD749" s="53">
        <f t="shared" si="561"/>
        <v>54432.50101666613</v>
      </c>
      <c r="AE749" s="53">
        <f t="shared" si="562"/>
        <v>52993.756496401831</v>
      </c>
      <c r="AF749" s="53">
        <f t="shared" si="563"/>
        <v>51555.011976137524</v>
      </c>
    </row>
    <row r="750" spans="2:32">
      <c r="B750" s="43" t="str">
        <f t="shared" si="556"/>
        <v>Asset 214</v>
      </c>
      <c r="F750" s="43" t="str">
        <f t="shared" ref="F750:L750" si="594">F254</f>
        <v>37 ICT middelen 1 (KC)</v>
      </c>
      <c r="G750" s="43">
        <f t="shared" si="594"/>
        <v>2019</v>
      </c>
      <c r="H750" s="48">
        <f t="shared" si="594"/>
        <v>119060</v>
      </c>
      <c r="I750" s="43">
        <f t="shared" si="594"/>
        <v>2021</v>
      </c>
      <c r="J750" s="43">
        <f t="shared" si="594"/>
        <v>5</v>
      </c>
      <c r="K750" s="43">
        <f t="shared" si="594"/>
        <v>0</v>
      </c>
      <c r="L750" s="48">
        <f t="shared" si="594"/>
        <v>62055.024479999985</v>
      </c>
      <c r="N750" s="44">
        <f t="shared" si="558"/>
        <v>2.5</v>
      </c>
      <c r="P750" s="49">
        <f t="shared" si="580"/>
        <v>24822.009791999997</v>
      </c>
      <c r="Q750" s="49">
        <f t="shared" si="580"/>
        <v>24822.009791999993</v>
      </c>
      <c r="R750" s="49">
        <f t="shared" si="580"/>
        <v>12411.004895999997</v>
      </c>
      <c r="S750" s="49">
        <f t="shared" si="580"/>
        <v>0</v>
      </c>
      <c r="T750" s="49">
        <f t="shared" si="580"/>
        <v>0</v>
      </c>
      <c r="V750" s="53">
        <f t="shared" si="581"/>
        <v>37233.014687999988</v>
      </c>
      <c r="W750" s="53">
        <f t="shared" si="582"/>
        <v>12411.004895999995</v>
      </c>
      <c r="X750" s="53">
        <f t="shared" si="583"/>
        <v>-1.8189894035458565E-12</v>
      </c>
      <c r="Y750" s="53">
        <f t="shared" si="584"/>
        <v>0</v>
      </c>
      <c r="Z750" s="53">
        <f t="shared" si="585"/>
        <v>0</v>
      </c>
      <c r="AB750" s="53">
        <f t="shared" si="559"/>
        <v>25976.233247327997</v>
      </c>
      <c r="AC750" s="53">
        <f t="shared" si="560"/>
        <v>25194.339938879992</v>
      </c>
      <c r="AD750" s="53">
        <f t="shared" si="561"/>
        <v>12411.004895999997</v>
      </c>
      <c r="AE750" s="53">
        <f t="shared" si="562"/>
        <v>0</v>
      </c>
      <c r="AF750" s="53">
        <f t="shared" si="563"/>
        <v>0</v>
      </c>
    </row>
    <row r="751" spans="2:32">
      <c r="B751" s="43" t="str">
        <f t="shared" si="556"/>
        <v>Asset 215</v>
      </c>
      <c r="F751" s="43" t="str">
        <f t="shared" ref="F751:L751" si="595">F255</f>
        <v>11 Werktuigen</v>
      </c>
      <c r="G751" s="43">
        <f t="shared" si="595"/>
        <v>2019</v>
      </c>
      <c r="H751" s="48">
        <f t="shared" si="595"/>
        <v>288666.6970011855</v>
      </c>
      <c r="I751" s="43">
        <f t="shared" si="595"/>
        <v>2021</v>
      </c>
      <c r="J751" s="43">
        <f t="shared" si="595"/>
        <v>10</v>
      </c>
      <c r="K751" s="43">
        <f t="shared" si="595"/>
        <v>1</v>
      </c>
      <c r="L751" s="48">
        <f t="shared" si="595"/>
        <v>225683.08771589081</v>
      </c>
      <c r="N751" s="44">
        <f t="shared" si="558"/>
        <v>7.5</v>
      </c>
      <c r="P751" s="49">
        <f t="shared" si="580"/>
        <v>30091.078362118777</v>
      </c>
      <c r="Q751" s="49">
        <f t="shared" si="580"/>
        <v>30091.078362118777</v>
      </c>
      <c r="R751" s="49">
        <f t="shared" si="580"/>
        <v>30091.078362118777</v>
      </c>
      <c r="S751" s="49">
        <f t="shared" si="580"/>
        <v>30091.078362118777</v>
      </c>
      <c r="T751" s="49">
        <f t="shared" si="580"/>
        <v>30091.078362118777</v>
      </c>
      <c r="V751" s="53">
        <f t="shared" si="581"/>
        <v>195592.00935377204</v>
      </c>
      <c r="W751" s="53">
        <f t="shared" si="582"/>
        <v>165500.93099165327</v>
      </c>
      <c r="X751" s="53">
        <f t="shared" si="583"/>
        <v>135409.85262953449</v>
      </c>
      <c r="Y751" s="53">
        <f t="shared" si="584"/>
        <v>105318.77426741572</v>
      </c>
      <c r="Z751" s="53">
        <f t="shared" si="585"/>
        <v>75227.695905296947</v>
      </c>
      <c r="AB751" s="53">
        <f t="shared" si="559"/>
        <v>33876.70152100431</v>
      </c>
      <c r="AC751" s="53">
        <f t="shared" si="560"/>
        <v>32847.571595480666</v>
      </c>
      <c r="AD751" s="53">
        <f t="shared" si="561"/>
        <v>32001.711382721514</v>
      </c>
      <c r="AE751" s="53">
        <f t="shared" si="562"/>
        <v>31155.851169962352</v>
      </c>
      <c r="AF751" s="53">
        <f t="shared" si="563"/>
        <v>30309.99095720319</v>
      </c>
    </row>
    <row r="752" spans="2:32">
      <c r="B752" s="43" t="str">
        <f t="shared" si="556"/>
        <v>Asset 216</v>
      </c>
      <c r="F752" s="43" t="str">
        <f t="shared" ref="F752:L752" si="596">F256</f>
        <v>20 Kantoorgebouwen</v>
      </c>
      <c r="G752" s="43">
        <f t="shared" si="596"/>
        <v>2019</v>
      </c>
      <c r="H752" s="48">
        <f t="shared" si="596"/>
        <v>1170372.8470650064</v>
      </c>
      <c r="I752" s="43">
        <f t="shared" si="596"/>
        <v>2021</v>
      </c>
      <c r="J752" s="43">
        <f t="shared" si="596"/>
        <v>30</v>
      </c>
      <c r="K752" s="43">
        <f t="shared" si="596"/>
        <v>0</v>
      </c>
      <c r="L752" s="48">
        <f t="shared" si="596"/>
        <v>1118347.433267273</v>
      </c>
      <c r="N752" s="44">
        <f t="shared" si="558"/>
        <v>27.5</v>
      </c>
      <c r="P752" s="49">
        <f t="shared" si="580"/>
        <v>40667.179391537204</v>
      </c>
      <c r="Q752" s="49">
        <f t="shared" si="580"/>
        <v>40667.179391537204</v>
      </c>
      <c r="R752" s="49">
        <f t="shared" si="580"/>
        <v>40667.179391537204</v>
      </c>
      <c r="S752" s="49">
        <f t="shared" si="580"/>
        <v>40667.179391537204</v>
      </c>
      <c r="T752" s="49">
        <f t="shared" si="580"/>
        <v>40667.179391537204</v>
      </c>
      <c r="V752" s="53">
        <f t="shared" si="581"/>
        <v>1077680.2538757359</v>
      </c>
      <c r="W752" s="53">
        <f t="shared" si="582"/>
        <v>1037013.0744841987</v>
      </c>
      <c r="X752" s="53">
        <f t="shared" si="583"/>
        <v>996345.89509266149</v>
      </c>
      <c r="Y752" s="53">
        <f t="shared" si="584"/>
        <v>955678.71570112428</v>
      </c>
      <c r="Z752" s="53">
        <f t="shared" si="585"/>
        <v>915011.53630958707</v>
      </c>
      <c r="AB752" s="53">
        <f t="shared" si="559"/>
        <v>74075.267261685018</v>
      </c>
      <c r="AC752" s="53">
        <f t="shared" si="560"/>
        <v>71777.57162606316</v>
      </c>
      <c r="AD752" s="53">
        <f t="shared" si="561"/>
        <v>70557.556244317049</v>
      </c>
      <c r="AE752" s="53">
        <f t="shared" si="562"/>
        <v>69337.540862570924</v>
      </c>
      <c r="AF752" s="53">
        <f t="shared" si="563"/>
        <v>68117.525480824814</v>
      </c>
    </row>
    <row r="753" spans="2:32">
      <c r="B753" s="43" t="str">
        <f t="shared" si="556"/>
        <v>Asset 217</v>
      </c>
      <c r="F753" s="43" t="str">
        <f t="shared" ref="F753:L753" si="597">F257</f>
        <v>37 ICT middelen 1 (balancering)</v>
      </c>
      <c r="G753" s="43">
        <f t="shared" si="597"/>
        <v>2019</v>
      </c>
      <c r="H753" s="48">
        <f t="shared" si="597"/>
        <v>73704</v>
      </c>
      <c r="I753" s="43">
        <f t="shared" si="597"/>
        <v>2021</v>
      </c>
      <c r="J753" s="43">
        <f t="shared" si="597"/>
        <v>5</v>
      </c>
      <c r="K753" s="43">
        <f t="shared" si="597"/>
        <v>0</v>
      </c>
      <c r="L753" s="48">
        <f t="shared" si="597"/>
        <v>38415.114431999995</v>
      </c>
      <c r="N753" s="44">
        <f t="shared" si="558"/>
        <v>2.5</v>
      </c>
      <c r="P753" s="49">
        <f t="shared" si="580"/>
        <v>15366.045772799998</v>
      </c>
      <c r="Q753" s="49">
        <f t="shared" si="580"/>
        <v>15366.045772799998</v>
      </c>
      <c r="R753" s="49">
        <f t="shared" si="580"/>
        <v>7683.0228863999992</v>
      </c>
      <c r="S753" s="49">
        <f t="shared" si="580"/>
        <v>0</v>
      </c>
      <c r="T753" s="49">
        <f t="shared" si="580"/>
        <v>0</v>
      </c>
      <c r="V753" s="53">
        <f t="shared" si="581"/>
        <v>23049.068659199998</v>
      </c>
      <c r="W753" s="53">
        <f t="shared" si="582"/>
        <v>7683.0228864000001</v>
      </c>
      <c r="X753" s="53">
        <f t="shared" si="583"/>
        <v>9.0949470177292824E-13</v>
      </c>
      <c r="Y753" s="53">
        <f t="shared" si="584"/>
        <v>0</v>
      </c>
      <c r="Z753" s="53">
        <f t="shared" si="585"/>
        <v>0</v>
      </c>
      <c r="AB753" s="53">
        <f t="shared" si="559"/>
        <v>16080.566901235197</v>
      </c>
      <c r="AC753" s="53">
        <f t="shared" si="560"/>
        <v>15596.536459391999</v>
      </c>
      <c r="AD753" s="53">
        <f t="shared" si="561"/>
        <v>7683.0228863999992</v>
      </c>
      <c r="AE753" s="53">
        <f t="shared" si="562"/>
        <v>0</v>
      </c>
      <c r="AF753" s="53">
        <f t="shared" si="563"/>
        <v>0</v>
      </c>
    </row>
    <row r="754" spans="2:32">
      <c r="B754" s="43" t="str">
        <f t="shared" si="556"/>
        <v>Asset 218</v>
      </c>
      <c r="F754" s="43" t="str">
        <f t="shared" ref="F754:L754" si="598">F258</f>
        <v>37 ICT middelen 1 (gaschromatografen en comptabele meting)</v>
      </c>
      <c r="G754" s="43">
        <f t="shared" si="598"/>
        <v>2019</v>
      </c>
      <c r="H754" s="48">
        <f t="shared" si="598"/>
        <v>138775.45971332947</v>
      </c>
      <c r="I754" s="43">
        <f t="shared" si="598"/>
        <v>2021</v>
      </c>
      <c r="J754" s="43">
        <f t="shared" si="598"/>
        <v>5</v>
      </c>
      <c r="K754" s="43">
        <f t="shared" si="598"/>
        <v>0</v>
      </c>
      <c r="L754" s="48">
        <f t="shared" si="598"/>
        <v>72330.879806265031</v>
      </c>
      <c r="N754" s="44">
        <f t="shared" si="558"/>
        <v>2.5</v>
      </c>
      <c r="P754" s="49">
        <f t="shared" si="580"/>
        <v>28932.351922506015</v>
      </c>
      <c r="Q754" s="49">
        <f t="shared" si="580"/>
        <v>28932.351922506012</v>
      </c>
      <c r="R754" s="49">
        <f t="shared" si="580"/>
        <v>14466.175961253006</v>
      </c>
      <c r="S754" s="49">
        <f t="shared" si="580"/>
        <v>0</v>
      </c>
      <c r="T754" s="49">
        <f t="shared" si="580"/>
        <v>0</v>
      </c>
      <c r="V754" s="53">
        <f t="shared" si="581"/>
        <v>43398.527883759016</v>
      </c>
      <c r="W754" s="53">
        <f t="shared" si="582"/>
        <v>14466.175961253004</v>
      </c>
      <c r="X754" s="53">
        <f t="shared" si="583"/>
        <v>-1.8189894035458565E-12</v>
      </c>
      <c r="Y754" s="53">
        <f t="shared" si="584"/>
        <v>0</v>
      </c>
      <c r="Z754" s="53">
        <f t="shared" si="585"/>
        <v>0</v>
      </c>
      <c r="AB754" s="53">
        <f t="shared" si="559"/>
        <v>30277.706286902547</v>
      </c>
      <c r="AC754" s="53">
        <f t="shared" si="560"/>
        <v>29366.337201343602</v>
      </c>
      <c r="AD754" s="53">
        <f t="shared" si="561"/>
        <v>14466.175961253006</v>
      </c>
      <c r="AE754" s="53">
        <f t="shared" si="562"/>
        <v>0</v>
      </c>
      <c r="AF754" s="53">
        <f t="shared" si="563"/>
        <v>0</v>
      </c>
    </row>
    <row r="755" spans="2:32">
      <c r="B755" s="43" t="str">
        <f t="shared" si="556"/>
        <v>Asset 219</v>
      </c>
      <c r="F755" s="43" t="str">
        <f t="shared" ref="F755:L755" si="599">F259</f>
        <v>10 Gereedschap</v>
      </c>
      <c r="G755" s="43">
        <f t="shared" si="599"/>
        <v>2019</v>
      </c>
      <c r="H755" s="48">
        <f t="shared" si="599"/>
        <v>142771.1801450084</v>
      </c>
      <c r="I755" s="43">
        <f t="shared" si="599"/>
        <v>2021</v>
      </c>
      <c r="J755" s="43">
        <f t="shared" si="599"/>
        <v>10</v>
      </c>
      <c r="K755" s="43">
        <f t="shared" si="599"/>
        <v>1</v>
      </c>
      <c r="L755" s="48">
        <f t="shared" si="599"/>
        <v>111620.22189152931</v>
      </c>
      <c r="N755" s="44">
        <f t="shared" si="558"/>
        <v>7.5</v>
      </c>
      <c r="P755" s="49">
        <f t="shared" si="580"/>
        <v>14882.696252203907</v>
      </c>
      <c r="Q755" s="49">
        <f t="shared" si="580"/>
        <v>14882.696252203907</v>
      </c>
      <c r="R755" s="49">
        <f t="shared" si="580"/>
        <v>14882.696252203907</v>
      </c>
      <c r="S755" s="49">
        <f t="shared" si="580"/>
        <v>14882.696252203907</v>
      </c>
      <c r="T755" s="49">
        <f t="shared" si="580"/>
        <v>14882.696252203907</v>
      </c>
      <c r="V755" s="53">
        <f t="shared" si="581"/>
        <v>96737.525639325395</v>
      </c>
      <c r="W755" s="53">
        <f t="shared" si="582"/>
        <v>81854.829387121485</v>
      </c>
      <c r="X755" s="53">
        <f t="shared" si="583"/>
        <v>66972.133134917574</v>
      </c>
      <c r="Y755" s="53">
        <f t="shared" si="584"/>
        <v>52089.436882713664</v>
      </c>
      <c r="Z755" s="53">
        <f t="shared" si="585"/>
        <v>37206.740630509754</v>
      </c>
      <c r="AB755" s="53">
        <f t="shared" si="559"/>
        <v>16755.021295560546</v>
      </c>
      <c r="AC755" s="53">
        <f t="shared" si="560"/>
        <v>16246.025642387045</v>
      </c>
      <c r="AD755" s="53">
        <f t="shared" si="561"/>
        <v>15827.673050737596</v>
      </c>
      <c r="AE755" s="53">
        <f t="shared" si="562"/>
        <v>15409.320459088143</v>
      </c>
      <c r="AF755" s="53">
        <f t="shared" si="563"/>
        <v>14990.967867438691</v>
      </c>
    </row>
    <row r="756" spans="2:32">
      <c r="B756" s="43" t="str">
        <f t="shared" si="556"/>
        <v>Asset 220</v>
      </c>
      <c r="F756" s="43" t="str">
        <f t="shared" ref="F756:L756" si="600">F260</f>
        <v>39 ICT middelen 3</v>
      </c>
      <c r="G756" s="43">
        <f t="shared" si="600"/>
        <v>2018</v>
      </c>
      <c r="H756" s="48">
        <f t="shared" si="600"/>
        <v>66462443.599999994</v>
      </c>
      <c r="I756" s="43">
        <f t="shared" si="600"/>
        <v>2021</v>
      </c>
      <c r="J756" s="43">
        <f t="shared" si="600"/>
        <v>15</v>
      </c>
      <c r="K756" s="43">
        <f t="shared" si="600"/>
        <v>1</v>
      </c>
      <c r="L756" s="48">
        <f t="shared" si="600"/>
        <v>53753217.800323352</v>
      </c>
      <c r="N756" s="44">
        <f t="shared" si="558"/>
        <v>11.5</v>
      </c>
      <c r="P756" s="49">
        <f t="shared" si="580"/>
        <v>4674192.8522020308</v>
      </c>
      <c r="Q756" s="49">
        <f t="shared" si="580"/>
        <v>4674192.8522020308</v>
      </c>
      <c r="R756" s="49">
        <f t="shared" si="580"/>
        <v>4674192.8522020308</v>
      </c>
      <c r="S756" s="49">
        <f t="shared" si="580"/>
        <v>4674192.8522020308</v>
      </c>
      <c r="T756" s="49">
        <f t="shared" si="580"/>
        <v>4674192.8522020308</v>
      </c>
      <c r="V756" s="53">
        <f t="shared" si="581"/>
        <v>49079024.948121324</v>
      </c>
      <c r="W756" s="53">
        <f t="shared" si="582"/>
        <v>44404832.095919296</v>
      </c>
      <c r="X756" s="53">
        <f t="shared" si="583"/>
        <v>39730639.243717268</v>
      </c>
      <c r="Y756" s="53">
        <f t="shared" si="584"/>
        <v>35056446.39151524</v>
      </c>
      <c r="Z756" s="53">
        <f t="shared" si="585"/>
        <v>30382253.539313208</v>
      </c>
      <c r="AB756" s="53">
        <f t="shared" si="559"/>
        <v>5805317.1401813831</v>
      </c>
      <c r="AC756" s="53">
        <f t="shared" si="560"/>
        <v>5627938.532729595</v>
      </c>
      <c r="AD756" s="53">
        <f t="shared" si="561"/>
        <v>5496546.9716541953</v>
      </c>
      <c r="AE756" s="53">
        <f t="shared" si="562"/>
        <v>5365155.4105787966</v>
      </c>
      <c r="AF756" s="53">
        <f t="shared" si="563"/>
        <v>5233763.8495033979</v>
      </c>
    </row>
    <row r="757" spans="2:32">
      <c r="B757" s="43" t="str">
        <f t="shared" si="556"/>
        <v>Asset 221</v>
      </c>
      <c r="F757" s="43" t="str">
        <f t="shared" ref="F757:L757" si="601">F261</f>
        <v>39 ICT middelen 3 (balancering)</v>
      </c>
      <c r="G757" s="43">
        <f t="shared" si="601"/>
        <v>2018</v>
      </c>
      <c r="H757" s="48">
        <f t="shared" si="601"/>
        <v>13091088</v>
      </c>
      <c r="I757" s="43">
        <f t="shared" si="601"/>
        <v>2021</v>
      </c>
      <c r="J757" s="43">
        <f t="shared" si="601"/>
        <v>15</v>
      </c>
      <c r="K757" s="43">
        <f t="shared" si="601"/>
        <v>0</v>
      </c>
      <c r="L757" s="48">
        <f t="shared" si="601"/>
        <v>10587755.526147995</v>
      </c>
      <c r="N757" s="44">
        <f t="shared" si="558"/>
        <v>11.5</v>
      </c>
      <c r="P757" s="49">
        <f t="shared" si="580"/>
        <v>920674.39357808651</v>
      </c>
      <c r="Q757" s="49">
        <f t="shared" si="580"/>
        <v>920674.39357808663</v>
      </c>
      <c r="R757" s="49">
        <f t="shared" si="580"/>
        <v>920674.39357808663</v>
      </c>
      <c r="S757" s="49">
        <f t="shared" si="580"/>
        <v>920674.39357808663</v>
      </c>
      <c r="T757" s="49">
        <f t="shared" si="580"/>
        <v>920674.39357808663</v>
      </c>
      <c r="V757" s="53">
        <f t="shared" si="581"/>
        <v>9667081.1325699091</v>
      </c>
      <c r="W757" s="53">
        <f t="shared" si="582"/>
        <v>8746406.738991823</v>
      </c>
      <c r="X757" s="53">
        <f t="shared" si="583"/>
        <v>7825732.3454137361</v>
      </c>
      <c r="Y757" s="53">
        <f t="shared" si="584"/>
        <v>6905057.9518356491</v>
      </c>
      <c r="Z757" s="53">
        <f t="shared" si="585"/>
        <v>5984383.5582575621</v>
      </c>
      <c r="AB757" s="53">
        <f t="shared" si="559"/>
        <v>1220353.9086877536</v>
      </c>
      <c r="AC757" s="53">
        <f t="shared" si="560"/>
        <v>1183066.5957478413</v>
      </c>
      <c r="AD757" s="53">
        <f t="shared" si="561"/>
        <v>1155446.3639404988</v>
      </c>
      <c r="AE757" s="53">
        <f t="shared" si="562"/>
        <v>1127826.1321331561</v>
      </c>
      <c r="AF757" s="53">
        <f t="shared" si="563"/>
        <v>1100205.9003258136</v>
      </c>
    </row>
    <row r="758" spans="2:32">
      <c r="B758" s="43" t="str">
        <f t="shared" si="556"/>
        <v>Asset 222</v>
      </c>
      <c r="F758" s="43" t="str">
        <f t="shared" ref="F758:L758" si="602">F262</f>
        <v>39 ICT middelen 3 (KC)</v>
      </c>
      <c r="G758" s="43">
        <f t="shared" si="602"/>
        <v>2019</v>
      </c>
      <c r="H758" s="48">
        <f t="shared" si="602"/>
        <v>510273.00000000006</v>
      </c>
      <c r="I758" s="43">
        <f t="shared" si="602"/>
        <v>2021</v>
      </c>
      <c r="J758" s="43">
        <f t="shared" si="602"/>
        <v>15</v>
      </c>
      <c r="K758" s="43">
        <f t="shared" si="602"/>
        <v>0</v>
      </c>
      <c r="L758" s="48">
        <f t="shared" si="602"/>
        <v>443263.94964000006</v>
      </c>
      <c r="N758" s="44">
        <f t="shared" si="558"/>
        <v>12.5</v>
      </c>
      <c r="P758" s="49">
        <f t="shared" si="580"/>
        <v>35461.115971200008</v>
      </c>
      <c r="Q758" s="49">
        <f t="shared" si="580"/>
        <v>35461.115971200008</v>
      </c>
      <c r="R758" s="49">
        <f t="shared" si="580"/>
        <v>35461.115971200008</v>
      </c>
      <c r="S758" s="49">
        <f t="shared" si="580"/>
        <v>35461.115971200008</v>
      </c>
      <c r="T758" s="49">
        <f t="shared" si="580"/>
        <v>35461.115971200008</v>
      </c>
      <c r="V758" s="53">
        <f t="shared" si="581"/>
        <v>407802.83366880007</v>
      </c>
      <c r="W758" s="53">
        <f t="shared" si="582"/>
        <v>372341.71769760008</v>
      </c>
      <c r="X758" s="53">
        <f t="shared" si="583"/>
        <v>336880.60172640008</v>
      </c>
      <c r="Y758" s="53">
        <f t="shared" si="584"/>
        <v>301419.48575520009</v>
      </c>
      <c r="Z758" s="53">
        <f t="shared" si="585"/>
        <v>265958.3697840001</v>
      </c>
      <c r="AB758" s="53">
        <f t="shared" si="559"/>
        <v>48103.00381493281</v>
      </c>
      <c r="AC758" s="53">
        <f t="shared" si="560"/>
        <v>46631.367502128007</v>
      </c>
      <c r="AD758" s="53">
        <f t="shared" si="561"/>
        <v>45567.534022992011</v>
      </c>
      <c r="AE758" s="53">
        <f t="shared" si="562"/>
        <v>44503.700543856008</v>
      </c>
      <c r="AF758" s="53">
        <f t="shared" si="563"/>
        <v>43439.867064720012</v>
      </c>
    </row>
    <row r="759" spans="2:32">
      <c r="B759" s="43" t="str">
        <f t="shared" si="556"/>
        <v>Asset 223</v>
      </c>
      <c r="F759" s="43" t="str">
        <f t="shared" ref="F759:L759" si="603">F263</f>
        <v>37 ICT middelen 1</v>
      </c>
      <c r="G759" s="43">
        <f t="shared" si="603"/>
        <v>2020</v>
      </c>
      <c r="H759" s="48">
        <f t="shared" si="603"/>
        <v>4054436.8604233577</v>
      </c>
      <c r="I759" s="43">
        <f t="shared" si="603"/>
        <v>2021</v>
      </c>
      <c r="J759" s="43">
        <f t="shared" si="603"/>
        <v>5</v>
      </c>
      <c r="K759" s="43">
        <f t="shared" si="603"/>
        <v>1</v>
      </c>
      <c r="L759" s="48">
        <f t="shared" si="603"/>
        <v>2883515.4951330922</v>
      </c>
      <c r="N759" s="44">
        <f t="shared" si="558"/>
        <v>3.5</v>
      </c>
      <c r="P759" s="49">
        <f t="shared" si="580"/>
        <v>823861.57003802632</v>
      </c>
      <c r="Q759" s="49">
        <f t="shared" si="580"/>
        <v>823861.57003802643</v>
      </c>
      <c r="R759" s="49">
        <f t="shared" si="580"/>
        <v>823861.57003802643</v>
      </c>
      <c r="S759" s="49">
        <f t="shared" si="580"/>
        <v>411930.78501901322</v>
      </c>
      <c r="T759" s="49">
        <f t="shared" si="580"/>
        <v>0</v>
      </c>
      <c r="V759" s="53">
        <f t="shared" si="581"/>
        <v>2059653.925095066</v>
      </c>
      <c r="W759" s="53">
        <f t="shared" si="582"/>
        <v>1235792.3550570395</v>
      </c>
      <c r="X759" s="53">
        <f t="shared" si="583"/>
        <v>411930.7850190131</v>
      </c>
      <c r="Y759" s="53">
        <f t="shared" si="584"/>
        <v>-1.1641532182693481E-10</v>
      </c>
      <c r="Z759" s="53">
        <f t="shared" si="585"/>
        <v>0</v>
      </c>
      <c r="AB759" s="53">
        <f t="shared" si="559"/>
        <v>831785.05868786701</v>
      </c>
      <c r="AC759" s="53">
        <f t="shared" si="560"/>
        <v>806696.41422628413</v>
      </c>
      <c r="AD759" s="53">
        <f t="shared" si="561"/>
        <v>783537.66549251531</v>
      </c>
      <c r="AE759" s="53">
        <f t="shared" si="562"/>
        <v>385979.14556281542</v>
      </c>
      <c r="AF759" s="53">
        <f t="shared" si="563"/>
        <v>0</v>
      </c>
    </row>
    <row r="760" spans="2:32">
      <c r="B760" s="43" t="str">
        <f t="shared" si="556"/>
        <v>Asset 224</v>
      </c>
      <c r="F760" s="43" t="str">
        <f t="shared" ref="F760:L760" si="604">F264</f>
        <v>11 Werktuigen</v>
      </c>
      <c r="G760" s="43">
        <f t="shared" si="604"/>
        <v>2021</v>
      </c>
      <c r="H760" s="48">
        <f t="shared" si="604"/>
        <v>2667062.5363170211</v>
      </c>
      <c r="I760" s="43">
        <f t="shared" si="604"/>
        <v>2021</v>
      </c>
      <c r="J760" s="43">
        <f t="shared" si="604"/>
        <v>10</v>
      </c>
      <c r="K760" s="43">
        <f t="shared" si="604"/>
        <v>1</v>
      </c>
      <c r="L760" s="48">
        <f t="shared" si="604"/>
        <v>2533709.4095011703</v>
      </c>
      <c r="N760" s="44">
        <f t="shared" si="558"/>
        <v>9.5</v>
      </c>
      <c r="P760" s="49">
        <f t="shared" si="580"/>
        <v>266706.25363170216</v>
      </c>
      <c r="Q760" s="49">
        <f t="shared" si="580"/>
        <v>266706.25363170216</v>
      </c>
      <c r="R760" s="49">
        <f t="shared" si="580"/>
        <v>266706.25363170216</v>
      </c>
      <c r="S760" s="49">
        <f t="shared" si="580"/>
        <v>266706.25363170216</v>
      </c>
      <c r="T760" s="49">
        <f t="shared" si="580"/>
        <v>266706.25363170216</v>
      </c>
      <c r="V760" s="53">
        <f t="shared" si="581"/>
        <v>2267003.1558694681</v>
      </c>
      <c r="W760" s="53">
        <f t="shared" si="582"/>
        <v>2000296.902237766</v>
      </c>
      <c r="X760" s="53">
        <f t="shared" si="583"/>
        <v>1733590.6486060638</v>
      </c>
      <c r="Y760" s="53">
        <f t="shared" si="584"/>
        <v>1466884.3949743616</v>
      </c>
      <c r="Z760" s="53">
        <f t="shared" si="585"/>
        <v>1200178.1413426595</v>
      </c>
      <c r="AB760" s="53">
        <f t="shared" si="559"/>
        <v>315753.40032144537</v>
      </c>
      <c r="AC760" s="53">
        <f t="shared" si="560"/>
        <v>306132.10557480855</v>
      </c>
      <c r="AD760" s="53">
        <f t="shared" si="561"/>
        <v>298634.99278522143</v>
      </c>
      <c r="AE760" s="53">
        <f t="shared" si="562"/>
        <v>291137.87999563426</v>
      </c>
      <c r="AF760" s="53">
        <f t="shared" si="563"/>
        <v>283640.76720604708</v>
      </c>
    </row>
    <row r="761" spans="2:32">
      <c r="B761" s="43" t="str">
        <f t="shared" si="556"/>
        <v>Asset 225</v>
      </c>
      <c r="F761" s="43" t="str">
        <f t="shared" ref="F761:L761" si="605">F265</f>
        <v>10 Gereedschap</v>
      </c>
      <c r="G761" s="43">
        <f t="shared" si="605"/>
        <v>2021</v>
      </c>
      <c r="H761" s="48">
        <f t="shared" si="605"/>
        <v>467492.45719026914</v>
      </c>
      <c r="I761" s="43">
        <f t="shared" si="605"/>
        <v>2021</v>
      </c>
      <c r="J761" s="43">
        <f t="shared" si="605"/>
        <v>10</v>
      </c>
      <c r="K761" s="43">
        <f t="shared" si="605"/>
        <v>1</v>
      </c>
      <c r="L761" s="48">
        <f t="shared" si="605"/>
        <v>444117.83433075569</v>
      </c>
      <c r="N761" s="44">
        <f t="shared" si="558"/>
        <v>9.5</v>
      </c>
      <c r="P761" s="49">
        <f t="shared" si="580"/>
        <v>46749.245719026912</v>
      </c>
      <c r="Q761" s="49">
        <f t="shared" si="580"/>
        <v>46749.24571902692</v>
      </c>
      <c r="R761" s="49">
        <f t="shared" si="580"/>
        <v>46749.24571902692</v>
      </c>
      <c r="S761" s="49">
        <f t="shared" si="580"/>
        <v>46749.24571902692</v>
      </c>
      <c r="T761" s="49">
        <f t="shared" si="580"/>
        <v>46749.24571902692</v>
      </c>
      <c r="V761" s="53">
        <f t="shared" si="581"/>
        <v>397368.5886117288</v>
      </c>
      <c r="W761" s="53">
        <f t="shared" si="582"/>
        <v>350619.34289270185</v>
      </c>
      <c r="X761" s="53">
        <f t="shared" si="583"/>
        <v>303870.09717367496</v>
      </c>
      <c r="Y761" s="53">
        <f t="shared" si="584"/>
        <v>257120.85145464804</v>
      </c>
      <c r="Z761" s="53">
        <f t="shared" si="585"/>
        <v>210371.60573562112</v>
      </c>
      <c r="AB761" s="53">
        <f t="shared" si="559"/>
        <v>55346.408632133105</v>
      </c>
      <c r="AC761" s="53">
        <f t="shared" si="560"/>
        <v>53659.952967442077</v>
      </c>
      <c r="AD761" s="53">
        <f t="shared" si="561"/>
        <v>52345.831670280233</v>
      </c>
      <c r="AE761" s="53">
        <f t="shared" si="562"/>
        <v>51031.710373118382</v>
      </c>
      <c r="AF761" s="53">
        <f t="shared" si="563"/>
        <v>49717.589075956537</v>
      </c>
    </row>
    <row r="762" spans="2:32">
      <c r="B762" s="43" t="str">
        <f t="shared" si="556"/>
        <v>Asset 226</v>
      </c>
      <c r="F762" s="43" t="str">
        <f t="shared" ref="F762:L762" si="606">F266</f>
        <v>38 ICT middelen 2</v>
      </c>
      <c r="G762" s="43">
        <f t="shared" si="606"/>
        <v>2021</v>
      </c>
      <c r="H762" s="48">
        <f t="shared" si="606"/>
        <v>3432262.7310020467</v>
      </c>
      <c r="I762" s="43">
        <f t="shared" si="606"/>
        <v>2021</v>
      </c>
      <c r="J762" s="43">
        <f t="shared" si="606"/>
        <v>10</v>
      </c>
      <c r="K762" s="43">
        <f t="shared" si="606"/>
        <v>1</v>
      </c>
      <c r="L762" s="48">
        <f t="shared" si="606"/>
        <v>3260649.5944519443</v>
      </c>
      <c r="N762" s="44">
        <f t="shared" si="558"/>
        <v>9.5</v>
      </c>
      <c r="P762" s="49">
        <f t="shared" si="580"/>
        <v>343226.27310020465</v>
      </c>
      <c r="Q762" s="49">
        <f t="shared" si="580"/>
        <v>343226.27310020465</v>
      </c>
      <c r="R762" s="49">
        <f t="shared" si="580"/>
        <v>343226.27310020465</v>
      </c>
      <c r="S762" s="49">
        <f t="shared" si="580"/>
        <v>343226.27310020465</v>
      </c>
      <c r="T762" s="49">
        <f t="shared" si="580"/>
        <v>343226.27310020465</v>
      </c>
      <c r="V762" s="53">
        <f t="shared" si="581"/>
        <v>2917423.3213517396</v>
      </c>
      <c r="W762" s="53">
        <f t="shared" si="582"/>
        <v>2574197.0482515348</v>
      </c>
      <c r="X762" s="53">
        <f t="shared" si="583"/>
        <v>2230970.77515133</v>
      </c>
      <c r="Y762" s="53">
        <f t="shared" si="584"/>
        <v>1887744.5020511253</v>
      </c>
      <c r="Z762" s="53">
        <f t="shared" si="585"/>
        <v>1544518.2289509205</v>
      </c>
      <c r="AB762" s="53">
        <f t="shared" si="559"/>
        <v>406345.41311019578</v>
      </c>
      <c r="AC762" s="53">
        <f t="shared" si="560"/>
        <v>393963.6969212424</v>
      </c>
      <c r="AD762" s="53">
        <f t="shared" si="561"/>
        <v>384315.60638439568</v>
      </c>
      <c r="AE762" s="53">
        <f t="shared" si="562"/>
        <v>374667.5158475489</v>
      </c>
      <c r="AF762" s="53">
        <f t="shared" si="563"/>
        <v>365019.42531070212</v>
      </c>
    </row>
    <row r="763" spans="2:32">
      <c r="B763" s="43" t="str">
        <f t="shared" si="556"/>
        <v>Asset 227</v>
      </c>
      <c r="F763" s="43" t="str">
        <f t="shared" ref="F763:L763" si="607">F267</f>
        <v>37 ICT middelen 1</v>
      </c>
      <c r="G763" s="43">
        <f t="shared" si="607"/>
        <v>2021</v>
      </c>
      <c r="H763" s="48">
        <f t="shared" si="607"/>
        <v>8176022.700880779</v>
      </c>
      <c r="I763" s="43">
        <f t="shared" si="607"/>
        <v>2021</v>
      </c>
      <c r="J763" s="43">
        <f t="shared" si="607"/>
        <v>5</v>
      </c>
      <c r="K763" s="43">
        <f t="shared" si="607"/>
        <v>1</v>
      </c>
      <c r="L763" s="48">
        <f t="shared" si="607"/>
        <v>7358420.4307927005</v>
      </c>
      <c r="N763" s="44">
        <f t="shared" si="558"/>
        <v>4.5</v>
      </c>
      <c r="P763" s="49">
        <f t="shared" si="580"/>
        <v>1635204.5401761557</v>
      </c>
      <c r="Q763" s="49">
        <f t="shared" si="580"/>
        <v>1635204.5401761557</v>
      </c>
      <c r="R763" s="49">
        <f t="shared" si="580"/>
        <v>1635204.5401761557</v>
      </c>
      <c r="S763" s="49">
        <f t="shared" si="580"/>
        <v>1635204.5401761557</v>
      </c>
      <c r="T763" s="49">
        <f t="shared" si="580"/>
        <v>817602.27008807787</v>
      </c>
      <c r="V763" s="53">
        <f t="shared" si="581"/>
        <v>5723215.8906165445</v>
      </c>
      <c r="W763" s="53">
        <f t="shared" si="582"/>
        <v>4088011.3504403885</v>
      </c>
      <c r="X763" s="53">
        <f t="shared" si="583"/>
        <v>2452806.8102642326</v>
      </c>
      <c r="Y763" s="53">
        <f t="shared" si="584"/>
        <v>817602.27008807682</v>
      </c>
      <c r="Z763" s="53">
        <f t="shared" si="585"/>
        <v>-1.0477378964424133E-9</v>
      </c>
      <c r="AB763" s="53">
        <f t="shared" si="559"/>
        <v>1698428.9061197969</v>
      </c>
      <c r="AC763" s="53">
        <f t="shared" si="560"/>
        <v>1647100.6532059375</v>
      </c>
      <c r="AD763" s="53">
        <f t="shared" si="561"/>
        <v>1601135.0535815856</v>
      </c>
      <c r="AE763" s="53">
        <f t="shared" si="562"/>
        <v>1555169.4539572338</v>
      </c>
      <c r="AF763" s="53">
        <f t="shared" si="563"/>
        <v>766093.32707252901</v>
      </c>
    </row>
    <row r="764" spans="2:32">
      <c r="B764" s="43" t="str">
        <f t="shared" si="556"/>
        <v>Asset 228</v>
      </c>
      <c r="F764" s="43" t="str">
        <f t="shared" ref="F764:L764" si="608">F268</f>
        <v>39 ICT middelen 3</v>
      </c>
      <c r="G764" s="43">
        <f t="shared" si="608"/>
        <v>2019</v>
      </c>
      <c r="H764" s="48">
        <f t="shared" si="608"/>
        <v>1603714.1720507673</v>
      </c>
      <c r="I764" s="43">
        <f t="shared" si="608"/>
        <v>2021</v>
      </c>
      <c r="J764" s="43">
        <f t="shared" si="608"/>
        <v>15</v>
      </c>
      <c r="K764" s="43">
        <f t="shared" si="608"/>
        <v>1</v>
      </c>
      <c r="L764" s="48">
        <f t="shared" si="608"/>
        <v>1393114.426977061</v>
      </c>
      <c r="N764" s="44">
        <f t="shared" si="558"/>
        <v>12.5</v>
      </c>
      <c r="P764" s="49">
        <f t="shared" si="580"/>
        <v>111449.15415816488</v>
      </c>
      <c r="Q764" s="49">
        <f t="shared" si="580"/>
        <v>111449.15415816486</v>
      </c>
      <c r="R764" s="49">
        <f t="shared" si="580"/>
        <v>111449.15415816486</v>
      </c>
      <c r="S764" s="49">
        <f t="shared" si="580"/>
        <v>111449.15415816486</v>
      </c>
      <c r="T764" s="49">
        <f t="shared" si="580"/>
        <v>111449.15415816486</v>
      </c>
      <c r="V764" s="53">
        <f t="shared" si="581"/>
        <v>1281665.272818896</v>
      </c>
      <c r="W764" s="53">
        <f t="shared" si="582"/>
        <v>1170216.1186607312</v>
      </c>
      <c r="X764" s="53">
        <f t="shared" si="583"/>
        <v>1058766.9645025665</v>
      </c>
      <c r="Y764" s="53">
        <f t="shared" si="584"/>
        <v>947317.81034440163</v>
      </c>
      <c r="Z764" s="53">
        <f t="shared" si="585"/>
        <v>835868.65618623677</v>
      </c>
      <c r="AB764" s="53">
        <f t="shared" si="559"/>
        <v>141656.38862577095</v>
      </c>
      <c r="AC764" s="53">
        <f t="shared" si="560"/>
        <v>137322.63254175364</v>
      </c>
      <c r="AD764" s="53">
        <f t="shared" si="561"/>
        <v>134189.79681836764</v>
      </c>
      <c r="AE764" s="53">
        <f t="shared" si="562"/>
        <v>131056.9610949816</v>
      </c>
      <c r="AF764" s="53">
        <f t="shared" si="563"/>
        <v>127924.1253715956</v>
      </c>
    </row>
    <row r="765" spans="2:32">
      <c r="B765" s="43" t="str">
        <f t="shared" si="556"/>
        <v>Asset 229</v>
      </c>
      <c r="F765" s="43" t="str">
        <f t="shared" ref="F765:L765" si="609">F269</f>
        <v>39 ICT middelen 3 (balancering)</v>
      </c>
      <c r="G765" s="43">
        <f t="shared" si="609"/>
        <v>2019</v>
      </c>
      <c r="H765" s="48">
        <f t="shared" si="609"/>
        <v>315883</v>
      </c>
      <c r="I765" s="43">
        <f t="shared" si="609"/>
        <v>2021</v>
      </c>
      <c r="J765" s="43">
        <f t="shared" si="609"/>
        <v>15</v>
      </c>
      <c r="K765" s="43">
        <f t="shared" si="609"/>
        <v>0</v>
      </c>
      <c r="L765" s="48">
        <f t="shared" si="609"/>
        <v>274401.24443999998</v>
      </c>
      <c r="N765" s="44">
        <f t="shared" si="558"/>
        <v>12.5</v>
      </c>
      <c r="P765" s="49">
        <f t="shared" si="580"/>
        <v>21952.099555199999</v>
      </c>
      <c r="Q765" s="49">
        <f t="shared" si="580"/>
        <v>21952.099555199999</v>
      </c>
      <c r="R765" s="49">
        <f t="shared" si="580"/>
        <v>21952.099555199999</v>
      </c>
      <c r="S765" s="49">
        <f t="shared" si="580"/>
        <v>21952.099555199999</v>
      </c>
      <c r="T765" s="49">
        <f t="shared" si="580"/>
        <v>21952.099555199999</v>
      </c>
      <c r="V765" s="53">
        <f t="shared" si="581"/>
        <v>252449.14488479999</v>
      </c>
      <c r="W765" s="53">
        <f t="shared" si="582"/>
        <v>230497.04532959999</v>
      </c>
      <c r="X765" s="53">
        <f t="shared" si="583"/>
        <v>208544.9457744</v>
      </c>
      <c r="Y765" s="53">
        <f t="shared" si="584"/>
        <v>186592.8462192</v>
      </c>
      <c r="Z765" s="53">
        <f t="shared" si="585"/>
        <v>164640.74666400001</v>
      </c>
      <c r="AB765" s="53">
        <f t="shared" si="559"/>
        <v>29778.023046628798</v>
      </c>
      <c r="AC765" s="53">
        <f t="shared" si="560"/>
        <v>28867.010915087998</v>
      </c>
      <c r="AD765" s="53">
        <f t="shared" si="561"/>
        <v>28208.447928431997</v>
      </c>
      <c r="AE765" s="53">
        <f t="shared" si="562"/>
        <v>27549.884941775999</v>
      </c>
      <c r="AF765" s="53">
        <f t="shared" si="563"/>
        <v>26891.321955119998</v>
      </c>
    </row>
    <row r="766" spans="2:32">
      <c r="B766" s="43" t="str">
        <f t="shared" si="556"/>
        <v>Asset 230</v>
      </c>
      <c r="F766" s="43" t="str">
        <f t="shared" ref="F766:L766" si="610">F270</f>
        <v>39 ICT middelen 3</v>
      </c>
      <c r="G766" s="43">
        <f t="shared" si="610"/>
        <v>2020</v>
      </c>
      <c r="H766" s="48">
        <f t="shared" si="610"/>
        <v>437.7361508808076</v>
      </c>
      <c r="I766" s="43">
        <f t="shared" si="610"/>
        <v>2021</v>
      </c>
      <c r="J766" s="43">
        <f t="shared" si="610"/>
        <v>15</v>
      </c>
      <c r="K766" s="43">
        <f t="shared" si="610"/>
        <v>1</v>
      </c>
      <c r="L766" s="48">
        <f t="shared" si="610"/>
        <v>400.26593636541048</v>
      </c>
      <c r="N766" s="44">
        <f t="shared" si="558"/>
        <v>13.5</v>
      </c>
      <c r="P766" s="49">
        <f t="shared" si="580"/>
        <v>29.649328619660036</v>
      </c>
      <c r="Q766" s="49">
        <f t="shared" si="580"/>
        <v>29.649328619660036</v>
      </c>
      <c r="R766" s="49">
        <f t="shared" si="580"/>
        <v>29.649328619660036</v>
      </c>
      <c r="S766" s="49">
        <f t="shared" si="580"/>
        <v>29.649328619660036</v>
      </c>
      <c r="T766" s="49">
        <f t="shared" si="580"/>
        <v>29.649328619660036</v>
      </c>
      <c r="V766" s="53">
        <f t="shared" si="581"/>
        <v>370.61660774575046</v>
      </c>
      <c r="W766" s="53">
        <f t="shared" si="582"/>
        <v>340.96727912609043</v>
      </c>
      <c r="X766" s="53">
        <f t="shared" si="583"/>
        <v>311.31795050643041</v>
      </c>
      <c r="Y766" s="53">
        <f t="shared" si="584"/>
        <v>281.66862188677038</v>
      </c>
      <c r="Z766" s="53">
        <f t="shared" si="585"/>
        <v>252.01929326711036</v>
      </c>
      <c r="AB766" s="53">
        <f t="shared" si="559"/>
        <v>38.546721521812273</v>
      </c>
      <c r="AC766" s="53">
        <f t="shared" si="560"/>
        <v>37.366011132855853</v>
      </c>
      <c r="AD766" s="53">
        <f t="shared" si="561"/>
        <v>36.532568505357212</v>
      </c>
      <c r="AE766" s="53">
        <f t="shared" si="562"/>
        <v>35.69912587785857</v>
      </c>
      <c r="AF766" s="53">
        <f t="shared" si="563"/>
        <v>34.865683250359929</v>
      </c>
    </row>
    <row r="767" spans="2:32">
      <c r="B767" s="43" t="str">
        <f t="shared" si="556"/>
        <v>Asset 231</v>
      </c>
      <c r="F767" s="43" t="str">
        <f t="shared" ref="F767:L767" si="611">F271</f>
        <v>05 Wegen en terreinvoorzieningen</v>
      </c>
      <c r="G767" s="43">
        <f t="shared" si="611"/>
        <v>2020</v>
      </c>
      <c r="H767" s="48">
        <f t="shared" si="611"/>
        <v>274981.09053004743</v>
      </c>
      <c r="I767" s="43">
        <f t="shared" si="611"/>
        <v>2021</v>
      </c>
      <c r="J767" s="43">
        <f t="shared" si="611"/>
        <v>10</v>
      </c>
      <c r="K767" s="43">
        <f t="shared" si="611"/>
        <v>0</v>
      </c>
      <c r="L767" s="48">
        <f t="shared" si="611"/>
        <v>237473.66978174893</v>
      </c>
      <c r="N767" s="44">
        <f t="shared" si="558"/>
        <v>8.5</v>
      </c>
      <c r="P767" s="49">
        <f t="shared" si="580"/>
        <v>27938.078797852817</v>
      </c>
      <c r="Q767" s="49">
        <f t="shared" si="580"/>
        <v>27938.078797852813</v>
      </c>
      <c r="R767" s="49">
        <f t="shared" si="580"/>
        <v>27938.078797852813</v>
      </c>
      <c r="S767" s="49">
        <f t="shared" si="580"/>
        <v>27938.078797852813</v>
      </c>
      <c r="T767" s="49">
        <f t="shared" si="580"/>
        <v>27938.078797852813</v>
      </c>
      <c r="V767" s="53">
        <f t="shared" si="581"/>
        <v>209535.59098389611</v>
      </c>
      <c r="W767" s="53">
        <f t="shared" si="582"/>
        <v>181597.51218604328</v>
      </c>
      <c r="X767" s="53">
        <f t="shared" si="583"/>
        <v>153659.43338819046</v>
      </c>
      <c r="Y767" s="53">
        <f t="shared" si="584"/>
        <v>125721.35459033765</v>
      </c>
      <c r="Z767" s="53">
        <f t="shared" si="585"/>
        <v>97783.275792484841</v>
      </c>
      <c r="AB767" s="53">
        <f t="shared" si="559"/>
        <v>34433.682118353594</v>
      </c>
      <c r="AC767" s="53">
        <f t="shared" si="560"/>
        <v>33386.004163434111</v>
      </c>
      <c r="AD767" s="53">
        <f t="shared" si="561"/>
        <v>32547.861799498525</v>
      </c>
      <c r="AE767" s="53">
        <f t="shared" si="562"/>
        <v>31709.719435562944</v>
      </c>
      <c r="AF767" s="53">
        <f t="shared" si="563"/>
        <v>30871.577071627358</v>
      </c>
    </row>
    <row r="768" spans="2:32">
      <c r="B768" s="43" t="str">
        <f t="shared" si="556"/>
        <v>Asset 232</v>
      </c>
      <c r="F768" s="43" t="str">
        <f t="shared" ref="F768:L768" si="612">F272</f>
        <v>04 Terreinen</v>
      </c>
      <c r="G768" s="43">
        <f t="shared" si="612"/>
        <v>2020</v>
      </c>
      <c r="H768" s="48">
        <f t="shared" si="612"/>
        <v>1155506.2616599156</v>
      </c>
      <c r="I768" s="43">
        <f t="shared" si="612"/>
        <v>2021</v>
      </c>
      <c r="J768" s="43">
        <f t="shared" si="612"/>
        <v>0</v>
      </c>
      <c r="K768" s="43">
        <f t="shared" si="612"/>
        <v>0</v>
      </c>
      <c r="L768" s="48">
        <f t="shared" si="612"/>
        <v>1173994.3618464742</v>
      </c>
      <c r="N768" s="44">
        <f t="shared" si="558"/>
        <v>0</v>
      </c>
      <c r="P768" s="49">
        <f t="shared" si="580"/>
        <v>0</v>
      </c>
      <c r="Q768" s="49">
        <f t="shared" si="580"/>
        <v>0</v>
      </c>
      <c r="R768" s="49">
        <f t="shared" si="580"/>
        <v>0</v>
      </c>
      <c r="S768" s="49">
        <f t="shared" si="580"/>
        <v>0</v>
      </c>
      <c r="T768" s="49">
        <f t="shared" si="580"/>
        <v>0</v>
      </c>
      <c r="V768" s="53">
        <f t="shared" si="581"/>
        <v>1173994.3618464742</v>
      </c>
      <c r="W768" s="53">
        <f t="shared" si="582"/>
        <v>1173994.3618464742</v>
      </c>
      <c r="X768" s="53">
        <f t="shared" si="583"/>
        <v>1173994.3618464742</v>
      </c>
      <c r="Y768" s="53">
        <f t="shared" si="584"/>
        <v>1173994.3618464742</v>
      </c>
      <c r="Z768" s="53">
        <f t="shared" si="585"/>
        <v>1173994.3618464742</v>
      </c>
      <c r="AB768" s="53">
        <f t="shared" si="559"/>
        <v>36393.825217240701</v>
      </c>
      <c r="AC768" s="53">
        <f t="shared" si="560"/>
        <v>35219.830855394226</v>
      </c>
      <c r="AD768" s="53">
        <f t="shared" si="561"/>
        <v>35219.830855394226</v>
      </c>
      <c r="AE768" s="53">
        <f t="shared" si="562"/>
        <v>35219.830855394226</v>
      </c>
      <c r="AF768" s="53">
        <f t="shared" si="563"/>
        <v>35219.830855394226</v>
      </c>
    </row>
    <row r="769" spans="2:32">
      <c r="B769" s="43" t="str">
        <f t="shared" si="556"/>
        <v>Asset 233</v>
      </c>
      <c r="F769" s="43" t="str">
        <f t="shared" ref="F769:L769" si="613">F273</f>
        <v>08 Inrichting gebouwen</v>
      </c>
      <c r="G769" s="43">
        <f t="shared" si="613"/>
        <v>2020</v>
      </c>
      <c r="H769" s="48">
        <f t="shared" si="613"/>
        <v>227204.18889764068</v>
      </c>
      <c r="I769" s="43">
        <f t="shared" si="613"/>
        <v>2021</v>
      </c>
      <c r="J769" s="43">
        <f t="shared" si="613"/>
        <v>10</v>
      </c>
      <c r="K769" s="43">
        <f t="shared" si="613"/>
        <v>0</v>
      </c>
      <c r="L769" s="48">
        <f t="shared" si="613"/>
        <v>196213.53753200249</v>
      </c>
      <c r="N769" s="44">
        <f t="shared" si="558"/>
        <v>8.5</v>
      </c>
      <c r="P769" s="49">
        <f t="shared" si="580"/>
        <v>23083.945592000295</v>
      </c>
      <c r="Q769" s="49">
        <f t="shared" si="580"/>
        <v>23083.945592000295</v>
      </c>
      <c r="R769" s="49">
        <f t="shared" si="580"/>
        <v>23083.945592000295</v>
      </c>
      <c r="S769" s="49">
        <f t="shared" si="580"/>
        <v>23083.945592000295</v>
      </c>
      <c r="T769" s="49">
        <f t="shared" si="580"/>
        <v>23083.945592000295</v>
      </c>
      <c r="V769" s="53">
        <f t="shared" si="581"/>
        <v>173129.5919400022</v>
      </c>
      <c r="W769" s="53">
        <f t="shared" si="582"/>
        <v>150045.6463480019</v>
      </c>
      <c r="X769" s="53">
        <f t="shared" si="583"/>
        <v>126961.70075600161</v>
      </c>
      <c r="Y769" s="53">
        <f t="shared" si="584"/>
        <v>103877.75516400131</v>
      </c>
      <c r="Z769" s="53">
        <f t="shared" si="585"/>
        <v>80793.809572001017</v>
      </c>
      <c r="AB769" s="53">
        <f t="shared" si="559"/>
        <v>28450.962942140362</v>
      </c>
      <c r="AC769" s="53">
        <f t="shared" si="560"/>
        <v>27585.314982440352</v>
      </c>
      <c r="AD769" s="53">
        <f t="shared" si="561"/>
        <v>26892.796614680345</v>
      </c>
      <c r="AE769" s="53">
        <f t="shared" si="562"/>
        <v>26200.278246920334</v>
      </c>
      <c r="AF769" s="53">
        <f t="shared" si="563"/>
        <v>25507.759879160323</v>
      </c>
    </row>
    <row r="770" spans="2:32">
      <c r="B770" s="43" t="str">
        <f t="shared" si="556"/>
        <v>Asset 234</v>
      </c>
      <c r="F770" s="43" t="str">
        <f t="shared" ref="F770:L770" si="614">F274</f>
        <v>11 Werktuigen</v>
      </c>
      <c r="G770" s="43">
        <f t="shared" si="614"/>
        <v>2020</v>
      </c>
      <c r="H770" s="48">
        <f t="shared" si="614"/>
        <v>880855.41897943604</v>
      </c>
      <c r="I770" s="43">
        <f t="shared" si="614"/>
        <v>2021</v>
      </c>
      <c r="J770" s="43">
        <f t="shared" si="614"/>
        <v>10</v>
      </c>
      <c r="K770" s="43">
        <f t="shared" si="614"/>
        <v>1</v>
      </c>
      <c r="L770" s="48">
        <f t="shared" si="614"/>
        <v>760706.73983064084</v>
      </c>
      <c r="N770" s="44">
        <f t="shared" si="558"/>
        <v>8.5</v>
      </c>
      <c r="P770" s="49">
        <f t="shared" si="580"/>
        <v>89494.91056831069</v>
      </c>
      <c r="Q770" s="49">
        <f t="shared" si="580"/>
        <v>89494.91056831069</v>
      </c>
      <c r="R770" s="49">
        <f t="shared" si="580"/>
        <v>89494.91056831069</v>
      </c>
      <c r="S770" s="49">
        <f t="shared" si="580"/>
        <v>89494.91056831069</v>
      </c>
      <c r="T770" s="49">
        <f t="shared" si="580"/>
        <v>89494.91056831069</v>
      </c>
      <c r="V770" s="53">
        <f t="shared" si="581"/>
        <v>671211.8292623302</v>
      </c>
      <c r="W770" s="53">
        <f t="shared" si="582"/>
        <v>581716.91869401955</v>
      </c>
      <c r="X770" s="53">
        <f t="shared" si="583"/>
        <v>492222.00812570885</v>
      </c>
      <c r="Y770" s="53">
        <f t="shared" si="584"/>
        <v>402727.09755739814</v>
      </c>
      <c r="Z770" s="53">
        <f t="shared" si="585"/>
        <v>313232.18698908744</v>
      </c>
      <c r="AB770" s="53">
        <f t="shared" si="559"/>
        <v>103353.42120709002</v>
      </c>
      <c r="AC770" s="53">
        <f t="shared" si="560"/>
        <v>100208.793786996</v>
      </c>
      <c r="AD770" s="53">
        <f t="shared" si="561"/>
        <v>97693.091850920784</v>
      </c>
      <c r="AE770" s="53">
        <f t="shared" si="562"/>
        <v>95177.389914845582</v>
      </c>
      <c r="AF770" s="53">
        <f t="shared" si="563"/>
        <v>92661.687978770366</v>
      </c>
    </row>
    <row r="771" spans="2:32">
      <c r="B771" s="43" t="str">
        <f t="shared" si="556"/>
        <v>Asset 235</v>
      </c>
      <c r="F771" s="43" t="str">
        <f t="shared" ref="F771:L771" si="615">F275</f>
        <v>14 Overig rollend materieel</v>
      </c>
      <c r="G771" s="43">
        <f t="shared" si="615"/>
        <v>2020</v>
      </c>
      <c r="H771" s="48">
        <f t="shared" si="615"/>
        <v>111163.8757407683</v>
      </c>
      <c r="I771" s="43">
        <f t="shared" si="615"/>
        <v>2021</v>
      </c>
      <c r="J771" s="43">
        <f t="shared" si="615"/>
        <v>10</v>
      </c>
      <c r="K771" s="43">
        <f t="shared" si="615"/>
        <v>1</v>
      </c>
      <c r="L771" s="48">
        <f t="shared" si="615"/>
        <v>96001.123089727509</v>
      </c>
      <c r="N771" s="44">
        <f t="shared" si="558"/>
        <v>8.5</v>
      </c>
      <c r="P771" s="49">
        <f t="shared" si="580"/>
        <v>11294.24977526206</v>
      </c>
      <c r="Q771" s="49">
        <f t="shared" si="580"/>
        <v>11294.24977526206</v>
      </c>
      <c r="R771" s="49">
        <f t="shared" si="580"/>
        <v>11294.24977526206</v>
      </c>
      <c r="S771" s="49">
        <f t="shared" si="580"/>
        <v>11294.24977526206</v>
      </c>
      <c r="T771" s="49">
        <f t="shared" si="580"/>
        <v>11294.24977526206</v>
      </c>
      <c r="V771" s="53">
        <f t="shared" si="581"/>
        <v>84706.873314465454</v>
      </c>
      <c r="W771" s="53">
        <f t="shared" si="582"/>
        <v>73412.6235392034</v>
      </c>
      <c r="X771" s="53">
        <f t="shared" si="583"/>
        <v>62118.373763941338</v>
      </c>
      <c r="Y771" s="53">
        <f t="shared" si="584"/>
        <v>50824.123988679275</v>
      </c>
      <c r="Z771" s="53">
        <f t="shared" si="585"/>
        <v>39529.874213417213</v>
      </c>
      <c r="AB771" s="53">
        <f t="shared" si="559"/>
        <v>13043.192588585829</v>
      </c>
      <c r="AC771" s="53">
        <f t="shared" si="560"/>
        <v>12646.340887107559</v>
      </c>
      <c r="AD771" s="53">
        <f t="shared" si="561"/>
        <v>12328.859525924943</v>
      </c>
      <c r="AE771" s="53">
        <f t="shared" si="562"/>
        <v>12011.378164742326</v>
      </c>
      <c r="AF771" s="53">
        <f t="shared" si="563"/>
        <v>11693.896803559708</v>
      </c>
    </row>
    <row r="772" spans="2:32">
      <c r="B772" s="43" t="str">
        <f t="shared" si="556"/>
        <v>Asset 236</v>
      </c>
      <c r="F772" s="43" t="str">
        <f t="shared" ref="F772:L772" si="616">F276</f>
        <v>38 ICT middelen 2</v>
      </c>
      <c r="G772" s="43">
        <f t="shared" si="616"/>
        <v>2020</v>
      </c>
      <c r="H772" s="48">
        <f t="shared" si="616"/>
        <v>2253829.6322485749</v>
      </c>
      <c r="I772" s="43">
        <f t="shared" si="616"/>
        <v>2021</v>
      </c>
      <c r="J772" s="43">
        <f t="shared" si="616"/>
        <v>10</v>
      </c>
      <c r="K772" s="43">
        <f t="shared" si="616"/>
        <v>1</v>
      </c>
      <c r="L772" s="48">
        <f t="shared" si="616"/>
        <v>1946407.2704098693</v>
      </c>
      <c r="N772" s="44">
        <f t="shared" si="558"/>
        <v>8.5</v>
      </c>
      <c r="P772" s="49">
        <f t="shared" si="580"/>
        <v>228989.09063645522</v>
      </c>
      <c r="Q772" s="49">
        <f t="shared" si="580"/>
        <v>228989.09063645522</v>
      </c>
      <c r="R772" s="49">
        <f t="shared" si="580"/>
        <v>228989.09063645522</v>
      </c>
      <c r="S772" s="49">
        <f t="shared" si="580"/>
        <v>228989.09063645522</v>
      </c>
      <c r="T772" s="49">
        <f t="shared" si="580"/>
        <v>228989.09063645522</v>
      </c>
      <c r="V772" s="53">
        <f t="shared" si="581"/>
        <v>1717418.179773414</v>
      </c>
      <c r="W772" s="53">
        <f t="shared" si="582"/>
        <v>1488429.0891369588</v>
      </c>
      <c r="X772" s="53">
        <f t="shared" si="583"/>
        <v>1259439.9985005036</v>
      </c>
      <c r="Y772" s="53">
        <f t="shared" si="584"/>
        <v>1030450.9078640484</v>
      </c>
      <c r="Z772" s="53">
        <f t="shared" si="585"/>
        <v>801461.81722759316</v>
      </c>
      <c r="AB772" s="53">
        <f t="shared" si="559"/>
        <v>264448.62379423692</v>
      </c>
      <c r="AC772" s="53">
        <f t="shared" si="560"/>
        <v>256402.51962199848</v>
      </c>
      <c r="AD772" s="53">
        <f t="shared" si="561"/>
        <v>249965.63628420769</v>
      </c>
      <c r="AE772" s="53">
        <f t="shared" si="562"/>
        <v>243528.75294641693</v>
      </c>
      <c r="AF772" s="53">
        <f t="shared" si="563"/>
        <v>237091.86960862621</v>
      </c>
    </row>
    <row r="773" spans="2:32">
      <c r="B773" s="43" t="str">
        <f t="shared" si="556"/>
        <v>Asset 237</v>
      </c>
      <c r="F773" s="43" t="str">
        <f t="shared" ref="F773:L773" si="617">F277</f>
        <v>20 Kantoorgebouwen</v>
      </c>
      <c r="G773" s="43">
        <f t="shared" si="617"/>
        <v>2020</v>
      </c>
      <c r="H773" s="48">
        <f t="shared" si="617"/>
        <v>715175.01653112471</v>
      </c>
      <c r="I773" s="43">
        <f t="shared" si="617"/>
        <v>2021</v>
      </c>
      <c r="J773" s="43">
        <f t="shared" si="617"/>
        <v>30</v>
      </c>
      <c r="K773" s="43">
        <f t="shared" si="617"/>
        <v>0</v>
      </c>
      <c r="L773" s="48">
        <f t="shared" si="617"/>
        <v>690286.92595584155</v>
      </c>
      <c r="N773" s="44">
        <f t="shared" si="558"/>
        <v>28.5</v>
      </c>
      <c r="P773" s="49">
        <f t="shared" si="580"/>
        <v>24220.593893187423</v>
      </c>
      <c r="Q773" s="49">
        <f t="shared" si="580"/>
        <v>24220.593893187423</v>
      </c>
      <c r="R773" s="49">
        <f t="shared" si="580"/>
        <v>24220.593893187423</v>
      </c>
      <c r="S773" s="49">
        <f t="shared" si="580"/>
        <v>24220.593893187423</v>
      </c>
      <c r="T773" s="49">
        <f t="shared" si="580"/>
        <v>24220.593893187423</v>
      </c>
      <c r="V773" s="53">
        <f t="shared" si="581"/>
        <v>666066.33206265408</v>
      </c>
      <c r="W773" s="53">
        <f t="shared" si="582"/>
        <v>641845.73816946661</v>
      </c>
      <c r="X773" s="53">
        <f t="shared" si="583"/>
        <v>617625.14427627914</v>
      </c>
      <c r="Y773" s="53">
        <f t="shared" si="584"/>
        <v>593404.55038309167</v>
      </c>
      <c r="Z773" s="53">
        <f t="shared" si="585"/>
        <v>569183.9564899042</v>
      </c>
      <c r="AB773" s="53">
        <f t="shared" si="559"/>
        <v>44868.6501871297</v>
      </c>
      <c r="AC773" s="53">
        <f t="shared" si="560"/>
        <v>43475.966038271421</v>
      </c>
      <c r="AD773" s="53">
        <f t="shared" si="561"/>
        <v>42749.348221475797</v>
      </c>
      <c r="AE773" s="53">
        <f t="shared" si="562"/>
        <v>42022.730404680173</v>
      </c>
      <c r="AF773" s="53">
        <f t="shared" si="563"/>
        <v>41296.112587884549</v>
      </c>
    </row>
    <row r="774" spans="2:32">
      <c r="B774" s="43" t="str">
        <f t="shared" si="556"/>
        <v>Asset 238</v>
      </c>
      <c r="F774" s="43" t="str">
        <f t="shared" ref="F774:L774" si="618">F278</f>
        <v>06 Utiliteitsgebouwen</v>
      </c>
      <c r="G774" s="43">
        <f t="shared" si="618"/>
        <v>2020</v>
      </c>
      <c r="H774" s="48">
        <f t="shared" si="618"/>
        <v>611310.12783119339</v>
      </c>
      <c r="I774" s="43">
        <f t="shared" si="618"/>
        <v>2021</v>
      </c>
      <c r="J774" s="43">
        <f t="shared" si="618"/>
        <v>30</v>
      </c>
      <c r="K774" s="43">
        <f t="shared" si="618"/>
        <v>0</v>
      </c>
      <c r="L774" s="48">
        <f t="shared" si="618"/>
        <v>590036.53538266791</v>
      </c>
      <c r="N774" s="44">
        <f t="shared" si="558"/>
        <v>28.5</v>
      </c>
      <c r="P774" s="49">
        <f t="shared" si="580"/>
        <v>20703.036329216418</v>
      </c>
      <c r="Q774" s="49">
        <f t="shared" si="580"/>
        <v>20703.036329216418</v>
      </c>
      <c r="R774" s="49">
        <f t="shared" si="580"/>
        <v>20703.036329216418</v>
      </c>
      <c r="S774" s="49">
        <f t="shared" si="580"/>
        <v>20703.036329216418</v>
      </c>
      <c r="T774" s="49">
        <f t="shared" si="580"/>
        <v>20703.036329216418</v>
      </c>
      <c r="V774" s="53">
        <f t="shared" si="581"/>
        <v>569333.49905345147</v>
      </c>
      <c r="W774" s="53">
        <f t="shared" si="582"/>
        <v>548630.46272423503</v>
      </c>
      <c r="X774" s="53">
        <f t="shared" si="583"/>
        <v>527927.42639501859</v>
      </c>
      <c r="Y774" s="53">
        <f t="shared" si="584"/>
        <v>507224.39006580214</v>
      </c>
      <c r="Z774" s="53">
        <f t="shared" si="585"/>
        <v>486521.3537365857</v>
      </c>
      <c r="AB774" s="53">
        <f t="shared" si="559"/>
        <v>38352.374799873418</v>
      </c>
      <c r="AC774" s="53">
        <f t="shared" si="560"/>
        <v>37161.950210943469</v>
      </c>
      <c r="AD774" s="53">
        <f t="shared" si="561"/>
        <v>36540.859121066977</v>
      </c>
      <c r="AE774" s="53">
        <f t="shared" si="562"/>
        <v>35919.768031190484</v>
      </c>
      <c r="AF774" s="53">
        <f t="shared" si="563"/>
        <v>35298.676941313985</v>
      </c>
    </row>
    <row r="775" spans="2:32">
      <c r="B775" s="43" t="str">
        <f t="shared" si="556"/>
        <v>Asset 239</v>
      </c>
      <c r="F775" s="43" t="str">
        <f t="shared" ref="F775:L775" si="619">F279</f>
        <v>08 Inrichting gebouwen</v>
      </c>
      <c r="G775" s="43">
        <f t="shared" si="619"/>
        <v>2021</v>
      </c>
      <c r="H775" s="48">
        <f t="shared" si="619"/>
        <v>384242.51972392667</v>
      </c>
      <c r="I775" s="43">
        <f t="shared" si="619"/>
        <v>2021</v>
      </c>
      <c r="J775" s="43">
        <f t="shared" si="619"/>
        <v>10</v>
      </c>
      <c r="K775" s="43">
        <f t="shared" si="619"/>
        <v>0</v>
      </c>
      <c r="L775" s="48">
        <f t="shared" si="619"/>
        <v>365030.39373773034</v>
      </c>
      <c r="N775" s="44">
        <f t="shared" si="558"/>
        <v>9.5</v>
      </c>
      <c r="P775" s="49">
        <f t="shared" si="580"/>
        <v>38424.251972392667</v>
      </c>
      <c r="Q775" s="49">
        <f t="shared" si="580"/>
        <v>38424.251972392667</v>
      </c>
      <c r="R775" s="49">
        <f t="shared" si="580"/>
        <v>38424.251972392667</v>
      </c>
      <c r="S775" s="49">
        <f t="shared" si="580"/>
        <v>38424.251972392667</v>
      </c>
      <c r="T775" s="49">
        <f t="shared" si="580"/>
        <v>38424.251972392667</v>
      </c>
      <c r="V775" s="53">
        <f t="shared" si="581"/>
        <v>326606.14176533767</v>
      </c>
      <c r="W775" s="53">
        <f t="shared" si="582"/>
        <v>288181.889792945</v>
      </c>
      <c r="X775" s="53">
        <f t="shared" si="583"/>
        <v>249757.63782055234</v>
      </c>
      <c r="Y775" s="53">
        <f t="shared" si="584"/>
        <v>211333.38584815967</v>
      </c>
      <c r="Z775" s="53">
        <f t="shared" si="585"/>
        <v>172909.133875767</v>
      </c>
      <c r="AB775" s="53">
        <f t="shared" si="559"/>
        <v>48549.042367118134</v>
      </c>
      <c r="AC775" s="53">
        <f t="shared" si="560"/>
        <v>47069.708666181017</v>
      </c>
      <c r="AD775" s="53">
        <f t="shared" si="561"/>
        <v>45916.98110700924</v>
      </c>
      <c r="AE775" s="53">
        <f t="shared" si="562"/>
        <v>44764.253547837456</v>
      </c>
      <c r="AF775" s="53">
        <f t="shared" si="563"/>
        <v>43611.525988665679</v>
      </c>
    </row>
    <row r="776" spans="2:32">
      <c r="B776" s="43" t="str">
        <f t="shared" si="556"/>
        <v>Asset 240</v>
      </c>
      <c r="F776" s="43" t="str">
        <f t="shared" ref="F776:L776" si="620">F280</f>
        <v>20 Kantoorgebouwen</v>
      </c>
      <c r="G776" s="43">
        <f t="shared" si="620"/>
        <v>2021</v>
      </c>
      <c r="H776" s="48">
        <f t="shared" si="620"/>
        <v>1098657.1778898467</v>
      </c>
      <c r="I776" s="43">
        <f t="shared" si="620"/>
        <v>2021</v>
      </c>
      <c r="J776" s="43">
        <f t="shared" si="620"/>
        <v>30</v>
      </c>
      <c r="K776" s="43">
        <f t="shared" si="620"/>
        <v>0</v>
      </c>
      <c r="L776" s="48">
        <f t="shared" si="620"/>
        <v>1080346.2249250161</v>
      </c>
      <c r="N776" s="44">
        <f t="shared" si="558"/>
        <v>29.5</v>
      </c>
      <c r="P776" s="49">
        <f t="shared" si="580"/>
        <v>36621.90592966156</v>
      </c>
      <c r="Q776" s="49">
        <f t="shared" si="580"/>
        <v>36621.90592966156</v>
      </c>
      <c r="R776" s="49">
        <f t="shared" si="580"/>
        <v>36621.90592966156</v>
      </c>
      <c r="S776" s="49">
        <f t="shared" si="580"/>
        <v>36621.90592966156</v>
      </c>
      <c r="T776" s="49">
        <f t="shared" si="580"/>
        <v>36621.90592966156</v>
      </c>
      <c r="V776" s="53">
        <f t="shared" si="581"/>
        <v>1043724.3189953545</v>
      </c>
      <c r="W776" s="53">
        <f t="shared" si="582"/>
        <v>1007102.4130656929</v>
      </c>
      <c r="X776" s="53">
        <f t="shared" si="583"/>
        <v>970480.50713603129</v>
      </c>
      <c r="Y776" s="53">
        <f t="shared" si="584"/>
        <v>933858.6012063697</v>
      </c>
      <c r="Z776" s="53">
        <f t="shared" si="585"/>
        <v>897236.69527670811</v>
      </c>
      <c r="AB776" s="53">
        <f t="shared" si="559"/>
        <v>68977.359818517551</v>
      </c>
      <c r="AC776" s="53">
        <f t="shared" si="560"/>
        <v>66834.978321632341</v>
      </c>
      <c r="AD776" s="53">
        <f t="shared" si="561"/>
        <v>65736.321143742505</v>
      </c>
      <c r="AE776" s="53">
        <f t="shared" si="562"/>
        <v>64637.663965852655</v>
      </c>
      <c r="AF776" s="53">
        <f t="shared" si="563"/>
        <v>63539.006787962804</v>
      </c>
    </row>
    <row r="777" spans="2:32">
      <c r="B777" s="43" t="str">
        <f t="shared" si="556"/>
        <v>Asset 241</v>
      </c>
      <c r="F777" s="43" t="str">
        <f t="shared" ref="F777:L777" si="621">F281</f>
        <v>03 Verremeting</v>
      </c>
      <c r="G777" s="43">
        <f t="shared" si="621"/>
        <v>1993</v>
      </c>
      <c r="H777" s="48">
        <f t="shared" si="621"/>
        <v>27208128.690000001</v>
      </c>
      <c r="I777" s="43">
        <f t="shared" si="621"/>
        <v>2021</v>
      </c>
      <c r="J777" s="43">
        <f t="shared" si="621"/>
        <v>5</v>
      </c>
      <c r="K777" s="43">
        <f t="shared" si="621"/>
        <v>1</v>
      </c>
      <c r="L777" s="48">
        <f t="shared" si="621"/>
        <v>0</v>
      </c>
      <c r="N777" s="44">
        <f t="shared" si="558"/>
        <v>0</v>
      </c>
      <c r="P777" s="49">
        <f t="shared" si="580"/>
        <v>0</v>
      </c>
      <c r="Q777" s="49">
        <f t="shared" si="580"/>
        <v>0</v>
      </c>
      <c r="R777" s="49">
        <f t="shared" si="580"/>
        <v>0</v>
      </c>
      <c r="S777" s="49">
        <f t="shared" si="580"/>
        <v>0</v>
      </c>
      <c r="T777" s="49">
        <f t="shared" si="580"/>
        <v>0</v>
      </c>
      <c r="V777" s="53">
        <f t="shared" si="581"/>
        <v>0</v>
      </c>
      <c r="W777" s="53">
        <f t="shared" si="582"/>
        <v>0</v>
      </c>
      <c r="X777" s="53">
        <f t="shared" si="583"/>
        <v>0</v>
      </c>
      <c r="Y777" s="53">
        <f t="shared" si="584"/>
        <v>0</v>
      </c>
      <c r="Z777" s="53">
        <f t="shared" si="585"/>
        <v>0</v>
      </c>
      <c r="AB777" s="53">
        <f t="shared" si="559"/>
        <v>0</v>
      </c>
      <c r="AC777" s="53">
        <f t="shared" si="560"/>
        <v>0</v>
      </c>
      <c r="AD777" s="53">
        <f t="shared" si="561"/>
        <v>0</v>
      </c>
      <c r="AE777" s="53">
        <f t="shared" si="562"/>
        <v>0</v>
      </c>
      <c r="AF777" s="53">
        <f t="shared" si="563"/>
        <v>0</v>
      </c>
    </row>
    <row r="778" spans="2:32">
      <c r="B778" s="43" t="str">
        <f t="shared" si="556"/>
        <v>Asset 242</v>
      </c>
      <c r="F778" s="43" t="str">
        <f t="shared" ref="F778:L778" si="622">F282</f>
        <v>06 Utiliteitsgebouwen</v>
      </c>
      <c r="G778" s="43">
        <f t="shared" si="622"/>
        <v>2021</v>
      </c>
      <c r="H778" s="48">
        <f t="shared" si="622"/>
        <v>114485.52709029273</v>
      </c>
      <c r="I778" s="43">
        <f t="shared" si="622"/>
        <v>2021</v>
      </c>
      <c r="J778" s="43">
        <f t="shared" si="622"/>
        <v>30</v>
      </c>
      <c r="K778" s="43">
        <f t="shared" si="622"/>
        <v>0</v>
      </c>
      <c r="L778" s="48">
        <f t="shared" si="622"/>
        <v>112577.43497212119</v>
      </c>
      <c r="N778" s="44">
        <f t="shared" si="558"/>
        <v>29.5</v>
      </c>
      <c r="P778" s="49">
        <f t="shared" si="580"/>
        <v>3816.184236343091</v>
      </c>
      <c r="Q778" s="49">
        <f t="shared" si="580"/>
        <v>3816.184236343091</v>
      </c>
      <c r="R778" s="49">
        <f t="shared" si="580"/>
        <v>3816.184236343091</v>
      </c>
      <c r="S778" s="49">
        <f t="shared" si="580"/>
        <v>3816.184236343091</v>
      </c>
      <c r="T778" s="49">
        <f t="shared" si="580"/>
        <v>3816.184236343091</v>
      </c>
      <c r="V778" s="53">
        <f t="shared" si="581"/>
        <v>108761.2507357781</v>
      </c>
      <c r="W778" s="53">
        <f t="shared" si="582"/>
        <v>104945.06649943501</v>
      </c>
      <c r="X778" s="53">
        <f t="shared" si="583"/>
        <v>101128.88226309192</v>
      </c>
      <c r="Y778" s="53">
        <f t="shared" si="584"/>
        <v>97312.698026748825</v>
      </c>
      <c r="Z778" s="53">
        <f t="shared" si="585"/>
        <v>93496.513790405734</v>
      </c>
      <c r="AB778" s="53">
        <f t="shared" si="559"/>
        <v>7187.7830091522119</v>
      </c>
      <c r="AC778" s="53">
        <f t="shared" si="560"/>
        <v>6964.5362313261412</v>
      </c>
      <c r="AD778" s="53">
        <f t="shared" si="561"/>
        <v>6850.0507042358486</v>
      </c>
      <c r="AE778" s="53">
        <f t="shared" si="562"/>
        <v>6735.5651771455559</v>
      </c>
      <c r="AF778" s="53">
        <f t="shared" si="563"/>
        <v>6621.0796500552624</v>
      </c>
    </row>
    <row r="779" spans="2:32">
      <c r="B779" s="43" t="str">
        <f t="shared" si="556"/>
        <v>Asset 243</v>
      </c>
      <c r="F779" s="43" t="str">
        <f t="shared" ref="F779:L779" si="623">F283</f>
        <v>38 ICT middelen 2</v>
      </c>
      <c r="G779" s="43">
        <f t="shared" si="623"/>
        <v>2019</v>
      </c>
      <c r="H779" s="48">
        <f t="shared" si="623"/>
        <v>5155994.869123158</v>
      </c>
      <c r="I779" s="43">
        <f t="shared" si="623"/>
        <v>2021</v>
      </c>
      <c r="J779" s="43">
        <f t="shared" si="623"/>
        <v>10</v>
      </c>
      <c r="K779" s="43">
        <f t="shared" si="623"/>
        <v>1</v>
      </c>
      <c r="L779" s="48">
        <f t="shared" si="623"/>
        <v>4031018.6606189152</v>
      </c>
      <c r="N779" s="44">
        <f t="shared" si="558"/>
        <v>7.5</v>
      </c>
      <c r="P779" s="49">
        <f t="shared" si="580"/>
        <v>537469.15474918869</v>
      </c>
      <c r="Q779" s="49">
        <f t="shared" si="580"/>
        <v>537469.15474918869</v>
      </c>
      <c r="R779" s="49">
        <f t="shared" si="580"/>
        <v>537469.15474918869</v>
      </c>
      <c r="S779" s="49">
        <f t="shared" si="580"/>
        <v>537469.15474918869</v>
      </c>
      <c r="T779" s="49">
        <f t="shared" si="580"/>
        <v>537469.15474918869</v>
      </c>
      <c r="V779" s="53">
        <f t="shared" si="581"/>
        <v>3493549.5058697267</v>
      </c>
      <c r="W779" s="53">
        <f t="shared" si="582"/>
        <v>2956080.3511205381</v>
      </c>
      <c r="X779" s="53">
        <f t="shared" si="583"/>
        <v>2418611.1963713495</v>
      </c>
      <c r="Y779" s="53">
        <f t="shared" si="584"/>
        <v>1881142.0416221609</v>
      </c>
      <c r="Z779" s="53">
        <f t="shared" si="585"/>
        <v>1343672.8868729724</v>
      </c>
      <c r="AB779" s="53">
        <f t="shared" si="559"/>
        <v>605085.73049698782</v>
      </c>
      <c r="AC779" s="53">
        <f t="shared" si="560"/>
        <v>586704.01666998817</v>
      </c>
      <c r="AD779" s="53">
        <f t="shared" si="561"/>
        <v>571595.75872998848</v>
      </c>
      <c r="AE779" s="53">
        <f t="shared" si="562"/>
        <v>556487.50078998879</v>
      </c>
      <c r="AF779" s="53">
        <f t="shared" si="563"/>
        <v>541379.2428499891</v>
      </c>
    </row>
    <row r="781" spans="2:32" s="8" customFormat="1">
      <c r="B781" s="8" t="s">
        <v>976</v>
      </c>
      <c r="D781" s="8" t="s">
        <v>175</v>
      </c>
      <c r="G781" s="52"/>
      <c r="H781" s="52">
        <v>2021</v>
      </c>
      <c r="I781" s="52">
        <v>2022</v>
      </c>
      <c r="J781" s="52">
        <v>2023</v>
      </c>
      <c r="K781" s="52">
        <v>2024</v>
      </c>
      <c r="L781" s="52">
        <v>2025</v>
      </c>
      <c r="M781" s="52">
        <v>2026</v>
      </c>
      <c r="O781" s="8" t="s">
        <v>178</v>
      </c>
    </row>
    <row r="783" spans="2:32">
      <c r="B783" s="3" t="s">
        <v>977</v>
      </c>
      <c r="D783" s="3" t="s">
        <v>183</v>
      </c>
      <c r="I783" s="53">
        <f>SUM(AJ289:AJ531)</f>
        <v>44945661.029462948</v>
      </c>
      <c r="J783" s="53">
        <f t="shared" ref="J783:M783" si="624">SUM(AK289:AK531)</f>
        <v>30125167.514652923</v>
      </c>
      <c r="K783" s="53">
        <f t="shared" si="624"/>
        <v>25964804.780665018</v>
      </c>
      <c r="L783" s="53">
        <f t="shared" si="624"/>
        <v>21019161.988463033</v>
      </c>
      <c r="M783" s="53">
        <f t="shared" si="624"/>
        <v>16361515.647057924</v>
      </c>
    </row>
    <row r="784" spans="2:32">
      <c r="B784" s="3" t="s">
        <v>978</v>
      </c>
      <c r="D784" s="3" t="s">
        <v>183</v>
      </c>
      <c r="I784" s="53">
        <f>SUM(AB537:AB779)</f>
        <v>37151869.655850686</v>
      </c>
      <c r="J784" s="53">
        <f t="shared" ref="J784:M784" si="625">SUM(AC537:AC779)</f>
        <v>31525184.265595473</v>
      </c>
      <c r="K784" s="53">
        <f t="shared" si="625"/>
        <v>27200902.464390874</v>
      </c>
      <c r="L784" s="53">
        <f t="shared" si="625"/>
        <v>22290656.28625707</v>
      </c>
      <c r="M784" s="53">
        <f t="shared" si="625"/>
        <v>17215001.964217924</v>
      </c>
    </row>
    <row r="785" spans="2:16">
      <c r="B785" s="3" t="s">
        <v>979</v>
      </c>
      <c r="D785" s="3" t="s">
        <v>183</v>
      </c>
      <c r="H785" s="187">
        <f>MAX(SUM(M41:M283),H786)</f>
        <v>209794907.50521782</v>
      </c>
      <c r="K785" s="23"/>
      <c r="O785" s="3" t="s">
        <v>980</v>
      </c>
    </row>
    <row r="786" spans="2:16">
      <c r="B786" s="3" t="s">
        <v>981</v>
      </c>
      <c r="D786" s="3" t="s">
        <v>183</v>
      </c>
      <c r="H786" s="49">
        <f>SUM(N289:N531)</f>
        <v>209794907.50521782</v>
      </c>
    </row>
    <row r="787" spans="2:16">
      <c r="B787" s="3" t="s">
        <v>982</v>
      </c>
      <c r="D787" s="3" t="s">
        <v>183</v>
      </c>
      <c r="J787" s="187">
        <f>(-H785+H786)*J33+(-I783+I784)*J33+(-J783+J784)</f>
        <v>-6549650.450141957</v>
      </c>
      <c r="K787" s="57">
        <f>-K783+K784</f>
        <v>1236097.6837258562</v>
      </c>
      <c r="L787" s="57">
        <f>-L783+L784</f>
        <v>1271494.2977940366</v>
      </c>
      <c r="M787" s="57">
        <f t="shared" ref="M787" si="626">-M783+M784</f>
        <v>853486.31715999916</v>
      </c>
      <c r="N787" s="183"/>
      <c r="O787" s="3" t="s">
        <v>983</v>
      </c>
    </row>
    <row r="790" spans="2:16">
      <c r="P790" s="97"/>
    </row>
  </sheetData>
  <mergeCells count="2">
    <mergeCell ref="B5:D5"/>
    <mergeCell ref="B8:D8"/>
  </mergeCells>
  <phoneticPr fontId="4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B2:S153"/>
  <sheetViews>
    <sheetView showGridLines="0" zoomScale="90" zoomScaleNormal="90" workbookViewId="0">
      <pane xSplit="4" ySplit="10" topLeftCell="E11" activePane="bottomRight" state="frozen"/>
      <selection pane="topRight"/>
      <selection pane="bottomLeft"/>
      <selection pane="bottomRight"/>
    </sheetView>
  </sheetViews>
  <sheetFormatPr defaultColWidth="9.140625" defaultRowHeight="12.75"/>
  <cols>
    <col min="1" max="1" width="2.7109375" style="3" customWidth="1"/>
    <col min="2" max="2" width="90.7109375" style="3" bestFit="1" customWidth="1"/>
    <col min="3" max="3" width="2.7109375" style="3" customWidth="1"/>
    <col min="4" max="4" width="14" style="3" bestFit="1" customWidth="1"/>
    <col min="5" max="5" width="2.7109375" style="3" customWidth="1"/>
    <col min="6" max="6" width="12.5703125" style="3" bestFit="1" customWidth="1"/>
    <col min="7" max="7" width="2.7109375" style="3" customWidth="1"/>
    <col min="8" max="9" width="10.85546875" style="3" bestFit="1" customWidth="1"/>
    <col min="10" max="10" width="11.28515625" style="3" bestFit="1" customWidth="1"/>
    <col min="11" max="11" width="9.28515625" style="3" bestFit="1" customWidth="1"/>
    <col min="12" max="12" width="13" style="3" bestFit="1" customWidth="1"/>
    <col min="13" max="14" width="12.28515625" style="3" bestFit="1" customWidth="1"/>
    <col min="15" max="15" width="12.7109375" style="3" bestFit="1" customWidth="1"/>
    <col min="16" max="17" width="12.28515625" style="3" bestFit="1" customWidth="1"/>
    <col min="18" max="18" width="2.7109375" style="3" customWidth="1"/>
    <col min="19" max="19" width="12.85546875" style="3" bestFit="1" customWidth="1"/>
    <col min="20" max="32" width="13.7109375" style="3" customWidth="1"/>
    <col min="33" max="16384" width="9.140625" style="3"/>
  </cols>
  <sheetData>
    <row r="2" spans="2:19" s="12" customFormat="1" ht="18">
      <c r="B2" s="12" t="s">
        <v>984</v>
      </c>
    </row>
    <row r="4" spans="2:19">
      <c r="B4" s="16" t="s">
        <v>786</v>
      </c>
      <c r="C4" s="2"/>
      <c r="L4"/>
    </row>
    <row r="5" spans="2:19" ht="16.5" customHeight="1">
      <c r="B5" s="322" t="s">
        <v>985</v>
      </c>
      <c r="C5" s="322"/>
      <c r="D5" s="322"/>
      <c r="F5" s="13"/>
    </row>
    <row r="6" spans="2:19">
      <c r="B6" s="4"/>
    </row>
    <row r="7" spans="2:19">
      <c r="B7" s="17" t="s">
        <v>471</v>
      </c>
    </row>
    <row r="8" spans="2:19" ht="28.5" customHeight="1">
      <c r="B8" s="322" t="s">
        <v>986</v>
      </c>
      <c r="C8" s="322"/>
      <c r="D8" s="322"/>
    </row>
    <row r="10" spans="2:19" s="8" customFormat="1">
      <c r="B10" s="8" t="s">
        <v>134</v>
      </c>
      <c r="D10" s="8" t="s">
        <v>175</v>
      </c>
      <c r="F10" s="8" t="s">
        <v>176</v>
      </c>
      <c r="H10" s="52">
        <v>2017</v>
      </c>
      <c r="I10" s="52">
        <v>2018</v>
      </c>
      <c r="J10" s="52">
        <v>2019</v>
      </c>
      <c r="K10" s="52">
        <v>2020</v>
      </c>
      <c r="L10" s="52">
        <v>2021</v>
      </c>
      <c r="M10" s="52">
        <v>2022</v>
      </c>
      <c r="N10" s="52">
        <v>2023</v>
      </c>
      <c r="O10" s="52">
        <v>2024</v>
      </c>
      <c r="P10" s="52">
        <v>2025</v>
      </c>
      <c r="Q10" s="52">
        <v>2026</v>
      </c>
      <c r="S10" s="8" t="s">
        <v>178</v>
      </c>
    </row>
    <row r="12" spans="2:19" s="8" customFormat="1">
      <c r="B12" s="8" t="s">
        <v>790</v>
      </c>
    </row>
    <row r="13" spans="2:19">
      <c r="P13" s="97"/>
    </row>
    <row r="14" spans="2:19">
      <c r="B14" s="2" t="s">
        <v>191</v>
      </c>
    </row>
    <row r="15" spans="2:19">
      <c r="B15" s="156" t="s">
        <v>189</v>
      </c>
      <c r="D15" s="3" t="s">
        <v>180</v>
      </c>
      <c r="H15" s="10"/>
      <c r="I15" s="10"/>
      <c r="J15" s="10"/>
      <c r="K15" s="10"/>
      <c r="L15" s="10"/>
      <c r="M15" s="61">
        <f>'2. Parameters'!M26</f>
        <v>0.04</v>
      </c>
      <c r="N15" s="10"/>
      <c r="O15" s="10"/>
      <c r="P15" s="10"/>
      <c r="Q15" s="10"/>
    </row>
    <row r="17" spans="2:17">
      <c r="B17" s="2" t="s">
        <v>193</v>
      </c>
    </row>
    <row r="18" spans="2:17">
      <c r="B18" s="3" t="s">
        <v>193</v>
      </c>
      <c r="D18" s="3" t="s">
        <v>180</v>
      </c>
      <c r="F18" s="186">
        <f>'2. Parameters'!F30</f>
        <v>0.01</v>
      </c>
    </row>
    <row r="19" spans="2:17">
      <c r="B19" s="16"/>
    </row>
    <row r="20" spans="2:17" s="98" customFormat="1">
      <c r="B20" s="115" t="s">
        <v>943</v>
      </c>
    </row>
    <row r="21" spans="2:17" s="98" customFormat="1">
      <c r="B21" s="98" t="s">
        <v>944</v>
      </c>
      <c r="D21" s="98" t="s">
        <v>180</v>
      </c>
      <c r="F21" s="86">
        <f>'2. Parameters'!F98</f>
        <v>0.25</v>
      </c>
    </row>
    <row r="22" spans="2:17">
      <c r="B22" s="3" t="s">
        <v>945</v>
      </c>
      <c r="D22" s="3" t="s">
        <v>180</v>
      </c>
      <c r="F22" s="86">
        <f>'2. Parameters'!F99</f>
        <v>0.2</v>
      </c>
    </row>
    <row r="24" spans="2:17">
      <c r="B24" s="2" t="s">
        <v>220</v>
      </c>
    </row>
    <row r="25" spans="2:17">
      <c r="B25" s="3" t="s">
        <v>220</v>
      </c>
      <c r="D25" s="3" t="s">
        <v>180</v>
      </c>
      <c r="F25" s="86">
        <f>'2. Parameters'!F94</f>
        <v>0.9</v>
      </c>
    </row>
    <row r="27" spans="2:17">
      <c r="B27" s="16" t="s">
        <v>214</v>
      </c>
    </row>
    <row r="28" spans="2:17">
      <c r="B28" s="32" t="s">
        <v>202</v>
      </c>
      <c r="D28" s="3" t="s">
        <v>216</v>
      </c>
      <c r="H28" s="10"/>
      <c r="I28" s="10"/>
      <c r="J28" s="10"/>
      <c r="K28" s="60">
        <f>'2. Parameters'!K72</f>
        <v>1</v>
      </c>
      <c r="L28" s="60">
        <f>'2. Parameters'!L72</f>
        <v>1.02</v>
      </c>
      <c r="M28" s="60">
        <f>'2. Parameters'!M72</f>
        <v>1.0404</v>
      </c>
      <c r="N28" s="60">
        <f>'2. Parameters'!N72</f>
        <v>1.0612079999999999</v>
      </c>
      <c r="O28" s="60">
        <f>'2. Parameters'!O72</f>
        <v>1.10365632</v>
      </c>
      <c r="P28" s="60">
        <f>'2. Parameters'!P72</f>
        <v>1.1478025728000001</v>
      </c>
      <c r="Q28" s="60">
        <f>'2. Parameters'!Q72</f>
        <v>1.1937146757120001</v>
      </c>
    </row>
    <row r="29" spans="2:17">
      <c r="B29" s="32" t="s">
        <v>203</v>
      </c>
      <c r="D29" s="3" t="s">
        <v>216</v>
      </c>
      <c r="H29" s="10"/>
      <c r="I29" s="10"/>
      <c r="J29" s="10"/>
      <c r="K29" s="10"/>
      <c r="L29" s="60">
        <f>'2. Parameters'!L73</f>
        <v>1</v>
      </c>
      <c r="M29" s="60">
        <f>'2. Parameters'!M73</f>
        <v>1.02</v>
      </c>
      <c r="N29" s="60">
        <f>'2. Parameters'!N73</f>
        <v>1.0404</v>
      </c>
      <c r="O29" s="60">
        <f>'2. Parameters'!O73</f>
        <v>1.0820160000000001</v>
      </c>
      <c r="P29" s="60">
        <f>'2. Parameters'!P73</f>
        <v>1.1252966400000002</v>
      </c>
      <c r="Q29" s="60">
        <f>'2. Parameters'!Q73</f>
        <v>1.1703085056000002</v>
      </c>
    </row>
    <row r="30" spans="2:17">
      <c r="B30" s="32" t="s">
        <v>204</v>
      </c>
      <c r="D30" s="3" t="s">
        <v>216</v>
      </c>
      <c r="H30" s="10"/>
      <c r="I30" s="10"/>
      <c r="J30" s="10"/>
      <c r="K30" s="10"/>
      <c r="L30" s="10"/>
      <c r="M30" s="60">
        <f>'2. Parameters'!M74</f>
        <v>1</v>
      </c>
      <c r="N30" s="60">
        <f>'2. Parameters'!N74</f>
        <v>1.02</v>
      </c>
      <c r="O30" s="60">
        <f>'2. Parameters'!O74</f>
        <v>1.0608</v>
      </c>
      <c r="P30" s="60">
        <f>'2. Parameters'!P74</f>
        <v>1.103232</v>
      </c>
      <c r="Q30" s="60">
        <f>'2. Parameters'!Q74</f>
        <v>1.1473612799999999</v>
      </c>
    </row>
    <row r="31" spans="2:17">
      <c r="B31" s="32" t="s">
        <v>205</v>
      </c>
      <c r="D31" s="3" t="s">
        <v>216</v>
      </c>
      <c r="H31" s="10"/>
      <c r="I31" s="10"/>
      <c r="J31" s="10"/>
      <c r="K31" s="10"/>
      <c r="L31" s="10"/>
      <c r="M31" s="10"/>
      <c r="N31" s="60">
        <f>'2. Parameters'!N75</f>
        <v>1</v>
      </c>
      <c r="O31" s="60">
        <f>'2. Parameters'!O75</f>
        <v>1.04</v>
      </c>
      <c r="P31" s="60">
        <f>'2. Parameters'!P75</f>
        <v>1.0816000000000001</v>
      </c>
      <c r="Q31" s="60">
        <f>'2. Parameters'!Q75</f>
        <v>1.1248640000000001</v>
      </c>
    </row>
    <row r="32" spans="2:17">
      <c r="B32" s="32" t="s">
        <v>206</v>
      </c>
      <c r="D32" s="3" t="s">
        <v>216</v>
      </c>
      <c r="H32" s="10"/>
      <c r="I32" s="10"/>
      <c r="J32" s="10"/>
      <c r="K32" s="10"/>
      <c r="L32" s="10"/>
      <c r="M32" s="10"/>
      <c r="N32" s="10"/>
      <c r="O32" s="60">
        <f>'2. Parameters'!O76</f>
        <v>1</v>
      </c>
      <c r="P32" s="60">
        <f>'2. Parameters'!P76</f>
        <v>1.04</v>
      </c>
      <c r="Q32" s="60">
        <f>'2. Parameters'!Q76</f>
        <v>1.0816000000000001</v>
      </c>
    </row>
    <row r="33" spans="2:17">
      <c r="B33" s="32" t="s">
        <v>207</v>
      </c>
      <c r="D33" s="3" t="s">
        <v>216</v>
      </c>
      <c r="H33" s="10"/>
      <c r="I33" s="10"/>
      <c r="J33" s="10"/>
      <c r="K33" s="10"/>
      <c r="L33" s="10"/>
      <c r="M33" s="10"/>
      <c r="N33" s="10"/>
      <c r="O33" s="10"/>
      <c r="P33" s="60">
        <f>'2. Parameters'!P77</f>
        <v>1</v>
      </c>
      <c r="Q33" s="60">
        <f>'2. Parameters'!Q77</f>
        <v>1.04</v>
      </c>
    </row>
    <row r="34" spans="2:17">
      <c r="B34" s="32" t="s">
        <v>208</v>
      </c>
      <c r="D34" s="3" t="s">
        <v>216</v>
      </c>
      <c r="H34" s="10"/>
      <c r="I34" s="10"/>
      <c r="J34" s="10"/>
      <c r="K34" s="10"/>
      <c r="L34" s="10"/>
      <c r="M34" s="10"/>
      <c r="N34" s="10"/>
      <c r="O34" s="10"/>
      <c r="P34" s="10"/>
      <c r="Q34" s="60">
        <f>'2. Parameters'!Q78</f>
        <v>1</v>
      </c>
    </row>
    <row r="36" spans="2:17">
      <c r="B36" s="2" t="s">
        <v>194</v>
      </c>
    </row>
    <row r="37" spans="2:17">
      <c r="B37" s="3" t="s">
        <v>946</v>
      </c>
      <c r="D37" s="3" t="s">
        <v>199</v>
      </c>
      <c r="H37" s="38">
        <f>'2. Parameters'!H38</f>
        <v>1</v>
      </c>
      <c r="I37" s="38">
        <f>'2. Parameters'!I38</f>
        <v>1.014</v>
      </c>
      <c r="J37" s="38">
        <f>'2. Parameters'!J38</f>
        <v>1.026168</v>
      </c>
      <c r="K37" s="38">
        <f>'2. Parameters'!K38</f>
        <v>1.052848368</v>
      </c>
      <c r="L37" s="38">
        <f>'2. Parameters'!L38</f>
        <v>1.069693941888</v>
      </c>
      <c r="M37" s="38">
        <f>'2. Parameters'!M38</f>
        <v>1.0889484328419841</v>
      </c>
      <c r="N37" s="38">
        <f>'2. Parameters'!N38</f>
        <v>1.1564632356781872</v>
      </c>
      <c r="O37" s="38">
        <f>'2. Parameters'!O38</f>
        <v>1.2489802945324422</v>
      </c>
      <c r="P37" s="38">
        <f>'2. Parameters'!P38</f>
        <v>1.2702129595394935</v>
      </c>
      <c r="Q37" s="38">
        <f>'2. Parameters'!Q38</f>
        <v>1.2918065798516647</v>
      </c>
    </row>
    <row r="38" spans="2:17">
      <c r="B38" s="3" t="s">
        <v>947</v>
      </c>
      <c r="D38" s="3" t="s">
        <v>199</v>
      </c>
      <c r="H38" s="10"/>
      <c r="I38" s="38">
        <f>'2. Parameters'!I39</f>
        <v>1</v>
      </c>
      <c r="J38" s="38">
        <f>'2. Parameters'!J39</f>
        <v>1.012</v>
      </c>
      <c r="K38" s="38">
        <f>'2. Parameters'!K39</f>
        <v>1.0383120000000001</v>
      </c>
      <c r="L38" s="38">
        <f>'2. Parameters'!L39</f>
        <v>1.0549249920000001</v>
      </c>
      <c r="M38" s="38">
        <f>'2. Parameters'!M39</f>
        <v>1.0739136418560002</v>
      </c>
      <c r="N38" s="38">
        <f>'2. Parameters'!N39</f>
        <v>1.1404962876510722</v>
      </c>
      <c r="O38" s="38">
        <f>'2. Parameters'!O39</f>
        <v>1.2317359906631582</v>
      </c>
      <c r="P38" s="38">
        <f>'2. Parameters'!P39</f>
        <v>1.2526755025044318</v>
      </c>
      <c r="Q38" s="38">
        <f>'2. Parameters'!Q39</f>
        <v>1.273970986047007</v>
      </c>
    </row>
    <row r="39" spans="2:17">
      <c r="B39" s="3" t="s">
        <v>948</v>
      </c>
      <c r="D39" s="3" t="s">
        <v>199</v>
      </c>
      <c r="H39" s="10"/>
      <c r="I39" s="10"/>
      <c r="J39" s="38">
        <f>'2. Parameters'!J40</f>
        <v>1</v>
      </c>
      <c r="K39" s="38">
        <f>'2. Parameters'!K40</f>
        <v>1.026</v>
      </c>
      <c r="L39" s="38">
        <f>'2. Parameters'!L40</f>
        <v>1.042416</v>
      </c>
      <c r="M39" s="38">
        <f>'2. Parameters'!M40</f>
        <v>1.0611794880000001</v>
      </c>
      <c r="N39" s="38">
        <f>'2. Parameters'!N40</f>
        <v>1.1269726162560001</v>
      </c>
      <c r="O39" s="38">
        <f>'2. Parameters'!O40</f>
        <v>1.2171304255564801</v>
      </c>
      <c r="P39" s="38">
        <f>'2. Parameters'!P40</f>
        <v>1.2378216427909401</v>
      </c>
      <c r="Q39" s="38">
        <f>'2. Parameters'!Q40</f>
        <v>1.2588646107183858</v>
      </c>
    </row>
    <row r="40" spans="2:17">
      <c r="B40" s="3" t="s">
        <v>793</v>
      </c>
      <c r="D40" s="3" t="s">
        <v>199</v>
      </c>
      <c r="H40" s="10"/>
      <c r="I40" s="10"/>
      <c r="J40" s="10"/>
      <c r="K40" s="38">
        <f>'2. Parameters'!K41</f>
        <v>1</v>
      </c>
      <c r="L40" s="38">
        <f>'2. Parameters'!L41</f>
        <v>1.016</v>
      </c>
      <c r="M40" s="38">
        <f>'2. Parameters'!M41</f>
        <v>1.0342880000000001</v>
      </c>
      <c r="N40" s="38">
        <f>'2. Parameters'!N41</f>
        <v>1.0984138560000001</v>
      </c>
      <c r="O40" s="38">
        <f>'2. Parameters'!O41</f>
        <v>1.1862869644800003</v>
      </c>
      <c r="P40" s="38">
        <f>'2. Parameters'!P41</f>
        <v>1.2064538428761602</v>
      </c>
      <c r="Q40" s="38">
        <f>'2. Parameters'!Q41</f>
        <v>1.2269635582050549</v>
      </c>
    </row>
    <row r="41" spans="2:17">
      <c r="B41" s="3" t="s">
        <v>794</v>
      </c>
      <c r="D41" s="3" t="s">
        <v>199</v>
      </c>
      <c r="H41" s="10"/>
      <c r="I41" s="10"/>
      <c r="J41" s="10"/>
      <c r="K41" s="10"/>
      <c r="L41" s="38">
        <f>'2. Parameters'!L42</f>
        <v>1</v>
      </c>
      <c r="M41" s="38">
        <f>'2. Parameters'!M42</f>
        <v>1.018</v>
      </c>
      <c r="N41" s="38">
        <f>'2. Parameters'!N42</f>
        <v>1.081116</v>
      </c>
      <c r="O41" s="38">
        <f>'2. Parameters'!O42</f>
        <v>1.1676052800000001</v>
      </c>
      <c r="P41" s="38">
        <f>'2. Parameters'!P42</f>
        <v>1.1874545697600001</v>
      </c>
      <c r="Q41" s="38">
        <f>'2. Parameters'!Q42</f>
        <v>1.2076412974459199</v>
      </c>
    </row>
    <row r="42" spans="2:17">
      <c r="B42" s="3" t="s">
        <v>795</v>
      </c>
      <c r="D42" s="3" t="s">
        <v>199</v>
      </c>
      <c r="H42" s="10"/>
      <c r="I42" s="10"/>
      <c r="J42" s="10"/>
      <c r="K42" s="10"/>
      <c r="L42" s="10"/>
      <c r="M42" s="38">
        <f>'2. Parameters'!M43</f>
        <v>1</v>
      </c>
      <c r="N42" s="38">
        <f>'2. Parameters'!N43</f>
        <v>1.0620000000000001</v>
      </c>
      <c r="O42" s="38">
        <f>'2. Parameters'!O43</f>
        <v>1.1469600000000002</v>
      </c>
      <c r="P42" s="38">
        <f>'2. Parameters'!P43</f>
        <v>1.16645832</v>
      </c>
      <c r="Q42" s="38">
        <f>'2. Parameters'!Q43</f>
        <v>1.1862881114399999</v>
      </c>
    </row>
    <row r="43" spans="2:17">
      <c r="B43" s="3" t="s">
        <v>796</v>
      </c>
      <c r="D43" s="3" t="s">
        <v>199</v>
      </c>
      <c r="H43" s="10"/>
      <c r="I43" s="10"/>
      <c r="J43" s="10"/>
      <c r="K43" s="10"/>
      <c r="L43" s="10"/>
      <c r="M43" s="10"/>
      <c r="N43" s="38">
        <f>'2. Parameters'!N44</f>
        <v>1</v>
      </c>
      <c r="O43" s="38">
        <f>'2. Parameters'!O44</f>
        <v>1.08</v>
      </c>
      <c r="P43" s="38">
        <f>'2. Parameters'!P44</f>
        <v>1.09836</v>
      </c>
      <c r="Q43" s="38">
        <f>'2. Parameters'!Q44</f>
        <v>1.11703212</v>
      </c>
    </row>
    <row r="44" spans="2:17">
      <c r="B44" s="3" t="s">
        <v>797</v>
      </c>
      <c r="D44" s="3" t="s">
        <v>199</v>
      </c>
      <c r="H44" s="10"/>
      <c r="I44" s="10"/>
      <c r="J44" s="10"/>
      <c r="K44" s="10"/>
      <c r="L44" s="10"/>
      <c r="M44" s="10"/>
      <c r="N44" s="10"/>
      <c r="O44" s="38">
        <f>'2. Parameters'!O45</f>
        <v>1</v>
      </c>
      <c r="P44" s="38">
        <f>'2. Parameters'!P45</f>
        <v>1.0169999999999999</v>
      </c>
      <c r="Q44" s="38">
        <f>'2. Parameters'!Q45</f>
        <v>1.0342889999999998</v>
      </c>
    </row>
    <row r="45" spans="2:17">
      <c r="B45" s="3" t="s">
        <v>798</v>
      </c>
      <c r="D45" s="3" t="s">
        <v>199</v>
      </c>
      <c r="H45" s="10"/>
      <c r="I45" s="10"/>
      <c r="J45" s="10"/>
      <c r="K45" s="10"/>
      <c r="L45" s="10"/>
      <c r="M45" s="10"/>
      <c r="N45" s="10"/>
      <c r="O45" s="10"/>
      <c r="P45" s="38">
        <f>'2. Parameters'!P46</f>
        <v>1</v>
      </c>
      <c r="Q45" s="38">
        <f>'2. Parameters'!Q46</f>
        <v>1.0169999999999999</v>
      </c>
    </row>
    <row r="46" spans="2:17">
      <c r="B46" s="3" t="s">
        <v>799</v>
      </c>
      <c r="D46" s="3" t="s">
        <v>199</v>
      </c>
      <c r="H46" s="10"/>
      <c r="I46" s="10"/>
      <c r="J46" s="10"/>
      <c r="K46" s="10"/>
      <c r="L46" s="10"/>
      <c r="M46" s="10"/>
      <c r="N46" s="10"/>
      <c r="O46" s="10"/>
      <c r="P46" s="10"/>
      <c r="Q46" s="38">
        <f>'2. Parameters'!Q47</f>
        <v>1</v>
      </c>
    </row>
    <row r="47" spans="2:17" ht="13.5" customHeight="1"/>
    <row r="48" spans="2:17">
      <c r="B48" s="2" t="s">
        <v>209</v>
      </c>
    </row>
    <row r="49" spans="2:17">
      <c r="B49" s="32" t="s">
        <v>198</v>
      </c>
      <c r="D49" s="3" t="s">
        <v>213</v>
      </c>
      <c r="H49" s="38">
        <f>'2. Parameters'!H55</f>
        <v>1</v>
      </c>
      <c r="I49" s="38">
        <f>'2. Parameters'!I55</f>
        <v>0.999</v>
      </c>
      <c r="J49" s="38">
        <f>'2. Parameters'!J55</f>
        <v>0.99800100000000003</v>
      </c>
      <c r="K49" s="38">
        <f>'2. Parameters'!K55</f>
        <v>0.997002999</v>
      </c>
      <c r="L49" s="38">
        <f>'2. Parameters'!L55</f>
        <v>0.99600599600100004</v>
      </c>
      <c r="M49" s="38">
        <f>'2. Parameters'!M55</f>
        <v>0.99202197201699605</v>
      </c>
      <c r="N49" s="38">
        <f>'2. Parameters'!N55</f>
        <v>0.98805388412892803</v>
      </c>
      <c r="O49" s="38">
        <f>'2. Parameters'!O55</f>
        <v>0.98410166859241233</v>
      </c>
      <c r="P49" s="38">
        <f>'2. Parameters'!P55</f>
        <v>0.98016526191804265</v>
      </c>
      <c r="Q49" s="38">
        <f>'2. Parameters'!Q55</f>
        <v>0.97624460087037046</v>
      </c>
    </row>
    <row r="50" spans="2:17">
      <c r="B50" s="32" t="s">
        <v>200</v>
      </c>
      <c r="D50" s="3" t="s">
        <v>213</v>
      </c>
      <c r="H50" s="10"/>
      <c r="I50" s="38">
        <f>'2. Parameters'!I56</f>
        <v>1</v>
      </c>
      <c r="J50" s="38">
        <f>'2. Parameters'!J56</f>
        <v>0.999</v>
      </c>
      <c r="K50" s="38">
        <f>'2. Parameters'!K56</f>
        <v>0.99800100000000003</v>
      </c>
      <c r="L50" s="38">
        <f>'2. Parameters'!L56</f>
        <v>0.997002999</v>
      </c>
      <c r="M50" s="38">
        <f>'2. Parameters'!M56</f>
        <v>0.99301498700400004</v>
      </c>
      <c r="N50" s="38">
        <f>'2. Parameters'!N56</f>
        <v>0.98904292705598407</v>
      </c>
      <c r="O50" s="38">
        <f>'2. Parameters'!O56</f>
        <v>0.98508675534776013</v>
      </c>
      <c r="P50" s="38">
        <f>'2. Parameters'!P56</f>
        <v>0.98114640832636912</v>
      </c>
      <c r="Q50" s="38">
        <f>'2. Parameters'!Q56</f>
        <v>0.97722182269306368</v>
      </c>
    </row>
    <row r="51" spans="2:17">
      <c r="B51" s="32" t="s">
        <v>201</v>
      </c>
      <c r="D51" s="3" t="s">
        <v>213</v>
      </c>
      <c r="H51" s="10"/>
      <c r="I51" s="10"/>
      <c r="J51" s="38">
        <f>'2. Parameters'!J57</f>
        <v>1</v>
      </c>
      <c r="K51" s="38">
        <f>'2. Parameters'!K57</f>
        <v>0.999</v>
      </c>
      <c r="L51" s="38">
        <f>'2. Parameters'!L57</f>
        <v>0.99800100000000003</v>
      </c>
      <c r="M51" s="38">
        <f>'2. Parameters'!M57</f>
        <v>0.99400899600000003</v>
      </c>
      <c r="N51" s="38">
        <f>'2. Parameters'!N57</f>
        <v>0.99003296001600005</v>
      </c>
      <c r="O51" s="38">
        <f>'2. Parameters'!O57</f>
        <v>0.986072828175936</v>
      </c>
      <c r="P51" s="38">
        <f>'2. Parameters'!P57</f>
        <v>0.9821285368632322</v>
      </c>
      <c r="Q51" s="38">
        <f>'2. Parameters'!Q57</f>
        <v>0.97820002271577933</v>
      </c>
    </row>
    <row r="52" spans="2:17">
      <c r="B52" s="32" t="s">
        <v>202</v>
      </c>
      <c r="D52" s="3" t="s">
        <v>213</v>
      </c>
      <c r="H52" s="10"/>
      <c r="I52" s="10"/>
      <c r="J52" s="10"/>
      <c r="K52" s="38">
        <f>'2. Parameters'!K58</f>
        <v>1</v>
      </c>
      <c r="L52" s="38">
        <f>'2. Parameters'!L58</f>
        <v>0.999</v>
      </c>
      <c r="M52" s="38">
        <f>'2. Parameters'!M58</f>
        <v>0.995004</v>
      </c>
      <c r="N52" s="38">
        <f>'2. Parameters'!N58</f>
        <v>0.99102398400000002</v>
      </c>
      <c r="O52" s="38">
        <f>'2. Parameters'!O58</f>
        <v>0.98705988806400002</v>
      </c>
      <c r="P52" s="38">
        <f>'2. Parameters'!P58</f>
        <v>0.98311164851174404</v>
      </c>
      <c r="Q52" s="38">
        <f>'2. Parameters'!Q58</f>
        <v>0.97917920191769703</v>
      </c>
    </row>
    <row r="53" spans="2:17">
      <c r="B53" s="32" t="s">
        <v>203</v>
      </c>
      <c r="D53" s="3" t="s">
        <v>213</v>
      </c>
      <c r="H53" s="10"/>
      <c r="I53" s="10"/>
      <c r="J53" s="10"/>
      <c r="K53" s="10"/>
      <c r="L53" s="38">
        <f>'2. Parameters'!L59</f>
        <v>1</v>
      </c>
      <c r="M53" s="38">
        <f>'2. Parameters'!M59</f>
        <v>0.996</v>
      </c>
      <c r="N53" s="38">
        <f>'2. Parameters'!N59</f>
        <v>0.99201600000000001</v>
      </c>
      <c r="O53" s="38">
        <f>'2. Parameters'!O59</f>
        <v>0.98804793599999996</v>
      </c>
      <c r="P53" s="38">
        <f>'2. Parameters'!P59</f>
        <v>0.98409574425599999</v>
      </c>
      <c r="Q53" s="38">
        <f>'2. Parameters'!Q59</f>
        <v>0.98015936127897596</v>
      </c>
    </row>
    <row r="54" spans="2:17">
      <c r="B54" s="32" t="s">
        <v>204</v>
      </c>
      <c r="D54" s="3" t="s">
        <v>213</v>
      </c>
      <c r="H54" s="10"/>
      <c r="I54" s="10"/>
      <c r="J54" s="10"/>
      <c r="K54" s="10"/>
      <c r="L54" s="10"/>
      <c r="M54" s="38">
        <f>'2. Parameters'!M60</f>
        <v>1</v>
      </c>
      <c r="N54" s="38">
        <f>'2. Parameters'!N60</f>
        <v>0.996</v>
      </c>
      <c r="O54" s="38">
        <f>'2. Parameters'!O60</f>
        <v>0.99201600000000001</v>
      </c>
      <c r="P54" s="38">
        <f>'2. Parameters'!P60</f>
        <v>0.98804793599999996</v>
      </c>
      <c r="Q54" s="38">
        <f>'2. Parameters'!Q60</f>
        <v>0.98409574425599999</v>
      </c>
    </row>
    <row r="55" spans="2:17">
      <c r="B55" s="32" t="s">
        <v>205</v>
      </c>
      <c r="D55" s="3" t="s">
        <v>213</v>
      </c>
      <c r="H55" s="10"/>
      <c r="I55" s="10"/>
      <c r="J55" s="10"/>
      <c r="K55" s="10"/>
      <c r="L55" s="10"/>
      <c r="M55" s="10"/>
      <c r="N55" s="38">
        <f>'2. Parameters'!N61</f>
        <v>1</v>
      </c>
      <c r="O55" s="38">
        <f>'2. Parameters'!O61</f>
        <v>0.996</v>
      </c>
      <c r="P55" s="38">
        <f>'2. Parameters'!P61</f>
        <v>0.99201600000000001</v>
      </c>
      <c r="Q55" s="38">
        <f>'2. Parameters'!Q61</f>
        <v>0.98804793599999996</v>
      </c>
    </row>
    <row r="56" spans="2:17">
      <c r="B56" s="32" t="s">
        <v>206</v>
      </c>
      <c r="D56" s="3" t="s">
        <v>213</v>
      </c>
      <c r="H56" s="10"/>
      <c r="I56" s="10"/>
      <c r="J56" s="10"/>
      <c r="K56" s="10"/>
      <c r="L56" s="10"/>
      <c r="M56" s="10"/>
      <c r="N56" s="10"/>
      <c r="O56" s="38">
        <f>'2. Parameters'!O62</f>
        <v>1</v>
      </c>
      <c r="P56" s="38">
        <f>'2. Parameters'!P62</f>
        <v>0.996</v>
      </c>
      <c r="Q56" s="38">
        <f>'2. Parameters'!Q62</f>
        <v>0.99201600000000001</v>
      </c>
    </row>
    <row r="57" spans="2:17">
      <c r="B57" s="32" t="s">
        <v>207</v>
      </c>
      <c r="D57" s="3" t="s">
        <v>213</v>
      </c>
      <c r="H57" s="10"/>
      <c r="I57" s="10"/>
      <c r="J57" s="10"/>
      <c r="K57" s="10"/>
      <c r="L57" s="10"/>
      <c r="M57" s="10"/>
      <c r="N57" s="10"/>
      <c r="O57" s="10"/>
      <c r="P57" s="38">
        <f>'2. Parameters'!P63</f>
        <v>1</v>
      </c>
      <c r="Q57" s="38">
        <f>'2. Parameters'!Q63</f>
        <v>0.996</v>
      </c>
    </row>
    <row r="58" spans="2:17" ht="15.75" customHeight="1">
      <c r="B58" s="32" t="s">
        <v>208</v>
      </c>
      <c r="D58" s="3" t="s">
        <v>213</v>
      </c>
      <c r="H58" s="10"/>
      <c r="I58" s="10"/>
      <c r="J58" s="10"/>
      <c r="K58" s="10"/>
      <c r="L58" s="10"/>
      <c r="M58" s="10"/>
      <c r="N58" s="10"/>
      <c r="O58" s="10"/>
      <c r="P58" s="10"/>
      <c r="Q58" s="38">
        <f>'2. Parameters'!Q64</f>
        <v>1</v>
      </c>
    </row>
    <row r="61" spans="2:17" s="8" customFormat="1">
      <c r="B61" s="8" t="s">
        <v>987</v>
      </c>
    </row>
    <row r="63" spans="2:17">
      <c r="B63" s="272" t="s">
        <v>475</v>
      </c>
    </row>
    <row r="64" spans="2:17">
      <c r="B64" s="175" t="s">
        <v>475</v>
      </c>
      <c r="D64" s="3" t="s">
        <v>180</v>
      </c>
      <c r="F64" s="186">
        <f>'7. Input incidentele correcties'!F17</f>
        <v>0.77</v>
      </c>
    </row>
    <row r="66" spans="2:17">
      <c r="B66" s="272" t="s">
        <v>476</v>
      </c>
      <c r="C66" s="272"/>
      <c r="D66" s="272"/>
    </row>
    <row r="67" spans="2:17">
      <c r="B67" s="3" t="s">
        <v>477</v>
      </c>
      <c r="D67" s="3" t="s">
        <v>183</v>
      </c>
      <c r="H67" s="10"/>
      <c r="I67" s="10"/>
      <c r="J67" s="10"/>
      <c r="K67" s="10"/>
      <c r="L67" s="10"/>
      <c r="M67" s="273">
        <f>'7. Input incidentele correcties'!M21</f>
        <v>7339829.2418518746</v>
      </c>
      <c r="N67" s="273">
        <f>'7. Input incidentele correcties'!N21</f>
        <v>6662159.7393988082</v>
      </c>
      <c r="O67" s="273">
        <f>'7. Input incidentele correcties'!O21</f>
        <v>6117183.5197096057</v>
      </c>
      <c r="P67" s="273">
        <f>'7. Input incidentele correcties'!P21</f>
        <v>5719048.4597574808</v>
      </c>
      <c r="Q67" s="273">
        <f>'7. Input incidentele correcties'!Q21</f>
        <v>5428026.4892949341</v>
      </c>
    </row>
    <row r="68" spans="2:17">
      <c r="B68" s="3" t="s">
        <v>478</v>
      </c>
      <c r="D68" s="3" t="s">
        <v>183</v>
      </c>
      <c r="H68" s="10"/>
      <c r="I68" s="10"/>
      <c r="J68" s="10"/>
      <c r="K68" s="10"/>
      <c r="L68" s="10"/>
      <c r="M68" s="273">
        <f>'7. Input incidentele correcties'!M22</f>
        <v>92112966.285529599</v>
      </c>
      <c r="N68" s="273">
        <f>'7. Input incidentele correcties'!N22</f>
        <v>85450806.546130821</v>
      </c>
      <c r="O68" s="273">
        <f>'7. Input incidentele correcties'!O22</f>
        <v>79333623.026421189</v>
      </c>
      <c r="P68" s="273">
        <f>'7. Input incidentele correcties'!P22</f>
        <v>73614574.566663712</v>
      </c>
      <c r="Q68" s="273">
        <f>'7. Input incidentele correcties'!Q22</f>
        <v>68186548.077368766</v>
      </c>
    </row>
    <row r="70" spans="2:17">
      <c r="B70" s="272" t="s">
        <v>988</v>
      </c>
      <c r="C70" s="272"/>
      <c r="D70" s="272"/>
    </row>
    <row r="71" spans="2:17">
      <c r="B71" s="3" t="s">
        <v>989</v>
      </c>
      <c r="D71" s="3" t="s">
        <v>183</v>
      </c>
      <c r="H71" s="10"/>
      <c r="I71" s="10"/>
      <c r="J71" s="10"/>
      <c r="K71" s="10"/>
      <c r="L71" s="10"/>
      <c r="M71" s="273">
        <f>'7. Input incidentele correcties'!M26</f>
        <v>6052.9332771623449</v>
      </c>
      <c r="N71" s="273">
        <f>'7. Input incidentele correcties'!N26</f>
        <v>7722.7165706565847</v>
      </c>
      <c r="O71" s="273">
        <f>'7. Input incidentele correcties'!O26</f>
        <v>9251.7888937002535</v>
      </c>
      <c r="P71" s="273">
        <f>'7. Input incidentele correcties'!P26</f>
        <v>11102.901610680246</v>
      </c>
      <c r="Q71" s="273">
        <f>'7. Input incidentele correcties'!Q26</f>
        <v>13027.607219895386</v>
      </c>
    </row>
    <row r="72" spans="2:17">
      <c r="B72" s="3" t="s">
        <v>990</v>
      </c>
      <c r="D72" s="3" t="s">
        <v>183</v>
      </c>
      <c r="H72" s="10"/>
      <c r="I72" s="10"/>
      <c r="J72" s="10"/>
      <c r="K72" s="10"/>
      <c r="L72" s="10"/>
      <c r="M72" s="273">
        <f>'7. Input incidentele correcties'!M27</f>
        <v>47430.283196204691</v>
      </c>
      <c r="N72" s="273">
        <f>'7. Input incidentele correcties'!N27</f>
        <v>59209.942482378799</v>
      </c>
      <c r="O72" s="273">
        <f>'7. Input incidentele correcties'!O27</f>
        <v>69712.734170089767</v>
      </c>
      <c r="P72" s="273">
        <f>'7. Input incidentele correcties'!P27</f>
        <v>78619.879376899567</v>
      </c>
      <c r="Q72" s="273">
        <f>'7. Input incidentele correcties'!Q27</f>
        <v>85861.088899937982</v>
      </c>
    </row>
    <row r="74" spans="2:17">
      <c r="B74" s="2" t="s">
        <v>991</v>
      </c>
    </row>
    <row r="75" spans="2:17">
      <c r="B75" s="3" t="s">
        <v>483</v>
      </c>
      <c r="D75" s="3" t="s">
        <v>183</v>
      </c>
      <c r="H75" s="10"/>
      <c r="I75" s="10"/>
      <c r="J75" s="10"/>
      <c r="K75" s="273">
        <f>'7. Input incidentele correcties'!K31</f>
        <v>18726.979850150987</v>
      </c>
      <c r="L75" s="273">
        <f>'7. Input incidentele correcties'!L31</f>
        <v>19007.584916225653</v>
      </c>
      <c r="M75" s="273">
        <f>'7. Input incidentele correcties'!M31</f>
        <v>19253.391004362278</v>
      </c>
      <c r="N75" s="273">
        <f>'7. Input incidentele correcties'!N31</f>
        <v>19502.375856830691</v>
      </c>
      <c r="O75" s="273">
        <f>'7. Input incidentele correcties'!O31</f>
        <v>19754.580581411225</v>
      </c>
      <c r="P75" s="273">
        <f>'7. Input incidentele correcties'!P31</f>
        <v>20010.046817490034</v>
      </c>
      <c r="Q75" s="273">
        <f>'7. Input incidentele correcties'!Q31</f>
        <v>20268.816742933814</v>
      </c>
    </row>
    <row r="77" spans="2:17">
      <c r="B77" s="2" t="s">
        <v>484</v>
      </c>
    </row>
    <row r="78" spans="2:17">
      <c r="B78" t="s">
        <v>485</v>
      </c>
      <c r="D78" s="3" t="s">
        <v>183</v>
      </c>
      <c r="H78" s="10"/>
      <c r="I78" s="10"/>
      <c r="J78" s="273">
        <f>'7. Input incidentele correcties'!J36</f>
        <v>4311221.7573385285</v>
      </c>
      <c r="K78" s="10"/>
      <c r="L78" s="10"/>
      <c r="M78" s="10"/>
      <c r="N78" s="10"/>
      <c r="O78" s="10"/>
      <c r="P78" s="10"/>
      <c r="Q78" s="10"/>
    </row>
    <row r="79" spans="2:17">
      <c r="B79" s="127" t="s">
        <v>486</v>
      </c>
      <c r="D79" s="3" t="s">
        <v>183</v>
      </c>
      <c r="H79" s="10"/>
      <c r="I79" s="10"/>
      <c r="J79" s="273">
        <f>'7. Input incidentele correcties'!J37</f>
        <v>5089135.5900731999</v>
      </c>
      <c r="K79" s="10"/>
      <c r="L79" s="10"/>
      <c r="M79" s="10"/>
      <c r="N79" s="10"/>
      <c r="O79" s="10"/>
      <c r="P79" s="10"/>
      <c r="Q79" s="10"/>
    </row>
    <row r="81" spans="2:17">
      <c r="B81" s="2" t="s">
        <v>484</v>
      </c>
    </row>
    <row r="82" spans="2:17">
      <c r="B82" s="3" t="s">
        <v>1084</v>
      </c>
      <c r="D82" s="3" t="s">
        <v>183</v>
      </c>
      <c r="H82" s="273">
        <f>'7. Input incidentele correcties'!H40</f>
        <v>1320509.5900000001</v>
      </c>
      <c r="I82" s="273">
        <f>'7. Input incidentele correcties'!I40</f>
        <v>1966066.3200000003</v>
      </c>
      <c r="J82" s="273">
        <f>'7. Input incidentele correcties'!J40</f>
        <v>1575548.13</v>
      </c>
      <c r="K82" s="10"/>
      <c r="L82" s="10"/>
      <c r="M82" s="10"/>
      <c r="N82" s="10"/>
      <c r="O82" s="10"/>
      <c r="P82" s="10"/>
      <c r="Q82" s="10"/>
    </row>
    <row r="84" spans="2:17" s="271" customFormat="1">
      <c r="B84" s="8" t="s">
        <v>992</v>
      </c>
    </row>
    <row r="86" spans="2:17">
      <c r="B86" s="2" t="s">
        <v>1082</v>
      </c>
    </row>
    <row r="87" spans="2:17">
      <c r="B87" s="3" t="s">
        <v>993</v>
      </c>
      <c r="D87" s="3" t="s">
        <v>183</v>
      </c>
      <c r="H87" s="10"/>
      <c r="I87" s="10"/>
      <c r="J87" s="10"/>
      <c r="K87" s="10"/>
      <c r="L87" s="10"/>
      <c r="M87" s="49">
        <f>M68*$M$15</f>
        <v>3684518.6514211842</v>
      </c>
      <c r="N87" s="274"/>
      <c r="O87" s="274"/>
      <c r="P87" s="274"/>
      <c r="Q87" s="274"/>
    </row>
    <row r="88" spans="2:17">
      <c r="B88" s="3" t="s">
        <v>994</v>
      </c>
      <c r="D88" s="3" t="s">
        <v>183</v>
      </c>
      <c r="H88" s="10"/>
      <c r="I88" s="10"/>
      <c r="J88" s="10"/>
      <c r="K88" s="10"/>
      <c r="L88" s="10"/>
      <c r="M88" s="49">
        <f>M67+M87</f>
        <v>11024347.893273059</v>
      </c>
      <c r="N88" s="10"/>
      <c r="O88" s="10"/>
      <c r="P88" s="10"/>
      <c r="Q88" s="10"/>
    </row>
    <row r="89" spans="2:17">
      <c r="B89" s="3" t="s">
        <v>995</v>
      </c>
      <c r="D89" s="3" t="s">
        <v>183</v>
      </c>
      <c r="H89" s="10"/>
      <c r="I89" s="10"/>
      <c r="J89" s="10"/>
      <c r="K89" s="10"/>
      <c r="L89" s="10"/>
      <c r="M89" s="10"/>
      <c r="N89" s="10"/>
      <c r="O89" s="49">
        <f>-$F$64*M88*O30</f>
        <v>-9004863.7487917263</v>
      </c>
      <c r="P89" s="10"/>
      <c r="Q89" s="10"/>
    </row>
    <row r="91" spans="2:17" s="271" customFormat="1">
      <c r="B91" s="8" t="s">
        <v>996</v>
      </c>
    </row>
    <row r="93" spans="2:17">
      <c r="B93" s="2" t="s">
        <v>997</v>
      </c>
    </row>
    <row r="94" spans="2:17">
      <c r="B94" s="3" t="s">
        <v>998</v>
      </c>
      <c r="D94" s="3" t="s">
        <v>183</v>
      </c>
      <c r="H94" s="10"/>
      <c r="I94" s="10"/>
      <c r="J94" s="10"/>
      <c r="K94" s="10"/>
      <c r="L94" s="10"/>
      <c r="M94" s="49">
        <f>M72*$M$15</f>
        <v>1897.2113278481877</v>
      </c>
      <c r="N94" s="274"/>
      <c r="O94" s="274"/>
      <c r="P94" s="274"/>
      <c r="Q94" s="274"/>
    </row>
    <row r="95" spans="2:17">
      <c r="B95" s="3" t="s">
        <v>999</v>
      </c>
      <c r="D95" s="3" t="s">
        <v>183</v>
      </c>
      <c r="H95" s="10"/>
      <c r="I95" s="10"/>
      <c r="J95" s="10"/>
      <c r="K95" s="10"/>
      <c r="L95" s="10"/>
      <c r="M95" s="49">
        <f>M71+M94</f>
        <v>7950.1446050105324</v>
      </c>
      <c r="N95" s="10"/>
      <c r="O95" s="10"/>
      <c r="P95" s="10"/>
      <c r="Q95" s="10"/>
    </row>
    <row r="96" spans="2:17">
      <c r="B96" s="3" t="s">
        <v>995</v>
      </c>
      <c r="D96" s="3" t="s">
        <v>183</v>
      </c>
      <c r="H96" s="10"/>
      <c r="I96" s="10"/>
      <c r="J96" s="10"/>
      <c r="K96" s="10"/>
      <c r="L96" s="10"/>
      <c r="M96" s="10"/>
      <c r="N96" s="10"/>
      <c r="O96" s="49">
        <f>-$F$64*M95*O30</f>
        <v>-6493.8053156862834</v>
      </c>
      <c r="P96" s="10"/>
      <c r="Q96" s="10"/>
    </row>
    <row r="98" spans="2:17" s="271" customFormat="1">
      <c r="B98" s="8" t="s">
        <v>1000</v>
      </c>
    </row>
    <row r="100" spans="2:17">
      <c r="B100" s="2" t="s">
        <v>1001</v>
      </c>
    </row>
    <row r="101" spans="2:17">
      <c r="B101" s="3" t="s">
        <v>1002</v>
      </c>
      <c r="D101" s="3" t="s">
        <v>183</v>
      </c>
      <c r="H101" s="10"/>
      <c r="I101" s="10"/>
      <c r="J101" s="10"/>
      <c r="K101" s="10"/>
      <c r="L101" s="10"/>
      <c r="M101" s="49">
        <f>SUM(J78:J79)*M39*M51</f>
        <v>9915703.3378574643</v>
      </c>
      <c r="N101" s="10"/>
      <c r="O101" s="10"/>
      <c r="P101" s="10"/>
      <c r="Q101" s="10"/>
    </row>
    <row r="103" spans="2:17">
      <c r="B103" s="2" t="s">
        <v>1003</v>
      </c>
    </row>
    <row r="104" spans="2:17">
      <c r="B104" s="3" t="s">
        <v>1004</v>
      </c>
      <c r="D104" s="3" t="s">
        <v>183</v>
      </c>
      <c r="H104" s="10"/>
      <c r="I104" s="10"/>
      <c r="J104" s="10"/>
      <c r="K104" s="10"/>
      <c r="L104" s="10"/>
      <c r="M104" s="49">
        <f>$F$18*$K$75*M40*M52</f>
        <v>192.72322558938845</v>
      </c>
      <c r="N104" s="10"/>
      <c r="O104" s="10"/>
      <c r="P104" s="10"/>
      <c r="Q104" s="10"/>
    </row>
    <row r="105" spans="2:17">
      <c r="B105" s="3" t="s">
        <v>1005</v>
      </c>
      <c r="D105" s="3" t="s">
        <v>183</v>
      </c>
      <c r="H105" s="10"/>
      <c r="I105" s="10"/>
      <c r="J105" s="10"/>
      <c r="K105" s="10"/>
      <c r="L105" s="10"/>
      <c r="M105" s="49">
        <f>$F$18*$L$75*M41*M53</f>
        <v>192.72322558938845</v>
      </c>
      <c r="N105" s="10"/>
      <c r="O105" s="10"/>
      <c r="P105" s="10"/>
      <c r="Q105" s="10"/>
    </row>
    <row r="106" spans="2:17">
      <c r="B106" s="3" t="s">
        <v>1006</v>
      </c>
      <c r="D106" s="3" t="s">
        <v>183</v>
      </c>
      <c r="H106" s="10"/>
      <c r="I106" s="10"/>
      <c r="J106" s="10"/>
      <c r="K106" s="10"/>
      <c r="L106" s="10"/>
      <c r="M106" s="49">
        <f>$F$18*$M$75*M42*M54</f>
        <v>192.5339100436228</v>
      </c>
      <c r="N106" s="10"/>
      <c r="O106" s="10"/>
      <c r="P106" s="10"/>
      <c r="Q106" s="10"/>
    </row>
    <row r="108" spans="2:17">
      <c r="B108" s="3" t="s">
        <v>1007</v>
      </c>
      <c r="D108" s="3" t="s">
        <v>183</v>
      </c>
      <c r="H108" s="10"/>
      <c r="I108" s="10"/>
      <c r="J108" s="10"/>
      <c r="K108" s="10"/>
      <c r="L108" s="10"/>
      <c r="M108" s="49">
        <f>SUM(M104:M106)</f>
        <v>577.98036122239967</v>
      </c>
      <c r="N108" s="10"/>
      <c r="O108" s="10"/>
      <c r="P108" s="10"/>
      <c r="Q108" s="10"/>
    </row>
    <row r="110" spans="2:17">
      <c r="B110" s="3" t="s">
        <v>995</v>
      </c>
      <c r="D110" s="3" t="s">
        <v>183</v>
      </c>
      <c r="H110" s="10"/>
      <c r="I110" s="10"/>
      <c r="J110" s="10"/>
      <c r="K110" s="10"/>
      <c r="L110" s="10"/>
      <c r="M110" s="10"/>
      <c r="N110" s="10"/>
      <c r="O110" s="49">
        <f>-$F$64*((M101+M108)*O30+N108*O31+O108)</f>
        <v>-8099777.2412221152</v>
      </c>
      <c r="P110" s="10"/>
      <c r="Q110" s="10"/>
    </row>
    <row r="112" spans="2:17" s="271" customFormat="1">
      <c r="B112" s="8" t="s">
        <v>1086</v>
      </c>
    </row>
    <row r="114" spans="2:17">
      <c r="B114" s="3" t="s">
        <v>1089</v>
      </c>
      <c r="D114" s="3" t="s">
        <v>183</v>
      </c>
      <c r="H114" s="10"/>
      <c r="I114" s="10"/>
      <c r="J114" s="10"/>
      <c r="K114" s="10"/>
      <c r="L114" s="10"/>
      <c r="M114" s="49">
        <f>AVERAGE($H$82*M37*M49,$I$82*M38*M50,$J$82*M39*M51)</f>
        <v>1728351.6194830742</v>
      </c>
      <c r="N114" s="10"/>
      <c r="O114" s="10"/>
      <c r="P114" s="10"/>
      <c r="Q114" s="10"/>
    </row>
    <row r="116" spans="2:17">
      <c r="B116" s="3" t="s">
        <v>995</v>
      </c>
      <c r="D116" s="3" t="s">
        <v>183</v>
      </c>
      <c r="H116" s="10"/>
      <c r="I116" s="10"/>
      <c r="J116" s="10"/>
      <c r="K116" s="10"/>
      <c r="L116" s="10"/>
      <c r="M116" s="10"/>
      <c r="N116" s="10"/>
      <c r="O116" s="49">
        <f>-$F$64*M114*O30</f>
        <v>-1411745.2564196866</v>
      </c>
      <c r="P116" s="10"/>
      <c r="Q116" s="10"/>
    </row>
    <row r="117" spans="2:17" s="98" customFormat="1">
      <c r="O117" s="200"/>
    </row>
    <row r="118" spans="2:17" s="271" customFormat="1">
      <c r="B118" s="8" t="s">
        <v>1008</v>
      </c>
    </row>
    <row r="120" spans="2:17">
      <c r="B120" s="3" t="s">
        <v>1009</v>
      </c>
      <c r="D120" s="3" t="s">
        <v>183</v>
      </c>
      <c r="H120" s="10"/>
      <c r="I120" s="10"/>
      <c r="J120" s="10"/>
      <c r="K120" s="10"/>
      <c r="L120" s="10"/>
      <c r="M120" s="49">
        <f>SUMIFS('16. Nacalculatie bijschatten'!AN$183:AN$239,'16. Nacalculatie bijschatten'!$I$183:$I$239,"16 LNG installaties",'16. Nacalculatie bijschatten'!$H$183:$H$239,2020)*M$15
+SUMIFS('16. Nacalculatie bijschatten'!AT$183:AT$239,'16. Nacalculatie bijschatten'!$I$183:$I$239,"16 LNG installaties",'16. Nacalculatie bijschatten'!$H$183:$H$239,2020)
+SUMIFS('16. Nacalculatie bijschatten'!AH$183:AH$239,'16. Nacalculatie bijschatten'!$I$183:$I$239,"16 LNG installaties",'16. Nacalculatie bijschatten'!$H$183:$H$239,2020)</f>
        <v>45598.131871634934</v>
      </c>
      <c r="N120" s="10"/>
      <c r="O120" s="10"/>
      <c r="P120" s="10"/>
      <c r="Q120" s="10"/>
    </row>
    <row r="121" spans="2:17">
      <c r="B121" s="3" t="s">
        <v>1010</v>
      </c>
      <c r="D121" s="3" t="s">
        <v>183</v>
      </c>
      <c r="H121" s="10"/>
      <c r="I121" s="10"/>
      <c r="J121" s="10"/>
      <c r="K121" s="10"/>
      <c r="L121" s="10"/>
      <c r="M121" s="49">
        <f>SUMIFS('16. Nacalculatie bijschatten'!AN$183:AN$239,'16. Nacalculatie bijschatten'!$I$183:$I$239,"16 LNG installaties",'16. Nacalculatie bijschatten'!$H$183:$H$239,2021)*M$15
+SUMIFS('16. Nacalculatie bijschatten'!AT$183:AT$239,'16. Nacalculatie bijschatten'!$I$183:$I$239,"16 LNG installaties",'16. Nacalculatie bijschatten'!$H$183:$H$239,2021)
+SUMIFS('16. Nacalculatie bijschatten'!AH$183:AH$239,'16. Nacalculatie bijschatten'!$I$183:$I$239,"16 LNG installaties",'16. Nacalculatie bijschatten'!$H$183:$H$239,2021)</f>
        <v>27256.650739010802</v>
      </c>
      <c r="N121" s="10"/>
      <c r="O121" s="10"/>
      <c r="P121" s="10"/>
      <c r="Q121" s="10"/>
    </row>
    <row r="122" spans="2:17">
      <c r="B122" s="3" t="s">
        <v>1011</v>
      </c>
      <c r="D122" s="3" t="s">
        <v>183</v>
      </c>
      <c r="H122" s="10"/>
      <c r="I122" s="10"/>
      <c r="J122" s="10"/>
      <c r="K122" s="10"/>
      <c r="L122" s="10"/>
      <c r="M122" s="49">
        <f>SUMIFS('16. Nacalculatie bijschatten'!AN$183:AN$239,'16. Nacalculatie bijschatten'!$I$183:$I$239,"16 LNG installaties",'16. Nacalculatie bijschatten'!$H$183:$H$239,2022)*M$15
+SUMIFS('16. Nacalculatie bijschatten'!AT$183:AT$239,'16. Nacalculatie bijschatten'!$I$183:$I$239,"16 LNG installaties",'16. Nacalculatie bijschatten'!$H$183:$H$239,2022)
+SUMIFS('16. Nacalculatie bijschatten'!AH$183:AH$239,'16. Nacalculatie bijschatten'!$I$183:$I$239,"16 LNG installaties",'16. Nacalculatie bijschatten'!$H$183:$H$239,2022)</f>
        <v>731667.20067643898</v>
      </c>
      <c r="N122" s="10"/>
      <c r="O122" s="10"/>
      <c r="P122" s="10"/>
      <c r="Q122" s="10"/>
    </row>
    <row r="124" spans="2:17">
      <c r="B124" s="3" t="s">
        <v>995</v>
      </c>
      <c r="D124" s="3" t="s">
        <v>183</v>
      </c>
      <c r="H124" s="253"/>
      <c r="I124" s="253"/>
      <c r="J124" s="253"/>
      <c r="K124" s="253"/>
      <c r="L124" s="253"/>
      <c r="M124" s="10"/>
      <c r="N124" s="10"/>
      <c r="O124" s="49">
        <f>-$F$64*SUM(M120:M122)*O30</f>
        <v>-657146.42830062343</v>
      </c>
      <c r="P124" s="10"/>
      <c r="Q124" s="10"/>
    </row>
    <row r="126" spans="2:17" s="271" customFormat="1">
      <c r="B126" s="8" t="s">
        <v>1012</v>
      </c>
    </row>
    <row r="128" spans="2:17">
      <c r="B128" s="3" t="s">
        <v>874</v>
      </c>
      <c r="D128" s="3" t="s">
        <v>183</v>
      </c>
      <c r="K128" s="48">
        <f>'18. Indexatie desinvesteringen'!D619</f>
        <v>417533.58819327998</v>
      </c>
      <c r="L128" s="48">
        <f>SUM('18. Indexatie desinvesteringen'!D655:D657,'18. Indexatie desinvesteringen'!D670,'18. Indexatie desinvesteringen'!D674:D676,'18. Indexatie desinvesteringen'!D693:D695,'18. Indexatie desinvesteringen'!D703:D704,'18. Indexatie desinvesteringen'!D823,'18. Indexatie desinvesteringen'!D839:D841)</f>
        <v>132355954.29857111</v>
      </c>
      <c r="M128" s="48">
        <f>'18. Indexatie desinvesteringen'!D916+'18. Indexatie desinvesteringen'!D917</f>
        <v>6175396.5452503702</v>
      </c>
      <c r="N128" s="10"/>
      <c r="O128" s="10"/>
      <c r="P128" s="10"/>
      <c r="Q128" s="10"/>
    </row>
    <row r="130" spans="2:19">
      <c r="B130" s="3" t="s">
        <v>908</v>
      </c>
      <c r="D130" s="3" t="s">
        <v>183</v>
      </c>
      <c r="H130" s="253"/>
      <c r="I130" s="253"/>
      <c r="J130" s="253"/>
      <c r="K130" s="253"/>
      <c r="L130" s="253"/>
      <c r="M130" s="53">
        <f>$F$18*$K128*M$40*M$52</f>
        <v>4296.9245736584444</v>
      </c>
      <c r="N130" s="105"/>
      <c r="O130" s="105"/>
      <c r="P130" s="105"/>
      <c r="Q130" s="105"/>
    </row>
    <row r="131" spans="2:19">
      <c r="B131" s="3" t="s">
        <v>910</v>
      </c>
      <c r="D131" s="3" t="s">
        <v>183</v>
      </c>
      <c r="H131" s="253"/>
      <c r="I131" s="253"/>
      <c r="J131" s="253"/>
      <c r="K131" s="253"/>
      <c r="L131" s="253"/>
      <c r="M131" s="53">
        <f>$F$18*$L128*M$41*M$53</f>
        <v>1341994.0803004161</v>
      </c>
      <c r="N131" s="105"/>
      <c r="O131" s="105"/>
      <c r="P131" s="105"/>
      <c r="Q131" s="105"/>
    </row>
    <row r="132" spans="2:19">
      <c r="B132" s="3" t="s">
        <v>912</v>
      </c>
      <c r="D132" s="3" t="s">
        <v>183</v>
      </c>
      <c r="H132" s="253"/>
      <c r="I132" s="253"/>
      <c r="J132" s="253"/>
      <c r="K132" s="253"/>
      <c r="L132" s="253"/>
      <c r="M132" s="53">
        <f>$F$18*$M128*M$42*M$54</f>
        <v>61753.965452503704</v>
      </c>
      <c r="N132" s="105"/>
      <c r="O132" s="105"/>
      <c r="P132" s="105"/>
      <c r="Q132" s="105"/>
    </row>
    <row r="134" spans="2:19">
      <c r="B134" s="3" t="s">
        <v>995</v>
      </c>
      <c r="D134" s="3" t="s">
        <v>183</v>
      </c>
      <c r="H134" s="253"/>
      <c r="I134" s="253"/>
      <c r="J134" s="253"/>
      <c r="K134" s="253"/>
      <c r="L134" s="253"/>
      <c r="M134" s="10"/>
      <c r="N134" s="10"/>
      <c r="O134" s="53">
        <f>-$F$64*(-SUM(M130:M132)*O30-SUM(N130:N132)*O31-SUM(O130:O132))</f>
        <v>1150113.6604822744</v>
      </c>
      <c r="P134" s="10"/>
      <c r="Q134" s="10"/>
    </row>
    <row r="135" spans="2:19">
      <c r="M135" s="97"/>
      <c r="N135" s="97"/>
      <c r="O135" s="97"/>
    </row>
    <row r="136" spans="2:19" s="271" customFormat="1">
      <c r="B136" s="8" t="s">
        <v>1013</v>
      </c>
    </row>
    <row r="138" spans="2:19">
      <c r="B138" s="3" t="s">
        <v>859</v>
      </c>
      <c r="D138" s="3" t="s">
        <v>183</v>
      </c>
      <c r="H138" s="253"/>
      <c r="I138" s="253"/>
      <c r="J138" s="253"/>
      <c r="K138" s="253"/>
      <c r="L138" s="253"/>
      <c r="M138" s="10"/>
      <c r="N138" s="10"/>
      <c r="O138" s="10"/>
      <c r="P138" s="10"/>
      <c r="Q138" s="10"/>
      <c r="S138" s="3" t="s">
        <v>1014</v>
      </c>
    </row>
    <row r="139" spans="2:19">
      <c r="B139" s="3" t="s">
        <v>860</v>
      </c>
      <c r="D139" s="3" t="s">
        <v>183</v>
      </c>
      <c r="H139" s="253"/>
      <c r="I139" s="253"/>
      <c r="J139" s="253"/>
      <c r="K139" s="253"/>
      <c r="L139" s="253"/>
      <c r="M139" s="49">
        <f>SUMIFS('17. Nacalculatie desinv.'!AH$51:AH150,'17. Nacalculatie desinv.'!$H51:$H150,M$10,'17. Nacalculatie desinv.'!$I$51:$I$150,"16 LNG installaties")
-SUMIFS('17. Nacalculatie desinv.'!$J$51:$J$150,'17. Nacalculatie desinv.'!$H51:$H150,M$10,'17. Nacalculatie desinv.'!$I$51:$I$150,"16 LNG installaties")*$F$25</f>
        <v>494801.16396341531</v>
      </c>
      <c r="N139" s="10"/>
      <c r="O139" s="10"/>
      <c r="P139" s="10"/>
      <c r="Q139" s="10"/>
    </row>
    <row r="141" spans="2:19">
      <c r="B141" s="3" t="s">
        <v>995</v>
      </c>
      <c r="D141" s="3" t="s">
        <v>183</v>
      </c>
      <c r="H141" s="253"/>
      <c r="I141" s="253"/>
      <c r="J141" s="253"/>
      <c r="K141" s="253"/>
      <c r="L141" s="253"/>
      <c r="M141" s="10"/>
      <c r="N141" s="10"/>
      <c r="O141" s="49">
        <f>-$F$64*((M139-M138)*O30)</f>
        <v>-404161.50754394103</v>
      </c>
      <c r="P141" s="10"/>
      <c r="Q141" s="10"/>
    </row>
    <row r="142" spans="2:19">
      <c r="M142" s="97"/>
      <c r="N142" s="97"/>
      <c r="O142" s="97"/>
    </row>
    <row r="143" spans="2:19" s="8" customFormat="1">
      <c r="B143" s="8" t="s">
        <v>1015</v>
      </c>
    </row>
    <row r="145" spans="2:17">
      <c r="B145" s="3" t="s">
        <v>1016</v>
      </c>
      <c r="D145" s="3" t="s">
        <v>183</v>
      </c>
      <c r="H145" s="253"/>
      <c r="I145" s="253"/>
      <c r="J145" s="253"/>
      <c r="K145" s="253"/>
      <c r="L145" s="253"/>
      <c r="M145" s="253"/>
      <c r="N145" s="103"/>
      <c r="O145" s="57">
        <f>O141+O134+O110+O124+O116+O96+O89</f>
        <v>-18434074.327111505</v>
      </c>
      <c r="P145" s="10"/>
      <c r="Q145" s="10"/>
    </row>
    <row r="148" spans="2:17">
      <c r="P148" s="97"/>
    </row>
    <row r="151" spans="2:17">
      <c r="M151" s="97"/>
    </row>
    <row r="152" spans="2:17">
      <c r="M152" s="97"/>
    </row>
    <row r="153" spans="2:17">
      <c r="M153" s="97"/>
    </row>
  </sheetData>
  <mergeCells count="2">
    <mergeCell ref="B5:D5"/>
    <mergeCell ref="B8:D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25"/>
  <sheetViews>
    <sheetView showGridLines="0" zoomScale="90" zoomScaleNormal="90" workbookViewId="0">
      <pane ySplit="3" topLeftCell="A4" activePane="bottomLeft" state="frozen"/>
      <selection activeCell="C40" sqref="C40"/>
      <selection pane="bottomLeft"/>
    </sheetView>
  </sheetViews>
  <sheetFormatPr defaultColWidth="9.140625" defaultRowHeight="12.75"/>
  <cols>
    <col min="1" max="1" width="2.7109375" style="3" customWidth="1"/>
    <col min="2" max="2" width="7.5703125" style="3" customWidth="1"/>
    <col min="3" max="3" width="71.140625" style="3" bestFit="1" customWidth="1"/>
    <col min="4" max="5" width="36.28515625" style="3" customWidth="1"/>
    <col min="6" max="6" width="40.7109375" style="3" customWidth="1"/>
    <col min="7" max="7" width="4.5703125" style="3" customWidth="1"/>
    <col min="8" max="16384" width="9.140625" style="3"/>
  </cols>
  <sheetData>
    <row r="2" spans="2:10" s="12" customFormat="1" ht="18">
      <c r="B2" s="12" t="s">
        <v>94</v>
      </c>
    </row>
    <row r="4" spans="2:10" s="8" customFormat="1">
      <c r="B4" s="8" t="s">
        <v>95</v>
      </c>
    </row>
    <row r="6" spans="2:10">
      <c r="B6" s="17" t="s">
        <v>96</v>
      </c>
    </row>
    <row r="7" spans="2:10">
      <c r="B7" s="17" t="s">
        <v>97</v>
      </c>
    </row>
    <row r="9" spans="2:10">
      <c r="B9" s="11" t="s">
        <v>98</v>
      </c>
      <c r="C9" s="11" t="s">
        <v>99</v>
      </c>
      <c r="D9" s="11" t="s">
        <v>100</v>
      </c>
      <c r="E9" s="11" t="s">
        <v>101</v>
      </c>
      <c r="F9" s="11" t="s">
        <v>102</v>
      </c>
      <c r="J9" s="13"/>
    </row>
    <row r="10" spans="2:10">
      <c r="B10" s="15"/>
      <c r="C10" s="15" t="s">
        <v>103</v>
      </c>
      <c r="D10" s="15" t="s">
        <v>104</v>
      </c>
      <c r="E10" s="15" t="s">
        <v>105</v>
      </c>
      <c r="F10" s="15" t="s">
        <v>106</v>
      </c>
    </row>
    <row r="11" spans="2:10">
      <c r="B11" s="6">
        <v>1</v>
      </c>
      <c r="C11" s="6" t="s">
        <v>107</v>
      </c>
      <c r="D11" s="146" t="s">
        <v>107</v>
      </c>
      <c r="E11" s="140" t="s">
        <v>108</v>
      </c>
      <c r="F11" s="25"/>
    </row>
    <row r="12" spans="2:10">
      <c r="B12" s="6">
        <v>2</v>
      </c>
      <c r="C12" s="6" t="s">
        <v>109</v>
      </c>
      <c r="D12" s="99" t="s">
        <v>110</v>
      </c>
      <c r="E12" t="s">
        <v>111</v>
      </c>
      <c r="F12" s="64"/>
    </row>
    <row r="13" spans="2:10">
      <c r="B13" s="6">
        <v>3</v>
      </c>
      <c r="C13" s="6" t="s">
        <v>112</v>
      </c>
      <c r="D13" s="33" t="s">
        <v>113</v>
      </c>
      <c r="E13" s="6" t="s">
        <v>11</v>
      </c>
      <c r="F13" s="64"/>
    </row>
    <row r="14" spans="2:10" ht="12" customHeight="1">
      <c r="B14" s="6">
        <v>4</v>
      </c>
      <c r="C14" s="65" t="s">
        <v>114</v>
      </c>
      <c r="D14" s="33" t="s">
        <v>115</v>
      </c>
      <c r="E14" s="37" t="s">
        <v>116</v>
      </c>
      <c r="F14" s="25"/>
    </row>
    <row r="15" spans="2:10">
      <c r="B15" s="6">
        <v>5</v>
      </c>
      <c r="C15" s="26" t="s">
        <v>117</v>
      </c>
      <c r="D15" s="164" t="s">
        <v>118</v>
      </c>
      <c r="E15" t="s">
        <v>119</v>
      </c>
      <c r="F15" s="64"/>
    </row>
    <row r="16" spans="2:10">
      <c r="B16" s="6">
        <v>6</v>
      </c>
      <c r="C16" s="6" t="s">
        <v>120</v>
      </c>
      <c r="D16" s="33" t="s">
        <v>121</v>
      </c>
      <c r="E16" s="6" t="s">
        <v>11</v>
      </c>
      <c r="F16" s="36"/>
    </row>
    <row r="17" spans="2:6" ht="25.5">
      <c r="B17" s="6">
        <v>7</v>
      </c>
      <c r="C17" s="6" t="s">
        <v>122</v>
      </c>
      <c r="D17" s="150" t="s">
        <v>123</v>
      </c>
      <c r="E17" s="151" t="s">
        <v>124</v>
      </c>
      <c r="F17" s="63"/>
    </row>
    <row r="18" spans="2:6">
      <c r="B18" s="6">
        <v>8</v>
      </c>
      <c r="C18" s="27" t="s">
        <v>125</v>
      </c>
      <c r="D18" s="208" t="s">
        <v>126</v>
      </c>
      <c r="E18" s="37" t="s">
        <v>127</v>
      </c>
      <c r="F18" s="28"/>
    </row>
    <row r="19" spans="2:6">
      <c r="B19" s="6">
        <v>9</v>
      </c>
      <c r="C19" s="27" t="s">
        <v>128</v>
      </c>
      <c r="D19" s="33" t="s">
        <v>128</v>
      </c>
      <c r="E19" s="37" t="s">
        <v>11</v>
      </c>
      <c r="F19" s="28"/>
    </row>
    <row r="20" spans="2:6">
      <c r="B20" s="6">
        <v>10</v>
      </c>
      <c r="C20" s="6" t="s">
        <v>129</v>
      </c>
      <c r="D20" s="209" t="s">
        <v>1091</v>
      </c>
      <c r="E20" s="335" t="s">
        <v>3</v>
      </c>
      <c r="F20" s="6"/>
    </row>
    <row r="22" spans="2:6" s="8" customFormat="1">
      <c r="B22" s="8" t="s">
        <v>130</v>
      </c>
      <c r="E22" s="165"/>
    </row>
    <row r="24" spans="2:6">
      <c r="B24" s="17" t="s">
        <v>131</v>
      </c>
    </row>
    <row r="25" spans="2:6">
      <c r="B25" s="17"/>
    </row>
  </sheetData>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s>
  <pageMargins left="0.75" right="0.75" top="1" bottom="1" header="0.5" footer="0.5"/>
  <pageSetup paperSize="9" scale="45" orientation="portrait" r:id="rId1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P57"/>
  <sheetViews>
    <sheetView showGridLines="0" zoomScale="90" zoomScaleNormal="9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7109375" style="3" customWidth="1"/>
    <col min="2" max="2" width="85.140625" style="3" customWidth="1"/>
    <col min="3" max="3" width="2.7109375" style="3" customWidth="1"/>
    <col min="4" max="4" width="15.42578125" style="3" customWidth="1"/>
    <col min="5" max="5" width="2.7109375" style="3" customWidth="1"/>
    <col min="6" max="6" width="13.7109375" style="3" customWidth="1"/>
    <col min="7" max="7" width="2.7109375" style="3" customWidth="1"/>
    <col min="8" max="8" width="13.7109375" style="3" customWidth="1"/>
    <col min="9" max="9" width="14.85546875" style="3" bestFit="1" customWidth="1"/>
    <col min="10" max="10" width="18" style="3" bestFit="1" customWidth="1"/>
    <col min="11" max="11" width="14.85546875" style="3" bestFit="1" customWidth="1"/>
    <col min="12" max="13" width="13.7109375" style="3" customWidth="1"/>
    <col min="14" max="14" width="7.140625" style="3" customWidth="1"/>
    <col min="15" max="20" width="13.7109375" style="3" customWidth="1"/>
    <col min="21" max="16384" width="9.140625" style="3"/>
  </cols>
  <sheetData>
    <row r="2" spans="2:15" s="12" customFormat="1" ht="18">
      <c r="B2" s="12" t="s">
        <v>1017</v>
      </c>
    </row>
    <row r="4" spans="2:15">
      <c r="B4" s="16" t="s">
        <v>786</v>
      </c>
      <c r="C4" s="2"/>
    </row>
    <row r="5" spans="2:15" ht="39.75" customHeight="1">
      <c r="B5" s="322" t="s">
        <v>1018</v>
      </c>
      <c r="C5" s="322"/>
      <c r="D5" s="322"/>
      <c r="F5" s="13"/>
    </row>
    <row r="7" spans="2:15" s="8" customFormat="1">
      <c r="B7" s="8" t="s">
        <v>134</v>
      </c>
      <c r="D7" s="8" t="s">
        <v>175</v>
      </c>
      <c r="F7" s="8" t="s">
        <v>176</v>
      </c>
      <c r="H7" s="52">
        <v>2021</v>
      </c>
      <c r="I7" s="52">
        <v>2022</v>
      </c>
      <c r="J7" s="52">
        <v>2023</v>
      </c>
      <c r="K7" s="52">
        <v>2024</v>
      </c>
      <c r="L7" s="52">
        <v>2025</v>
      </c>
      <c r="M7" s="52">
        <v>2026</v>
      </c>
      <c r="O7" s="8" t="s">
        <v>178</v>
      </c>
    </row>
    <row r="9" spans="2:15" s="8" customFormat="1">
      <c r="B9" s="8" t="s">
        <v>790</v>
      </c>
    </row>
    <row r="11" spans="2:15">
      <c r="B11" s="16" t="s">
        <v>179</v>
      </c>
    </row>
    <row r="12" spans="2:15">
      <c r="B12" s="3" t="s">
        <v>1019</v>
      </c>
      <c r="D12" s="3" t="s">
        <v>180</v>
      </c>
      <c r="F12" s="61">
        <f>'2. Parameters'!F11</f>
        <v>3.78E-2</v>
      </c>
    </row>
    <row r="14" spans="2:15">
      <c r="B14" s="16" t="s">
        <v>181</v>
      </c>
    </row>
    <row r="15" spans="2:15">
      <c r="B15" s="3" t="s">
        <v>182</v>
      </c>
      <c r="D15" s="3" t="s">
        <v>183</v>
      </c>
      <c r="H15" s="48">
        <f>'2. Parameters'!L15</f>
        <v>948654045.67944181</v>
      </c>
      <c r="I15" s="50"/>
      <c r="J15" s="50"/>
      <c r="K15" s="50"/>
      <c r="L15" s="50"/>
      <c r="M15" s="50"/>
    </row>
    <row r="17" spans="2:16">
      <c r="B17" s="16" t="s">
        <v>194</v>
      </c>
      <c r="F17" s="30"/>
    </row>
    <row r="18" spans="2:16">
      <c r="B18" s="3" t="s">
        <v>194</v>
      </c>
      <c r="D18" s="3" t="s">
        <v>180</v>
      </c>
      <c r="F18" s="30"/>
      <c r="H18" s="50"/>
      <c r="I18" s="85">
        <f>'2. Parameters'!M35</f>
        <v>1.7999999999999999E-2</v>
      </c>
      <c r="J18" s="85">
        <f>'2. Parameters'!N35</f>
        <v>6.2E-2</v>
      </c>
      <c r="K18" s="85">
        <f>'2. Parameters'!O35</f>
        <v>0.08</v>
      </c>
      <c r="L18" s="85">
        <f>'2. Parameters'!P35</f>
        <v>1.7000000000000001E-2</v>
      </c>
      <c r="M18" s="85">
        <f>'2. Parameters'!Q35</f>
        <v>1.7000000000000001E-2</v>
      </c>
    </row>
    <row r="20" spans="2:16">
      <c r="B20" s="16" t="s">
        <v>214</v>
      </c>
    </row>
    <row r="21" spans="2:16">
      <c r="B21" s="32" t="s">
        <v>203</v>
      </c>
      <c r="D21" s="3" t="s">
        <v>792</v>
      </c>
      <c r="H21" s="38">
        <f>'2. Parameters'!L73</f>
        <v>1</v>
      </c>
      <c r="I21" s="38">
        <f>'2. Parameters'!M73</f>
        <v>1.02</v>
      </c>
      <c r="J21" s="38">
        <f>'2. Parameters'!N73</f>
        <v>1.0404</v>
      </c>
      <c r="K21" s="38">
        <f>'2. Parameters'!O73</f>
        <v>1.0820160000000001</v>
      </c>
      <c r="L21" s="38">
        <f>'2. Parameters'!P73</f>
        <v>1.1252966400000002</v>
      </c>
      <c r="M21" s="38">
        <f>'2. Parameters'!Q73</f>
        <v>1.1703085056000002</v>
      </c>
    </row>
    <row r="22" spans="2:16">
      <c r="B22" s="32" t="s">
        <v>204</v>
      </c>
      <c r="D22" s="3" t="s">
        <v>792</v>
      </c>
      <c r="H22" s="10"/>
      <c r="I22" s="38">
        <f>'2. Parameters'!M74</f>
        <v>1</v>
      </c>
      <c r="J22" s="38">
        <f>'2. Parameters'!N74</f>
        <v>1.02</v>
      </c>
      <c r="K22" s="38">
        <f>'2. Parameters'!O74</f>
        <v>1.0608</v>
      </c>
      <c r="L22" s="38">
        <f>'2. Parameters'!P74</f>
        <v>1.103232</v>
      </c>
      <c r="M22" s="38">
        <f>'2. Parameters'!Q74</f>
        <v>1.1473612799999999</v>
      </c>
    </row>
    <row r="23" spans="2:16">
      <c r="B23" s="32" t="s">
        <v>205</v>
      </c>
      <c r="D23" s="3" t="s">
        <v>792</v>
      </c>
      <c r="H23" s="10"/>
      <c r="I23" s="10"/>
      <c r="J23" s="38">
        <f>'2. Parameters'!N75</f>
        <v>1</v>
      </c>
      <c r="K23" s="38">
        <f>'2. Parameters'!O75</f>
        <v>1.04</v>
      </c>
      <c r="L23" s="38">
        <f>'2. Parameters'!P75</f>
        <v>1.0816000000000001</v>
      </c>
      <c r="M23" s="38">
        <f>'2. Parameters'!Q75</f>
        <v>1.1248640000000001</v>
      </c>
    </row>
    <row r="24" spans="2:16">
      <c r="B24" s="32" t="s">
        <v>206</v>
      </c>
      <c r="D24" s="3" t="s">
        <v>792</v>
      </c>
      <c r="H24" s="10"/>
      <c r="I24" s="10"/>
      <c r="J24" s="10"/>
      <c r="K24" s="38">
        <f>'2. Parameters'!O76</f>
        <v>1</v>
      </c>
      <c r="L24" s="38">
        <f>'2. Parameters'!P76</f>
        <v>1.04</v>
      </c>
      <c r="M24" s="38">
        <f>'2. Parameters'!Q76</f>
        <v>1.0816000000000001</v>
      </c>
    </row>
    <row r="25" spans="2:16">
      <c r="B25" s="32" t="s">
        <v>207</v>
      </c>
      <c r="D25" s="3" t="s">
        <v>792</v>
      </c>
      <c r="H25" s="10"/>
      <c r="I25" s="10"/>
      <c r="J25" s="10"/>
      <c r="K25" s="10"/>
      <c r="L25" s="38">
        <f>'2. Parameters'!P77</f>
        <v>1</v>
      </c>
      <c r="M25" s="38">
        <f>'2. Parameters'!Q77</f>
        <v>1.04</v>
      </c>
    </row>
    <row r="26" spans="2:16">
      <c r="B26" s="32" t="s">
        <v>208</v>
      </c>
      <c r="D26" s="3" t="s">
        <v>792</v>
      </c>
      <c r="H26" s="10"/>
      <c r="I26" s="10"/>
      <c r="J26" s="10"/>
      <c r="K26" s="10"/>
      <c r="L26" s="10"/>
      <c r="M26" s="38">
        <f>'2. Parameters'!Q78</f>
        <v>1</v>
      </c>
    </row>
    <row r="28" spans="2:16" s="8" customFormat="1">
      <c r="B28" s="8" t="s">
        <v>1020</v>
      </c>
    </row>
    <row r="30" spans="2:16">
      <c r="B30" s="3" t="s">
        <v>1021</v>
      </c>
      <c r="D30" s="3" t="s">
        <v>183</v>
      </c>
      <c r="H30" s="50"/>
      <c r="I30" s="49">
        <f>H15*(1+I18-F12)</f>
        <v>929870695.57498884</v>
      </c>
      <c r="J30" s="49">
        <f>I30*(1+J18-$F$12)</f>
        <v>952373566.40790355</v>
      </c>
      <c r="K30" s="49">
        <f>J30*(1+K18-$F$12)</f>
        <v>992563730.91031706</v>
      </c>
      <c r="L30" s="50"/>
      <c r="M30" s="50"/>
      <c r="O30" s="166"/>
      <c r="P30" s="97"/>
    </row>
    <row r="31" spans="2:16">
      <c r="K31" s="97"/>
    </row>
    <row r="32" spans="2:16" s="8" customFormat="1">
      <c r="B32" s="8" t="s">
        <v>1022</v>
      </c>
    </row>
    <row r="34" spans="2:13">
      <c r="B34" s="3" t="s">
        <v>437</v>
      </c>
      <c r="D34" s="3" t="s">
        <v>183</v>
      </c>
      <c r="H34" s="50"/>
      <c r="I34" s="177">
        <f>'15. WUI &amp; ombouwtaak'!J70</f>
        <v>0</v>
      </c>
      <c r="J34" s="177">
        <f>'15. WUI &amp; ombouwtaak'!K70</f>
        <v>0</v>
      </c>
      <c r="K34" s="177">
        <f>'15. WUI &amp; ombouwtaak'!L70</f>
        <v>0</v>
      </c>
      <c r="L34" s="50"/>
      <c r="M34" s="50"/>
    </row>
    <row r="35" spans="2:13">
      <c r="B35" s="3" t="s">
        <v>439</v>
      </c>
      <c r="D35" s="3" t="s">
        <v>183</v>
      </c>
      <c r="H35" s="50"/>
      <c r="I35" s="177">
        <f>'4. Input nacalculaties'!N37</f>
        <v>119072.05535743562</v>
      </c>
      <c r="J35" s="48">
        <f>'4. Input nacalculaties'!O37</f>
        <v>43971.119724233969</v>
      </c>
      <c r="K35" s="48">
        <f>'15. WUI &amp; ombouwtaak'!L71</f>
        <v>2404144.6778045073</v>
      </c>
      <c r="L35" s="50"/>
      <c r="M35" s="50"/>
    </row>
    <row r="36" spans="2:13">
      <c r="B36" s="3" t="s">
        <v>440</v>
      </c>
      <c r="D36" s="3" t="s">
        <v>183</v>
      </c>
      <c r="H36" s="50"/>
      <c r="I36" s="177">
        <f>'4. Input nacalculaties'!N38</f>
        <v>-2514124.5400079801</v>
      </c>
      <c r="J36" s="48">
        <f>'4. Input nacalculaties'!O38</f>
        <v>-892610.16077459906</v>
      </c>
      <c r="K36" s="48">
        <f>'19. Nacalculaties'!L57</f>
        <v>-418587875.91763008</v>
      </c>
      <c r="L36" s="50"/>
      <c r="M36" s="50"/>
    </row>
    <row r="37" spans="2:13">
      <c r="B37" s="3" t="s">
        <v>441</v>
      </c>
      <c r="D37" s="3" t="s">
        <v>183</v>
      </c>
      <c r="H37" s="50"/>
      <c r="I37" s="177">
        <f>'4. Input nacalculaties'!N39</f>
        <v>-3840127.8443999998</v>
      </c>
      <c r="J37" s="48">
        <f>'4. Input nacalculaties'!O39</f>
        <v>-7019622.9493739996</v>
      </c>
      <c r="K37" s="48">
        <f>'19. Nacalculaties'!L64</f>
        <v>-17676502.662623998</v>
      </c>
      <c r="L37" s="50"/>
      <c r="M37" s="50"/>
    </row>
    <row r="38" spans="2:13">
      <c r="B38" s="3" t="s">
        <v>442</v>
      </c>
      <c r="D38" s="3" t="s">
        <v>183</v>
      </c>
      <c r="H38" s="50"/>
      <c r="I38" s="177">
        <f>'4. Input nacalculaties'!N40</f>
        <v>-1510375</v>
      </c>
      <c r="J38" s="48">
        <f>'4. Input nacalculaties'!O40</f>
        <v>-1091840.3578679999</v>
      </c>
      <c r="K38" s="48">
        <f>'19. Nacalculaties'!L74</f>
        <v>0</v>
      </c>
      <c r="L38" s="50"/>
      <c r="M38" s="50"/>
    </row>
    <row r="39" spans="2:13">
      <c r="B39" s="3" t="s">
        <v>443</v>
      </c>
      <c r="D39" s="3" t="s">
        <v>183</v>
      </c>
      <c r="H39" s="50"/>
      <c r="I39" s="177">
        <f>'4. Input nacalculaties'!N41</f>
        <v>37459989.57773035</v>
      </c>
      <c r="J39" s="48">
        <f>'4. Input nacalculaties'!O41</f>
        <v>94853547.603668377</v>
      </c>
      <c r="K39" s="50"/>
      <c r="L39" s="50"/>
      <c r="M39" s="50"/>
    </row>
    <row r="40" spans="2:13">
      <c r="B40" s="3" t="s">
        <v>444</v>
      </c>
      <c r="D40" s="3" t="s">
        <v>183</v>
      </c>
      <c r="H40" s="50"/>
      <c r="I40" s="177">
        <f>'4. Input nacalculaties'!N42</f>
        <v>7429834.5300000003</v>
      </c>
      <c r="J40" s="48">
        <f>'4. Input nacalculaties'!O42</f>
        <v>22739593.510152001</v>
      </c>
      <c r="K40" s="48">
        <f>'19. Nacalculaties'!L81</f>
        <v>2370440.480303999</v>
      </c>
      <c r="L40" s="50"/>
      <c r="M40" s="50"/>
    </row>
    <row r="41" spans="2:13">
      <c r="B41" s="3" t="s">
        <v>445</v>
      </c>
      <c r="D41" s="3" t="s">
        <v>183</v>
      </c>
      <c r="H41" s="50"/>
      <c r="I41" s="177">
        <f>'4. Input nacalculaties'!N43</f>
        <v>-6987581.421986118</v>
      </c>
      <c r="J41" s="48">
        <f>'4. Input nacalculaties'!O43</f>
        <v>-26590510.266268313</v>
      </c>
      <c r="K41" s="48">
        <f>'16. Nacalculatie bijschatten'!L278</f>
        <v>-37620979.270649046</v>
      </c>
      <c r="L41" s="50"/>
      <c r="M41" s="50"/>
    </row>
    <row r="42" spans="2:13">
      <c r="B42" s="3" t="s">
        <v>1013</v>
      </c>
      <c r="D42" s="3" t="s">
        <v>183</v>
      </c>
      <c r="H42" s="50"/>
      <c r="I42" s="50"/>
      <c r="J42" s="50"/>
      <c r="K42" s="48">
        <f>'17. Nacalculatie desinv.'!J157</f>
        <v>2363403.9056672235</v>
      </c>
      <c r="L42" s="50"/>
      <c r="M42" s="50"/>
    </row>
    <row r="43" spans="2:13">
      <c r="B43" s="3" t="s">
        <v>1074</v>
      </c>
      <c r="D43" s="3" t="s">
        <v>183</v>
      </c>
      <c r="H43" s="50"/>
      <c r="I43" s="50"/>
      <c r="J43" s="50"/>
      <c r="K43" s="48">
        <f>'19. Nacalculaties'!L88</f>
        <v>14652295.895247623</v>
      </c>
      <c r="L43" s="50"/>
      <c r="M43" s="50"/>
    </row>
    <row r="44" spans="2:13">
      <c r="B44" s="3" t="s">
        <v>446</v>
      </c>
      <c r="D44" s="3" t="s">
        <v>183</v>
      </c>
      <c r="H44" s="50"/>
      <c r="I44" s="177">
        <f>'4. Input nacalculaties'!N44</f>
        <v>-651743.81498073554</v>
      </c>
      <c r="J44" s="48">
        <f>'4. Input nacalculaties'!O44</f>
        <v>-2713634.922561896</v>
      </c>
      <c r="K44" s="48">
        <f>'19. Nacalculaties'!L102</f>
        <v>-6263691.195662085</v>
      </c>
      <c r="L44" s="50"/>
      <c r="M44" s="50"/>
    </row>
    <row r="45" spans="2:13">
      <c r="B45" s="3" t="s">
        <v>914</v>
      </c>
      <c r="D45" s="3" t="s">
        <v>183</v>
      </c>
      <c r="H45" s="50"/>
      <c r="I45" s="50"/>
      <c r="J45" s="50"/>
      <c r="K45" s="48">
        <f>'19. Nacalculaties'!L113</f>
        <v>56578492.792342328</v>
      </c>
      <c r="L45" s="50"/>
      <c r="M45" s="50"/>
    </row>
    <row r="46" spans="2:13">
      <c r="B46" s="3" t="s">
        <v>1023</v>
      </c>
      <c r="D46" s="3" t="s">
        <v>183</v>
      </c>
      <c r="H46" s="50"/>
      <c r="I46" s="50"/>
      <c r="J46" s="50"/>
      <c r="K46" s="48">
        <f>'20. Correctie WQA'!J57</f>
        <v>5993118.6408960866</v>
      </c>
      <c r="L46" s="50"/>
      <c r="M46" s="50"/>
    </row>
    <row r="47" spans="2:13">
      <c r="B47" s="3" t="s">
        <v>447</v>
      </c>
      <c r="D47" s="3" t="s">
        <v>183</v>
      </c>
      <c r="H47" s="50"/>
      <c r="I47" s="177">
        <f>'4. Input nacalculaties'!N45</f>
        <v>109745.32379785551</v>
      </c>
      <c r="J47" s="103"/>
      <c r="K47" s="103"/>
      <c r="L47" s="50"/>
      <c r="M47" s="50"/>
    </row>
    <row r="48" spans="2:13">
      <c r="B48" s="3" t="s">
        <v>956</v>
      </c>
      <c r="D48" s="3" t="s">
        <v>183</v>
      </c>
      <c r="H48" s="50"/>
      <c r="I48" s="50"/>
      <c r="J48" s="103"/>
      <c r="K48" s="177">
        <f>'21. Correctie inkoop energie'!O78</f>
        <v>270388092.45989364</v>
      </c>
      <c r="L48" s="50"/>
      <c r="M48" s="50"/>
    </row>
    <row r="49" spans="2:13">
      <c r="B49" s="3" t="s">
        <v>1024</v>
      </c>
      <c r="D49" s="3" t="s">
        <v>183</v>
      </c>
      <c r="H49" s="50"/>
      <c r="I49" s="177">
        <f>'4. Input nacalculaties'!N46</f>
        <v>0</v>
      </c>
      <c r="J49" s="48">
        <f>'4. Input nacalculaties'!O46</f>
        <v>-6549650.450141957</v>
      </c>
      <c r="K49" s="48">
        <f>'22. Correctie assetoverdracht'!K787</f>
        <v>1236097.6837258562</v>
      </c>
      <c r="L49" s="50"/>
      <c r="M49" s="50"/>
    </row>
    <row r="50" spans="2:13">
      <c r="B50" s="3" t="s">
        <v>472</v>
      </c>
      <c r="D50" s="3" t="s">
        <v>183</v>
      </c>
      <c r="H50" s="50"/>
      <c r="I50" s="50"/>
      <c r="J50" s="50"/>
      <c r="K50" s="177">
        <f>'23. Correctie peakshaver'!O145</f>
        <v>-18434074.327111505</v>
      </c>
      <c r="L50" s="50"/>
      <c r="M50" s="50"/>
    </row>
    <row r="52" spans="2:13" s="8" customFormat="1">
      <c r="B52" s="8" t="s">
        <v>1025</v>
      </c>
    </row>
    <row r="54" spans="2:13">
      <c r="B54" s="3" t="s">
        <v>1026</v>
      </c>
      <c r="D54" s="3" t="s">
        <v>183</v>
      </c>
      <c r="H54" s="50"/>
      <c r="I54" s="53">
        <f>I30+SUM(I34:I50)</f>
        <v>959485384.44049966</v>
      </c>
      <c r="J54" s="53">
        <f>J30+SUM(J34:J50)</f>
        <v>1025152809.5344594</v>
      </c>
      <c r="K54" s="104">
        <f>K30+SUM(K34:K50)</f>
        <v>849966694.07252169</v>
      </c>
      <c r="L54" s="50"/>
      <c r="M54" s="50"/>
    </row>
    <row r="55" spans="2:13">
      <c r="J55" s="97"/>
    </row>
    <row r="56" spans="2:13">
      <c r="J56" s="23"/>
      <c r="K56" s="97"/>
    </row>
    <row r="57" spans="2:13">
      <c r="I57" s="97"/>
      <c r="J57" s="97"/>
      <c r="K57" s="23"/>
      <c r="L57" s="23"/>
    </row>
  </sheetData>
  <mergeCells count="1">
    <mergeCell ref="B5:D5"/>
  </mergeCells>
  <phoneticPr fontId="4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0"/>
  <sheetViews>
    <sheetView showGridLines="0" zoomScale="90" zoomScaleNormal="90" workbookViewId="0">
      <pane xSplit="4" ySplit="7" topLeftCell="E8" activePane="bottomRight" state="frozen"/>
      <selection pane="topRight"/>
      <selection pane="bottomLeft"/>
      <selection pane="bottomRight"/>
    </sheetView>
  </sheetViews>
  <sheetFormatPr defaultColWidth="9.140625" defaultRowHeight="12.75"/>
  <cols>
    <col min="1" max="1" width="2.7109375" style="3" customWidth="1"/>
    <col min="2" max="2" width="45.7109375" style="3" customWidth="1"/>
    <col min="3" max="3" width="2.7109375" style="3" customWidth="1"/>
    <col min="4" max="4" width="25.7109375" style="3" customWidth="1"/>
    <col min="5" max="5" width="2.7109375" style="3" customWidth="1"/>
    <col min="6" max="6" width="14.7109375" style="3" bestFit="1" customWidth="1"/>
    <col min="7" max="7" width="2.7109375" style="3" customWidth="1"/>
    <col min="8" max="8" width="13.7109375" style="3" customWidth="1"/>
    <col min="9" max="10" width="17.7109375" style="3" customWidth="1"/>
    <col min="11" max="11" width="16.5703125" style="3" bestFit="1" customWidth="1"/>
    <col min="12" max="13" width="13.7109375" style="3" customWidth="1"/>
    <col min="14" max="14" width="2.7109375" style="3" customWidth="1"/>
    <col min="15" max="22" width="13.7109375" style="3" customWidth="1"/>
    <col min="23" max="16384" width="9.140625" style="3"/>
  </cols>
  <sheetData>
    <row r="2" spans="2:15" s="12" customFormat="1" ht="18">
      <c r="B2" s="12" t="s">
        <v>1027</v>
      </c>
    </row>
    <row r="4" spans="2:15">
      <c r="B4" s="16" t="s">
        <v>786</v>
      </c>
      <c r="C4" s="2"/>
    </row>
    <row r="5" spans="2:15" ht="108" customHeight="1">
      <c r="B5" s="322" t="s">
        <v>1028</v>
      </c>
      <c r="C5" s="322"/>
      <c r="D5" s="322"/>
      <c r="F5" s="13"/>
    </row>
    <row r="7" spans="2:15" s="8" customFormat="1">
      <c r="B7" s="8" t="s">
        <v>134</v>
      </c>
      <c r="D7" s="8" t="s">
        <v>175</v>
      </c>
      <c r="F7" s="8" t="s">
        <v>176</v>
      </c>
      <c r="H7" s="52">
        <v>2021</v>
      </c>
      <c r="I7" s="52">
        <v>2022</v>
      </c>
      <c r="J7" s="52">
        <v>2023</v>
      </c>
      <c r="K7" s="52">
        <v>2024</v>
      </c>
      <c r="L7" s="52">
        <v>2025</v>
      </c>
      <c r="M7" s="52">
        <v>2026</v>
      </c>
      <c r="O7" s="8" t="s">
        <v>178</v>
      </c>
    </row>
    <row r="9" spans="2:15" s="8" customFormat="1">
      <c r="B9" s="8" t="s">
        <v>1029</v>
      </c>
    </row>
    <row r="11" spans="2:15">
      <c r="B11" s="16" t="s">
        <v>738</v>
      </c>
    </row>
    <row r="12" spans="2:15">
      <c r="B12" s="3" t="s">
        <v>739</v>
      </c>
      <c r="D12" s="3" t="s">
        <v>740</v>
      </c>
      <c r="H12" s="10"/>
      <c r="I12" s="10"/>
      <c r="J12" s="10"/>
      <c r="K12" s="48">
        <f>'8. Input capaciteit'!L12</f>
        <v>177536591</v>
      </c>
      <c r="L12" s="10"/>
      <c r="M12" s="10"/>
    </row>
    <row r="13" spans="2:15">
      <c r="B13" s="3" t="s">
        <v>742</v>
      </c>
      <c r="D13" s="3" t="s">
        <v>740</v>
      </c>
      <c r="H13" s="10"/>
      <c r="I13" s="10"/>
      <c r="J13" s="10"/>
      <c r="K13" s="48">
        <f>'8. Input capaciteit'!L13</f>
        <v>272463409</v>
      </c>
      <c r="L13" s="10"/>
      <c r="M13" s="10"/>
    </row>
    <row r="15" spans="2:15">
      <c r="B15" s="3" t="s">
        <v>743</v>
      </c>
      <c r="D15" s="3" t="s">
        <v>740</v>
      </c>
      <c r="H15" s="10"/>
      <c r="I15" s="10"/>
      <c r="J15" s="10"/>
      <c r="K15" s="48">
        <f>'8. Input capaciteit'!L15</f>
        <v>74239755</v>
      </c>
      <c r="L15" s="10"/>
      <c r="M15" s="10"/>
    </row>
    <row r="16" spans="2:15">
      <c r="B16" s="3" t="s">
        <v>744</v>
      </c>
      <c r="D16" s="3" t="s">
        <v>740</v>
      </c>
      <c r="H16" s="10"/>
      <c r="I16" s="10"/>
      <c r="J16" s="10"/>
      <c r="K16" s="48">
        <f>'8. Input capaciteit'!L16</f>
        <v>37879881</v>
      </c>
      <c r="L16" s="10"/>
      <c r="M16" s="10"/>
    </row>
    <row r="18" spans="2:16">
      <c r="B18" s="2" t="s">
        <v>227</v>
      </c>
    </row>
    <row r="19" spans="2:16">
      <c r="B19" s="3" t="s">
        <v>228</v>
      </c>
      <c r="D19" s="3" t="s">
        <v>180</v>
      </c>
      <c r="F19" s="86">
        <f>'2. Parameters'!F108</f>
        <v>0.6</v>
      </c>
    </row>
    <row r="20" spans="2:16">
      <c r="B20" s="3" t="s">
        <v>229</v>
      </c>
      <c r="D20" s="3" t="s">
        <v>180</v>
      </c>
      <c r="F20" s="86">
        <f>'2. Parameters'!F109</f>
        <v>0.94</v>
      </c>
    </row>
    <row r="21" spans="2:16">
      <c r="F21" s="19"/>
    </row>
    <row r="22" spans="2:16">
      <c r="B22" s="2" t="s">
        <v>224</v>
      </c>
      <c r="F22" s="19"/>
    </row>
    <row r="23" spans="2:16">
      <c r="B23" s="3" t="s">
        <v>225</v>
      </c>
      <c r="D23" s="3" t="s">
        <v>180</v>
      </c>
      <c r="F23" s="86">
        <f>'2. Parameters'!F103</f>
        <v>0.4</v>
      </c>
    </row>
    <row r="24" spans="2:16">
      <c r="B24" s="3" t="s">
        <v>226</v>
      </c>
      <c r="D24" s="3" t="s">
        <v>180</v>
      </c>
      <c r="F24" s="86">
        <f>'2. Parameters'!F104</f>
        <v>0.6</v>
      </c>
    </row>
    <row r="26" spans="2:16" s="8" customFormat="1">
      <c r="B26" s="8" t="s">
        <v>1030</v>
      </c>
    </row>
    <row r="28" spans="2:16">
      <c r="B28" s="3" t="s">
        <v>1025</v>
      </c>
      <c r="D28" s="3" t="s">
        <v>183</v>
      </c>
      <c r="H28" s="10"/>
      <c r="I28" s="10"/>
      <c r="J28" s="103"/>
      <c r="K28" s="48">
        <f>'24. Toegestane inkomsten'!K54</f>
        <v>849966694.07252169</v>
      </c>
      <c r="L28" s="10"/>
      <c r="M28" s="10"/>
      <c r="O28" s="97"/>
      <c r="P28" s="23"/>
    </row>
    <row r="30" spans="2:16">
      <c r="B30" s="3" t="s">
        <v>1031</v>
      </c>
      <c r="D30" s="3" t="s">
        <v>1032</v>
      </c>
      <c r="H30" s="10"/>
      <c r="I30" s="10"/>
      <c r="J30" s="10"/>
      <c r="K30" s="31">
        <f>(K$28*$F23)/K12</f>
        <v>1.9150231268606972</v>
      </c>
      <c r="L30" s="10"/>
      <c r="M30" s="10"/>
    </row>
    <row r="31" spans="2:16">
      <c r="B31" s="3" t="s">
        <v>1033</v>
      </c>
      <c r="D31" s="3" t="s">
        <v>1032</v>
      </c>
      <c r="H31" s="10"/>
      <c r="I31" s="10"/>
      <c r="J31" s="10"/>
      <c r="K31" s="196">
        <f>(K$28*$F24)/K13</f>
        <v>1.8717376337441076</v>
      </c>
      <c r="L31" s="10"/>
      <c r="M31" s="10"/>
    </row>
    <row r="33" spans="2:15" s="8" customFormat="1">
      <c r="B33" s="8" t="s">
        <v>1034</v>
      </c>
    </row>
    <row r="35" spans="2:15">
      <c r="B35" s="3" t="s">
        <v>1035</v>
      </c>
      <c r="D35" s="3" t="s">
        <v>183</v>
      </c>
      <c r="H35" s="10"/>
      <c r="I35" s="10"/>
      <c r="J35" s="10"/>
      <c r="K35" s="49">
        <f>$F19*(K15*K30+K16*K31)</f>
        <v>127843227.95215225</v>
      </c>
      <c r="L35" s="10"/>
      <c r="M35" s="10"/>
      <c r="O35" s="97"/>
    </row>
    <row r="36" spans="2:15">
      <c r="B36" s="3" t="s">
        <v>1036</v>
      </c>
      <c r="H36" s="10"/>
      <c r="I36" s="10"/>
      <c r="J36" s="10"/>
      <c r="K36" s="31">
        <f>K28/(K28-K35)</f>
        <v>1.1770379082665654</v>
      </c>
      <c r="L36" s="10"/>
      <c r="M36" s="10"/>
    </row>
    <row r="38" spans="2:15" s="8" customFormat="1">
      <c r="B38" s="8" t="s">
        <v>1037</v>
      </c>
    </row>
    <row r="40" spans="2:15">
      <c r="B40" s="3" t="s">
        <v>1038</v>
      </c>
      <c r="D40" s="3" t="s">
        <v>1032</v>
      </c>
      <c r="H40" s="10"/>
      <c r="I40" s="10"/>
      <c r="J40" s="270"/>
      <c r="K40" s="182">
        <f>K30*K$36</f>
        <v>2.2540548155222124</v>
      </c>
      <c r="L40" s="10"/>
      <c r="M40" s="10"/>
      <c r="O40" s="23"/>
    </row>
    <row r="41" spans="2:15">
      <c r="B41" s="3" t="s">
        <v>1039</v>
      </c>
      <c r="D41" s="3" t="s">
        <v>1032</v>
      </c>
      <c r="H41" s="10"/>
      <c r="I41" s="10"/>
      <c r="J41" s="270"/>
      <c r="K41" s="182">
        <f>K31*K$36</f>
        <v>2.2031061492459751</v>
      </c>
      <c r="L41" s="10"/>
      <c r="M41" s="10"/>
      <c r="O41" s="269"/>
    </row>
    <row r="42" spans="2:15">
      <c r="B42" s="3" t="s">
        <v>1040</v>
      </c>
      <c r="D42" s="3" t="s">
        <v>1032</v>
      </c>
      <c r="H42" s="10"/>
      <c r="I42" s="10"/>
      <c r="J42" s="270"/>
      <c r="K42" s="182">
        <f>(1-$F$19)*K30*K$36</f>
        <v>0.90162192620888515</v>
      </c>
      <c r="L42" s="10"/>
      <c r="M42" s="10"/>
      <c r="O42" s="269"/>
    </row>
    <row r="43" spans="2:15">
      <c r="B43" s="3" t="s">
        <v>1041</v>
      </c>
      <c r="D43" s="3" t="s">
        <v>1032</v>
      </c>
      <c r="H43" s="10"/>
      <c r="I43" s="10"/>
      <c r="J43" s="270"/>
      <c r="K43" s="182">
        <f>(1-$F$19)*K31*K$36</f>
        <v>0.8812424596983901</v>
      </c>
      <c r="L43" s="10"/>
      <c r="M43" s="10"/>
      <c r="O43" s="269"/>
    </row>
    <row r="45" spans="2:15" s="8" customFormat="1">
      <c r="B45" s="8" t="s">
        <v>1042</v>
      </c>
    </row>
    <row r="47" spans="2:15">
      <c r="B47" s="3" t="s">
        <v>1043</v>
      </c>
      <c r="D47" s="3" t="s">
        <v>183</v>
      </c>
      <c r="H47" s="10"/>
      <c r="I47" s="10"/>
      <c r="J47" s="10"/>
      <c r="K47" s="22">
        <f>K12*K30+K13*K31</f>
        <v>849966694.07252169</v>
      </c>
      <c r="L47" s="10"/>
      <c r="M47" s="10"/>
    </row>
    <row r="48" spans="2:15">
      <c r="B48" s="3" t="s">
        <v>1044</v>
      </c>
      <c r="D48" s="3" t="s">
        <v>183</v>
      </c>
      <c r="H48" s="10"/>
      <c r="I48" s="10"/>
      <c r="J48" s="10"/>
      <c r="K48" s="22">
        <f>(K12-K15)*K40+(K13-K16)*K41+K15*K42+K16*K43</f>
        <v>849966694.07252169</v>
      </c>
      <c r="L48" s="10"/>
      <c r="M48" s="10"/>
    </row>
    <row r="50" spans="2:13">
      <c r="B50" s="3" t="s">
        <v>1045</v>
      </c>
      <c r="H50" s="10"/>
      <c r="I50" s="10"/>
      <c r="J50" s="10"/>
      <c r="K50" s="22" t="b">
        <f>ROUND(K47,3)=ROUND(K48,3)</f>
        <v>1</v>
      </c>
      <c r="L50" s="10"/>
      <c r="M50" s="10"/>
    </row>
  </sheetData>
  <mergeCells count="1">
    <mergeCell ref="B5:D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A2:AA189"/>
  <sheetViews>
    <sheetView showGridLines="0" zoomScale="90" zoomScaleNormal="90" workbookViewId="0">
      <pane xSplit="4" ySplit="7" topLeftCell="E8" activePane="bottomRight" state="frozen"/>
      <selection pane="topRight"/>
      <selection pane="bottomLeft"/>
      <selection pane="bottomRight"/>
    </sheetView>
  </sheetViews>
  <sheetFormatPr defaultColWidth="9.140625" defaultRowHeight="12.75"/>
  <cols>
    <col min="1" max="1" width="2.7109375" style="3" customWidth="1"/>
    <col min="2" max="2" width="45.7109375" style="3" customWidth="1"/>
    <col min="3" max="3" width="2.7109375" style="3" customWidth="1"/>
    <col min="4" max="4" width="25.7109375" style="3" customWidth="1"/>
    <col min="5" max="5" width="2.7109375" style="3" customWidth="1"/>
    <col min="6" max="6" width="13.7109375" style="3" customWidth="1"/>
    <col min="7" max="7" width="2.7109375" style="3" customWidth="1"/>
    <col min="8" max="12" width="20.7109375" style="3" customWidth="1"/>
    <col min="13" max="13" width="2.7109375" style="3" customWidth="1"/>
    <col min="14" max="18" width="20.7109375" style="3" customWidth="1"/>
    <col min="19" max="19" width="8.28515625" style="3" customWidth="1"/>
    <col min="20" max="23" width="15.7109375" style="3" customWidth="1"/>
    <col min="24" max="26" width="2.7109375" style="3" customWidth="1"/>
    <col min="27" max="41" width="13.7109375" style="3" customWidth="1"/>
    <col min="42" max="16384" width="9.140625" style="3"/>
  </cols>
  <sheetData>
    <row r="2" spans="2:20" s="12" customFormat="1" ht="18">
      <c r="B2" s="12" t="s">
        <v>1046</v>
      </c>
    </row>
    <row r="4" spans="2:20">
      <c r="B4" s="16" t="s">
        <v>786</v>
      </c>
      <c r="C4" s="2"/>
    </row>
    <row r="5" spans="2:20" ht="132" customHeight="1">
      <c r="B5" s="322" t="s">
        <v>1087</v>
      </c>
      <c r="C5" s="322"/>
      <c r="D5" s="322"/>
      <c r="F5" s="13"/>
    </row>
    <row r="7" spans="2:20" s="8" customFormat="1">
      <c r="B7" s="8" t="s">
        <v>134</v>
      </c>
      <c r="D7" s="8" t="s">
        <v>175</v>
      </c>
      <c r="F7" s="8" t="s">
        <v>176</v>
      </c>
      <c r="T7" s="8" t="s">
        <v>178</v>
      </c>
    </row>
    <row r="9" spans="2:20" s="8" customFormat="1">
      <c r="B9" s="8" t="s">
        <v>790</v>
      </c>
    </row>
    <row r="11" spans="2:20">
      <c r="B11" s="16" t="s">
        <v>230</v>
      </c>
    </row>
    <row r="12" spans="2:20">
      <c r="B12" s="3" t="s">
        <v>231</v>
      </c>
      <c r="F12" s="43">
        <f>'2. Parameters'!F113</f>
        <v>1.25</v>
      </c>
    </row>
    <row r="13" spans="2:20">
      <c r="B13" s="3" t="s">
        <v>232</v>
      </c>
      <c r="F13" s="43">
        <f>'2. Parameters'!F114</f>
        <v>1.5</v>
      </c>
    </row>
    <row r="14" spans="2:20">
      <c r="B14" s="3" t="s">
        <v>233</v>
      </c>
      <c r="F14" s="43">
        <f>'2. Parameters'!F115</f>
        <v>1.75</v>
      </c>
    </row>
    <row r="15" spans="2:20">
      <c r="B15" s="3" t="s">
        <v>234</v>
      </c>
      <c r="F15" s="43">
        <f>'2. Parameters'!F116</f>
        <v>1.75</v>
      </c>
    </row>
    <row r="17" spans="2:6">
      <c r="B17" s="2" t="s">
        <v>236</v>
      </c>
    </row>
    <row r="18" spans="2:6">
      <c r="B18" s="3" t="s">
        <v>237</v>
      </c>
      <c r="F18" s="43">
        <f>'2. Parameters'!F121</f>
        <v>1.5529999999999999</v>
      </c>
    </row>
    <row r="19" spans="2:6">
      <c r="B19" s="3" t="s">
        <v>238</v>
      </c>
      <c r="F19" s="43">
        <f>'2. Parameters'!F122</f>
        <v>0.71199999999999997</v>
      </c>
    </row>
    <row r="20" spans="2:6">
      <c r="B20" s="3" t="s">
        <v>239</v>
      </c>
      <c r="F20" s="43">
        <f>'2. Parameters'!F123</f>
        <v>0.55200000000000005</v>
      </c>
    </row>
    <row r="21" spans="2:6">
      <c r="B21" s="3" t="s">
        <v>240</v>
      </c>
      <c r="F21" s="43">
        <f>'2. Parameters'!F124</f>
        <v>1.1830000000000001</v>
      </c>
    </row>
    <row r="23" spans="2:6">
      <c r="B23" s="2" t="s">
        <v>241</v>
      </c>
    </row>
    <row r="24" spans="2:6">
      <c r="B24" s="3" t="s">
        <v>149</v>
      </c>
      <c r="F24" s="43">
        <f>'2. Parameters'!F127</f>
        <v>1.7849999999999999</v>
      </c>
    </row>
    <row r="25" spans="2:6">
      <c r="B25" s="3" t="s">
        <v>150</v>
      </c>
      <c r="F25" s="43">
        <f>'2. Parameters'!F128</f>
        <v>1.667</v>
      </c>
    </row>
    <row r="26" spans="2:6">
      <c r="B26" s="3" t="s">
        <v>151</v>
      </c>
      <c r="F26" s="43">
        <f>'2. Parameters'!F129</f>
        <v>1.2070000000000001</v>
      </c>
    </row>
    <row r="27" spans="2:6">
      <c r="B27" s="3" t="s">
        <v>152</v>
      </c>
      <c r="F27" s="43">
        <f>'2. Parameters'!F130</f>
        <v>0.85899999999999999</v>
      </c>
    </row>
    <row r="28" spans="2:6">
      <c r="B28" s="3" t="s">
        <v>153</v>
      </c>
      <c r="F28" s="43">
        <f>'2. Parameters'!F131</f>
        <v>0.67600000000000005</v>
      </c>
    </row>
    <row r="29" spans="2:6">
      <c r="B29" s="3" t="s">
        <v>154</v>
      </c>
      <c r="F29" s="43">
        <f>'2. Parameters'!F132</f>
        <v>0.6</v>
      </c>
    </row>
    <row r="30" spans="2:6">
      <c r="B30" s="3" t="s">
        <v>155</v>
      </c>
      <c r="F30" s="43">
        <f>'2. Parameters'!F133</f>
        <v>0.55500000000000005</v>
      </c>
    </row>
    <row r="31" spans="2:6">
      <c r="B31" s="3" t="s">
        <v>156</v>
      </c>
      <c r="F31" s="43">
        <f>'2. Parameters'!F134</f>
        <v>0.52800000000000002</v>
      </c>
    </row>
    <row r="32" spans="2:6">
      <c r="B32" s="3" t="s">
        <v>157</v>
      </c>
      <c r="F32" s="43">
        <f>'2. Parameters'!F135</f>
        <v>0.57399999999999995</v>
      </c>
    </row>
    <row r="33" spans="2:6">
      <c r="B33" s="3" t="s">
        <v>158</v>
      </c>
      <c r="F33" s="43">
        <f>'2. Parameters'!F136</f>
        <v>0.745</v>
      </c>
    </row>
    <row r="34" spans="2:6">
      <c r="B34" s="3" t="s">
        <v>159</v>
      </c>
      <c r="F34" s="43">
        <f>'2. Parameters'!F137</f>
        <v>1.2070000000000001</v>
      </c>
    </row>
    <row r="35" spans="2:6">
      <c r="B35" s="3" t="s">
        <v>160</v>
      </c>
      <c r="F35" s="43">
        <f>'2. Parameters'!F138</f>
        <v>1.595</v>
      </c>
    </row>
    <row r="37" spans="2:6">
      <c r="B37" s="2" t="s">
        <v>242</v>
      </c>
    </row>
    <row r="38" spans="2:6">
      <c r="B38" s="3" t="s">
        <v>149</v>
      </c>
      <c r="F38" s="60">
        <f>'2. Parameters'!F141</f>
        <v>1.877</v>
      </c>
    </row>
    <row r="39" spans="2:6">
      <c r="B39" s="3" t="s">
        <v>150</v>
      </c>
      <c r="F39" s="60">
        <f>'2. Parameters'!F142</f>
        <v>1.7529999999999999</v>
      </c>
    </row>
    <row r="40" spans="2:6">
      <c r="B40" s="3" t="s">
        <v>151</v>
      </c>
      <c r="F40" s="60">
        <f>'2. Parameters'!F143</f>
        <v>1.2689999999999999</v>
      </c>
    </row>
    <row r="41" spans="2:6">
      <c r="B41" s="3" t="s">
        <v>152</v>
      </c>
      <c r="F41" s="60">
        <f>'2. Parameters'!F144</f>
        <v>0.90300000000000002</v>
      </c>
    </row>
    <row r="42" spans="2:6">
      <c r="B42" s="3" t="s">
        <v>153</v>
      </c>
      <c r="F42" s="60">
        <f>'2. Parameters'!F145</f>
        <v>0.71099999999999997</v>
      </c>
    </row>
    <row r="43" spans="2:6">
      <c r="B43" s="3" t="s">
        <v>154</v>
      </c>
      <c r="F43" s="60">
        <f>'2. Parameters'!F146</f>
        <v>0.63100000000000001</v>
      </c>
    </row>
    <row r="44" spans="2:6">
      <c r="B44" s="3" t="s">
        <v>155</v>
      </c>
      <c r="F44" s="60">
        <f>'2. Parameters'!F147</f>
        <v>0.58299999999999996</v>
      </c>
    </row>
    <row r="45" spans="2:6">
      <c r="B45" s="3" t="s">
        <v>156</v>
      </c>
      <c r="F45" s="60">
        <f>'2. Parameters'!F148</f>
        <v>0.55500000000000005</v>
      </c>
    </row>
    <row r="46" spans="2:6">
      <c r="B46" s="3" t="s">
        <v>157</v>
      </c>
      <c r="F46" s="60">
        <f>'2. Parameters'!F149</f>
        <v>0.60399999999999998</v>
      </c>
    </row>
    <row r="47" spans="2:6">
      <c r="B47" s="3" t="s">
        <v>158</v>
      </c>
      <c r="F47" s="60">
        <f>'2. Parameters'!F150</f>
        <v>0.78400000000000003</v>
      </c>
    </row>
    <row r="48" spans="2:6">
      <c r="B48" s="3" t="s">
        <v>159</v>
      </c>
      <c r="F48" s="60">
        <f>'2. Parameters'!F151</f>
        <v>1.2689999999999999</v>
      </c>
    </row>
    <row r="49" spans="2:6">
      <c r="B49" s="3" t="s">
        <v>160</v>
      </c>
      <c r="F49" s="60">
        <f>'2. Parameters'!F152</f>
        <v>1.677</v>
      </c>
    </row>
    <row r="51" spans="2:6">
      <c r="B51" s="2" t="s">
        <v>244</v>
      </c>
    </row>
    <row r="52" spans="2:6">
      <c r="B52" s="3" t="s">
        <v>149</v>
      </c>
      <c r="F52" s="43">
        <f>'2. Parameters'!F157</f>
        <v>31</v>
      </c>
    </row>
    <row r="53" spans="2:6">
      <c r="B53" s="3" t="s">
        <v>150</v>
      </c>
      <c r="F53" s="43">
        <f>'2. Parameters'!F158</f>
        <v>29</v>
      </c>
    </row>
    <row r="54" spans="2:6">
      <c r="B54" s="3" t="s">
        <v>151</v>
      </c>
      <c r="F54" s="43">
        <f>'2. Parameters'!F159</f>
        <v>31</v>
      </c>
    </row>
    <row r="55" spans="2:6">
      <c r="B55" s="3" t="s">
        <v>152</v>
      </c>
      <c r="F55" s="43">
        <f>'2. Parameters'!F160</f>
        <v>30</v>
      </c>
    </row>
    <row r="56" spans="2:6">
      <c r="B56" s="3" t="s">
        <v>153</v>
      </c>
      <c r="F56" s="43">
        <f>'2. Parameters'!F161</f>
        <v>31</v>
      </c>
    </row>
    <row r="57" spans="2:6">
      <c r="B57" s="3" t="s">
        <v>154</v>
      </c>
      <c r="F57" s="43">
        <f>'2. Parameters'!F162</f>
        <v>30</v>
      </c>
    </row>
    <row r="58" spans="2:6">
      <c r="B58" s="3" t="s">
        <v>155</v>
      </c>
      <c r="F58" s="43">
        <f>'2. Parameters'!F163</f>
        <v>31</v>
      </c>
    </row>
    <row r="59" spans="2:6">
      <c r="B59" s="3" t="s">
        <v>156</v>
      </c>
      <c r="F59" s="43">
        <f>'2. Parameters'!F164</f>
        <v>31</v>
      </c>
    </row>
    <row r="60" spans="2:6">
      <c r="B60" s="3" t="s">
        <v>157</v>
      </c>
      <c r="F60" s="43">
        <f>'2. Parameters'!F165</f>
        <v>30</v>
      </c>
    </row>
    <row r="61" spans="2:6">
      <c r="B61" s="3" t="s">
        <v>158</v>
      </c>
      <c r="F61" s="43">
        <f>'2. Parameters'!F166</f>
        <v>31</v>
      </c>
    </row>
    <row r="62" spans="2:6">
      <c r="B62" s="3" t="s">
        <v>159</v>
      </c>
      <c r="F62" s="43">
        <f>'2. Parameters'!F167</f>
        <v>30</v>
      </c>
    </row>
    <row r="63" spans="2:6">
      <c r="B63" s="3" t="s">
        <v>160</v>
      </c>
      <c r="F63" s="43">
        <f>'2. Parameters'!F168</f>
        <v>31</v>
      </c>
    </row>
    <row r="65" spans="1:6">
      <c r="A65" s="13"/>
      <c r="B65" s="2" t="s">
        <v>245</v>
      </c>
    </row>
    <row r="66" spans="1:6">
      <c r="B66" s="3" t="s">
        <v>237</v>
      </c>
      <c r="F66" s="43">
        <f>'2. Parameters'!F171</f>
        <v>91</v>
      </c>
    </row>
    <row r="67" spans="1:6">
      <c r="B67" s="3" t="s">
        <v>238</v>
      </c>
      <c r="F67" s="43">
        <f>'2. Parameters'!F172</f>
        <v>91</v>
      </c>
    </row>
    <row r="68" spans="1:6">
      <c r="B68" s="3" t="s">
        <v>239</v>
      </c>
      <c r="F68" s="43">
        <f>'2. Parameters'!F173</f>
        <v>92</v>
      </c>
    </row>
    <row r="69" spans="1:6">
      <c r="B69" s="3" t="s">
        <v>240</v>
      </c>
      <c r="F69" s="43">
        <f>'2. Parameters'!F174</f>
        <v>92</v>
      </c>
    </row>
    <row r="71" spans="1:6">
      <c r="B71" s="2" t="s">
        <v>246</v>
      </c>
    </row>
    <row r="72" spans="1:6">
      <c r="B72" s="3" t="s">
        <v>247</v>
      </c>
      <c r="F72" s="43">
        <f>'2. Parameters'!F177</f>
        <v>24</v>
      </c>
    </row>
    <row r="73" spans="1:6">
      <c r="B73" s="3" t="s">
        <v>248</v>
      </c>
      <c r="F73" s="43">
        <f>'2. Parameters'!F178</f>
        <v>366</v>
      </c>
    </row>
    <row r="74" spans="1:6">
      <c r="B74" s="3" t="s">
        <v>249</v>
      </c>
      <c r="F74" s="43">
        <f>'2. Parameters'!F179</f>
        <v>8784</v>
      </c>
    </row>
    <row r="75" spans="1:6">
      <c r="B75" s="2"/>
    </row>
    <row r="76" spans="1:6">
      <c r="B76" s="2" t="s">
        <v>227</v>
      </c>
    </row>
    <row r="77" spans="1:6">
      <c r="B77" s="3" t="s">
        <v>251</v>
      </c>
      <c r="D77" s="3" t="s">
        <v>180</v>
      </c>
      <c r="F77" s="85">
        <f>'2. Parameters'!F183</f>
        <v>0.95409999999999995</v>
      </c>
    </row>
    <row r="78" spans="1:6">
      <c r="B78" s="3" t="s">
        <v>229</v>
      </c>
      <c r="D78" s="3" t="s">
        <v>180</v>
      </c>
      <c r="F78" s="85">
        <f>'2. Parameters'!F109</f>
        <v>0.94</v>
      </c>
    </row>
    <row r="80" spans="1:6" s="8" customFormat="1">
      <c r="B80" s="8" t="s">
        <v>1047</v>
      </c>
    </row>
    <row r="82" spans="2:27">
      <c r="B82" s="3" t="s">
        <v>1038</v>
      </c>
      <c r="D82" s="3" t="s">
        <v>1048</v>
      </c>
      <c r="F82" s="38">
        <f>'25. RPM'!K40</f>
        <v>2.2540548155222124</v>
      </c>
    </row>
    <row r="83" spans="2:27">
      <c r="B83" s="3" t="s">
        <v>1039</v>
      </c>
      <c r="D83" s="3" t="s">
        <v>1048</v>
      </c>
      <c r="F83" s="38">
        <f>'25. RPM'!K41</f>
        <v>2.2031061492459751</v>
      </c>
    </row>
    <row r="84" spans="2:27">
      <c r="B84" s="3" t="s">
        <v>1040</v>
      </c>
      <c r="D84" s="3" t="s">
        <v>1048</v>
      </c>
      <c r="F84" s="38">
        <f>'25. RPM'!K42</f>
        <v>0.90162192620888515</v>
      </c>
    </row>
    <row r="85" spans="2:27">
      <c r="B85" s="3" t="s">
        <v>1041</v>
      </c>
      <c r="D85" s="3" t="s">
        <v>1048</v>
      </c>
      <c r="F85" s="38">
        <f>'25. RPM'!K43</f>
        <v>0.8812424596983901</v>
      </c>
    </row>
    <row r="87" spans="2:27" s="39" customFormat="1">
      <c r="B87" s="39" t="s">
        <v>135</v>
      </c>
      <c r="H87" s="39" t="s">
        <v>136</v>
      </c>
      <c r="N87" s="39" t="s">
        <v>137</v>
      </c>
    </row>
    <row r="88" spans="2:27" s="42" customFormat="1">
      <c r="B88" s="42" t="s">
        <v>138</v>
      </c>
      <c r="H88" s="42" t="s">
        <v>139</v>
      </c>
      <c r="I88" s="42" t="s">
        <v>140</v>
      </c>
      <c r="J88" s="42" t="s">
        <v>141</v>
      </c>
      <c r="K88" s="42" t="s">
        <v>142</v>
      </c>
      <c r="L88" s="42" t="s">
        <v>143</v>
      </c>
      <c r="N88" s="42" t="s">
        <v>139</v>
      </c>
      <c r="O88" s="42" t="s">
        <v>140</v>
      </c>
      <c r="P88" s="42" t="s">
        <v>141</v>
      </c>
      <c r="Q88" s="42" t="s">
        <v>142</v>
      </c>
      <c r="R88" s="42" t="s">
        <v>143</v>
      </c>
    </row>
    <row r="89" spans="2:27" s="40" customFormat="1">
      <c r="H89" s="40" t="s">
        <v>144</v>
      </c>
      <c r="I89" s="40" t="s">
        <v>145</v>
      </c>
      <c r="J89" s="40" t="s">
        <v>146</v>
      </c>
      <c r="K89" s="40" t="s">
        <v>147</v>
      </c>
      <c r="L89" s="40" t="s">
        <v>148</v>
      </c>
      <c r="N89" s="40" t="s">
        <v>144</v>
      </c>
      <c r="O89" s="40" t="s">
        <v>145</v>
      </c>
      <c r="P89" s="40" t="s">
        <v>146</v>
      </c>
      <c r="Q89" s="40" t="s">
        <v>147</v>
      </c>
      <c r="R89" s="40" t="s">
        <v>148</v>
      </c>
    </row>
    <row r="91" spans="2:27" ht="12.75" customHeight="1">
      <c r="B91" s="3" t="s">
        <v>149</v>
      </c>
      <c r="H91" s="333">
        <f>ROUND(F82,8)</f>
        <v>2.2540548199999999</v>
      </c>
      <c r="I91" s="334">
        <f>ROUND($F$12*$F$18*$F$66/$F$73*$F$82,8)</f>
        <v>1.08794327</v>
      </c>
      <c r="J91" s="95">
        <f t="shared" ref="J91:J102" si="0">ROUND($F$13*$F24*$F52/$F$73*$F$82,8)</f>
        <v>0.51118083000000003</v>
      </c>
      <c r="K91" s="95">
        <f t="shared" ref="K91:K102" si="1">ROUND($F$14*$F38/$F$73*$F$82,8)</f>
        <v>2.0229529999999999E-2</v>
      </c>
      <c r="L91" s="290">
        <f t="shared" ref="L91:L102" si="2">ROUNDUP($F$15*$F38/$F$74*$F$82,8)</f>
        <v>8.4290000000000005E-4</v>
      </c>
      <c r="M91" s="96"/>
      <c r="N91" s="333">
        <f>ROUND(F84,8)</f>
        <v>0.90162193000000002</v>
      </c>
      <c r="O91" s="334">
        <f>ROUND($F$12*$F$18*$F$66/$F$73*$F$84,8)</f>
        <v>0.43517730999999998</v>
      </c>
      <c r="P91" s="95">
        <f>ROUND($F$13*$F$24*$F$52/$F$73*$F$84,8)</f>
        <v>0.20447233000000001</v>
      </c>
      <c r="Q91" s="95">
        <f>ROUND($F$14*$F$38/$F$73*$F$84,8)</f>
        <v>8.0918099999999996E-3</v>
      </c>
      <c r="R91" s="295">
        <f t="shared" ref="R91:R102" si="3">ROUNDUP($F$15*$F38/$F$74*$F$84,8)</f>
        <v>3.3715999999999998E-4</v>
      </c>
      <c r="T91" s="332" t="s">
        <v>1049</v>
      </c>
      <c r="U91" s="332"/>
      <c r="V91" s="332"/>
      <c r="AA91" s="288"/>
    </row>
    <row r="92" spans="2:27">
      <c r="B92" s="3" t="s">
        <v>150</v>
      </c>
      <c r="H92" s="333"/>
      <c r="I92" s="334"/>
      <c r="J92" s="95">
        <f t="shared" si="0"/>
        <v>0.44658923</v>
      </c>
      <c r="K92" s="95">
        <f t="shared" si="1"/>
        <v>1.8893110000000001E-2</v>
      </c>
      <c r="L92" s="290">
        <f t="shared" si="2"/>
        <v>7.8722000000000004E-4</v>
      </c>
      <c r="M92" s="96"/>
      <c r="N92" s="333"/>
      <c r="O92" s="334"/>
      <c r="P92" s="95">
        <f>ROUND($F$13*$F$25*$F$53/$F$73*$F$84,8)</f>
        <v>0.17863569000000001</v>
      </c>
      <c r="Q92" s="95">
        <f>ROUND($F$14*$F$39/$F$73*$F$84,8)</f>
        <v>7.5572399999999998E-3</v>
      </c>
      <c r="R92" s="295">
        <f t="shared" si="3"/>
        <v>3.1489000000000002E-4</v>
      </c>
      <c r="T92" s="332"/>
      <c r="U92" s="332"/>
      <c r="V92" s="332"/>
    </row>
    <row r="93" spans="2:27">
      <c r="B93" s="3" t="s">
        <v>151</v>
      </c>
      <c r="H93" s="333"/>
      <c r="I93" s="334"/>
      <c r="J93" s="95">
        <f t="shared" si="0"/>
        <v>0.34565561</v>
      </c>
      <c r="K93" s="95">
        <f t="shared" si="1"/>
        <v>1.367675E-2</v>
      </c>
      <c r="L93" s="290">
        <f t="shared" si="2"/>
        <v>5.698700000000001E-4</v>
      </c>
      <c r="M93" s="96"/>
      <c r="N93" s="333"/>
      <c r="O93" s="334"/>
      <c r="P93" s="95">
        <f>ROUND($F$13*$F$26*$F$54/$F$73*$F$84,8)</f>
        <v>0.13826224000000001</v>
      </c>
      <c r="Q93" s="95">
        <f>ROUND($F$14*$F$40/$F$73*$F$84,8)</f>
        <v>5.4707000000000002E-3</v>
      </c>
      <c r="R93" s="295">
        <f t="shared" si="3"/>
        <v>2.2794999999999998E-4</v>
      </c>
      <c r="T93" s="332"/>
      <c r="U93" s="332"/>
      <c r="V93" s="332"/>
    </row>
    <row r="94" spans="2:27">
      <c r="B94" s="3" t="s">
        <v>152</v>
      </c>
      <c r="H94" s="333"/>
      <c r="I94" s="334">
        <f>ROUND($F$12*$F$19*$F$67/$F$73*$F$82,8)</f>
        <v>0.49878661000000002</v>
      </c>
      <c r="J94" s="95">
        <f t="shared" si="0"/>
        <v>0.23806145000000001</v>
      </c>
      <c r="K94" s="95">
        <f t="shared" si="1"/>
        <v>9.7321600000000001E-3</v>
      </c>
      <c r="L94" s="290">
        <f t="shared" si="2"/>
        <v>4.0550999999999999E-4</v>
      </c>
      <c r="M94" s="96"/>
      <c r="N94" s="333"/>
      <c r="O94" s="334">
        <f>ROUND($F$12*$F$19*$F$67/$F$73*$F$84,8)</f>
        <v>0.19951463999999999</v>
      </c>
      <c r="P94" s="95">
        <f>ROUND($F$13*$F$27*$F$55/$F$73*$F$84,8)</f>
        <v>9.5224580000000003E-2</v>
      </c>
      <c r="Q94" s="95">
        <f>ROUND($F$14*$F$41/$F$73*$F$84,8)</f>
        <v>3.8928600000000002E-3</v>
      </c>
      <c r="R94" s="295">
        <f t="shared" si="3"/>
        <v>1.6221000000000001E-4</v>
      </c>
      <c r="T94" s="332"/>
      <c r="U94" s="332"/>
      <c r="V94" s="332"/>
    </row>
    <row r="95" spans="2:27">
      <c r="B95" s="3" t="s">
        <v>153</v>
      </c>
      <c r="H95" s="333"/>
      <c r="I95" s="334"/>
      <c r="J95" s="95">
        <f t="shared" si="0"/>
        <v>0.19359005000000001</v>
      </c>
      <c r="K95" s="95">
        <f t="shared" si="1"/>
        <v>7.6628599999999996E-3</v>
      </c>
      <c r="L95" s="290">
        <f t="shared" si="2"/>
        <v>3.1929000000000001E-4</v>
      </c>
      <c r="M95" s="96"/>
      <c r="N95" s="333"/>
      <c r="O95" s="334"/>
      <c r="P95" s="95">
        <f>ROUND($F$13*$F$28*$F$56/$F$73*$F$84,8)</f>
        <v>7.7436019999999994E-2</v>
      </c>
      <c r="Q95" s="95">
        <f>ROUND($F$14*$F$42/$F$73*$F$84,8)</f>
        <v>3.06515E-3</v>
      </c>
      <c r="R95" s="295">
        <f t="shared" si="3"/>
        <v>1.2772E-4</v>
      </c>
      <c r="T95" s="332"/>
      <c r="U95" s="332"/>
      <c r="V95" s="332"/>
    </row>
    <row r="96" spans="2:27">
      <c r="B96" s="3" t="s">
        <v>154</v>
      </c>
      <c r="H96" s="333"/>
      <c r="I96" s="334"/>
      <c r="J96" s="95">
        <f t="shared" si="0"/>
        <v>0.16628272999999999</v>
      </c>
      <c r="K96" s="95">
        <f t="shared" si="1"/>
        <v>6.80066E-3</v>
      </c>
      <c r="L96" s="290">
        <f t="shared" si="2"/>
        <v>2.8337000000000002E-4</v>
      </c>
      <c r="M96" s="96"/>
      <c r="N96" s="333"/>
      <c r="O96" s="334"/>
      <c r="P96" s="95">
        <f>ROUND($F$13*$F$29*$F$57/$F$73*$F$84,8)</f>
        <v>6.6513089999999997E-2</v>
      </c>
      <c r="Q96" s="95">
        <f>ROUND($F$14*$F$43/$F$73*$F$84,8)</f>
        <v>2.72026E-3</v>
      </c>
      <c r="R96" s="295">
        <f t="shared" si="3"/>
        <v>1.1334999999999999E-4</v>
      </c>
      <c r="T96" s="332"/>
      <c r="U96" s="332"/>
      <c r="V96" s="332"/>
    </row>
    <row r="97" spans="2:22">
      <c r="B97" s="3" t="s">
        <v>155</v>
      </c>
      <c r="H97" s="333"/>
      <c r="I97" s="334">
        <f>ROUND($F$12*$F$20*$F$68/$F$73*$F$82,8)</f>
        <v>0.39094918000000001</v>
      </c>
      <c r="J97" s="95">
        <f t="shared" si="0"/>
        <v>0.15893858</v>
      </c>
      <c r="K97" s="95">
        <f t="shared" si="1"/>
        <v>6.2833300000000002E-3</v>
      </c>
      <c r="L97" s="290">
        <f t="shared" si="2"/>
        <v>2.6181000000000002E-4</v>
      </c>
      <c r="M97" s="96"/>
      <c r="N97" s="333"/>
      <c r="O97" s="334">
        <f>ROUND($F$12*$F$20*$F$68/$F$73*$F$84,8)</f>
        <v>0.15637967</v>
      </c>
      <c r="P97" s="95">
        <f>ROUND($F$13*$F$30*$F$58/$F$73*$F$84,8)</f>
        <v>6.3575430000000002E-2</v>
      </c>
      <c r="Q97" s="95">
        <f>ROUND($F$14*$F$44/$F$73*$F$84,8)</f>
        <v>2.5133299999999998E-3</v>
      </c>
      <c r="R97" s="295">
        <f t="shared" si="3"/>
        <v>1.0473E-4</v>
      </c>
      <c r="T97" s="332"/>
      <c r="U97" s="332"/>
      <c r="V97" s="332"/>
    </row>
    <row r="98" spans="2:22">
      <c r="B98" s="3" t="s">
        <v>156</v>
      </c>
      <c r="H98" s="333"/>
      <c r="I98" s="334"/>
      <c r="J98" s="95">
        <f t="shared" si="0"/>
        <v>0.15120643</v>
      </c>
      <c r="K98" s="95">
        <f t="shared" si="1"/>
        <v>5.9815600000000003E-3</v>
      </c>
      <c r="L98" s="290">
        <f t="shared" si="2"/>
        <v>2.4924000000000002E-4</v>
      </c>
      <c r="M98" s="96"/>
      <c r="N98" s="333"/>
      <c r="O98" s="334"/>
      <c r="P98" s="95">
        <f>ROUND($F$13*$F$31*$F$59/$F$73*$F$84,8)</f>
        <v>6.0482569999999999E-2</v>
      </c>
      <c r="Q98" s="95">
        <f>ROUND($F$14*$F$45/$F$73*$F$84,8)</f>
        <v>2.3926199999999998E-3</v>
      </c>
      <c r="R98" s="295">
        <f t="shared" si="3"/>
        <v>9.9699999999999998E-5</v>
      </c>
      <c r="T98" s="332"/>
      <c r="U98" s="332"/>
      <c r="V98" s="332"/>
    </row>
    <row r="99" spans="2:22">
      <c r="B99" s="3" t="s">
        <v>157</v>
      </c>
      <c r="H99" s="333"/>
      <c r="I99" s="334"/>
      <c r="J99" s="95">
        <f t="shared" si="0"/>
        <v>0.15907715</v>
      </c>
      <c r="K99" s="95">
        <f t="shared" si="1"/>
        <v>6.5096599999999996E-3</v>
      </c>
      <c r="L99" s="290">
        <f t="shared" si="2"/>
        <v>2.7124000000000001E-4</v>
      </c>
      <c r="M99" s="96"/>
      <c r="N99" s="333"/>
      <c r="O99" s="334"/>
      <c r="P99" s="95">
        <f>ROUND($F$13*$F$32*$F$60/$F$73*$F$84,8)</f>
        <v>6.3630859999999997E-2</v>
      </c>
      <c r="Q99" s="95">
        <f>ROUND($F$14*$F$46/$F$73*$F$84,8)</f>
        <v>2.6038599999999999E-3</v>
      </c>
      <c r="R99" s="295">
        <f t="shared" si="3"/>
        <v>1.0849999999999999E-4</v>
      </c>
      <c r="T99" s="332"/>
      <c r="U99" s="332"/>
      <c r="V99" s="332"/>
    </row>
    <row r="100" spans="2:22">
      <c r="B100" s="3" t="s">
        <v>158</v>
      </c>
      <c r="H100" s="333"/>
      <c r="I100" s="334">
        <f>ROUND($F$12*$F$21*$F$69/$F$73*$F$82,8)</f>
        <v>0.83784941999999996</v>
      </c>
      <c r="J100" s="95">
        <f t="shared" si="0"/>
        <v>0.21334997999999999</v>
      </c>
      <c r="K100" s="95">
        <f t="shared" si="1"/>
        <v>8.4496299999999996E-3</v>
      </c>
      <c r="L100" s="290">
        <f t="shared" si="2"/>
        <v>3.5207000000000001E-4</v>
      </c>
      <c r="M100" s="96"/>
      <c r="N100" s="333"/>
      <c r="O100" s="334">
        <f>ROUND($F$12*$F$21*$F$69/$F$73*$F$84,8)</f>
        <v>0.33513977</v>
      </c>
      <c r="P100" s="95">
        <f>ROUND($F$13*$F$33*$F$61/$F$73*$F$84,8)</f>
        <v>8.5339990000000004E-2</v>
      </c>
      <c r="Q100" s="95">
        <f>ROUND($F$14*$F$47/$F$73*$F$84,8)</f>
        <v>3.3798500000000002E-3</v>
      </c>
      <c r="R100" s="295">
        <f t="shared" si="3"/>
        <v>1.4082999999999999E-4</v>
      </c>
      <c r="T100" s="332"/>
      <c r="U100" s="332"/>
      <c r="V100" s="332"/>
    </row>
    <row r="101" spans="2:22">
      <c r="B101" s="3" t="s">
        <v>159</v>
      </c>
      <c r="H101" s="333"/>
      <c r="I101" s="334"/>
      <c r="J101" s="95">
        <f t="shared" si="0"/>
        <v>0.33450542999999999</v>
      </c>
      <c r="K101" s="95">
        <f t="shared" si="1"/>
        <v>1.367675E-2</v>
      </c>
      <c r="L101" s="290">
        <f t="shared" si="2"/>
        <v>5.698700000000001E-4</v>
      </c>
      <c r="M101" s="96"/>
      <c r="N101" s="333"/>
      <c r="O101" s="334"/>
      <c r="P101" s="95">
        <f>ROUND($F$13*$F$34*$F$62/$F$73*$F$84,8)</f>
        <v>0.13380217</v>
      </c>
      <c r="Q101" s="95">
        <f>ROUND($F$14*$F$48/$F$73*$F$84,8)</f>
        <v>5.4707000000000002E-3</v>
      </c>
      <c r="R101" s="295">
        <f t="shared" si="3"/>
        <v>2.2794999999999998E-4</v>
      </c>
      <c r="T101" s="332"/>
      <c r="U101" s="332"/>
      <c r="V101" s="332"/>
    </row>
    <row r="102" spans="2:22">
      <c r="B102" s="3" t="s">
        <v>160</v>
      </c>
      <c r="H102" s="333"/>
      <c r="I102" s="334"/>
      <c r="J102" s="95">
        <f t="shared" si="0"/>
        <v>0.45676942999999998</v>
      </c>
      <c r="K102" s="95">
        <f t="shared" si="1"/>
        <v>1.8074010000000001E-2</v>
      </c>
      <c r="L102" s="290">
        <f t="shared" si="2"/>
        <v>7.530900000000001E-4</v>
      </c>
      <c r="M102" s="96"/>
      <c r="N102" s="333"/>
      <c r="O102" s="334"/>
      <c r="P102" s="95">
        <f>ROUND($F$13*$F$35*$F$63/$F$73*$F$84,8)</f>
        <v>0.18270776999999999</v>
      </c>
      <c r="Q102" s="95">
        <f>ROUND($F$14*$F$49/$F$73*$F$84,8)</f>
        <v>7.2296000000000001E-3</v>
      </c>
      <c r="R102" s="295">
        <f t="shared" si="3"/>
        <v>3.0123999999999998E-4</v>
      </c>
      <c r="T102" s="332"/>
      <c r="U102" s="332"/>
      <c r="V102" s="332"/>
    </row>
    <row r="103" spans="2:22">
      <c r="L103" s="291"/>
      <c r="R103" s="287"/>
    </row>
    <row r="104" spans="2:22">
      <c r="L104" s="291"/>
      <c r="R104" s="287"/>
    </row>
    <row r="105" spans="2:22" s="39" customFormat="1">
      <c r="B105" s="39" t="s">
        <v>161</v>
      </c>
      <c r="H105" s="39" t="s">
        <v>136</v>
      </c>
      <c r="L105" s="292"/>
      <c r="N105" s="39" t="s">
        <v>137</v>
      </c>
      <c r="R105" s="296"/>
    </row>
    <row r="106" spans="2:22" s="42" customFormat="1">
      <c r="B106" s="42" t="s">
        <v>1050</v>
      </c>
      <c r="H106" s="42" t="s">
        <v>139</v>
      </c>
      <c r="I106" s="42" t="s">
        <v>140</v>
      </c>
      <c r="J106" s="42" t="s">
        <v>141</v>
      </c>
      <c r="K106" s="42" t="s">
        <v>142</v>
      </c>
      <c r="L106" s="293" t="s">
        <v>143</v>
      </c>
      <c r="N106" s="42" t="s">
        <v>139</v>
      </c>
      <c r="O106" s="42" t="s">
        <v>140</v>
      </c>
      <c r="P106" s="42" t="s">
        <v>141</v>
      </c>
      <c r="Q106" s="42" t="s">
        <v>142</v>
      </c>
      <c r="R106" s="297" t="s">
        <v>143</v>
      </c>
    </row>
    <row r="107" spans="2:22" s="40" customFormat="1">
      <c r="H107" s="40" t="s">
        <v>144</v>
      </c>
      <c r="I107" s="40" t="s">
        <v>145</v>
      </c>
      <c r="J107" s="40" t="s">
        <v>146</v>
      </c>
      <c r="K107" s="40" t="s">
        <v>147</v>
      </c>
      <c r="L107" s="294" t="s">
        <v>148</v>
      </c>
      <c r="N107" s="40" t="s">
        <v>144</v>
      </c>
      <c r="O107" s="40" t="s">
        <v>145</v>
      </c>
      <c r="P107" s="40" t="s">
        <v>146</v>
      </c>
      <c r="Q107" s="40" t="s">
        <v>147</v>
      </c>
      <c r="R107" s="298" t="s">
        <v>148</v>
      </c>
    </row>
    <row r="108" spans="2:22">
      <c r="L108" s="291"/>
      <c r="R108" s="287"/>
    </row>
    <row r="109" spans="2:22" ht="12.75" customHeight="1">
      <c r="B109" s="3" t="s">
        <v>149</v>
      </c>
      <c r="H109" s="333">
        <f>ROUND(F83,8)</f>
        <v>2.20310615</v>
      </c>
      <c r="I109" s="334">
        <f>ROUND($F$12*$F$18*$F$66/$F$73*$F$83,8)</f>
        <v>1.0633523600000001</v>
      </c>
      <c r="J109" s="95">
        <f t="shared" ref="J109:J120" si="4">ROUND($F$13*$F24*$F52/$F$73*$F$83,8)</f>
        <v>0.49962655</v>
      </c>
      <c r="K109" s="95">
        <f t="shared" ref="K109:K120" si="5">ROUND($F$14*$F38/$F$73*$F$83,8)</f>
        <v>1.977228E-2</v>
      </c>
      <c r="L109" s="290">
        <f t="shared" ref="L109:L120" si="6">ROUNDUP($F$15*$F38/$F$74*$F$83,8)</f>
        <v>8.238500000000001E-4</v>
      </c>
      <c r="N109" s="333">
        <f>ROUND(F85,8)</f>
        <v>0.88124245999999995</v>
      </c>
      <c r="O109" s="334">
        <f>ROUND($F$12*$F$18*$F$66/$F$73*$F$85,8)</f>
        <v>0.42534094</v>
      </c>
      <c r="P109" s="95">
        <f t="shared" ref="P109:P120" si="7">ROUND($F$13*$F24*$F52/$F$73*$F$85,8)</f>
        <v>0.19985062000000001</v>
      </c>
      <c r="Q109" s="95">
        <f t="shared" ref="Q109:Q120" si="8">ROUND($F$14*$F38/$F$73*$F$85,8)</f>
        <v>7.9089099999999999E-3</v>
      </c>
      <c r="R109" s="295">
        <f t="shared" ref="R109:R120" si="9">ROUNDUP($F$15*$F38/$F$74*$F$85,8)</f>
        <v>3.2954000000000002E-4</v>
      </c>
      <c r="T109" s="332" t="s">
        <v>1049</v>
      </c>
      <c r="U109" s="332"/>
      <c r="V109" s="332"/>
    </row>
    <row r="110" spans="2:22">
      <c r="B110" s="3" t="s">
        <v>150</v>
      </c>
      <c r="H110" s="333"/>
      <c r="I110" s="334"/>
      <c r="J110" s="95">
        <f t="shared" si="4"/>
        <v>0.43649492000000001</v>
      </c>
      <c r="K110" s="95">
        <f t="shared" si="5"/>
        <v>1.8466059999999999E-2</v>
      </c>
      <c r="L110" s="290">
        <f t="shared" si="6"/>
        <v>7.6942000000000004E-4</v>
      </c>
      <c r="N110" s="333"/>
      <c r="O110" s="334"/>
      <c r="P110" s="95">
        <f t="shared" si="7"/>
        <v>0.17459796999999999</v>
      </c>
      <c r="Q110" s="95">
        <f t="shared" si="8"/>
        <v>7.3864300000000003E-3</v>
      </c>
      <c r="R110" s="295">
        <f t="shared" si="9"/>
        <v>3.0777000000000002E-4</v>
      </c>
      <c r="T110" s="332"/>
      <c r="U110" s="332"/>
      <c r="V110" s="332"/>
    </row>
    <row r="111" spans="2:22">
      <c r="B111" s="3" t="s">
        <v>151</v>
      </c>
      <c r="H111" s="333"/>
      <c r="I111" s="334"/>
      <c r="J111" s="95">
        <f t="shared" si="4"/>
        <v>0.33784271999999999</v>
      </c>
      <c r="K111" s="95">
        <f t="shared" si="5"/>
        <v>1.336762E-2</v>
      </c>
      <c r="L111" s="290">
        <f t="shared" si="6"/>
        <v>5.5699000000000005E-4</v>
      </c>
      <c r="N111" s="333"/>
      <c r="O111" s="334"/>
      <c r="P111" s="95">
        <f t="shared" si="7"/>
        <v>0.13513708999999999</v>
      </c>
      <c r="Q111" s="95">
        <f t="shared" si="8"/>
        <v>5.3470499999999999E-3</v>
      </c>
      <c r="R111" s="295">
        <f t="shared" si="9"/>
        <v>2.2279999999999999E-4</v>
      </c>
      <c r="T111" s="332"/>
      <c r="U111" s="332"/>
      <c r="V111" s="332"/>
    </row>
    <row r="112" spans="2:22">
      <c r="B112" s="3" t="s">
        <v>152</v>
      </c>
      <c r="H112" s="333"/>
      <c r="I112" s="334">
        <f>ROUND($F$12*$F$19*$F$67/$F$73*$F$83,8)</f>
        <v>0.48751248000000003</v>
      </c>
      <c r="J112" s="95">
        <f t="shared" si="4"/>
        <v>0.23268051000000001</v>
      </c>
      <c r="K112" s="95">
        <f t="shared" si="5"/>
        <v>9.5121800000000003E-3</v>
      </c>
      <c r="L112" s="290">
        <f t="shared" si="6"/>
        <v>3.9635000000000001E-4</v>
      </c>
      <c r="N112" s="333"/>
      <c r="O112" s="334">
        <f>ROUND($F$12*$F$19*$F$67/$F$73*$F$85,8)</f>
        <v>0.19500498999999999</v>
      </c>
      <c r="P112" s="95">
        <f t="shared" si="7"/>
        <v>9.3072210000000002E-2</v>
      </c>
      <c r="Q112" s="95">
        <f t="shared" si="8"/>
        <v>3.8048700000000001E-3</v>
      </c>
      <c r="R112" s="295">
        <f t="shared" si="9"/>
        <v>1.5853999999999998E-4</v>
      </c>
      <c r="T112" s="332"/>
      <c r="U112" s="332"/>
      <c r="V112" s="332"/>
    </row>
    <row r="113" spans="2:27">
      <c r="B113" s="3" t="s">
        <v>153</v>
      </c>
      <c r="H113" s="333"/>
      <c r="I113" s="334"/>
      <c r="J113" s="95">
        <f t="shared" si="4"/>
        <v>0.18921431</v>
      </c>
      <c r="K113" s="95">
        <f t="shared" si="5"/>
        <v>7.4896600000000004E-3</v>
      </c>
      <c r="L113" s="290">
        <f t="shared" si="6"/>
        <v>3.1207000000000001E-4</v>
      </c>
      <c r="N113" s="333"/>
      <c r="O113" s="334"/>
      <c r="P113" s="95">
        <f t="shared" si="7"/>
        <v>7.5685730000000007E-2</v>
      </c>
      <c r="Q113" s="95">
        <f t="shared" si="8"/>
        <v>2.9958599999999999E-3</v>
      </c>
      <c r="R113" s="295">
        <f t="shared" si="9"/>
        <v>1.2482999999999998E-4</v>
      </c>
      <c r="T113" s="332"/>
      <c r="U113" s="332"/>
      <c r="V113" s="332"/>
    </row>
    <row r="114" spans="2:27">
      <c r="B114" s="3" t="s">
        <v>154</v>
      </c>
      <c r="H114" s="333"/>
      <c r="I114" s="334"/>
      <c r="J114" s="95">
        <f t="shared" si="4"/>
        <v>0.16252422</v>
      </c>
      <c r="K114" s="95">
        <f t="shared" si="5"/>
        <v>6.6469399999999996E-3</v>
      </c>
      <c r="L114" s="290">
        <f t="shared" si="6"/>
        <v>2.7695999999999998E-4</v>
      </c>
      <c r="N114" s="333"/>
      <c r="O114" s="334"/>
      <c r="P114" s="95">
        <f t="shared" si="7"/>
        <v>6.5009689999999995E-2</v>
      </c>
      <c r="Q114" s="95">
        <f t="shared" si="8"/>
        <v>2.6587799999999999E-3</v>
      </c>
      <c r="R114" s="295">
        <f t="shared" si="9"/>
        <v>1.1079E-4</v>
      </c>
      <c r="T114" s="332"/>
      <c r="U114" s="332"/>
      <c r="V114" s="332"/>
    </row>
    <row r="115" spans="2:27">
      <c r="B115" s="3" t="s">
        <v>155</v>
      </c>
      <c r="H115" s="333"/>
      <c r="I115" s="334">
        <f>ROUND($F$12*$F$20*$F$68/$F$73*$F$83,8)</f>
        <v>0.38211251000000002</v>
      </c>
      <c r="J115" s="95">
        <f t="shared" si="4"/>
        <v>0.15534607</v>
      </c>
      <c r="K115" s="95">
        <f t="shared" si="5"/>
        <v>6.1413099999999997E-3</v>
      </c>
      <c r="L115" s="290">
        <f t="shared" si="6"/>
        <v>2.5588999999999999E-4</v>
      </c>
      <c r="N115" s="333"/>
      <c r="O115" s="334">
        <f>ROUND($F$12*$F$20*$F$68/$F$73*$F$85,8)</f>
        <v>0.15284500000000001</v>
      </c>
      <c r="P115" s="95">
        <f t="shared" si="7"/>
        <v>6.2138430000000001E-2</v>
      </c>
      <c r="Q115" s="95">
        <f t="shared" si="8"/>
        <v>2.4565199999999998E-3</v>
      </c>
      <c r="R115" s="295">
        <f t="shared" si="9"/>
        <v>1.0235999999999999E-4</v>
      </c>
      <c r="T115" s="332"/>
      <c r="U115" s="332"/>
      <c r="V115" s="332"/>
    </row>
    <row r="116" spans="2:27">
      <c r="B116" s="3" t="s">
        <v>156</v>
      </c>
      <c r="H116" s="333"/>
      <c r="I116" s="334"/>
      <c r="J116" s="95">
        <f t="shared" si="4"/>
        <v>0.14778869</v>
      </c>
      <c r="K116" s="95">
        <f t="shared" si="5"/>
        <v>5.8463600000000001E-3</v>
      </c>
      <c r="L116" s="290">
        <f t="shared" si="6"/>
        <v>2.4359999999999999E-4</v>
      </c>
      <c r="N116" s="333"/>
      <c r="O116" s="334"/>
      <c r="P116" s="95">
        <f t="shared" si="7"/>
        <v>5.9115479999999998E-2</v>
      </c>
      <c r="Q116" s="95">
        <f t="shared" si="8"/>
        <v>2.3385400000000001E-3</v>
      </c>
      <c r="R116" s="295">
        <f t="shared" si="9"/>
        <v>9.7439999999999989E-5</v>
      </c>
      <c r="T116" s="332"/>
      <c r="U116" s="332"/>
      <c r="V116" s="332"/>
    </row>
    <row r="117" spans="2:27">
      <c r="B117" s="3" t="s">
        <v>157</v>
      </c>
      <c r="H117" s="333"/>
      <c r="I117" s="334"/>
      <c r="J117" s="95">
        <f t="shared" si="4"/>
        <v>0.15548150999999999</v>
      </c>
      <c r="K117" s="95">
        <f t="shared" si="5"/>
        <v>6.36252E-3</v>
      </c>
      <c r="L117" s="290">
        <f t="shared" si="6"/>
        <v>2.6510999999999999E-4</v>
      </c>
      <c r="N117" s="333"/>
      <c r="O117" s="334"/>
      <c r="P117" s="95">
        <f t="shared" si="7"/>
        <v>6.2192600000000001E-2</v>
      </c>
      <c r="Q117" s="95">
        <f t="shared" si="8"/>
        <v>2.5450099999999999E-3</v>
      </c>
      <c r="R117" s="295">
        <f t="shared" si="9"/>
        <v>1.0604999999999999E-4</v>
      </c>
      <c r="T117" s="332"/>
      <c r="U117" s="332"/>
      <c r="V117" s="332"/>
    </row>
    <row r="118" spans="2:27">
      <c r="B118" s="3" t="s">
        <v>158</v>
      </c>
      <c r="H118" s="333"/>
      <c r="I118" s="334">
        <f>ROUND($F$12*$F$21*$F$69/$F$73*$F$83,8)</f>
        <v>0.81891141000000001</v>
      </c>
      <c r="J118" s="95">
        <f t="shared" si="4"/>
        <v>0.20852761</v>
      </c>
      <c r="K118" s="95">
        <f t="shared" si="5"/>
        <v>8.2586399999999994E-3</v>
      </c>
      <c r="L118" s="290">
        <f t="shared" si="6"/>
        <v>3.4411000000000001E-4</v>
      </c>
      <c r="N118" s="333"/>
      <c r="O118" s="334">
        <f>ROUND($F$12*$F$21*$F$69/$F$73*$F$85,8)</f>
        <v>0.32756456</v>
      </c>
      <c r="P118" s="95">
        <f t="shared" si="7"/>
        <v>8.3411040000000006E-2</v>
      </c>
      <c r="Q118" s="95">
        <f t="shared" si="8"/>
        <v>3.3034599999999998E-3</v>
      </c>
      <c r="R118" s="295">
        <f t="shared" si="9"/>
        <v>1.3764999999999998E-4</v>
      </c>
      <c r="T118" s="332"/>
      <c r="U118" s="332"/>
      <c r="V118" s="332"/>
    </row>
    <row r="119" spans="2:27">
      <c r="B119" s="3" t="s">
        <v>159</v>
      </c>
      <c r="H119" s="333"/>
      <c r="I119" s="334"/>
      <c r="J119" s="95">
        <f t="shared" si="4"/>
        <v>0.32694456</v>
      </c>
      <c r="K119" s="95">
        <f t="shared" si="5"/>
        <v>1.336762E-2</v>
      </c>
      <c r="L119" s="290">
        <f t="shared" si="6"/>
        <v>5.5699000000000005E-4</v>
      </c>
      <c r="N119" s="333"/>
      <c r="O119" s="334"/>
      <c r="P119" s="95">
        <f t="shared" si="7"/>
        <v>0.13077783000000001</v>
      </c>
      <c r="Q119" s="95">
        <f t="shared" si="8"/>
        <v>5.3470499999999999E-3</v>
      </c>
      <c r="R119" s="295">
        <f t="shared" si="9"/>
        <v>2.2279999999999999E-4</v>
      </c>
      <c r="T119" s="332"/>
      <c r="U119" s="332"/>
      <c r="V119" s="332"/>
    </row>
    <row r="120" spans="2:27">
      <c r="B120" s="3" t="s">
        <v>160</v>
      </c>
      <c r="H120" s="333"/>
      <c r="I120" s="334"/>
      <c r="J120" s="95">
        <f t="shared" si="4"/>
        <v>0.44644500999999998</v>
      </c>
      <c r="K120" s="95">
        <f t="shared" si="5"/>
        <v>1.7665480000000001E-2</v>
      </c>
      <c r="L120" s="290">
        <f t="shared" si="6"/>
        <v>7.3607000000000002E-4</v>
      </c>
      <c r="N120" s="333"/>
      <c r="O120" s="334"/>
      <c r="P120" s="95">
        <f t="shared" si="7"/>
        <v>0.17857801000000001</v>
      </c>
      <c r="Q120" s="95">
        <f t="shared" si="8"/>
        <v>7.06619E-3</v>
      </c>
      <c r="R120" s="295">
        <f t="shared" si="9"/>
        <v>2.9442999999999998E-4</v>
      </c>
      <c r="T120" s="332"/>
      <c r="U120" s="332"/>
      <c r="V120" s="332"/>
    </row>
    <row r="121" spans="2:27">
      <c r="L121" s="291"/>
      <c r="R121" s="287"/>
    </row>
    <row r="122" spans="2:27">
      <c r="L122" s="291"/>
      <c r="R122" s="287"/>
    </row>
    <row r="123" spans="2:27" s="39" customFormat="1" ht="25.5">
      <c r="B123" s="210" t="s">
        <v>163</v>
      </c>
      <c r="H123" s="39" t="s">
        <v>136</v>
      </c>
      <c r="L123" s="292"/>
      <c r="N123" s="39" t="s">
        <v>137</v>
      </c>
      <c r="R123" s="296"/>
    </row>
    <row r="124" spans="2:27" s="42" customFormat="1">
      <c r="B124" s="42" t="s">
        <v>1051</v>
      </c>
      <c r="H124" s="42" t="s">
        <v>139</v>
      </c>
      <c r="I124" s="42" t="s">
        <v>140</v>
      </c>
      <c r="J124" s="42" t="s">
        <v>141</v>
      </c>
      <c r="K124" s="42" t="s">
        <v>142</v>
      </c>
      <c r="L124" s="293" t="s">
        <v>143</v>
      </c>
      <c r="N124" s="42" t="s">
        <v>139</v>
      </c>
      <c r="O124" s="42" t="s">
        <v>140</v>
      </c>
      <c r="P124" s="42" t="s">
        <v>141</v>
      </c>
      <c r="Q124" s="42" t="s">
        <v>142</v>
      </c>
      <c r="R124" s="297" t="s">
        <v>143</v>
      </c>
    </row>
    <row r="125" spans="2:27" s="40" customFormat="1">
      <c r="H125" s="40" t="s">
        <v>144</v>
      </c>
      <c r="I125" s="40" t="s">
        <v>145</v>
      </c>
      <c r="J125" s="40" t="s">
        <v>146</v>
      </c>
      <c r="K125" s="40" t="s">
        <v>147</v>
      </c>
      <c r="L125" s="294" t="s">
        <v>148</v>
      </c>
      <c r="N125" s="40" t="s">
        <v>144</v>
      </c>
      <c r="O125" s="40" t="s">
        <v>145</v>
      </c>
      <c r="P125" s="40" t="s">
        <v>146</v>
      </c>
      <c r="Q125" s="40" t="s">
        <v>147</v>
      </c>
      <c r="R125" s="298" t="s">
        <v>148</v>
      </c>
    </row>
    <row r="126" spans="2:27">
      <c r="J126" s="96"/>
      <c r="L126" s="291"/>
      <c r="R126" s="287"/>
    </row>
    <row r="127" spans="2:27">
      <c r="B127" s="3" t="s">
        <v>149</v>
      </c>
      <c r="H127" s="333">
        <f>ROUND((1-$F$77)*F82,8)</f>
        <v>0.10346112</v>
      </c>
      <c r="I127" s="334">
        <f>ROUND((1-$F$77)*$F$12*$F$18*$F$66/$F$73*$F$82,8)</f>
        <v>4.9936599999999998E-2</v>
      </c>
      <c r="J127" s="95">
        <f>ROUND((1-$F$77)*$F$13*$F24*$F52/$F$73*$F$82,8)</f>
        <v>2.34632E-2</v>
      </c>
      <c r="K127" s="95">
        <f>ROUND((1-$F$77)*$F$14*$F38/$F$73*$F$82,8)</f>
        <v>9.2854000000000005E-4</v>
      </c>
      <c r="L127" s="290">
        <f>ROUNDUP((1-$F$77)*$F$15*$F38/$F$74*$F$82,8)</f>
        <v>3.8690000000000004E-5</v>
      </c>
      <c r="N127" s="333">
        <f>ROUND((1-F77)*F84,8)</f>
        <v>4.1384450000000003E-2</v>
      </c>
      <c r="O127" s="334">
        <f>ROUND((1-$F$77)*$F$12*$F$18*$F$66/$F$73*$F$84,8)</f>
        <v>1.9974639999999998E-2</v>
      </c>
      <c r="P127" s="95">
        <f>ROUND((1-$F$77)*$F$13*$F24*$F52/$F$73*$F$84,8)</f>
        <v>9.3852799999999993E-3</v>
      </c>
      <c r="Q127" s="95">
        <f>ROUND((1-$F$77)*$F$14*$F38/$F$73*$F$84,8)</f>
        <v>3.7141000000000002E-4</v>
      </c>
      <c r="R127" s="295">
        <f>ROUNDUP((1-$F$77)*$F$15*$F38/$F$74*$F$84,8)</f>
        <v>1.5480000000000001E-5</v>
      </c>
      <c r="AA127" s="289"/>
    </row>
    <row r="128" spans="2:27">
      <c r="B128" s="3" t="s">
        <v>150</v>
      </c>
      <c r="H128" s="333"/>
      <c r="I128" s="334"/>
      <c r="J128" s="95">
        <f t="shared" ref="J128:J138" si="10">ROUND((1-$F$77)*$F$13*$F25*$F53/$F$73*$F$82,8)</f>
        <v>2.0498450000000001E-2</v>
      </c>
      <c r="K128" s="95">
        <f t="shared" ref="K128:K138" si="11">ROUND((1-$F$77)*$F$14*$F39/$F$73*$F$82,8)</f>
        <v>8.6719E-4</v>
      </c>
      <c r="L128" s="290">
        <f t="shared" ref="L128:L138" si="12">ROUNDUP((1-$F$77)*$F$15*$F39/$F$74*$F$82,8)</f>
        <v>3.6140000000000003E-5</v>
      </c>
      <c r="N128" s="333"/>
      <c r="O128" s="334"/>
      <c r="P128" s="95">
        <f t="shared" ref="P128:P138" si="13">ROUND((1-$F$77)*$F$13*$F25*$F53/$F$73*$F$84,8)</f>
        <v>8.1993799999999992E-3</v>
      </c>
      <c r="Q128" s="95">
        <f t="shared" ref="Q128:Q138" si="14">ROUND((1-$F$77)*$F$14*$F39/$F$73*$F$84,8)</f>
        <v>3.4687999999999999E-4</v>
      </c>
      <c r="R128" s="295">
        <f t="shared" ref="R128:R138" si="15">ROUNDUP((1-$F$77)*$F$15*$F39/$F$74*$F$84,8)</f>
        <v>1.446E-5</v>
      </c>
      <c r="AA128" s="289"/>
    </row>
    <row r="129" spans="2:18">
      <c r="B129" s="3" t="s">
        <v>151</v>
      </c>
      <c r="H129" s="333"/>
      <c r="I129" s="334"/>
      <c r="J129" s="95">
        <f t="shared" si="10"/>
        <v>1.5865589999999999E-2</v>
      </c>
      <c r="K129" s="95">
        <f t="shared" si="11"/>
        <v>6.2775999999999999E-4</v>
      </c>
      <c r="L129" s="290">
        <f t="shared" si="12"/>
        <v>2.616E-5</v>
      </c>
      <c r="N129" s="333"/>
      <c r="O129" s="334"/>
      <c r="P129" s="95">
        <f t="shared" si="13"/>
        <v>6.3462400000000004E-3</v>
      </c>
      <c r="Q129" s="95">
        <f t="shared" si="14"/>
        <v>2.5111000000000003E-4</v>
      </c>
      <c r="R129" s="295">
        <f t="shared" si="15"/>
        <v>1.047E-5</v>
      </c>
    </row>
    <row r="130" spans="2:18">
      <c r="B130" s="3" t="s">
        <v>152</v>
      </c>
      <c r="H130" s="333"/>
      <c r="I130" s="334">
        <f>ROUND((1-$F$77)*$F$12*$F$19*$F$67/$F$73*$F$82,8)</f>
        <v>2.2894310000000001E-2</v>
      </c>
      <c r="J130" s="95">
        <f t="shared" si="10"/>
        <v>1.0927020000000001E-2</v>
      </c>
      <c r="K130" s="95">
        <f t="shared" si="11"/>
        <v>4.4671000000000001E-4</v>
      </c>
      <c r="L130" s="290">
        <f t="shared" si="12"/>
        <v>1.8620000000000001E-5</v>
      </c>
      <c r="N130" s="333"/>
      <c r="O130" s="334">
        <f>ROUND((1-$F$77)*$F$12*$F$19*$F$67/$F$73*$F$84,8)</f>
        <v>9.1577199999999994E-3</v>
      </c>
      <c r="P130" s="95">
        <f t="shared" si="13"/>
        <v>4.3708100000000001E-3</v>
      </c>
      <c r="Q130" s="95">
        <f t="shared" si="14"/>
        <v>1.7867999999999999E-4</v>
      </c>
      <c r="R130" s="295">
        <f t="shared" si="15"/>
        <v>7.4499999999999998E-6</v>
      </c>
    </row>
    <row r="131" spans="2:18">
      <c r="B131" s="3" t="s">
        <v>153</v>
      </c>
      <c r="H131" s="333"/>
      <c r="I131" s="334"/>
      <c r="J131" s="95">
        <f t="shared" si="10"/>
        <v>8.8857799999999994E-3</v>
      </c>
      <c r="K131" s="95">
        <f t="shared" si="11"/>
        <v>3.5173000000000002E-4</v>
      </c>
      <c r="L131" s="290">
        <f t="shared" si="12"/>
        <v>1.466E-5</v>
      </c>
      <c r="N131" s="333"/>
      <c r="O131" s="334"/>
      <c r="P131" s="95">
        <f t="shared" si="13"/>
        <v>3.5543100000000002E-3</v>
      </c>
      <c r="Q131" s="95">
        <f t="shared" si="14"/>
        <v>1.4069000000000001E-4</v>
      </c>
      <c r="R131" s="295">
        <f t="shared" si="15"/>
        <v>5.8699999999999997E-6</v>
      </c>
    </row>
    <row r="132" spans="2:18">
      <c r="B132" s="3" t="s">
        <v>154</v>
      </c>
      <c r="H132" s="333"/>
      <c r="I132" s="334"/>
      <c r="J132" s="95">
        <f t="shared" si="10"/>
        <v>7.6323800000000002E-3</v>
      </c>
      <c r="K132" s="95">
        <f t="shared" si="11"/>
        <v>3.1215000000000003E-4</v>
      </c>
      <c r="L132" s="290">
        <f t="shared" si="12"/>
        <v>1.3009999999999999E-5</v>
      </c>
      <c r="N132" s="333"/>
      <c r="O132" s="334"/>
      <c r="P132" s="95">
        <f t="shared" si="13"/>
        <v>3.05295E-3</v>
      </c>
      <c r="Q132" s="95">
        <f t="shared" si="14"/>
        <v>1.2485999999999999E-4</v>
      </c>
      <c r="R132" s="295">
        <f t="shared" si="15"/>
        <v>5.2100000000000001E-6</v>
      </c>
    </row>
    <row r="133" spans="2:18">
      <c r="B133" s="3" t="s">
        <v>155</v>
      </c>
      <c r="H133" s="333"/>
      <c r="I133" s="334">
        <f>ROUND((1-$F$77)*$F$12*$F$20*$F$68/$F$73*$F$82,8)</f>
        <v>1.794457E-2</v>
      </c>
      <c r="J133" s="95">
        <f t="shared" si="10"/>
        <v>7.2952800000000003E-3</v>
      </c>
      <c r="K133" s="95">
        <f t="shared" si="11"/>
        <v>2.8840000000000002E-4</v>
      </c>
      <c r="L133" s="290">
        <f t="shared" si="12"/>
        <v>1.202E-5</v>
      </c>
      <c r="N133" s="333"/>
      <c r="O133" s="334">
        <f>ROUND((1-$F$77)*$F$12*$F$20*$F$68/$F$73*$F$84,8)</f>
        <v>7.1778299999999996E-3</v>
      </c>
      <c r="P133" s="95">
        <f t="shared" si="13"/>
        <v>2.9181099999999998E-3</v>
      </c>
      <c r="Q133" s="95">
        <f t="shared" si="14"/>
        <v>1.1535999999999999E-4</v>
      </c>
      <c r="R133" s="295">
        <f t="shared" si="15"/>
        <v>4.8099999999999997E-6</v>
      </c>
    </row>
    <row r="134" spans="2:18">
      <c r="B134" s="3" t="s">
        <v>156</v>
      </c>
      <c r="H134" s="333"/>
      <c r="I134" s="334"/>
      <c r="J134" s="95">
        <f t="shared" si="10"/>
        <v>6.9403800000000003E-3</v>
      </c>
      <c r="K134" s="95">
        <f t="shared" si="11"/>
        <v>2.7454999999999998E-4</v>
      </c>
      <c r="L134" s="290">
        <f t="shared" si="12"/>
        <v>1.1440000000000001E-5</v>
      </c>
      <c r="N134" s="333"/>
      <c r="O134" s="334"/>
      <c r="P134" s="95">
        <f t="shared" si="13"/>
        <v>2.7761499999999998E-3</v>
      </c>
      <c r="Q134" s="95">
        <f t="shared" si="14"/>
        <v>1.0982E-4</v>
      </c>
      <c r="R134" s="295">
        <f t="shared" si="15"/>
        <v>4.5800000000000002E-6</v>
      </c>
    </row>
    <row r="135" spans="2:18">
      <c r="B135" s="3" t="s">
        <v>157</v>
      </c>
      <c r="H135" s="333"/>
      <c r="I135" s="334"/>
      <c r="J135" s="95">
        <f t="shared" si="10"/>
        <v>7.3016399999999999E-3</v>
      </c>
      <c r="K135" s="95">
        <f t="shared" si="11"/>
        <v>2.9879E-4</v>
      </c>
      <c r="L135" s="290">
        <f t="shared" si="12"/>
        <v>1.2449999999999999E-5</v>
      </c>
      <c r="N135" s="333"/>
      <c r="O135" s="334"/>
      <c r="P135" s="95">
        <f t="shared" si="13"/>
        <v>2.9206599999999998E-3</v>
      </c>
      <c r="Q135" s="95">
        <f t="shared" si="14"/>
        <v>1.1951999999999999E-4</v>
      </c>
      <c r="R135" s="295">
        <f t="shared" si="15"/>
        <v>4.9799999999999998E-6</v>
      </c>
    </row>
    <row r="136" spans="2:18">
      <c r="B136" s="3" t="s">
        <v>158</v>
      </c>
      <c r="H136" s="333"/>
      <c r="I136" s="334">
        <f>ROUND((1-$F$77)*$F$12*$F$21*$F$69/$F$73*$F$82,8)</f>
        <v>3.8457289999999998E-2</v>
      </c>
      <c r="J136" s="95">
        <f t="shared" si="10"/>
        <v>9.7927599999999993E-3</v>
      </c>
      <c r="K136" s="95">
        <f t="shared" si="11"/>
        <v>3.8783999999999997E-4</v>
      </c>
      <c r="L136" s="290">
        <f t="shared" si="12"/>
        <v>1.6160000000000001E-5</v>
      </c>
      <c r="N136" s="333"/>
      <c r="O136" s="334">
        <f>ROUND((1-$F$77)*$F$12*$F$21*$F$69/$F$73*$F$84,8)</f>
        <v>1.538292E-2</v>
      </c>
      <c r="P136" s="95">
        <f t="shared" si="13"/>
        <v>3.9171099999999997E-3</v>
      </c>
      <c r="Q136" s="95">
        <f t="shared" si="14"/>
        <v>1.5514000000000001E-4</v>
      </c>
      <c r="R136" s="295">
        <f t="shared" si="15"/>
        <v>6.4699999999999999E-6</v>
      </c>
    </row>
    <row r="137" spans="2:18">
      <c r="B137" s="3" t="s">
        <v>159</v>
      </c>
      <c r="H137" s="333"/>
      <c r="I137" s="334"/>
      <c r="J137" s="95">
        <f t="shared" si="10"/>
        <v>1.5353800000000001E-2</v>
      </c>
      <c r="K137" s="95">
        <f t="shared" si="11"/>
        <v>6.2775999999999999E-4</v>
      </c>
      <c r="L137" s="290">
        <f t="shared" si="12"/>
        <v>2.616E-5</v>
      </c>
      <c r="N137" s="333"/>
      <c r="O137" s="334"/>
      <c r="P137" s="95">
        <f t="shared" si="13"/>
        <v>6.1415200000000001E-3</v>
      </c>
      <c r="Q137" s="95">
        <f t="shared" si="14"/>
        <v>2.5111000000000003E-4</v>
      </c>
      <c r="R137" s="295">
        <f t="shared" si="15"/>
        <v>1.047E-5</v>
      </c>
    </row>
    <row r="138" spans="2:18">
      <c r="B138" s="3" t="s">
        <v>160</v>
      </c>
      <c r="H138" s="333"/>
      <c r="I138" s="334"/>
      <c r="J138" s="95">
        <f t="shared" si="10"/>
        <v>2.096572E-2</v>
      </c>
      <c r="K138" s="95">
        <f t="shared" si="11"/>
        <v>8.296E-4</v>
      </c>
      <c r="L138" s="290">
        <f t="shared" si="12"/>
        <v>3.4570000000000003E-5</v>
      </c>
      <c r="N138" s="333"/>
      <c r="O138" s="334"/>
      <c r="P138" s="95">
        <f t="shared" si="13"/>
        <v>8.3862899999999994E-3</v>
      </c>
      <c r="Q138" s="95">
        <f t="shared" si="14"/>
        <v>3.3184000000000002E-4</v>
      </c>
      <c r="R138" s="295">
        <f t="shared" si="15"/>
        <v>1.383E-5</v>
      </c>
    </row>
    <row r="139" spans="2:18">
      <c r="L139" s="291"/>
      <c r="R139" s="287"/>
    </row>
    <row r="140" spans="2:18" s="39" customFormat="1" ht="25.5">
      <c r="B140" s="210" t="s">
        <v>1052</v>
      </c>
      <c r="H140" s="39" t="s">
        <v>136</v>
      </c>
      <c r="L140" s="292"/>
      <c r="N140" s="39" t="s">
        <v>137</v>
      </c>
      <c r="R140" s="296"/>
    </row>
    <row r="141" spans="2:18" s="42" customFormat="1">
      <c r="B141" s="42" t="s">
        <v>166</v>
      </c>
      <c r="H141" s="42" t="s">
        <v>139</v>
      </c>
      <c r="I141" s="42" t="s">
        <v>140</v>
      </c>
      <c r="J141" s="42" t="s">
        <v>141</v>
      </c>
      <c r="K141" s="42" t="s">
        <v>142</v>
      </c>
      <c r="L141" s="293" t="s">
        <v>143</v>
      </c>
      <c r="N141" s="42" t="s">
        <v>139</v>
      </c>
      <c r="O141" s="42" t="s">
        <v>140</v>
      </c>
      <c r="P141" s="42" t="s">
        <v>141</v>
      </c>
      <c r="Q141" s="42" t="s">
        <v>142</v>
      </c>
      <c r="R141" s="297" t="s">
        <v>143</v>
      </c>
    </row>
    <row r="142" spans="2:18" s="40" customFormat="1">
      <c r="H142" s="40" t="s">
        <v>144</v>
      </c>
      <c r="I142" s="40" t="s">
        <v>145</v>
      </c>
      <c r="J142" s="40" t="s">
        <v>146</v>
      </c>
      <c r="K142" s="40" t="s">
        <v>147</v>
      </c>
      <c r="L142" s="294" t="s">
        <v>148</v>
      </c>
      <c r="N142" s="40" t="s">
        <v>144</v>
      </c>
      <c r="O142" s="40" t="s">
        <v>145</v>
      </c>
      <c r="P142" s="40" t="s">
        <v>146</v>
      </c>
      <c r="Q142" s="40" t="s">
        <v>147</v>
      </c>
      <c r="R142" s="298" t="s">
        <v>148</v>
      </c>
    </row>
    <row r="143" spans="2:18">
      <c r="L143" s="291"/>
      <c r="R143" s="287"/>
    </row>
    <row r="144" spans="2:18">
      <c r="B144" s="3" t="s">
        <v>149</v>
      </c>
      <c r="H144" s="333">
        <f>ROUND((1-F77)*F83,8)</f>
        <v>0.10112256999999999</v>
      </c>
      <c r="I144" s="334">
        <f>ROUND((1-$F$77)*$F$12*$F$18*$F$66/$F$73*$F$83,8)</f>
        <v>4.8807870000000003E-2</v>
      </c>
      <c r="J144" s="95">
        <f>ROUND((1-$F$77)*$F$13*$F24*$F52/$F$73*$F$83,8)</f>
        <v>2.2932859999999999E-2</v>
      </c>
      <c r="K144" s="95">
        <f>ROUND((1-$F$77)*$F$14*$F38/$F$73*$F$83,8)</f>
        <v>9.0755000000000002E-4</v>
      </c>
      <c r="L144" s="290">
        <f>ROUNDUP((1-$F$77)*$F$15*$F38/$F$74*$F$83,8)</f>
        <v>3.782E-5</v>
      </c>
      <c r="N144" s="333">
        <f>ROUND((1-$F$77)*F85,8)</f>
        <v>4.0449029999999997E-2</v>
      </c>
      <c r="O144" s="334">
        <f>ROUND((1-$F$77)*$F$12*$F$18*$F$66/$F$73*$F$85,8)</f>
        <v>1.952315E-2</v>
      </c>
      <c r="P144" s="95">
        <f>ROUND((1-$F$77)*$F$13*$F24*$F52/$F$73*$F$85,8)</f>
        <v>9.1731399999999998E-3</v>
      </c>
      <c r="Q144" s="95">
        <f>ROUND((1-$F$77)*$F$14*$F38/$F$73*$F$85,8)</f>
        <v>3.6301999999999998E-4</v>
      </c>
      <c r="R144" s="295">
        <f>ROUNDUP((1-$F$77)*$F$15*$F38/$F$74*$F$85,8)</f>
        <v>1.5129999999999999E-5</v>
      </c>
    </row>
    <row r="145" spans="2:18">
      <c r="B145" s="3" t="s">
        <v>150</v>
      </c>
      <c r="H145" s="333"/>
      <c r="I145" s="334"/>
      <c r="J145" s="95">
        <f t="shared" ref="J145:J155" si="16">ROUND((1-$F$77)*$F$13*$F25*$F53/$F$73*$F$83,8)</f>
        <v>2.003512E-2</v>
      </c>
      <c r="K145" s="95">
        <f t="shared" ref="K145:K155" si="17">ROUND((1-$F$77)*$F$14*$F39/$F$73*$F$83,8)</f>
        <v>8.4758999999999995E-4</v>
      </c>
      <c r="L145" s="290">
        <f t="shared" ref="L145:L155" si="18">ROUNDUP((1-$F$77)*$F$15*$F39/$F$74*$F$83,8)</f>
        <v>3.5320000000000001E-5</v>
      </c>
      <c r="N145" s="333"/>
      <c r="O145" s="334"/>
      <c r="P145" s="95">
        <f t="shared" ref="P145:P154" si="19">ROUND((1-$F$77)*$F$13*$F25*$F53/$F$73*$F$85,8)</f>
        <v>8.01405E-3</v>
      </c>
      <c r="Q145" s="95">
        <f t="shared" ref="Q145:Q155" si="20">ROUND((1-$F$77)*$F$14*$F39/$F$73*$F$85,8)</f>
        <v>3.3903999999999998E-4</v>
      </c>
      <c r="R145" s="295">
        <f t="shared" ref="R145:R155" si="21">ROUNDUP((1-$F$77)*$F$15*$F39/$F$74*$F$85,8)</f>
        <v>1.413E-5</v>
      </c>
    </row>
    <row r="146" spans="2:18">
      <c r="B146" s="3" t="s">
        <v>151</v>
      </c>
      <c r="H146" s="333"/>
      <c r="I146" s="334"/>
      <c r="J146" s="95">
        <f t="shared" si="16"/>
        <v>1.550698E-2</v>
      </c>
      <c r="K146" s="95">
        <f t="shared" si="17"/>
        <v>6.1357000000000002E-4</v>
      </c>
      <c r="L146" s="290">
        <f t="shared" si="18"/>
        <v>2.5570000000000001E-5</v>
      </c>
      <c r="N146" s="333"/>
      <c r="O146" s="334"/>
      <c r="P146" s="95">
        <f t="shared" si="19"/>
        <v>6.2027899999999997E-3</v>
      </c>
      <c r="Q146" s="95">
        <f t="shared" si="20"/>
        <v>2.4542999999999999E-4</v>
      </c>
      <c r="R146" s="295">
        <f t="shared" si="21"/>
        <v>1.023E-5</v>
      </c>
    </row>
    <row r="147" spans="2:18">
      <c r="B147" s="3" t="s">
        <v>152</v>
      </c>
      <c r="H147" s="333"/>
      <c r="I147" s="334">
        <f>ROUND((1-$F$77)*$F$12*$F$19*$F$67/$F$73*$F$83,8)</f>
        <v>2.2376819999999999E-2</v>
      </c>
      <c r="J147" s="95">
        <f t="shared" si="16"/>
        <v>1.068004E-2</v>
      </c>
      <c r="K147" s="95">
        <f t="shared" si="17"/>
        <v>4.3660999999999998E-4</v>
      </c>
      <c r="L147" s="290">
        <f t="shared" si="18"/>
        <v>1.8200000000000002E-5</v>
      </c>
      <c r="N147" s="333"/>
      <c r="O147" s="334">
        <f>ROUND((1-$F$77)*$F$12*$F$19*$F$67/$F$73*$F$85,8)</f>
        <v>8.9507300000000005E-3</v>
      </c>
      <c r="P147" s="95">
        <f t="shared" si="19"/>
        <v>4.2720099999999997E-3</v>
      </c>
      <c r="Q147" s="95">
        <f t="shared" si="20"/>
        <v>1.7463999999999999E-4</v>
      </c>
      <c r="R147" s="295">
        <f t="shared" si="21"/>
        <v>7.2799999999999998E-6</v>
      </c>
    </row>
    <row r="148" spans="2:18">
      <c r="B148" s="3" t="s">
        <v>153</v>
      </c>
      <c r="H148" s="333"/>
      <c r="I148" s="334"/>
      <c r="J148" s="95">
        <f t="shared" si="16"/>
        <v>8.6849400000000004E-3</v>
      </c>
      <c r="K148" s="95">
        <f t="shared" si="17"/>
        <v>3.4378000000000002E-4</v>
      </c>
      <c r="L148" s="290">
        <f t="shared" si="18"/>
        <v>1.433E-5</v>
      </c>
      <c r="N148" s="333"/>
      <c r="O148" s="334"/>
      <c r="P148" s="95">
        <f t="shared" si="19"/>
        <v>3.4739699999999998E-3</v>
      </c>
      <c r="Q148" s="95">
        <f t="shared" si="20"/>
        <v>1.3751E-4</v>
      </c>
      <c r="R148" s="295">
        <f t="shared" si="21"/>
        <v>5.7300000000000002E-6</v>
      </c>
    </row>
    <row r="149" spans="2:18">
      <c r="B149" s="3" t="s">
        <v>154</v>
      </c>
      <c r="H149" s="333"/>
      <c r="I149" s="334"/>
      <c r="J149" s="95">
        <f t="shared" si="16"/>
        <v>7.4598599999999996E-3</v>
      </c>
      <c r="K149" s="95">
        <f t="shared" si="17"/>
        <v>3.0508999999999999E-4</v>
      </c>
      <c r="L149" s="290">
        <f t="shared" si="18"/>
        <v>1.272E-5</v>
      </c>
      <c r="N149" s="333"/>
      <c r="O149" s="334"/>
      <c r="P149" s="95">
        <f t="shared" si="19"/>
        <v>2.98394E-3</v>
      </c>
      <c r="Q149" s="95">
        <f t="shared" si="20"/>
        <v>1.2204E-4</v>
      </c>
      <c r="R149" s="295">
        <f t="shared" si="21"/>
        <v>5.0899999999999995E-6</v>
      </c>
    </row>
    <row r="150" spans="2:18">
      <c r="B150" s="3" t="s">
        <v>155</v>
      </c>
      <c r="H150" s="333"/>
      <c r="I150" s="334">
        <f>ROUND((1-$F$77)*$F$12*$F$20*$F$68/$F$73*$F$83,8)</f>
        <v>1.7538959999999999E-2</v>
      </c>
      <c r="J150" s="95">
        <f t="shared" si="16"/>
        <v>7.1303800000000004E-3</v>
      </c>
      <c r="K150" s="95">
        <f t="shared" si="17"/>
        <v>2.8189000000000003E-4</v>
      </c>
      <c r="L150" s="290">
        <f t="shared" si="18"/>
        <v>1.1749999999999999E-5</v>
      </c>
      <c r="N150" s="333"/>
      <c r="O150" s="334">
        <f>ROUND((1-$F$77)*$F$12*$F$20*$F$68/$F$73*$F$85,8)</f>
        <v>7.0155900000000004E-3</v>
      </c>
      <c r="P150" s="95">
        <f t="shared" si="19"/>
        <v>2.8521499999999999E-3</v>
      </c>
      <c r="Q150" s="95">
        <f t="shared" si="20"/>
        <v>1.1275E-4</v>
      </c>
      <c r="R150" s="295">
        <f t="shared" si="21"/>
        <v>4.6999999999999999E-6</v>
      </c>
    </row>
    <row r="151" spans="2:18">
      <c r="B151" s="3" t="s">
        <v>156</v>
      </c>
      <c r="H151" s="333"/>
      <c r="I151" s="334"/>
      <c r="J151" s="95">
        <f t="shared" si="16"/>
        <v>6.7834999999999996E-3</v>
      </c>
      <c r="K151" s="95">
        <f t="shared" si="17"/>
        <v>2.6834999999999999E-4</v>
      </c>
      <c r="L151" s="290">
        <f t="shared" si="18"/>
        <v>1.119E-5</v>
      </c>
      <c r="N151" s="333"/>
      <c r="O151" s="334"/>
      <c r="P151" s="95">
        <f t="shared" si="19"/>
        <v>2.7133999999999999E-3</v>
      </c>
      <c r="Q151" s="95">
        <f t="shared" si="20"/>
        <v>1.0734E-4</v>
      </c>
      <c r="R151" s="295">
        <f t="shared" si="21"/>
        <v>4.4800000000000003E-6</v>
      </c>
    </row>
    <row r="152" spans="2:18">
      <c r="B152" s="3" t="s">
        <v>157</v>
      </c>
      <c r="H152" s="333"/>
      <c r="I152" s="334"/>
      <c r="J152" s="95">
        <f t="shared" si="16"/>
        <v>7.1365999999999999E-3</v>
      </c>
      <c r="K152" s="95">
        <f t="shared" si="17"/>
        <v>2.9203999999999998E-4</v>
      </c>
      <c r="L152" s="290">
        <f t="shared" si="18"/>
        <v>1.217E-5</v>
      </c>
      <c r="N152" s="333"/>
      <c r="O152" s="334"/>
      <c r="P152" s="95">
        <f t="shared" si="19"/>
        <v>2.8546399999999999E-3</v>
      </c>
      <c r="Q152" s="95">
        <f t="shared" si="20"/>
        <v>1.1682E-4</v>
      </c>
      <c r="R152" s="295">
        <f t="shared" si="21"/>
        <v>4.87E-6</v>
      </c>
    </row>
    <row r="153" spans="2:18">
      <c r="B153" s="3" t="s">
        <v>158</v>
      </c>
      <c r="H153" s="333"/>
      <c r="I153" s="334">
        <f>ROUND((1-$F$77)*$F$12*$F$21*$F$69/$F$73*$F$83,8)</f>
        <v>3.7588030000000001E-2</v>
      </c>
      <c r="J153" s="95">
        <f t="shared" si="16"/>
        <v>9.5714200000000006E-3</v>
      </c>
      <c r="K153" s="95">
        <f t="shared" si="17"/>
        <v>3.7907000000000001E-4</v>
      </c>
      <c r="L153" s="290">
        <f t="shared" si="18"/>
        <v>1.5800000000000001E-5</v>
      </c>
      <c r="N153" s="333"/>
      <c r="O153" s="334">
        <f>ROUND((1-$F$77)*$F$12*$F$21*$F$69/$F$73*$F$85,8)</f>
        <v>1.503521E-2</v>
      </c>
      <c r="P153" s="95">
        <f t="shared" si="19"/>
        <v>3.8285699999999999E-3</v>
      </c>
      <c r="Q153" s="95">
        <f t="shared" si="20"/>
        <v>1.5163000000000001E-4</v>
      </c>
      <c r="R153" s="295">
        <f t="shared" si="21"/>
        <v>6.3199999999999996E-6</v>
      </c>
    </row>
    <row r="154" spans="2:18">
      <c r="B154" s="3" t="s">
        <v>159</v>
      </c>
      <c r="H154" s="333"/>
      <c r="I154" s="334"/>
      <c r="J154" s="95">
        <f t="shared" si="16"/>
        <v>1.5006759999999999E-2</v>
      </c>
      <c r="K154" s="95">
        <f t="shared" si="17"/>
        <v>6.1357000000000002E-4</v>
      </c>
      <c r="L154" s="290">
        <f t="shared" si="18"/>
        <v>2.5570000000000001E-5</v>
      </c>
      <c r="N154" s="333"/>
      <c r="O154" s="334"/>
      <c r="P154" s="95">
        <f t="shared" si="19"/>
        <v>6.0026999999999997E-3</v>
      </c>
      <c r="Q154" s="95">
        <f t="shared" si="20"/>
        <v>2.4542999999999999E-4</v>
      </c>
      <c r="R154" s="295">
        <f t="shared" si="21"/>
        <v>1.023E-5</v>
      </c>
    </row>
    <row r="155" spans="2:18">
      <c r="B155" s="3" t="s">
        <v>160</v>
      </c>
      <c r="H155" s="333"/>
      <c r="I155" s="334"/>
      <c r="J155" s="95">
        <f t="shared" si="16"/>
        <v>2.0491829999999999E-2</v>
      </c>
      <c r="K155" s="95">
        <f t="shared" si="17"/>
        <v>8.1085E-4</v>
      </c>
      <c r="L155" s="290">
        <f t="shared" si="18"/>
        <v>3.379E-5</v>
      </c>
      <c r="N155" s="333"/>
      <c r="O155" s="334"/>
      <c r="P155" s="95">
        <f>ROUND((1-$F$77)*$F$13*$F35*$F63/$F$73*$F$85,8)</f>
        <v>8.1967299999999993E-3</v>
      </c>
      <c r="Q155" s="95">
        <f t="shared" si="20"/>
        <v>3.2434E-4</v>
      </c>
      <c r="R155" s="295">
        <f t="shared" si="21"/>
        <v>1.3519999999999999E-5</v>
      </c>
    </row>
    <row r="156" spans="2:18">
      <c r="H156" s="211"/>
      <c r="I156" s="212"/>
      <c r="J156" s="213"/>
      <c r="K156" s="213"/>
      <c r="L156" s="214"/>
      <c r="N156" s="211"/>
      <c r="O156" s="212"/>
      <c r="P156" s="213"/>
      <c r="Q156" s="213"/>
      <c r="R156" s="214"/>
    </row>
    <row r="157" spans="2:18" s="39" customFormat="1">
      <c r="B157" s="39" t="s">
        <v>167</v>
      </c>
      <c r="H157" s="39" t="s">
        <v>168</v>
      </c>
      <c r="N157" s="39" t="s">
        <v>169</v>
      </c>
    </row>
    <row r="158" spans="2:18" s="42" customFormat="1">
      <c r="H158" s="42" t="s">
        <v>139</v>
      </c>
      <c r="I158" s="42" t="s">
        <v>140</v>
      </c>
      <c r="J158" s="42" t="s">
        <v>141</v>
      </c>
      <c r="K158" s="42" t="s">
        <v>142</v>
      </c>
      <c r="L158" s="42" t="s">
        <v>143</v>
      </c>
      <c r="N158" s="42" t="s">
        <v>139</v>
      </c>
      <c r="O158" s="42" t="s">
        <v>140</v>
      </c>
      <c r="P158" s="42" t="s">
        <v>141</v>
      </c>
      <c r="Q158" s="42" t="s">
        <v>142</v>
      </c>
      <c r="R158" s="42" t="s">
        <v>143</v>
      </c>
    </row>
    <row r="159" spans="2:18" s="40" customFormat="1">
      <c r="H159" s="40" t="s">
        <v>144</v>
      </c>
      <c r="I159" s="40" t="s">
        <v>145</v>
      </c>
      <c r="J159" s="40" t="s">
        <v>146</v>
      </c>
      <c r="K159" s="40" t="s">
        <v>147</v>
      </c>
      <c r="L159" s="40" t="s">
        <v>148</v>
      </c>
      <c r="N159" s="40" t="s">
        <v>144</v>
      </c>
      <c r="O159" s="40" t="s">
        <v>145</v>
      </c>
      <c r="P159" s="40" t="s">
        <v>146</v>
      </c>
      <c r="Q159" s="40" t="s">
        <v>147</v>
      </c>
      <c r="R159" s="40" t="s">
        <v>148</v>
      </c>
    </row>
    <row r="161" spans="2:18">
      <c r="B161" s="3" t="s">
        <v>149</v>
      </c>
      <c r="H161" s="333">
        <f>ROUND((1-F78)*(F82+F83),8)</f>
        <v>0.26742966000000001</v>
      </c>
      <c r="I161" s="334">
        <f>ROUND($F$12*$F$18*$F$66/$F$73*(1-$F$78)*($F$82+$F$83),8)</f>
        <v>0.12907774</v>
      </c>
      <c r="J161" s="95">
        <f t="shared" ref="J161:J172" si="22">ROUND($F$13*$F24*$F52/$F$73*(1-$F$78)*($F$82+$F$83),8)</f>
        <v>6.0648439999999998E-2</v>
      </c>
      <c r="K161" s="50"/>
      <c r="L161" s="50"/>
      <c r="N161" s="333">
        <f>ROUND((1-F78)*(F82+F85),8)</f>
        <v>0.18811784000000001</v>
      </c>
      <c r="O161" s="334">
        <f>ROUND($F$12*$F$18*$F$66/$F$73*(1-$F$78)*($F$82+$F$85),8)</f>
        <v>9.0797050000000004E-2</v>
      </c>
      <c r="P161" s="95">
        <f t="shared" ref="P161:P172" si="23">ROUND($F$13*$F24*$F52/$F$73*(1-$F$78)*($F$82+$F$85),8)</f>
        <v>4.2661890000000001E-2</v>
      </c>
      <c r="Q161" s="50"/>
      <c r="R161" s="50"/>
    </row>
    <row r="162" spans="2:18">
      <c r="B162" s="3" t="s">
        <v>150</v>
      </c>
      <c r="H162" s="333"/>
      <c r="I162" s="334"/>
      <c r="J162" s="95">
        <f t="shared" si="22"/>
        <v>5.2985049999999999E-2</v>
      </c>
      <c r="K162" s="50"/>
      <c r="L162" s="50"/>
      <c r="N162" s="333"/>
      <c r="O162" s="334"/>
      <c r="P162" s="95">
        <f t="shared" si="23"/>
        <v>3.7271230000000002E-2</v>
      </c>
      <c r="Q162" s="50"/>
      <c r="R162" s="50"/>
    </row>
    <row r="163" spans="2:18">
      <c r="B163" s="3" t="s">
        <v>151</v>
      </c>
      <c r="H163" s="333"/>
      <c r="I163" s="334"/>
      <c r="J163" s="95">
        <f t="shared" si="22"/>
        <v>4.1009900000000002E-2</v>
      </c>
      <c r="K163" s="50"/>
      <c r="L163" s="50"/>
      <c r="N163" s="333"/>
      <c r="O163" s="334"/>
      <c r="P163" s="95">
        <f t="shared" si="23"/>
        <v>2.8847560000000001E-2</v>
      </c>
      <c r="Q163" s="50"/>
      <c r="R163" s="50"/>
    </row>
    <row r="164" spans="2:18">
      <c r="B164" s="3" t="s">
        <v>152</v>
      </c>
      <c r="H164" s="333"/>
      <c r="I164" s="334">
        <f>ROUND($F$12*$F$19*$F$67/$F$73*(1-$F$78)*($F$82+$F$83),8)</f>
        <v>5.917795E-2</v>
      </c>
      <c r="J164" s="95">
        <f t="shared" si="22"/>
        <v>2.8244519999999999E-2</v>
      </c>
      <c r="K164" s="50"/>
      <c r="L164" s="50"/>
      <c r="N164" s="333"/>
      <c r="O164" s="334">
        <f>ROUND($F$12*$F$19*$F$67/$F$73*(1-$F$78)*($F$82+$F$85),8)</f>
        <v>4.1627499999999998E-2</v>
      </c>
      <c r="P164" s="95">
        <f t="shared" si="23"/>
        <v>1.986802E-2</v>
      </c>
      <c r="Q164" s="50"/>
      <c r="R164" s="50"/>
    </row>
    <row r="165" spans="2:18">
      <c r="B165" s="3" t="s">
        <v>153</v>
      </c>
      <c r="H165" s="333"/>
      <c r="I165" s="334"/>
      <c r="J165" s="95">
        <f t="shared" si="22"/>
        <v>2.2968260000000001E-2</v>
      </c>
      <c r="K165" s="50"/>
      <c r="L165" s="50"/>
      <c r="N165" s="333"/>
      <c r="O165" s="334"/>
      <c r="P165" s="95">
        <f t="shared" si="23"/>
        <v>1.6156549999999999E-2</v>
      </c>
      <c r="Q165" s="50"/>
      <c r="R165" s="50"/>
    </row>
    <row r="166" spans="2:18">
      <c r="B166" s="3" t="s">
        <v>154</v>
      </c>
      <c r="H166" s="333"/>
      <c r="I166" s="334"/>
      <c r="J166" s="95">
        <f t="shared" si="22"/>
        <v>1.972842E-2</v>
      </c>
      <c r="K166" s="50"/>
      <c r="L166" s="50"/>
      <c r="N166" s="333"/>
      <c r="O166" s="334"/>
      <c r="P166" s="95">
        <f t="shared" si="23"/>
        <v>1.3877550000000001E-2</v>
      </c>
      <c r="Q166" s="50"/>
      <c r="R166" s="50"/>
    </row>
    <row r="167" spans="2:18">
      <c r="B167" s="3" t="s">
        <v>155</v>
      </c>
      <c r="H167" s="333"/>
      <c r="I167" s="334">
        <f>ROUND($F$12*$F$20*$F$68/$F$73*(1-$F$78)*($F$82+$F$83),8)</f>
        <v>4.63837E-2</v>
      </c>
      <c r="J167" s="95">
        <f t="shared" si="22"/>
        <v>1.8857079999999998E-2</v>
      </c>
      <c r="K167" s="50"/>
      <c r="L167" s="50"/>
      <c r="N167" s="333"/>
      <c r="O167" s="334">
        <f>ROUND($F$12*$F$20*$F$68/$F$73*(1-$F$78)*($F$82+$F$85),8)</f>
        <v>3.2627650000000001E-2</v>
      </c>
      <c r="P167" s="95">
        <f t="shared" si="23"/>
        <v>1.326462E-2</v>
      </c>
      <c r="Q167" s="50"/>
      <c r="R167" s="50"/>
    </row>
    <row r="168" spans="2:18">
      <c r="B168" s="3" t="s">
        <v>156</v>
      </c>
      <c r="H168" s="333"/>
      <c r="I168" s="334"/>
      <c r="J168" s="95">
        <f t="shared" si="22"/>
        <v>1.7939710000000001E-2</v>
      </c>
      <c r="K168" s="50"/>
      <c r="L168" s="50"/>
      <c r="N168" s="333"/>
      <c r="O168" s="334"/>
      <c r="P168" s="95">
        <f t="shared" si="23"/>
        <v>1.261931E-2</v>
      </c>
      <c r="Q168" s="50"/>
      <c r="R168" s="50"/>
    </row>
    <row r="169" spans="2:18">
      <c r="B169" s="3" t="s">
        <v>157</v>
      </c>
      <c r="H169" s="333"/>
      <c r="I169" s="334"/>
      <c r="J169" s="95">
        <f t="shared" si="22"/>
        <v>1.8873520000000001E-2</v>
      </c>
      <c r="K169" s="50"/>
      <c r="L169" s="50"/>
      <c r="N169" s="333"/>
      <c r="O169" s="334"/>
      <c r="P169" s="95">
        <f t="shared" si="23"/>
        <v>1.327619E-2</v>
      </c>
      <c r="Q169" s="50"/>
      <c r="R169" s="50"/>
    </row>
    <row r="170" spans="2:18">
      <c r="B170" s="3" t="s">
        <v>158</v>
      </c>
      <c r="H170" s="333"/>
      <c r="I170" s="334">
        <f>ROUND($F$12*$F$21*$F$69/$F$73*(1-$F$78)*($F$82+$F$83),8)</f>
        <v>9.9405649999999998E-2</v>
      </c>
      <c r="J170" s="95">
        <f t="shared" si="22"/>
        <v>2.5312660000000001E-2</v>
      </c>
      <c r="K170" s="50"/>
      <c r="L170" s="50"/>
      <c r="N170" s="333"/>
      <c r="O170" s="334">
        <f>ROUND($F$12*$F$21*$F$69/$F$73*(1-$F$78)*($F$82+$F$85),8)</f>
        <v>6.9924840000000002E-2</v>
      </c>
      <c r="P170" s="95">
        <f t="shared" si="23"/>
        <v>1.7805660000000001E-2</v>
      </c>
      <c r="Q170" s="50"/>
      <c r="R170" s="50"/>
    </row>
    <row r="171" spans="2:18">
      <c r="B171" s="3" t="s">
        <v>159</v>
      </c>
      <c r="H171" s="333"/>
      <c r="I171" s="334"/>
      <c r="J171" s="95">
        <f t="shared" si="22"/>
        <v>3.9687E-2</v>
      </c>
      <c r="K171" s="50"/>
      <c r="L171" s="50"/>
      <c r="N171" s="333"/>
      <c r="O171" s="334"/>
      <c r="P171" s="95">
        <f t="shared" si="23"/>
        <v>2.7917000000000001E-2</v>
      </c>
      <c r="Q171" s="50"/>
      <c r="R171" s="50"/>
    </row>
    <row r="172" spans="2:18">
      <c r="B172" s="3" t="s">
        <v>160</v>
      </c>
      <c r="H172" s="333"/>
      <c r="I172" s="334"/>
      <c r="J172" s="95">
        <f t="shared" si="22"/>
        <v>5.4192869999999997E-2</v>
      </c>
      <c r="K172" s="50"/>
      <c r="L172" s="50"/>
      <c r="N172" s="333"/>
      <c r="O172" s="334"/>
      <c r="P172" s="95">
        <f t="shared" si="23"/>
        <v>3.8120849999999998E-2</v>
      </c>
      <c r="Q172" s="50"/>
      <c r="R172" s="50"/>
    </row>
    <row r="174" spans="2:18" s="39" customFormat="1">
      <c r="B174" s="39" t="s">
        <v>167</v>
      </c>
      <c r="H174" s="39" t="s">
        <v>170</v>
      </c>
      <c r="N174" s="39" t="s">
        <v>171</v>
      </c>
    </row>
    <row r="175" spans="2:18" s="42" customFormat="1">
      <c r="H175" s="42" t="s">
        <v>139</v>
      </c>
      <c r="I175" s="42" t="s">
        <v>140</v>
      </c>
      <c r="J175" s="42" t="s">
        <v>141</v>
      </c>
      <c r="K175" s="42" t="s">
        <v>142</v>
      </c>
      <c r="L175" s="42" t="s">
        <v>143</v>
      </c>
      <c r="N175" s="42" t="s">
        <v>139</v>
      </c>
      <c r="O175" s="42" t="s">
        <v>140</v>
      </c>
      <c r="P175" s="42" t="s">
        <v>141</v>
      </c>
      <c r="Q175" s="42" t="s">
        <v>142</v>
      </c>
      <c r="R175" s="42" t="s">
        <v>143</v>
      </c>
    </row>
    <row r="176" spans="2:18" s="40" customFormat="1">
      <c r="H176" s="40" t="s">
        <v>144</v>
      </c>
      <c r="I176" s="40" t="s">
        <v>145</v>
      </c>
      <c r="J176" s="40" t="s">
        <v>146</v>
      </c>
      <c r="K176" s="40" t="s">
        <v>147</v>
      </c>
      <c r="L176" s="40" t="s">
        <v>148</v>
      </c>
      <c r="N176" s="40" t="s">
        <v>144</v>
      </c>
      <c r="O176" s="40" t="s">
        <v>145</v>
      </c>
      <c r="P176" s="40" t="s">
        <v>146</v>
      </c>
      <c r="Q176" s="40" t="s">
        <v>147</v>
      </c>
      <c r="R176" s="40" t="s">
        <v>148</v>
      </c>
    </row>
    <row r="178" spans="2:18">
      <c r="B178" s="3" t="s">
        <v>149</v>
      </c>
      <c r="H178" s="333">
        <f>ROUND((1-F78)*(F83+F84),8)</f>
        <v>0.18628368000000001</v>
      </c>
      <c r="I178" s="334">
        <f>ROUND($F$12*$F$18*$F$66/$F$73*(1-$F$78)*($F$83+$F$84),8)</f>
        <v>8.9911779999999997E-2</v>
      </c>
      <c r="J178" s="95">
        <f t="shared" ref="J178:J189" si="24">ROUND($F$13*$F24*$F52/$F$73*(1-$F$78)*($F$83+$F$84),8)</f>
        <v>4.2245930000000001E-2</v>
      </c>
      <c r="K178" s="50"/>
      <c r="L178" s="50"/>
      <c r="N178" s="334">
        <f>ROUND((1-F78)*(F84+F85),8)</f>
        <v>0.10697186</v>
      </c>
      <c r="O178" s="334">
        <f>ROUND($F$12*$F$18*$F$66/$F$73*(1-$F$78)*($F$84+$F$85),8)</f>
        <v>5.1631099999999999E-2</v>
      </c>
      <c r="P178" s="62">
        <f t="shared" ref="P178:P189" si="25">ROUND($F$13*$F24*$F52/$F$73*(1-$F$78)*($F$84+$F$85),8)</f>
        <v>2.4259380000000001E-2</v>
      </c>
      <c r="Q178" s="50"/>
      <c r="R178" s="50"/>
    </row>
    <row r="179" spans="2:18">
      <c r="B179" s="3" t="s">
        <v>150</v>
      </c>
      <c r="H179" s="333"/>
      <c r="I179" s="334"/>
      <c r="J179" s="95">
        <f t="shared" si="24"/>
        <v>3.6907839999999997E-2</v>
      </c>
      <c r="K179" s="50"/>
      <c r="L179" s="50"/>
      <c r="N179" s="334"/>
      <c r="O179" s="334"/>
      <c r="P179" s="62">
        <f t="shared" si="25"/>
        <v>2.1194020000000001E-2</v>
      </c>
      <c r="Q179" s="50"/>
      <c r="R179" s="50"/>
    </row>
    <row r="180" spans="2:18">
      <c r="B180" s="3" t="s">
        <v>151</v>
      </c>
      <c r="H180" s="333"/>
      <c r="I180" s="334"/>
      <c r="J180" s="95">
        <f t="shared" si="24"/>
        <v>2.8566299999999999E-2</v>
      </c>
      <c r="K180" s="50"/>
      <c r="L180" s="50"/>
      <c r="N180" s="334"/>
      <c r="O180" s="334"/>
      <c r="P180" s="62">
        <f t="shared" si="25"/>
        <v>1.6403959999999999E-2</v>
      </c>
      <c r="Q180" s="50"/>
      <c r="R180" s="50"/>
    </row>
    <row r="181" spans="2:18">
      <c r="B181" s="3" t="s">
        <v>152</v>
      </c>
      <c r="H181" s="333"/>
      <c r="I181" s="334">
        <f>ROUND($F$12*$F$19*$F$67/$F$73*(1-$F$78)*($F$83+$F$84),8)</f>
        <v>4.1221630000000002E-2</v>
      </c>
      <c r="J181" s="95">
        <f t="shared" si="24"/>
        <v>1.967431E-2</v>
      </c>
      <c r="K181" s="50"/>
      <c r="L181" s="50"/>
      <c r="N181" s="334"/>
      <c r="O181" s="334">
        <f>ROUND($F$12*$F$19*$F$67/$F$73*(1-$F$78)*($F$84+$F$85),8)</f>
        <v>2.367118E-2</v>
      </c>
      <c r="P181" s="62">
        <f t="shared" si="25"/>
        <v>1.129781E-2</v>
      </c>
      <c r="Q181" s="50"/>
      <c r="R181" s="50"/>
    </row>
    <row r="182" spans="2:18">
      <c r="B182" s="3" t="s">
        <v>153</v>
      </c>
      <c r="H182" s="333"/>
      <c r="I182" s="334"/>
      <c r="J182" s="95">
        <f t="shared" si="24"/>
        <v>1.5999019999999999E-2</v>
      </c>
      <c r="K182" s="50"/>
      <c r="L182" s="50"/>
      <c r="N182" s="334"/>
      <c r="O182" s="334"/>
      <c r="P182" s="62">
        <f t="shared" si="25"/>
        <v>9.1873000000000007E-3</v>
      </c>
      <c r="Q182" s="50"/>
      <c r="R182" s="50"/>
    </row>
    <row r="183" spans="2:18">
      <c r="B183" s="3" t="s">
        <v>154</v>
      </c>
      <c r="H183" s="333"/>
      <c r="I183" s="334"/>
      <c r="J183" s="95">
        <f t="shared" si="24"/>
        <v>1.3742239999999999E-2</v>
      </c>
      <c r="K183" s="50"/>
      <c r="L183" s="50"/>
      <c r="N183" s="334"/>
      <c r="O183" s="334"/>
      <c r="P183" s="62">
        <f t="shared" si="25"/>
        <v>7.89137E-3</v>
      </c>
      <c r="Q183" s="50"/>
      <c r="R183" s="50"/>
    </row>
    <row r="184" spans="2:18">
      <c r="B184" s="3" t="s">
        <v>155</v>
      </c>
      <c r="H184" s="333"/>
      <c r="I184" s="334">
        <f>ROUND($F$12*$F$20*$F$68/$F$73*(1-$F$78)*($F$83+$F$84),8)</f>
        <v>3.2309530000000003E-2</v>
      </c>
      <c r="J184" s="95">
        <f t="shared" si="24"/>
        <v>1.3135290000000001E-2</v>
      </c>
      <c r="K184" s="50"/>
      <c r="L184" s="50"/>
      <c r="N184" s="334"/>
      <c r="O184" s="334">
        <f>ROUND($F$12*$F$20*$F$68/$F$73*(1-$F$78)*($F$84+$F$85),8)</f>
        <v>1.8553480000000001E-2</v>
      </c>
      <c r="P184" s="62">
        <f t="shared" si="25"/>
        <v>7.5428300000000004E-3</v>
      </c>
      <c r="Q184" s="50"/>
      <c r="R184" s="50"/>
    </row>
    <row r="185" spans="2:18">
      <c r="B185" s="3" t="s">
        <v>156</v>
      </c>
      <c r="H185" s="333"/>
      <c r="I185" s="334"/>
      <c r="J185" s="95">
        <f t="shared" si="24"/>
        <v>1.249628E-2</v>
      </c>
      <c r="K185" s="50"/>
      <c r="L185" s="50"/>
      <c r="N185" s="334"/>
      <c r="O185" s="334"/>
      <c r="P185" s="62">
        <f t="shared" si="25"/>
        <v>7.1758799999999999E-3</v>
      </c>
      <c r="Q185" s="50"/>
      <c r="R185" s="50"/>
    </row>
    <row r="186" spans="2:18">
      <c r="B186" s="3" t="s">
        <v>157</v>
      </c>
      <c r="H186" s="333"/>
      <c r="I186" s="334"/>
      <c r="J186" s="95">
        <f t="shared" si="24"/>
        <v>1.3146740000000001E-2</v>
      </c>
      <c r="K186" s="50"/>
      <c r="L186" s="50"/>
      <c r="N186" s="334"/>
      <c r="O186" s="334"/>
      <c r="P186" s="62">
        <f t="shared" si="25"/>
        <v>7.5494100000000003E-3</v>
      </c>
      <c r="Q186" s="50"/>
      <c r="R186" s="50"/>
    </row>
    <row r="187" spans="2:18">
      <c r="B187" s="3" t="s">
        <v>158</v>
      </c>
      <c r="H187" s="333"/>
      <c r="I187" s="334">
        <f>ROUND($F$12*$F$21*$F$69/$F$73*(1-$F$78)*($F$83+$F$84),8)</f>
        <v>6.9243070000000004E-2</v>
      </c>
      <c r="J187" s="95">
        <f t="shared" si="24"/>
        <v>1.7632060000000001E-2</v>
      </c>
      <c r="K187" s="50"/>
      <c r="L187" s="50"/>
      <c r="N187" s="334"/>
      <c r="O187" s="334">
        <f>ROUND($F$12*$F$21*$F$69/$F$73*(1-$F$78)*($F$84+$F$85),8)</f>
        <v>3.9762260000000001E-2</v>
      </c>
      <c r="P187" s="62">
        <f t="shared" si="25"/>
        <v>1.012506E-2</v>
      </c>
      <c r="Q187" s="50"/>
      <c r="R187" s="50"/>
    </row>
    <row r="188" spans="2:18">
      <c r="B188" s="3" t="s">
        <v>159</v>
      </c>
      <c r="H188" s="333"/>
      <c r="I188" s="334"/>
      <c r="J188" s="95">
        <f t="shared" si="24"/>
        <v>2.7644800000000001E-2</v>
      </c>
      <c r="K188" s="50"/>
      <c r="L188" s="50"/>
      <c r="N188" s="334"/>
      <c r="O188" s="334"/>
      <c r="P188" s="62">
        <f t="shared" si="25"/>
        <v>1.5874800000000001E-2</v>
      </c>
      <c r="Q188" s="50"/>
      <c r="R188" s="50"/>
    </row>
    <row r="189" spans="2:18">
      <c r="B189" s="3" t="s">
        <v>160</v>
      </c>
      <c r="H189" s="333"/>
      <c r="I189" s="334"/>
      <c r="J189" s="95">
        <f t="shared" si="24"/>
        <v>3.7749169999999999E-2</v>
      </c>
      <c r="K189" s="50"/>
      <c r="L189" s="50"/>
      <c r="N189" s="334"/>
      <c r="O189" s="334"/>
      <c r="P189" s="62">
        <f t="shared" si="25"/>
        <v>2.1677149999999999E-2</v>
      </c>
      <c r="Q189" s="50"/>
      <c r="R189" s="50"/>
    </row>
  </sheetData>
  <mergeCells count="63">
    <mergeCell ref="H144:H155"/>
    <mergeCell ref="I144:I146"/>
    <mergeCell ref="N144:N155"/>
    <mergeCell ref="O144:O146"/>
    <mergeCell ref="I147:I149"/>
    <mergeCell ref="O147:O149"/>
    <mergeCell ref="I150:I152"/>
    <mergeCell ref="O150:O152"/>
    <mergeCell ref="I153:I155"/>
    <mergeCell ref="O153:O155"/>
    <mergeCell ref="I130:I132"/>
    <mergeCell ref="O130:O132"/>
    <mergeCell ref="I133:I135"/>
    <mergeCell ref="O133:O135"/>
    <mergeCell ref="I136:I138"/>
    <mergeCell ref="O136:O138"/>
    <mergeCell ref="H178:H189"/>
    <mergeCell ref="I178:I180"/>
    <mergeCell ref="N178:N189"/>
    <mergeCell ref="O178:O180"/>
    <mergeCell ref="I181:I183"/>
    <mergeCell ref="O181:O183"/>
    <mergeCell ref="I184:I186"/>
    <mergeCell ref="O184:O186"/>
    <mergeCell ref="I187:I189"/>
    <mergeCell ref="O187:O189"/>
    <mergeCell ref="I100:I102"/>
    <mergeCell ref="O100:O102"/>
    <mergeCell ref="H161:H172"/>
    <mergeCell ref="I161:I163"/>
    <mergeCell ref="N161:N172"/>
    <mergeCell ref="O161:O163"/>
    <mergeCell ref="I164:I166"/>
    <mergeCell ref="O164:O166"/>
    <mergeCell ref="I167:I169"/>
    <mergeCell ref="O167:O169"/>
    <mergeCell ref="I170:I172"/>
    <mergeCell ref="O170:O172"/>
    <mergeCell ref="H127:H138"/>
    <mergeCell ref="I127:I129"/>
    <mergeCell ref="N127:N138"/>
    <mergeCell ref="O127:O129"/>
    <mergeCell ref="O91:O93"/>
    <mergeCell ref="I94:I96"/>
    <mergeCell ref="O94:O96"/>
    <mergeCell ref="I97:I99"/>
    <mergeCell ref="O97:O99"/>
    <mergeCell ref="T91:V102"/>
    <mergeCell ref="T109:V120"/>
    <mergeCell ref="B5:D5"/>
    <mergeCell ref="H109:H120"/>
    <mergeCell ref="I109:I111"/>
    <mergeCell ref="N109:N120"/>
    <mergeCell ref="O109:O111"/>
    <mergeCell ref="I112:I114"/>
    <mergeCell ref="O112:O114"/>
    <mergeCell ref="I115:I117"/>
    <mergeCell ref="O115:O117"/>
    <mergeCell ref="I118:I120"/>
    <mergeCell ref="O118:O120"/>
    <mergeCell ref="H91:H102"/>
    <mergeCell ref="I91:I93"/>
    <mergeCell ref="N91:N10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R110"/>
  <sheetViews>
    <sheetView showGridLines="0" zoomScale="90" zoomScaleNormal="90" workbookViewId="0">
      <pane xSplit="6" ySplit="8" topLeftCell="G9" activePane="bottomRight" state="frozen"/>
      <selection pane="topRight" activeCell="C40" sqref="C40"/>
      <selection pane="bottomLeft" activeCell="C40" sqref="C40"/>
      <selection pane="bottomRight"/>
    </sheetView>
  </sheetViews>
  <sheetFormatPr defaultColWidth="9.140625" defaultRowHeight="12.75"/>
  <cols>
    <col min="1" max="1" width="2.7109375" style="3" customWidth="1"/>
    <col min="2" max="2" width="45.7109375" style="3" customWidth="1"/>
    <col min="3" max="5" width="2.7109375" style="3" customWidth="1"/>
    <col min="6" max="6" width="25.7109375" style="3" customWidth="1"/>
    <col min="7" max="7" width="2.7109375" style="3" customWidth="1"/>
    <col min="8" max="8" width="17.28515625" style="3" bestFit="1" customWidth="1"/>
    <col min="9" max="9" width="21.7109375" style="3" bestFit="1" customWidth="1"/>
    <col min="10" max="10" width="20" style="3" bestFit="1" customWidth="1"/>
    <col min="11" max="11" width="17" style="3" bestFit="1" customWidth="1"/>
    <col min="12" max="12" width="16.5703125" style="3" bestFit="1" customWidth="1"/>
    <col min="13" max="13" width="18.7109375" style="3" customWidth="1"/>
    <col min="14" max="14" width="17.28515625" style="3" bestFit="1" customWidth="1"/>
    <col min="15" max="15" width="21.7109375" style="3" bestFit="1" customWidth="1"/>
    <col min="16" max="16" width="20" style="3" bestFit="1" customWidth="1"/>
    <col min="17" max="17" width="17" style="3" bestFit="1" customWidth="1"/>
    <col min="18" max="18" width="16.5703125" style="3" bestFit="1" customWidth="1"/>
    <col min="19" max="20" width="15.7109375" style="3" customWidth="1"/>
    <col min="21" max="34" width="13.7109375" style="3" customWidth="1"/>
    <col min="35" max="16384" width="9.140625" style="3"/>
  </cols>
  <sheetData>
    <row r="2" spans="2:18" s="12" customFormat="1" ht="18">
      <c r="B2" s="12" t="s">
        <v>132</v>
      </c>
    </row>
    <row r="4" spans="2:18">
      <c r="B4" s="16" t="s">
        <v>133</v>
      </c>
      <c r="C4" s="2"/>
      <c r="D4" s="2"/>
      <c r="E4" s="2"/>
    </row>
    <row r="5" spans="2:18" ht="91.5" customHeight="1">
      <c r="B5" s="322" t="s">
        <v>1088</v>
      </c>
      <c r="C5" s="327"/>
      <c r="D5" s="327"/>
      <c r="E5" s="327"/>
      <c r="F5" s="327"/>
    </row>
    <row r="6" spans="2:18">
      <c r="B6" s="4"/>
    </row>
    <row r="8" spans="2:18" s="8" customFormat="1">
      <c r="B8" s="8" t="s">
        <v>134</v>
      </c>
    </row>
    <row r="10" spans="2:18" s="39" customFormat="1">
      <c r="B10" s="39" t="s">
        <v>135</v>
      </c>
      <c r="H10" s="39" t="s">
        <v>136</v>
      </c>
      <c r="N10" s="39" t="s">
        <v>137</v>
      </c>
    </row>
    <row r="11" spans="2:18" s="42" customFormat="1">
      <c r="B11" s="42" t="s">
        <v>138</v>
      </c>
      <c r="H11" s="42" t="s">
        <v>139</v>
      </c>
      <c r="I11" s="42" t="s">
        <v>140</v>
      </c>
      <c r="J11" s="42" t="s">
        <v>141</v>
      </c>
      <c r="K11" s="42" t="s">
        <v>142</v>
      </c>
      <c r="L11" s="42" t="s">
        <v>143</v>
      </c>
      <c r="N11" s="42" t="s">
        <v>139</v>
      </c>
      <c r="O11" s="42" t="s">
        <v>140</v>
      </c>
      <c r="P11" s="42" t="s">
        <v>141</v>
      </c>
      <c r="Q11" s="42" t="s">
        <v>142</v>
      </c>
      <c r="R11" s="42" t="s">
        <v>143</v>
      </c>
    </row>
    <row r="12" spans="2:18" s="40" customFormat="1">
      <c r="H12" s="40" t="s">
        <v>144</v>
      </c>
      <c r="I12" s="40" t="s">
        <v>145</v>
      </c>
      <c r="J12" s="40" t="s">
        <v>146</v>
      </c>
      <c r="K12" s="40" t="s">
        <v>147</v>
      </c>
      <c r="L12" s="40" t="s">
        <v>148</v>
      </c>
      <c r="N12" s="40" t="s">
        <v>144</v>
      </c>
      <c r="O12" s="40" t="s">
        <v>145</v>
      </c>
      <c r="P12" s="40" t="s">
        <v>146</v>
      </c>
      <c r="Q12" s="40" t="s">
        <v>147</v>
      </c>
      <c r="R12" s="40" t="s">
        <v>148</v>
      </c>
    </row>
    <row r="14" spans="2:18">
      <c r="B14" s="88" t="s">
        <v>149</v>
      </c>
      <c r="C14" s="88"/>
      <c r="D14" s="88"/>
      <c r="E14" s="88"/>
      <c r="F14" s="88"/>
      <c r="G14" s="88"/>
      <c r="H14" s="323">
        <f>'26. Entry- en exittarieven '!H91</f>
        <v>2.2540548199999999</v>
      </c>
      <c r="I14" s="328">
        <f>'26. Entry- en exittarieven '!I91</f>
        <v>1.08794327</v>
      </c>
      <c r="J14" s="257">
        <f>'26. Entry- en exittarieven '!J91</f>
        <v>0.51118083000000003</v>
      </c>
      <c r="K14" s="257">
        <f>'26. Entry- en exittarieven '!K91</f>
        <v>2.0229529999999999E-2</v>
      </c>
      <c r="L14" s="299">
        <f>'26. Entry- en exittarieven '!L91</f>
        <v>8.4290000000000005E-4</v>
      </c>
      <c r="M14" s="261"/>
      <c r="N14" s="323">
        <f>'26. Entry- en exittarieven '!N91</f>
        <v>0.90162193000000002</v>
      </c>
      <c r="O14" s="328">
        <f>'26. Entry- en exittarieven '!O91</f>
        <v>0.43517730999999998</v>
      </c>
      <c r="P14" s="257">
        <f>'26. Entry- en exittarieven '!P91</f>
        <v>0.20447233000000001</v>
      </c>
      <c r="Q14" s="257">
        <f>'26. Entry- en exittarieven '!Q91</f>
        <v>8.0918099999999996E-3</v>
      </c>
      <c r="R14" s="307">
        <f>'26. Entry- en exittarieven '!R91</f>
        <v>3.3715999999999998E-4</v>
      </c>
    </row>
    <row r="15" spans="2:18">
      <c r="B15" s="88" t="s">
        <v>150</v>
      </c>
      <c r="C15" s="88"/>
      <c r="D15" s="88"/>
      <c r="E15" s="88"/>
      <c r="F15" s="88"/>
      <c r="G15" s="88"/>
      <c r="H15" s="323"/>
      <c r="I15" s="328"/>
      <c r="J15" s="257">
        <f>'26. Entry- en exittarieven '!J92</f>
        <v>0.44658923</v>
      </c>
      <c r="K15" s="257">
        <f>'26. Entry- en exittarieven '!K92</f>
        <v>1.8893110000000001E-2</v>
      </c>
      <c r="L15" s="299">
        <f>'26. Entry- en exittarieven '!L92</f>
        <v>7.8722000000000004E-4</v>
      </c>
      <c r="M15" s="261"/>
      <c r="N15" s="323"/>
      <c r="O15" s="328"/>
      <c r="P15" s="257">
        <f>'26. Entry- en exittarieven '!P92</f>
        <v>0.17863569000000001</v>
      </c>
      <c r="Q15" s="257">
        <f>'26. Entry- en exittarieven '!Q92</f>
        <v>7.5572399999999998E-3</v>
      </c>
      <c r="R15" s="307">
        <f>'26. Entry- en exittarieven '!R92</f>
        <v>3.1489000000000002E-4</v>
      </c>
    </row>
    <row r="16" spans="2:18">
      <c r="B16" s="88" t="s">
        <v>151</v>
      </c>
      <c r="C16" s="88"/>
      <c r="D16" s="88"/>
      <c r="E16" s="88"/>
      <c r="F16" s="88"/>
      <c r="G16" s="88"/>
      <c r="H16" s="323"/>
      <c r="I16" s="328"/>
      <c r="J16" s="257">
        <f>'26. Entry- en exittarieven '!J93</f>
        <v>0.34565561</v>
      </c>
      <c r="K16" s="257">
        <f>'26. Entry- en exittarieven '!K93</f>
        <v>1.367675E-2</v>
      </c>
      <c r="L16" s="299">
        <f>'26. Entry- en exittarieven '!L93</f>
        <v>5.698700000000001E-4</v>
      </c>
      <c r="M16" s="261"/>
      <c r="N16" s="323"/>
      <c r="O16" s="328"/>
      <c r="P16" s="257">
        <f>'26. Entry- en exittarieven '!P93</f>
        <v>0.13826224000000001</v>
      </c>
      <c r="Q16" s="257">
        <f>'26. Entry- en exittarieven '!Q93</f>
        <v>5.4707000000000002E-3</v>
      </c>
      <c r="R16" s="307">
        <f>'26. Entry- en exittarieven '!R93</f>
        <v>2.2794999999999998E-4</v>
      </c>
    </row>
    <row r="17" spans="2:18">
      <c r="B17" s="88" t="s">
        <v>152</v>
      </c>
      <c r="C17" s="88"/>
      <c r="D17" s="88"/>
      <c r="E17" s="88"/>
      <c r="F17" s="88"/>
      <c r="G17" s="88"/>
      <c r="H17" s="323"/>
      <c r="I17" s="328">
        <f>'26. Entry- en exittarieven '!I94</f>
        <v>0.49878661000000002</v>
      </c>
      <c r="J17" s="257">
        <f>'26. Entry- en exittarieven '!J94</f>
        <v>0.23806145000000001</v>
      </c>
      <c r="K17" s="257">
        <f>'26. Entry- en exittarieven '!K94</f>
        <v>9.7321600000000001E-3</v>
      </c>
      <c r="L17" s="299">
        <f>'26. Entry- en exittarieven '!L94</f>
        <v>4.0550999999999999E-4</v>
      </c>
      <c r="M17" s="261"/>
      <c r="N17" s="323"/>
      <c r="O17" s="328">
        <f>'26. Entry- en exittarieven '!O94</f>
        <v>0.19951463999999999</v>
      </c>
      <c r="P17" s="257">
        <f>'26. Entry- en exittarieven '!P94</f>
        <v>9.5224580000000003E-2</v>
      </c>
      <c r="Q17" s="257">
        <f>'26. Entry- en exittarieven '!Q94</f>
        <v>3.8928600000000002E-3</v>
      </c>
      <c r="R17" s="307">
        <f>'26. Entry- en exittarieven '!R94</f>
        <v>1.6221000000000001E-4</v>
      </c>
    </row>
    <row r="18" spans="2:18">
      <c r="B18" s="88" t="s">
        <v>153</v>
      </c>
      <c r="C18" s="88"/>
      <c r="D18" s="88"/>
      <c r="E18" s="88"/>
      <c r="F18" s="88"/>
      <c r="G18" s="88"/>
      <c r="H18" s="323"/>
      <c r="I18" s="328"/>
      <c r="J18" s="257">
        <f>'26. Entry- en exittarieven '!J95</f>
        <v>0.19359005000000001</v>
      </c>
      <c r="K18" s="257">
        <f>'26. Entry- en exittarieven '!K95</f>
        <v>7.6628599999999996E-3</v>
      </c>
      <c r="L18" s="299">
        <f>'26. Entry- en exittarieven '!L95</f>
        <v>3.1929000000000001E-4</v>
      </c>
      <c r="M18" s="261"/>
      <c r="N18" s="323"/>
      <c r="O18" s="328"/>
      <c r="P18" s="257">
        <f>'26. Entry- en exittarieven '!P95</f>
        <v>7.7436019999999994E-2</v>
      </c>
      <c r="Q18" s="257">
        <f>'26. Entry- en exittarieven '!Q95</f>
        <v>3.06515E-3</v>
      </c>
      <c r="R18" s="307">
        <f>'26. Entry- en exittarieven '!R95</f>
        <v>1.2772E-4</v>
      </c>
    </row>
    <row r="19" spans="2:18">
      <c r="B19" s="88" t="s">
        <v>154</v>
      </c>
      <c r="C19" s="88"/>
      <c r="D19" s="88"/>
      <c r="E19" s="88"/>
      <c r="F19" s="88"/>
      <c r="G19" s="88"/>
      <c r="H19" s="323"/>
      <c r="I19" s="328"/>
      <c r="J19" s="257">
        <f>'26. Entry- en exittarieven '!J96</f>
        <v>0.16628272999999999</v>
      </c>
      <c r="K19" s="257">
        <f>'26. Entry- en exittarieven '!K96</f>
        <v>6.80066E-3</v>
      </c>
      <c r="L19" s="299">
        <f>'26. Entry- en exittarieven '!L96</f>
        <v>2.8337000000000002E-4</v>
      </c>
      <c r="M19" s="261"/>
      <c r="N19" s="323"/>
      <c r="O19" s="328"/>
      <c r="P19" s="257">
        <f>'26. Entry- en exittarieven '!P96</f>
        <v>6.6513089999999997E-2</v>
      </c>
      <c r="Q19" s="257">
        <f>'26. Entry- en exittarieven '!Q96</f>
        <v>2.72026E-3</v>
      </c>
      <c r="R19" s="307">
        <f>'26. Entry- en exittarieven '!R96</f>
        <v>1.1334999999999999E-4</v>
      </c>
    </row>
    <row r="20" spans="2:18">
      <c r="B20" s="88" t="s">
        <v>155</v>
      </c>
      <c r="C20" s="88"/>
      <c r="D20" s="88"/>
      <c r="E20" s="88"/>
      <c r="F20" s="88"/>
      <c r="G20" s="88"/>
      <c r="H20" s="323"/>
      <c r="I20" s="328">
        <f>'26. Entry- en exittarieven '!I97</f>
        <v>0.39094918000000001</v>
      </c>
      <c r="J20" s="257">
        <f>'26. Entry- en exittarieven '!J97</f>
        <v>0.15893858</v>
      </c>
      <c r="K20" s="257">
        <f>'26. Entry- en exittarieven '!K97</f>
        <v>6.2833300000000002E-3</v>
      </c>
      <c r="L20" s="299">
        <f>'26. Entry- en exittarieven '!L97</f>
        <v>2.6181000000000002E-4</v>
      </c>
      <c r="M20" s="261"/>
      <c r="N20" s="323"/>
      <c r="O20" s="328">
        <f>'26. Entry- en exittarieven '!O97</f>
        <v>0.15637967</v>
      </c>
      <c r="P20" s="257">
        <f>'26. Entry- en exittarieven '!P97</f>
        <v>6.3575430000000002E-2</v>
      </c>
      <c r="Q20" s="257">
        <f>'26. Entry- en exittarieven '!Q97</f>
        <v>2.5133299999999998E-3</v>
      </c>
      <c r="R20" s="307">
        <f>'26. Entry- en exittarieven '!R97</f>
        <v>1.0473E-4</v>
      </c>
    </row>
    <row r="21" spans="2:18">
      <c r="B21" s="88" t="s">
        <v>156</v>
      </c>
      <c r="C21" s="88"/>
      <c r="D21" s="88"/>
      <c r="E21" s="88"/>
      <c r="F21" s="88"/>
      <c r="G21" s="88"/>
      <c r="H21" s="323"/>
      <c r="I21" s="328"/>
      <c r="J21" s="257">
        <f>'26. Entry- en exittarieven '!J98</f>
        <v>0.15120643</v>
      </c>
      <c r="K21" s="257">
        <f>'26. Entry- en exittarieven '!K98</f>
        <v>5.9815600000000003E-3</v>
      </c>
      <c r="L21" s="299">
        <f>'26. Entry- en exittarieven '!L98</f>
        <v>2.4924000000000002E-4</v>
      </c>
      <c r="M21" s="261"/>
      <c r="N21" s="323"/>
      <c r="O21" s="328"/>
      <c r="P21" s="257">
        <f>'26. Entry- en exittarieven '!P98</f>
        <v>6.0482569999999999E-2</v>
      </c>
      <c r="Q21" s="257">
        <f>'26. Entry- en exittarieven '!Q98</f>
        <v>2.3926199999999998E-3</v>
      </c>
      <c r="R21" s="307">
        <f>'26. Entry- en exittarieven '!R98</f>
        <v>9.9699999999999998E-5</v>
      </c>
    </row>
    <row r="22" spans="2:18">
      <c r="B22" s="88" t="s">
        <v>157</v>
      </c>
      <c r="C22" s="88"/>
      <c r="D22" s="88"/>
      <c r="E22" s="88"/>
      <c r="F22" s="88"/>
      <c r="G22" s="88"/>
      <c r="H22" s="323"/>
      <c r="I22" s="328"/>
      <c r="J22" s="257">
        <f>'26. Entry- en exittarieven '!J99</f>
        <v>0.15907715</v>
      </c>
      <c r="K22" s="257">
        <f>'26. Entry- en exittarieven '!K99</f>
        <v>6.5096599999999996E-3</v>
      </c>
      <c r="L22" s="299">
        <f>'26. Entry- en exittarieven '!L99</f>
        <v>2.7124000000000001E-4</v>
      </c>
      <c r="M22" s="261"/>
      <c r="N22" s="323"/>
      <c r="O22" s="328"/>
      <c r="P22" s="257">
        <f>'26. Entry- en exittarieven '!P99</f>
        <v>6.3630859999999997E-2</v>
      </c>
      <c r="Q22" s="257">
        <f>'26. Entry- en exittarieven '!Q99</f>
        <v>2.6038599999999999E-3</v>
      </c>
      <c r="R22" s="307">
        <f>'26. Entry- en exittarieven '!R99</f>
        <v>1.0849999999999999E-4</v>
      </c>
    </row>
    <row r="23" spans="2:18">
      <c r="B23" s="88" t="s">
        <v>158</v>
      </c>
      <c r="C23" s="88"/>
      <c r="D23" s="88"/>
      <c r="E23" s="88"/>
      <c r="F23" s="88"/>
      <c r="G23" s="88"/>
      <c r="H23" s="323"/>
      <c r="I23" s="328">
        <f>'26. Entry- en exittarieven '!I100</f>
        <v>0.83784941999999996</v>
      </c>
      <c r="J23" s="257">
        <f>'26. Entry- en exittarieven '!J100</f>
        <v>0.21334997999999999</v>
      </c>
      <c r="K23" s="257">
        <f>'26. Entry- en exittarieven '!K100</f>
        <v>8.4496299999999996E-3</v>
      </c>
      <c r="L23" s="299">
        <f>'26. Entry- en exittarieven '!L100</f>
        <v>3.5207000000000001E-4</v>
      </c>
      <c r="M23" s="261"/>
      <c r="N23" s="323"/>
      <c r="O23" s="328">
        <f>'26. Entry- en exittarieven '!O100</f>
        <v>0.33513977</v>
      </c>
      <c r="P23" s="257">
        <f>'26. Entry- en exittarieven '!P100</f>
        <v>8.5339990000000004E-2</v>
      </c>
      <c r="Q23" s="257">
        <f>'26. Entry- en exittarieven '!Q100</f>
        <v>3.3798500000000002E-3</v>
      </c>
      <c r="R23" s="307">
        <f>'26. Entry- en exittarieven '!R100</f>
        <v>1.4082999999999999E-4</v>
      </c>
    </row>
    <row r="24" spans="2:18">
      <c r="B24" s="88" t="s">
        <v>159</v>
      </c>
      <c r="C24" s="88"/>
      <c r="D24" s="88"/>
      <c r="E24" s="88"/>
      <c r="F24" s="88"/>
      <c r="G24" s="88"/>
      <c r="H24" s="323"/>
      <c r="I24" s="328"/>
      <c r="J24" s="257">
        <f>'26. Entry- en exittarieven '!J101</f>
        <v>0.33450542999999999</v>
      </c>
      <c r="K24" s="257">
        <f>'26. Entry- en exittarieven '!K101</f>
        <v>1.367675E-2</v>
      </c>
      <c r="L24" s="299">
        <f>'26. Entry- en exittarieven '!L101</f>
        <v>5.698700000000001E-4</v>
      </c>
      <c r="M24" s="261"/>
      <c r="N24" s="323"/>
      <c r="O24" s="328"/>
      <c r="P24" s="257">
        <f>'26. Entry- en exittarieven '!P101</f>
        <v>0.13380217</v>
      </c>
      <c r="Q24" s="257">
        <f>'26. Entry- en exittarieven '!Q101</f>
        <v>5.4707000000000002E-3</v>
      </c>
      <c r="R24" s="307">
        <f>'26. Entry- en exittarieven '!R101</f>
        <v>2.2794999999999998E-4</v>
      </c>
    </row>
    <row r="25" spans="2:18">
      <c r="B25" s="88" t="s">
        <v>160</v>
      </c>
      <c r="C25" s="88"/>
      <c r="D25" s="88"/>
      <c r="E25" s="88"/>
      <c r="F25" s="88"/>
      <c r="G25" s="88"/>
      <c r="H25" s="323"/>
      <c r="I25" s="328"/>
      <c r="J25" s="257">
        <f>'26. Entry- en exittarieven '!J102</f>
        <v>0.45676942999999998</v>
      </c>
      <c r="K25" s="257">
        <f>'26. Entry- en exittarieven '!K102</f>
        <v>1.8074010000000001E-2</v>
      </c>
      <c r="L25" s="299">
        <f>'26. Entry- en exittarieven '!L102</f>
        <v>7.530900000000001E-4</v>
      </c>
      <c r="M25" s="261"/>
      <c r="N25" s="323"/>
      <c r="O25" s="328"/>
      <c r="P25" s="257">
        <f>'26. Entry- en exittarieven '!P102</f>
        <v>0.18270776999999999</v>
      </c>
      <c r="Q25" s="257">
        <f>'26. Entry- en exittarieven '!Q102</f>
        <v>7.2296000000000001E-3</v>
      </c>
      <c r="R25" s="307">
        <f>'26. Entry- en exittarieven '!R102</f>
        <v>3.0123999999999998E-4</v>
      </c>
    </row>
    <row r="26" spans="2:18">
      <c r="B26" s="88"/>
      <c r="C26" s="88"/>
      <c r="D26" s="88"/>
      <c r="E26" s="88"/>
      <c r="F26" s="88"/>
      <c r="G26" s="88"/>
      <c r="H26" s="88"/>
      <c r="I26" s="88"/>
      <c r="J26" s="88"/>
      <c r="K26" s="88"/>
      <c r="L26" s="300"/>
      <c r="M26" s="88"/>
      <c r="N26" s="88"/>
      <c r="O26" s="88"/>
      <c r="P26" s="88"/>
      <c r="Q26" s="88"/>
      <c r="R26" s="308"/>
    </row>
    <row r="27" spans="2:18" s="39" customFormat="1">
      <c r="B27" s="89" t="s">
        <v>161</v>
      </c>
      <c r="C27" s="89"/>
      <c r="D27" s="89"/>
      <c r="E27" s="89"/>
      <c r="F27" s="89"/>
      <c r="G27" s="89"/>
      <c r="H27" s="89" t="s">
        <v>136</v>
      </c>
      <c r="I27" s="89"/>
      <c r="J27" s="89"/>
      <c r="K27" s="89"/>
      <c r="L27" s="301"/>
      <c r="M27" s="89"/>
      <c r="N27" s="89" t="s">
        <v>137</v>
      </c>
      <c r="O27" s="89"/>
      <c r="P27" s="89"/>
      <c r="Q27" s="89"/>
      <c r="R27" s="309"/>
    </row>
    <row r="28" spans="2:18" s="42" customFormat="1">
      <c r="B28" s="90" t="s">
        <v>162</v>
      </c>
      <c r="C28" s="90"/>
      <c r="D28" s="90"/>
      <c r="E28" s="90"/>
      <c r="F28" s="90"/>
      <c r="G28" s="90"/>
      <c r="H28" s="90" t="s">
        <v>139</v>
      </c>
      <c r="I28" s="90" t="s">
        <v>140</v>
      </c>
      <c r="J28" s="90" t="s">
        <v>141</v>
      </c>
      <c r="K28" s="90" t="s">
        <v>142</v>
      </c>
      <c r="L28" s="302" t="s">
        <v>143</v>
      </c>
      <c r="M28" s="90"/>
      <c r="N28" s="90" t="s">
        <v>139</v>
      </c>
      <c r="O28" s="90" t="s">
        <v>140</v>
      </c>
      <c r="P28" s="90" t="s">
        <v>141</v>
      </c>
      <c r="Q28" s="90" t="s">
        <v>142</v>
      </c>
      <c r="R28" s="310" t="s">
        <v>143</v>
      </c>
    </row>
    <row r="29" spans="2:18" s="40" customFormat="1">
      <c r="B29" s="91"/>
      <c r="C29" s="91"/>
      <c r="D29" s="91"/>
      <c r="E29" s="91"/>
      <c r="F29" s="91"/>
      <c r="G29" s="91"/>
      <c r="H29" s="91" t="s">
        <v>144</v>
      </c>
      <c r="I29" s="91" t="s">
        <v>145</v>
      </c>
      <c r="J29" s="91" t="s">
        <v>146</v>
      </c>
      <c r="K29" s="91" t="s">
        <v>147</v>
      </c>
      <c r="L29" s="303" t="s">
        <v>148</v>
      </c>
      <c r="M29" s="91"/>
      <c r="N29" s="91" t="s">
        <v>144</v>
      </c>
      <c r="O29" s="91" t="s">
        <v>145</v>
      </c>
      <c r="P29" s="91" t="s">
        <v>146</v>
      </c>
      <c r="Q29" s="91" t="s">
        <v>147</v>
      </c>
      <c r="R29" s="311" t="s">
        <v>148</v>
      </c>
    </row>
    <row r="30" spans="2:18">
      <c r="B30" s="88"/>
      <c r="C30" s="88"/>
      <c r="D30" s="88"/>
      <c r="E30" s="88"/>
      <c r="F30" s="88"/>
      <c r="G30" s="88"/>
      <c r="H30" s="88"/>
      <c r="I30" s="88"/>
      <c r="J30" s="88"/>
      <c r="K30" s="88"/>
      <c r="L30" s="300"/>
      <c r="M30" s="88"/>
      <c r="N30" s="88"/>
      <c r="O30" s="88"/>
      <c r="P30" s="88"/>
      <c r="Q30" s="88"/>
      <c r="R30" s="308"/>
    </row>
    <row r="31" spans="2:18">
      <c r="B31" s="88" t="s">
        <v>149</v>
      </c>
      <c r="C31" s="88"/>
      <c r="D31" s="88"/>
      <c r="E31" s="88"/>
      <c r="F31" s="88"/>
      <c r="G31" s="88"/>
      <c r="H31" s="323">
        <f>'26. Entry- en exittarieven '!H109</f>
        <v>2.20310615</v>
      </c>
      <c r="I31" s="328">
        <f>'26. Entry- en exittarieven '!I109</f>
        <v>1.0633523600000001</v>
      </c>
      <c r="J31" s="257">
        <f>'26. Entry- en exittarieven '!J109</f>
        <v>0.49962655</v>
      </c>
      <c r="K31" s="257">
        <f>'26. Entry- en exittarieven '!K109</f>
        <v>1.977228E-2</v>
      </c>
      <c r="L31" s="299">
        <f>'26. Entry- en exittarieven '!L109</f>
        <v>8.238500000000001E-4</v>
      </c>
      <c r="M31" s="88"/>
      <c r="N31" s="323">
        <f>'26. Entry- en exittarieven '!N109</f>
        <v>0.88124245999999995</v>
      </c>
      <c r="O31" s="328">
        <f>'26. Entry- en exittarieven '!O109</f>
        <v>0.42534094</v>
      </c>
      <c r="P31" s="257">
        <f>'26. Entry- en exittarieven '!P109</f>
        <v>0.19985062000000001</v>
      </c>
      <c r="Q31" s="257">
        <f>'26. Entry- en exittarieven '!Q109</f>
        <v>7.9089099999999999E-3</v>
      </c>
      <c r="R31" s="307">
        <f>'26. Entry- en exittarieven '!R109</f>
        <v>3.2954000000000002E-4</v>
      </c>
    </row>
    <row r="32" spans="2:18">
      <c r="B32" s="88" t="s">
        <v>150</v>
      </c>
      <c r="C32" s="88"/>
      <c r="D32" s="88"/>
      <c r="E32" s="88"/>
      <c r="F32" s="88"/>
      <c r="G32" s="88"/>
      <c r="H32" s="323"/>
      <c r="I32" s="328"/>
      <c r="J32" s="257">
        <f>'26. Entry- en exittarieven '!J110</f>
        <v>0.43649492000000001</v>
      </c>
      <c r="K32" s="257">
        <f>'26. Entry- en exittarieven '!K110</f>
        <v>1.8466059999999999E-2</v>
      </c>
      <c r="L32" s="299">
        <f>'26. Entry- en exittarieven '!L110</f>
        <v>7.6942000000000004E-4</v>
      </c>
      <c r="M32" s="88"/>
      <c r="N32" s="323"/>
      <c r="O32" s="328"/>
      <c r="P32" s="257">
        <f>'26. Entry- en exittarieven '!P110</f>
        <v>0.17459796999999999</v>
      </c>
      <c r="Q32" s="257">
        <f>'26. Entry- en exittarieven '!Q110</f>
        <v>7.3864300000000003E-3</v>
      </c>
      <c r="R32" s="307">
        <f>'26. Entry- en exittarieven '!R110</f>
        <v>3.0777000000000002E-4</v>
      </c>
    </row>
    <row r="33" spans="2:18">
      <c r="B33" s="88" t="s">
        <v>151</v>
      </c>
      <c r="C33" s="88"/>
      <c r="D33" s="88"/>
      <c r="E33" s="88"/>
      <c r="F33" s="88"/>
      <c r="G33" s="88"/>
      <c r="H33" s="323"/>
      <c r="I33" s="328"/>
      <c r="J33" s="257">
        <f>'26. Entry- en exittarieven '!J111</f>
        <v>0.33784271999999999</v>
      </c>
      <c r="K33" s="257">
        <f>'26. Entry- en exittarieven '!K111</f>
        <v>1.336762E-2</v>
      </c>
      <c r="L33" s="299">
        <f>'26. Entry- en exittarieven '!L111</f>
        <v>5.5699000000000005E-4</v>
      </c>
      <c r="M33" s="88"/>
      <c r="N33" s="323"/>
      <c r="O33" s="328"/>
      <c r="P33" s="257">
        <f>'26. Entry- en exittarieven '!P111</f>
        <v>0.13513708999999999</v>
      </c>
      <c r="Q33" s="257">
        <f>'26. Entry- en exittarieven '!Q111</f>
        <v>5.3470499999999999E-3</v>
      </c>
      <c r="R33" s="307">
        <f>'26. Entry- en exittarieven '!R111</f>
        <v>2.2279999999999999E-4</v>
      </c>
    </row>
    <row r="34" spans="2:18">
      <c r="B34" s="88" t="s">
        <v>152</v>
      </c>
      <c r="C34" s="88"/>
      <c r="D34" s="88"/>
      <c r="E34" s="88"/>
      <c r="F34" s="88"/>
      <c r="G34" s="88"/>
      <c r="H34" s="323"/>
      <c r="I34" s="328">
        <f>'26. Entry- en exittarieven '!I112</f>
        <v>0.48751248000000003</v>
      </c>
      <c r="J34" s="257">
        <f>'26. Entry- en exittarieven '!J112</f>
        <v>0.23268051000000001</v>
      </c>
      <c r="K34" s="257">
        <f>'26. Entry- en exittarieven '!K112</f>
        <v>9.5121800000000003E-3</v>
      </c>
      <c r="L34" s="299">
        <f>'26. Entry- en exittarieven '!L112</f>
        <v>3.9635000000000001E-4</v>
      </c>
      <c r="M34" s="88"/>
      <c r="N34" s="323"/>
      <c r="O34" s="328">
        <f>'26. Entry- en exittarieven '!O112</f>
        <v>0.19500498999999999</v>
      </c>
      <c r="P34" s="257">
        <f>'26. Entry- en exittarieven '!P112</f>
        <v>9.3072210000000002E-2</v>
      </c>
      <c r="Q34" s="257">
        <f>'26. Entry- en exittarieven '!Q112</f>
        <v>3.8048700000000001E-3</v>
      </c>
      <c r="R34" s="307">
        <f>'26. Entry- en exittarieven '!R112</f>
        <v>1.5853999999999998E-4</v>
      </c>
    </row>
    <row r="35" spans="2:18">
      <c r="B35" s="88" t="s">
        <v>153</v>
      </c>
      <c r="C35" s="88"/>
      <c r="D35" s="88"/>
      <c r="E35" s="88"/>
      <c r="F35" s="88"/>
      <c r="G35" s="88"/>
      <c r="H35" s="323"/>
      <c r="I35" s="328"/>
      <c r="J35" s="257">
        <f>'26. Entry- en exittarieven '!J113</f>
        <v>0.18921431</v>
      </c>
      <c r="K35" s="257">
        <f>'26. Entry- en exittarieven '!K113</f>
        <v>7.4896600000000004E-3</v>
      </c>
      <c r="L35" s="299">
        <f>'26. Entry- en exittarieven '!L113</f>
        <v>3.1207000000000001E-4</v>
      </c>
      <c r="M35" s="88"/>
      <c r="N35" s="323"/>
      <c r="O35" s="328"/>
      <c r="P35" s="257">
        <f>'26. Entry- en exittarieven '!P113</f>
        <v>7.5685730000000007E-2</v>
      </c>
      <c r="Q35" s="257">
        <f>'26. Entry- en exittarieven '!Q113</f>
        <v>2.9958599999999999E-3</v>
      </c>
      <c r="R35" s="307">
        <f>'26. Entry- en exittarieven '!R113</f>
        <v>1.2482999999999998E-4</v>
      </c>
    </row>
    <row r="36" spans="2:18">
      <c r="B36" s="88" t="s">
        <v>154</v>
      </c>
      <c r="C36" s="88"/>
      <c r="D36" s="88"/>
      <c r="E36" s="88"/>
      <c r="F36" s="88"/>
      <c r="G36" s="88"/>
      <c r="H36" s="323"/>
      <c r="I36" s="328"/>
      <c r="J36" s="257">
        <f>'26. Entry- en exittarieven '!J114</f>
        <v>0.16252422</v>
      </c>
      <c r="K36" s="257">
        <f>'26. Entry- en exittarieven '!K114</f>
        <v>6.6469399999999996E-3</v>
      </c>
      <c r="L36" s="299">
        <f>'26. Entry- en exittarieven '!L114</f>
        <v>2.7695999999999998E-4</v>
      </c>
      <c r="M36" s="88"/>
      <c r="N36" s="323"/>
      <c r="O36" s="328"/>
      <c r="P36" s="257">
        <f>'26. Entry- en exittarieven '!P114</f>
        <v>6.5009689999999995E-2</v>
      </c>
      <c r="Q36" s="257">
        <f>'26. Entry- en exittarieven '!Q114</f>
        <v>2.6587799999999999E-3</v>
      </c>
      <c r="R36" s="307">
        <f>'26. Entry- en exittarieven '!R114</f>
        <v>1.1079E-4</v>
      </c>
    </row>
    <row r="37" spans="2:18">
      <c r="B37" s="88" t="s">
        <v>155</v>
      </c>
      <c r="C37" s="88"/>
      <c r="D37" s="88"/>
      <c r="E37" s="88"/>
      <c r="F37" s="88"/>
      <c r="G37" s="88"/>
      <c r="H37" s="323"/>
      <c r="I37" s="328">
        <f>'26. Entry- en exittarieven '!I115</f>
        <v>0.38211251000000002</v>
      </c>
      <c r="J37" s="257">
        <f>'26. Entry- en exittarieven '!J115</f>
        <v>0.15534607</v>
      </c>
      <c r="K37" s="257">
        <f>'26. Entry- en exittarieven '!K115</f>
        <v>6.1413099999999997E-3</v>
      </c>
      <c r="L37" s="299">
        <f>'26. Entry- en exittarieven '!L115</f>
        <v>2.5588999999999999E-4</v>
      </c>
      <c r="M37" s="88"/>
      <c r="N37" s="323"/>
      <c r="O37" s="328">
        <f>'26. Entry- en exittarieven '!O115</f>
        <v>0.15284500000000001</v>
      </c>
      <c r="P37" s="257">
        <f>'26. Entry- en exittarieven '!P115</f>
        <v>6.2138430000000001E-2</v>
      </c>
      <c r="Q37" s="257">
        <f>'26. Entry- en exittarieven '!Q115</f>
        <v>2.4565199999999998E-3</v>
      </c>
      <c r="R37" s="307">
        <f>'26. Entry- en exittarieven '!R115</f>
        <v>1.0235999999999999E-4</v>
      </c>
    </row>
    <row r="38" spans="2:18">
      <c r="B38" s="88" t="s">
        <v>156</v>
      </c>
      <c r="C38" s="88"/>
      <c r="D38" s="88"/>
      <c r="E38" s="88"/>
      <c r="F38" s="88"/>
      <c r="G38" s="88"/>
      <c r="H38" s="323"/>
      <c r="I38" s="328"/>
      <c r="J38" s="257">
        <f>'26. Entry- en exittarieven '!J116</f>
        <v>0.14778869</v>
      </c>
      <c r="K38" s="257">
        <f>'26. Entry- en exittarieven '!K116</f>
        <v>5.8463600000000001E-3</v>
      </c>
      <c r="L38" s="299">
        <f>'26. Entry- en exittarieven '!L116</f>
        <v>2.4359999999999999E-4</v>
      </c>
      <c r="M38" s="88"/>
      <c r="N38" s="323"/>
      <c r="O38" s="328"/>
      <c r="P38" s="257">
        <f>'26. Entry- en exittarieven '!P116</f>
        <v>5.9115479999999998E-2</v>
      </c>
      <c r="Q38" s="257">
        <f>'26. Entry- en exittarieven '!Q116</f>
        <v>2.3385400000000001E-3</v>
      </c>
      <c r="R38" s="307">
        <f>'26. Entry- en exittarieven '!R116</f>
        <v>9.7439999999999989E-5</v>
      </c>
    </row>
    <row r="39" spans="2:18">
      <c r="B39" s="88" t="s">
        <v>157</v>
      </c>
      <c r="C39" s="88"/>
      <c r="D39" s="88"/>
      <c r="E39" s="88"/>
      <c r="F39" s="88"/>
      <c r="G39" s="88"/>
      <c r="H39" s="323"/>
      <c r="I39" s="328"/>
      <c r="J39" s="257">
        <f>'26. Entry- en exittarieven '!J117</f>
        <v>0.15548150999999999</v>
      </c>
      <c r="K39" s="257">
        <f>'26. Entry- en exittarieven '!K117</f>
        <v>6.36252E-3</v>
      </c>
      <c r="L39" s="299">
        <f>'26. Entry- en exittarieven '!L117</f>
        <v>2.6510999999999999E-4</v>
      </c>
      <c r="M39" s="88"/>
      <c r="N39" s="323"/>
      <c r="O39" s="328"/>
      <c r="P39" s="257">
        <f>'26. Entry- en exittarieven '!P117</f>
        <v>6.2192600000000001E-2</v>
      </c>
      <c r="Q39" s="257">
        <f>'26. Entry- en exittarieven '!Q117</f>
        <v>2.5450099999999999E-3</v>
      </c>
      <c r="R39" s="307">
        <f>'26. Entry- en exittarieven '!R117</f>
        <v>1.0604999999999999E-4</v>
      </c>
    </row>
    <row r="40" spans="2:18">
      <c r="B40" s="88" t="s">
        <v>158</v>
      </c>
      <c r="C40" s="88"/>
      <c r="D40" s="88"/>
      <c r="E40" s="88"/>
      <c r="F40" s="88"/>
      <c r="G40" s="88"/>
      <c r="H40" s="323"/>
      <c r="I40" s="328">
        <f>'26. Entry- en exittarieven '!I118</f>
        <v>0.81891141000000001</v>
      </c>
      <c r="J40" s="257">
        <f>'26. Entry- en exittarieven '!J118</f>
        <v>0.20852761</v>
      </c>
      <c r="K40" s="257">
        <f>'26. Entry- en exittarieven '!K118</f>
        <v>8.2586399999999994E-3</v>
      </c>
      <c r="L40" s="299">
        <f>'26. Entry- en exittarieven '!L118</f>
        <v>3.4411000000000001E-4</v>
      </c>
      <c r="M40" s="88"/>
      <c r="N40" s="323"/>
      <c r="O40" s="328">
        <f>'26. Entry- en exittarieven '!O118</f>
        <v>0.32756456</v>
      </c>
      <c r="P40" s="257">
        <f>'26. Entry- en exittarieven '!P118</f>
        <v>8.3411040000000006E-2</v>
      </c>
      <c r="Q40" s="257">
        <f>'26. Entry- en exittarieven '!Q118</f>
        <v>3.3034599999999998E-3</v>
      </c>
      <c r="R40" s="307">
        <f>'26. Entry- en exittarieven '!R118</f>
        <v>1.3764999999999998E-4</v>
      </c>
    </row>
    <row r="41" spans="2:18">
      <c r="B41" s="88" t="s">
        <v>159</v>
      </c>
      <c r="C41" s="88"/>
      <c r="D41" s="88"/>
      <c r="E41" s="88"/>
      <c r="F41" s="88"/>
      <c r="G41" s="88"/>
      <c r="H41" s="323"/>
      <c r="I41" s="328"/>
      <c r="J41" s="257">
        <f>'26. Entry- en exittarieven '!J119</f>
        <v>0.32694456</v>
      </c>
      <c r="K41" s="257">
        <f>'26. Entry- en exittarieven '!K119</f>
        <v>1.336762E-2</v>
      </c>
      <c r="L41" s="299">
        <f>'26. Entry- en exittarieven '!L119</f>
        <v>5.5699000000000005E-4</v>
      </c>
      <c r="M41" s="88"/>
      <c r="N41" s="323"/>
      <c r="O41" s="328"/>
      <c r="P41" s="257">
        <f>'26. Entry- en exittarieven '!P119</f>
        <v>0.13077783000000001</v>
      </c>
      <c r="Q41" s="257">
        <f>'26. Entry- en exittarieven '!Q119</f>
        <v>5.3470499999999999E-3</v>
      </c>
      <c r="R41" s="307">
        <f>'26. Entry- en exittarieven '!R119</f>
        <v>2.2279999999999999E-4</v>
      </c>
    </row>
    <row r="42" spans="2:18">
      <c r="B42" s="88" t="s">
        <v>160</v>
      </c>
      <c r="C42" s="88"/>
      <c r="D42" s="88"/>
      <c r="E42" s="88"/>
      <c r="F42" s="88"/>
      <c r="G42" s="88"/>
      <c r="H42" s="323"/>
      <c r="I42" s="328"/>
      <c r="J42" s="257">
        <f>'26. Entry- en exittarieven '!J120</f>
        <v>0.44644500999999998</v>
      </c>
      <c r="K42" s="257">
        <f>'26. Entry- en exittarieven '!K120</f>
        <v>1.7665480000000001E-2</v>
      </c>
      <c r="L42" s="299">
        <f>'26. Entry- en exittarieven '!L120</f>
        <v>7.3607000000000002E-4</v>
      </c>
      <c r="M42" s="88"/>
      <c r="N42" s="323"/>
      <c r="O42" s="328"/>
      <c r="P42" s="257">
        <f>'26. Entry- en exittarieven '!P120</f>
        <v>0.17857801000000001</v>
      </c>
      <c r="Q42" s="257">
        <f>'26. Entry- en exittarieven '!Q120</f>
        <v>7.06619E-3</v>
      </c>
      <c r="R42" s="307">
        <f>'26. Entry- en exittarieven '!R120</f>
        <v>2.9442999999999998E-4</v>
      </c>
    </row>
    <row r="43" spans="2:18">
      <c r="H43" s="211"/>
      <c r="I43" s="215"/>
      <c r="J43" s="216"/>
      <c r="K43" s="216"/>
      <c r="L43" s="304"/>
      <c r="N43" s="211"/>
      <c r="O43" s="215"/>
      <c r="P43" s="216"/>
      <c r="Q43" s="216"/>
      <c r="R43" s="312"/>
    </row>
    <row r="44" spans="2:18" s="39" customFormat="1" ht="25.5">
      <c r="B44" s="210" t="s">
        <v>163</v>
      </c>
      <c r="H44" s="39" t="s">
        <v>136</v>
      </c>
      <c r="L44" s="292"/>
      <c r="N44" s="39" t="s">
        <v>137</v>
      </c>
      <c r="R44" s="313"/>
    </row>
    <row r="45" spans="2:18" s="42" customFormat="1">
      <c r="B45" s="42" t="s">
        <v>164</v>
      </c>
      <c r="H45" s="42" t="s">
        <v>139</v>
      </c>
      <c r="I45" s="42" t="s">
        <v>140</v>
      </c>
      <c r="J45" s="42" t="s">
        <v>141</v>
      </c>
      <c r="K45" s="42" t="s">
        <v>142</v>
      </c>
      <c r="L45" s="293" t="s">
        <v>143</v>
      </c>
      <c r="N45" s="42" t="s">
        <v>139</v>
      </c>
      <c r="O45" s="42" t="s">
        <v>140</v>
      </c>
      <c r="P45" s="42" t="s">
        <v>141</v>
      </c>
      <c r="Q45" s="42" t="s">
        <v>142</v>
      </c>
      <c r="R45" s="314" t="s">
        <v>143</v>
      </c>
    </row>
    <row r="46" spans="2:18" s="40" customFormat="1">
      <c r="H46" s="40" t="s">
        <v>144</v>
      </c>
      <c r="I46" s="40" t="s">
        <v>145</v>
      </c>
      <c r="J46" s="40" t="s">
        <v>146</v>
      </c>
      <c r="K46" s="40" t="s">
        <v>147</v>
      </c>
      <c r="L46" s="294" t="s">
        <v>148</v>
      </c>
      <c r="N46" s="40" t="s">
        <v>144</v>
      </c>
      <c r="O46" s="40" t="s">
        <v>145</v>
      </c>
      <c r="P46" s="40" t="s">
        <v>146</v>
      </c>
      <c r="Q46" s="40" t="s">
        <v>147</v>
      </c>
      <c r="R46" s="315" t="s">
        <v>148</v>
      </c>
    </row>
    <row r="47" spans="2:18">
      <c r="J47" s="96"/>
      <c r="L47" s="291"/>
      <c r="R47" s="316"/>
    </row>
    <row r="48" spans="2:18">
      <c r="B48" s="3" t="s">
        <v>149</v>
      </c>
      <c r="H48" s="323">
        <f>'26. Entry- en exittarieven '!H127</f>
        <v>0.10346112</v>
      </c>
      <c r="I48" s="324">
        <f>'26. Entry- en exittarieven '!I127</f>
        <v>4.9936599999999998E-2</v>
      </c>
      <c r="J48" s="95">
        <f>'26. Entry- en exittarieven '!J127</f>
        <v>2.34632E-2</v>
      </c>
      <c r="K48" s="95">
        <f>'26. Entry- en exittarieven '!K127</f>
        <v>9.2854000000000005E-4</v>
      </c>
      <c r="L48" s="305">
        <f>'26. Entry- en exittarieven '!L127</f>
        <v>3.8690000000000004E-5</v>
      </c>
      <c r="N48" s="325">
        <f>'26. Entry- en exittarieven '!N127</f>
        <v>4.1384450000000003E-2</v>
      </c>
      <c r="O48" s="326">
        <f>'26. Entry- en exittarieven '!O127</f>
        <v>1.9974639999999998E-2</v>
      </c>
      <c r="P48" s="258">
        <f>'26. Entry- en exittarieven '!P127</f>
        <v>9.3852799999999993E-3</v>
      </c>
      <c r="Q48" s="258">
        <f>'26. Entry- en exittarieven '!Q127</f>
        <v>3.7141000000000002E-4</v>
      </c>
      <c r="R48" s="317">
        <f>'26. Entry- en exittarieven '!R127</f>
        <v>1.5480000000000001E-5</v>
      </c>
    </row>
    <row r="49" spans="2:18">
      <c r="B49" s="3" t="s">
        <v>150</v>
      </c>
      <c r="H49" s="323"/>
      <c r="I49" s="324"/>
      <c r="J49" s="95">
        <f>'26. Entry- en exittarieven '!J128</f>
        <v>2.0498450000000001E-2</v>
      </c>
      <c r="K49" s="95">
        <f>'26. Entry- en exittarieven '!K128</f>
        <v>8.6719E-4</v>
      </c>
      <c r="L49" s="305">
        <f>'26. Entry- en exittarieven '!L128</f>
        <v>3.6140000000000003E-5</v>
      </c>
      <c r="N49" s="325"/>
      <c r="O49" s="326"/>
      <c r="P49" s="258">
        <f>'26. Entry- en exittarieven '!P128</f>
        <v>8.1993799999999992E-3</v>
      </c>
      <c r="Q49" s="258">
        <f>'26. Entry- en exittarieven '!Q128</f>
        <v>3.4687999999999999E-4</v>
      </c>
      <c r="R49" s="317">
        <f>'26. Entry- en exittarieven '!R128</f>
        <v>1.446E-5</v>
      </c>
    </row>
    <row r="50" spans="2:18">
      <c r="B50" s="3" t="s">
        <v>151</v>
      </c>
      <c r="H50" s="323"/>
      <c r="I50" s="324"/>
      <c r="J50" s="95">
        <f>'26. Entry- en exittarieven '!J129</f>
        <v>1.5865589999999999E-2</v>
      </c>
      <c r="K50" s="95">
        <f>'26. Entry- en exittarieven '!K129</f>
        <v>6.2775999999999999E-4</v>
      </c>
      <c r="L50" s="305">
        <f>'26. Entry- en exittarieven '!L129</f>
        <v>2.616E-5</v>
      </c>
      <c r="N50" s="325"/>
      <c r="O50" s="326"/>
      <c r="P50" s="258">
        <f>'26. Entry- en exittarieven '!P129</f>
        <v>6.3462400000000004E-3</v>
      </c>
      <c r="Q50" s="258">
        <f>'26. Entry- en exittarieven '!Q129</f>
        <v>2.5111000000000003E-4</v>
      </c>
      <c r="R50" s="317">
        <f>'26. Entry- en exittarieven '!R129</f>
        <v>1.047E-5</v>
      </c>
    </row>
    <row r="51" spans="2:18">
      <c r="B51" s="3" t="s">
        <v>152</v>
      </c>
      <c r="H51" s="323"/>
      <c r="I51" s="324">
        <f>'26. Entry- en exittarieven '!I130</f>
        <v>2.2894310000000001E-2</v>
      </c>
      <c r="J51" s="95">
        <f>'26. Entry- en exittarieven '!J130</f>
        <v>1.0927020000000001E-2</v>
      </c>
      <c r="K51" s="95">
        <f>'26. Entry- en exittarieven '!K130</f>
        <v>4.4671000000000001E-4</v>
      </c>
      <c r="L51" s="305">
        <f>'26. Entry- en exittarieven '!L130</f>
        <v>1.8620000000000001E-5</v>
      </c>
      <c r="N51" s="325"/>
      <c r="O51" s="326">
        <f>'26. Entry- en exittarieven '!O130</f>
        <v>9.1577199999999994E-3</v>
      </c>
      <c r="P51" s="258">
        <f>'26. Entry- en exittarieven '!P130</f>
        <v>4.3708100000000001E-3</v>
      </c>
      <c r="Q51" s="258">
        <f>'26. Entry- en exittarieven '!Q130</f>
        <v>1.7867999999999999E-4</v>
      </c>
      <c r="R51" s="317">
        <f>'26. Entry- en exittarieven '!R130</f>
        <v>7.4499999999999998E-6</v>
      </c>
    </row>
    <row r="52" spans="2:18">
      <c r="B52" s="3" t="s">
        <v>153</v>
      </c>
      <c r="H52" s="323"/>
      <c r="I52" s="324"/>
      <c r="J52" s="95">
        <f>'26. Entry- en exittarieven '!J131</f>
        <v>8.8857799999999994E-3</v>
      </c>
      <c r="K52" s="95">
        <f>'26. Entry- en exittarieven '!K131</f>
        <v>3.5173000000000002E-4</v>
      </c>
      <c r="L52" s="305">
        <f>'26. Entry- en exittarieven '!L131</f>
        <v>1.466E-5</v>
      </c>
      <c r="N52" s="325"/>
      <c r="O52" s="326"/>
      <c r="P52" s="258">
        <f>'26. Entry- en exittarieven '!P131</f>
        <v>3.5543100000000002E-3</v>
      </c>
      <c r="Q52" s="258">
        <f>'26. Entry- en exittarieven '!Q131</f>
        <v>1.4069000000000001E-4</v>
      </c>
      <c r="R52" s="317">
        <f>'26. Entry- en exittarieven '!R131</f>
        <v>5.8699999999999997E-6</v>
      </c>
    </row>
    <row r="53" spans="2:18">
      <c r="B53" s="3" t="s">
        <v>154</v>
      </c>
      <c r="H53" s="323"/>
      <c r="I53" s="324"/>
      <c r="J53" s="95">
        <f>'26. Entry- en exittarieven '!J132</f>
        <v>7.6323800000000002E-3</v>
      </c>
      <c r="K53" s="95">
        <f>'26. Entry- en exittarieven '!K132</f>
        <v>3.1215000000000003E-4</v>
      </c>
      <c r="L53" s="305">
        <f>'26. Entry- en exittarieven '!L132</f>
        <v>1.3009999999999999E-5</v>
      </c>
      <c r="N53" s="325"/>
      <c r="O53" s="326"/>
      <c r="P53" s="258">
        <f>'26. Entry- en exittarieven '!P132</f>
        <v>3.05295E-3</v>
      </c>
      <c r="Q53" s="258">
        <f>'26. Entry- en exittarieven '!Q132</f>
        <v>1.2485999999999999E-4</v>
      </c>
      <c r="R53" s="317">
        <f>'26. Entry- en exittarieven '!R132</f>
        <v>5.2100000000000001E-6</v>
      </c>
    </row>
    <row r="54" spans="2:18">
      <c r="B54" s="3" t="s">
        <v>155</v>
      </c>
      <c r="H54" s="323"/>
      <c r="I54" s="324">
        <f>'26. Entry- en exittarieven '!I133</f>
        <v>1.794457E-2</v>
      </c>
      <c r="J54" s="95">
        <f>'26. Entry- en exittarieven '!J133</f>
        <v>7.2952800000000003E-3</v>
      </c>
      <c r="K54" s="95">
        <f>'26. Entry- en exittarieven '!K133</f>
        <v>2.8840000000000002E-4</v>
      </c>
      <c r="L54" s="305">
        <f>'26. Entry- en exittarieven '!L133</f>
        <v>1.202E-5</v>
      </c>
      <c r="N54" s="325"/>
      <c r="O54" s="326">
        <f>'26. Entry- en exittarieven '!O133</f>
        <v>7.1778299999999996E-3</v>
      </c>
      <c r="P54" s="258">
        <f>'26. Entry- en exittarieven '!P133</f>
        <v>2.9181099999999998E-3</v>
      </c>
      <c r="Q54" s="258">
        <f>'26. Entry- en exittarieven '!Q133</f>
        <v>1.1535999999999999E-4</v>
      </c>
      <c r="R54" s="317">
        <f>'26. Entry- en exittarieven '!R133</f>
        <v>4.8099999999999997E-6</v>
      </c>
    </row>
    <row r="55" spans="2:18">
      <c r="B55" s="3" t="s">
        <v>156</v>
      </c>
      <c r="H55" s="323"/>
      <c r="I55" s="324"/>
      <c r="J55" s="95">
        <f>'26. Entry- en exittarieven '!J134</f>
        <v>6.9403800000000003E-3</v>
      </c>
      <c r="K55" s="95">
        <f>'26. Entry- en exittarieven '!K134</f>
        <v>2.7454999999999998E-4</v>
      </c>
      <c r="L55" s="305">
        <f>'26. Entry- en exittarieven '!L134</f>
        <v>1.1440000000000001E-5</v>
      </c>
      <c r="N55" s="325"/>
      <c r="O55" s="326"/>
      <c r="P55" s="258">
        <f>'26. Entry- en exittarieven '!P134</f>
        <v>2.7761499999999998E-3</v>
      </c>
      <c r="Q55" s="258">
        <f>'26. Entry- en exittarieven '!Q134</f>
        <v>1.0982E-4</v>
      </c>
      <c r="R55" s="317">
        <f>'26. Entry- en exittarieven '!R134</f>
        <v>4.5800000000000002E-6</v>
      </c>
    </row>
    <row r="56" spans="2:18">
      <c r="B56" s="3" t="s">
        <v>157</v>
      </c>
      <c r="H56" s="323"/>
      <c r="I56" s="324"/>
      <c r="J56" s="95">
        <f>'26. Entry- en exittarieven '!J135</f>
        <v>7.3016399999999999E-3</v>
      </c>
      <c r="K56" s="95">
        <f>'26. Entry- en exittarieven '!K135</f>
        <v>2.9879E-4</v>
      </c>
      <c r="L56" s="305">
        <f>'26. Entry- en exittarieven '!L135</f>
        <v>1.2449999999999999E-5</v>
      </c>
      <c r="N56" s="325"/>
      <c r="O56" s="326"/>
      <c r="P56" s="258">
        <f>'26. Entry- en exittarieven '!P135</f>
        <v>2.9206599999999998E-3</v>
      </c>
      <c r="Q56" s="258">
        <f>'26. Entry- en exittarieven '!Q135</f>
        <v>1.1951999999999999E-4</v>
      </c>
      <c r="R56" s="317">
        <f>'26. Entry- en exittarieven '!R135</f>
        <v>4.9799999999999998E-6</v>
      </c>
    </row>
    <row r="57" spans="2:18">
      <c r="B57" s="3" t="s">
        <v>158</v>
      </c>
      <c r="H57" s="323"/>
      <c r="I57" s="324">
        <f>'26. Entry- en exittarieven '!I136</f>
        <v>3.8457289999999998E-2</v>
      </c>
      <c r="J57" s="95">
        <f>'26. Entry- en exittarieven '!J136</f>
        <v>9.7927599999999993E-3</v>
      </c>
      <c r="K57" s="95">
        <f>'26. Entry- en exittarieven '!K136</f>
        <v>3.8783999999999997E-4</v>
      </c>
      <c r="L57" s="305">
        <f>'26. Entry- en exittarieven '!L136</f>
        <v>1.6160000000000001E-5</v>
      </c>
      <c r="N57" s="325"/>
      <c r="O57" s="326">
        <f>'26. Entry- en exittarieven '!O136</f>
        <v>1.538292E-2</v>
      </c>
      <c r="P57" s="258">
        <f>'26. Entry- en exittarieven '!P136</f>
        <v>3.9171099999999997E-3</v>
      </c>
      <c r="Q57" s="258">
        <f>'26. Entry- en exittarieven '!Q136</f>
        <v>1.5514000000000001E-4</v>
      </c>
      <c r="R57" s="317">
        <f>'26. Entry- en exittarieven '!R136</f>
        <v>6.4699999999999999E-6</v>
      </c>
    </row>
    <row r="58" spans="2:18">
      <c r="B58" s="3" t="s">
        <v>159</v>
      </c>
      <c r="H58" s="323"/>
      <c r="I58" s="324"/>
      <c r="J58" s="95">
        <f>'26. Entry- en exittarieven '!J137</f>
        <v>1.5353800000000001E-2</v>
      </c>
      <c r="K58" s="95">
        <f>'26. Entry- en exittarieven '!K137</f>
        <v>6.2775999999999999E-4</v>
      </c>
      <c r="L58" s="305">
        <f>'26. Entry- en exittarieven '!L137</f>
        <v>2.616E-5</v>
      </c>
      <c r="N58" s="325"/>
      <c r="O58" s="326"/>
      <c r="P58" s="258">
        <f>'26. Entry- en exittarieven '!P137</f>
        <v>6.1415200000000001E-3</v>
      </c>
      <c r="Q58" s="258">
        <f>'26. Entry- en exittarieven '!Q137</f>
        <v>2.5111000000000003E-4</v>
      </c>
      <c r="R58" s="317">
        <f>'26. Entry- en exittarieven '!R137</f>
        <v>1.047E-5</v>
      </c>
    </row>
    <row r="59" spans="2:18">
      <c r="B59" s="3" t="s">
        <v>160</v>
      </c>
      <c r="H59" s="323"/>
      <c r="I59" s="324"/>
      <c r="J59" s="95">
        <f>'26. Entry- en exittarieven '!J138</f>
        <v>2.096572E-2</v>
      </c>
      <c r="K59" s="95">
        <f>'26. Entry- en exittarieven '!K138</f>
        <v>8.296E-4</v>
      </c>
      <c r="L59" s="305">
        <f>'26. Entry- en exittarieven '!L138</f>
        <v>3.4570000000000003E-5</v>
      </c>
      <c r="N59" s="325"/>
      <c r="O59" s="326"/>
      <c r="P59" s="258">
        <f>'26. Entry- en exittarieven '!P138</f>
        <v>8.3862899999999994E-3</v>
      </c>
      <c r="Q59" s="258">
        <f>'26. Entry- en exittarieven '!Q138</f>
        <v>3.3184000000000002E-4</v>
      </c>
      <c r="R59" s="317">
        <f>'26. Entry- en exittarieven '!R138</f>
        <v>1.383E-5</v>
      </c>
    </row>
    <row r="60" spans="2:18">
      <c r="L60" s="291"/>
      <c r="R60" s="316"/>
    </row>
    <row r="61" spans="2:18" s="39" customFormat="1" ht="25.5">
      <c r="B61" s="210" t="s">
        <v>165</v>
      </c>
      <c r="H61" s="39" t="s">
        <v>136</v>
      </c>
      <c r="L61" s="292"/>
      <c r="N61" s="39" t="s">
        <v>137</v>
      </c>
      <c r="R61" s="313"/>
    </row>
    <row r="62" spans="2:18" s="42" customFormat="1">
      <c r="B62" s="42" t="s">
        <v>166</v>
      </c>
      <c r="H62" s="42" t="s">
        <v>139</v>
      </c>
      <c r="I62" s="42" t="s">
        <v>140</v>
      </c>
      <c r="J62" s="42" t="s">
        <v>141</v>
      </c>
      <c r="K62" s="42" t="s">
        <v>142</v>
      </c>
      <c r="L62" s="293" t="s">
        <v>143</v>
      </c>
      <c r="N62" s="42" t="s">
        <v>139</v>
      </c>
      <c r="O62" s="42" t="s">
        <v>140</v>
      </c>
      <c r="P62" s="42" t="s">
        <v>141</v>
      </c>
      <c r="Q62" s="42" t="s">
        <v>142</v>
      </c>
      <c r="R62" s="314" t="s">
        <v>143</v>
      </c>
    </row>
    <row r="63" spans="2:18" s="40" customFormat="1">
      <c r="H63" s="40" t="s">
        <v>144</v>
      </c>
      <c r="I63" s="40" t="s">
        <v>145</v>
      </c>
      <c r="J63" s="40" t="s">
        <v>146</v>
      </c>
      <c r="K63" s="40" t="s">
        <v>147</v>
      </c>
      <c r="L63" s="294" t="s">
        <v>148</v>
      </c>
      <c r="N63" s="40" t="s">
        <v>144</v>
      </c>
      <c r="O63" s="40" t="s">
        <v>145</v>
      </c>
      <c r="P63" s="40" t="s">
        <v>146</v>
      </c>
      <c r="Q63" s="40" t="s">
        <v>147</v>
      </c>
      <c r="R63" s="315" t="s">
        <v>148</v>
      </c>
    </row>
    <row r="64" spans="2:18">
      <c r="L64" s="291"/>
      <c r="R64" s="316"/>
    </row>
    <row r="65" spans="2:18">
      <c r="B65" s="3" t="s">
        <v>149</v>
      </c>
      <c r="H65" s="323">
        <f>'26. Entry- en exittarieven '!H144</f>
        <v>0.10112256999999999</v>
      </c>
      <c r="I65" s="324">
        <f>'26. Entry- en exittarieven '!I144</f>
        <v>4.8807870000000003E-2</v>
      </c>
      <c r="J65" s="95">
        <f>'26. Entry- en exittarieven '!J144</f>
        <v>2.2932859999999999E-2</v>
      </c>
      <c r="K65" s="95">
        <f>'26. Entry- en exittarieven '!K144</f>
        <v>9.0755000000000002E-4</v>
      </c>
      <c r="L65" s="305">
        <f>'26. Entry- en exittarieven '!L144</f>
        <v>3.782E-5</v>
      </c>
      <c r="N65" s="323">
        <f>'26. Entry- en exittarieven '!N144</f>
        <v>4.0449029999999997E-2</v>
      </c>
      <c r="O65" s="324">
        <f>'26. Entry- en exittarieven '!O144</f>
        <v>1.952315E-2</v>
      </c>
      <c r="P65" s="95">
        <f>'26. Entry- en exittarieven '!P144</f>
        <v>9.1731399999999998E-3</v>
      </c>
      <c r="Q65" s="95">
        <f>'26. Entry- en exittarieven '!Q144</f>
        <v>3.6301999999999998E-4</v>
      </c>
      <c r="R65" s="318">
        <f>'26. Entry- en exittarieven '!R144</f>
        <v>1.5129999999999999E-5</v>
      </c>
    </row>
    <row r="66" spans="2:18">
      <c r="B66" s="3" t="s">
        <v>150</v>
      </c>
      <c r="H66" s="323"/>
      <c r="I66" s="324"/>
      <c r="J66" s="95">
        <f>'26. Entry- en exittarieven '!J145</f>
        <v>2.003512E-2</v>
      </c>
      <c r="K66" s="95">
        <f>'26. Entry- en exittarieven '!K145</f>
        <v>8.4758999999999995E-4</v>
      </c>
      <c r="L66" s="305">
        <f>'26. Entry- en exittarieven '!L145</f>
        <v>3.5320000000000001E-5</v>
      </c>
      <c r="N66" s="323"/>
      <c r="O66" s="324"/>
      <c r="P66" s="95">
        <f>'26. Entry- en exittarieven '!P145</f>
        <v>8.01405E-3</v>
      </c>
      <c r="Q66" s="95">
        <f>'26. Entry- en exittarieven '!Q145</f>
        <v>3.3903999999999998E-4</v>
      </c>
      <c r="R66" s="318">
        <f>'26. Entry- en exittarieven '!R145</f>
        <v>1.413E-5</v>
      </c>
    </row>
    <row r="67" spans="2:18">
      <c r="B67" s="3" t="s">
        <v>151</v>
      </c>
      <c r="H67" s="323"/>
      <c r="I67" s="324"/>
      <c r="J67" s="95">
        <f>'26. Entry- en exittarieven '!J146</f>
        <v>1.550698E-2</v>
      </c>
      <c r="K67" s="95">
        <f>'26. Entry- en exittarieven '!K146</f>
        <v>6.1357000000000002E-4</v>
      </c>
      <c r="L67" s="305">
        <f>'26. Entry- en exittarieven '!L146</f>
        <v>2.5570000000000001E-5</v>
      </c>
      <c r="N67" s="323"/>
      <c r="O67" s="324"/>
      <c r="P67" s="95">
        <f>'26. Entry- en exittarieven '!P146</f>
        <v>6.2027899999999997E-3</v>
      </c>
      <c r="Q67" s="95">
        <f>'26. Entry- en exittarieven '!Q146</f>
        <v>2.4542999999999999E-4</v>
      </c>
      <c r="R67" s="318">
        <f>'26. Entry- en exittarieven '!R146</f>
        <v>1.023E-5</v>
      </c>
    </row>
    <row r="68" spans="2:18">
      <c r="B68" s="3" t="s">
        <v>152</v>
      </c>
      <c r="H68" s="323"/>
      <c r="I68" s="324">
        <f>'26. Entry- en exittarieven '!I147</f>
        <v>2.2376819999999999E-2</v>
      </c>
      <c r="J68" s="95">
        <f>'26. Entry- en exittarieven '!J147</f>
        <v>1.068004E-2</v>
      </c>
      <c r="K68" s="95">
        <f>'26. Entry- en exittarieven '!K147</f>
        <v>4.3660999999999998E-4</v>
      </c>
      <c r="L68" s="305">
        <f>'26. Entry- en exittarieven '!L147</f>
        <v>1.8200000000000002E-5</v>
      </c>
      <c r="N68" s="323"/>
      <c r="O68" s="324">
        <f>'26. Entry- en exittarieven '!O147</f>
        <v>8.9507300000000005E-3</v>
      </c>
      <c r="P68" s="95">
        <f>'26. Entry- en exittarieven '!P147</f>
        <v>4.2720099999999997E-3</v>
      </c>
      <c r="Q68" s="95">
        <f>'26. Entry- en exittarieven '!Q147</f>
        <v>1.7463999999999999E-4</v>
      </c>
      <c r="R68" s="318">
        <f>'26. Entry- en exittarieven '!R147</f>
        <v>7.2799999999999998E-6</v>
      </c>
    </row>
    <row r="69" spans="2:18">
      <c r="B69" s="3" t="s">
        <v>153</v>
      </c>
      <c r="H69" s="323"/>
      <c r="I69" s="324"/>
      <c r="J69" s="95">
        <f>'26. Entry- en exittarieven '!J148</f>
        <v>8.6849400000000004E-3</v>
      </c>
      <c r="K69" s="95">
        <f>'26. Entry- en exittarieven '!K148</f>
        <v>3.4378000000000002E-4</v>
      </c>
      <c r="L69" s="305">
        <f>'26. Entry- en exittarieven '!L148</f>
        <v>1.433E-5</v>
      </c>
      <c r="N69" s="323"/>
      <c r="O69" s="324"/>
      <c r="P69" s="95">
        <f>'26. Entry- en exittarieven '!P148</f>
        <v>3.4739699999999998E-3</v>
      </c>
      <c r="Q69" s="95">
        <f>'26. Entry- en exittarieven '!Q148</f>
        <v>1.3751E-4</v>
      </c>
      <c r="R69" s="318">
        <f>'26. Entry- en exittarieven '!R148</f>
        <v>5.7300000000000002E-6</v>
      </c>
    </row>
    <row r="70" spans="2:18">
      <c r="B70" s="3" t="s">
        <v>154</v>
      </c>
      <c r="H70" s="323"/>
      <c r="I70" s="324"/>
      <c r="J70" s="95">
        <f>'26. Entry- en exittarieven '!J149</f>
        <v>7.4598599999999996E-3</v>
      </c>
      <c r="K70" s="95">
        <f>'26. Entry- en exittarieven '!K149</f>
        <v>3.0508999999999999E-4</v>
      </c>
      <c r="L70" s="305">
        <f>'26. Entry- en exittarieven '!L149</f>
        <v>1.272E-5</v>
      </c>
      <c r="N70" s="323"/>
      <c r="O70" s="324"/>
      <c r="P70" s="95">
        <f>'26. Entry- en exittarieven '!P149</f>
        <v>2.98394E-3</v>
      </c>
      <c r="Q70" s="95">
        <f>'26. Entry- en exittarieven '!Q149</f>
        <v>1.2204E-4</v>
      </c>
      <c r="R70" s="318">
        <f>'26. Entry- en exittarieven '!R149</f>
        <v>5.0899999999999995E-6</v>
      </c>
    </row>
    <row r="71" spans="2:18">
      <c r="B71" s="3" t="s">
        <v>155</v>
      </c>
      <c r="H71" s="323"/>
      <c r="I71" s="324">
        <f>'26. Entry- en exittarieven '!I150</f>
        <v>1.7538959999999999E-2</v>
      </c>
      <c r="J71" s="95">
        <f>'26. Entry- en exittarieven '!J150</f>
        <v>7.1303800000000004E-3</v>
      </c>
      <c r="K71" s="95">
        <f>'26. Entry- en exittarieven '!K150</f>
        <v>2.8189000000000003E-4</v>
      </c>
      <c r="L71" s="305">
        <f>'26. Entry- en exittarieven '!L150</f>
        <v>1.1749999999999999E-5</v>
      </c>
      <c r="N71" s="323"/>
      <c r="O71" s="324">
        <f>'26. Entry- en exittarieven '!O150</f>
        <v>7.0155900000000004E-3</v>
      </c>
      <c r="P71" s="95">
        <f>'26. Entry- en exittarieven '!P150</f>
        <v>2.8521499999999999E-3</v>
      </c>
      <c r="Q71" s="95">
        <f>'26. Entry- en exittarieven '!Q150</f>
        <v>1.1275E-4</v>
      </c>
      <c r="R71" s="318">
        <f>'26. Entry- en exittarieven '!R150</f>
        <v>4.6999999999999999E-6</v>
      </c>
    </row>
    <row r="72" spans="2:18">
      <c r="B72" s="3" t="s">
        <v>156</v>
      </c>
      <c r="H72" s="323"/>
      <c r="I72" s="324"/>
      <c r="J72" s="95">
        <f>'26. Entry- en exittarieven '!J151</f>
        <v>6.7834999999999996E-3</v>
      </c>
      <c r="K72" s="95">
        <f>'26. Entry- en exittarieven '!K151</f>
        <v>2.6834999999999999E-4</v>
      </c>
      <c r="L72" s="305">
        <f>'26. Entry- en exittarieven '!L151</f>
        <v>1.119E-5</v>
      </c>
      <c r="N72" s="323"/>
      <c r="O72" s="324"/>
      <c r="P72" s="95">
        <f>'26. Entry- en exittarieven '!P151</f>
        <v>2.7133999999999999E-3</v>
      </c>
      <c r="Q72" s="95">
        <f>'26. Entry- en exittarieven '!Q151</f>
        <v>1.0734E-4</v>
      </c>
      <c r="R72" s="318">
        <f>'26. Entry- en exittarieven '!R151</f>
        <v>4.4800000000000003E-6</v>
      </c>
    </row>
    <row r="73" spans="2:18">
      <c r="B73" s="3" t="s">
        <v>157</v>
      </c>
      <c r="H73" s="323"/>
      <c r="I73" s="324"/>
      <c r="J73" s="95">
        <f>'26. Entry- en exittarieven '!J152</f>
        <v>7.1365999999999999E-3</v>
      </c>
      <c r="K73" s="95">
        <f>'26. Entry- en exittarieven '!K152</f>
        <v>2.9203999999999998E-4</v>
      </c>
      <c r="L73" s="305">
        <f>'26. Entry- en exittarieven '!L152</f>
        <v>1.217E-5</v>
      </c>
      <c r="N73" s="323"/>
      <c r="O73" s="324"/>
      <c r="P73" s="95">
        <f>'26. Entry- en exittarieven '!P152</f>
        <v>2.8546399999999999E-3</v>
      </c>
      <c r="Q73" s="95">
        <f>'26. Entry- en exittarieven '!Q152</f>
        <v>1.1682E-4</v>
      </c>
      <c r="R73" s="318">
        <f>'26. Entry- en exittarieven '!R152</f>
        <v>4.87E-6</v>
      </c>
    </row>
    <row r="74" spans="2:18">
      <c r="B74" s="3" t="s">
        <v>158</v>
      </c>
      <c r="H74" s="323"/>
      <c r="I74" s="324">
        <f>'26. Entry- en exittarieven '!I153</f>
        <v>3.7588030000000001E-2</v>
      </c>
      <c r="J74" s="95">
        <f>'26. Entry- en exittarieven '!J153</f>
        <v>9.5714200000000006E-3</v>
      </c>
      <c r="K74" s="95">
        <f>'26. Entry- en exittarieven '!K153</f>
        <v>3.7907000000000001E-4</v>
      </c>
      <c r="L74" s="305">
        <f>'26. Entry- en exittarieven '!L153</f>
        <v>1.5800000000000001E-5</v>
      </c>
      <c r="N74" s="323"/>
      <c r="O74" s="324">
        <f>'26. Entry- en exittarieven '!O153</f>
        <v>1.503521E-2</v>
      </c>
      <c r="P74" s="95">
        <f>'26. Entry- en exittarieven '!P153</f>
        <v>3.8285699999999999E-3</v>
      </c>
      <c r="Q74" s="95">
        <f>'26. Entry- en exittarieven '!Q153</f>
        <v>1.5163000000000001E-4</v>
      </c>
      <c r="R74" s="318">
        <f>'26. Entry- en exittarieven '!R153</f>
        <v>6.3199999999999996E-6</v>
      </c>
    </row>
    <row r="75" spans="2:18">
      <c r="B75" s="3" t="s">
        <v>159</v>
      </c>
      <c r="H75" s="323"/>
      <c r="I75" s="324"/>
      <c r="J75" s="95">
        <f>'26. Entry- en exittarieven '!J154</f>
        <v>1.5006759999999999E-2</v>
      </c>
      <c r="K75" s="95">
        <f>'26. Entry- en exittarieven '!K154</f>
        <v>6.1357000000000002E-4</v>
      </c>
      <c r="L75" s="305">
        <f>'26. Entry- en exittarieven '!L154</f>
        <v>2.5570000000000001E-5</v>
      </c>
      <c r="N75" s="323"/>
      <c r="O75" s="324"/>
      <c r="P75" s="95">
        <f>'26. Entry- en exittarieven '!P154</f>
        <v>6.0026999999999997E-3</v>
      </c>
      <c r="Q75" s="95">
        <f>'26. Entry- en exittarieven '!Q154</f>
        <v>2.4542999999999999E-4</v>
      </c>
      <c r="R75" s="318">
        <f>'26. Entry- en exittarieven '!R154</f>
        <v>1.023E-5</v>
      </c>
    </row>
    <row r="76" spans="2:18">
      <c r="B76" s="3" t="s">
        <v>160</v>
      </c>
      <c r="H76" s="323"/>
      <c r="I76" s="324"/>
      <c r="J76" s="95">
        <f>'26. Entry- en exittarieven '!J155</f>
        <v>2.0491829999999999E-2</v>
      </c>
      <c r="K76" s="95">
        <f>'26. Entry- en exittarieven '!K155</f>
        <v>8.1085E-4</v>
      </c>
      <c r="L76" s="305">
        <f>'26. Entry- en exittarieven '!L155</f>
        <v>3.379E-5</v>
      </c>
      <c r="N76" s="323"/>
      <c r="O76" s="324"/>
      <c r="P76" s="95">
        <f>'26. Entry- en exittarieven '!P155</f>
        <v>8.1967299999999993E-3</v>
      </c>
      <c r="Q76" s="95">
        <f>'26. Entry- en exittarieven '!Q155</f>
        <v>3.2434E-4</v>
      </c>
      <c r="R76" s="318">
        <f>'26. Entry- en exittarieven '!R155</f>
        <v>1.3519999999999999E-5</v>
      </c>
    </row>
    <row r="77" spans="2:18">
      <c r="L77" s="291"/>
      <c r="R77" s="316"/>
    </row>
    <row r="78" spans="2:18" s="39" customFormat="1">
      <c r="B78" s="39" t="s">
        <v>167</v>
      </c>
      <c r="H78" s="39" t="s">
        <v>168</v>
      </c>
      <c r="L78" s="292"/>
      <c r="N78" s="39" t="s">
        <v>169</v>
      </c>
      <c r="R78" s="313"/>
    </row>
    <row r="79" spans="2:18" s="42" customFormat="1">
      <c r="H79" s="42" t="s">
        <v>139</v>
      </c>
      <c r="I79" s="42" t="s">
        <v>140</v>
      </c>
      <c r="J79" s="42" t="s">
        <v>141</v>
      </c>
      <c r="K79" s="42" t="s">
        <v>142</v>
      </c>
      <c r="L79" s="293" t="s">
        <v>143</v>
      </c>
      <c r="N79" s="42" t="s">
        <v>139</v>
      </c>
      <c r="O79" s="42" t="s">
        <v>140</v>
      </c>
      <c r="P79" s="42" t="s">
        <v>141</v>
      </c>
      <c r="Q79" s="42" t="s">
        <v>142</v>
      </c>
      <c r="R79" s="314" t="s">
        <v>143</v>
      </c>
    </row>
    <row r="80" spans="2:18" s="40" customFormat="1">
      <c r="H80" s="40" t="s">
        <v>144</v>
      </c>
      <c r="I80" s="40" t="s">
        <v>145</v>
      </c>
      <c r="J80" s="40" t="s">
        <v>146</v>
      </c>
      <c r="K80" s="40" t="s">
        <v>147</v>
      </c>
      <c r="L80" s="294" t="s">
        <v>148</v>
      </c>
      <c r="N80" s="40" t="s">
        <v>144</v>
      </c>
      <c r="O80" s="40" t="s">
        <v>145</v>
      </c>
      <c r="P80" s="40" t="s">
        <v>146</v>
      </c>
      <c r="Q80" s="40" t="s">
        <v>147</v>
      </c>
      <c r="R80" s="315" t="s">
        <v>148</v>
      </c>
    </row>
    <row r="81" spans="2:18">
      <c r="L81" s="291"/>
      <c r="R81" s="316"/>
    </row>
    <row r="82" spans="2:18">
      <c r="B82" s="3" t="s">
        <v>149</v>
      </c>
      <c r="H82" s="323">
        <f>'26. Entry- en exittarieven '!H161</f>
        <v>0.26742966000000001</v>
      </c>
      <c r="I82" s="328">
        <f>'26. Entry- en exittarieven '!I161</f>
        <v>0.12907774</v>
      </c>
      <c r="J82" s="257">
        <f>'26. Entry- en exittarieven '!J161</f>
        <v>6.0648439999999998E-2</v>
      </c>
      <c r="K82" s="259"/>
      <c r="L82" s="306"/>
      <c r="M82" s="260"/>
      <c r="N82" s="323">
        <f>'26. Entry- en exittarieven '!N161</f>
        <v>0.18811784000000001</v>
      </c>
      <c r="O82" s="328">
        <f>'26. Entry- en exittarieven '!O161</f>
        <v>9.0797050000000004E-2</v>
      </c>
      <c r="P82" s="257">
        <f>'26. Entry- en exittarieven '!P161</f>
        <v>4.2661890000000001E-2</v>
      </c>
      <c r="Q82" s="259"/>
      <c r="R82" s="319"/>
    </row>
    <row r="83" spans="2:18">
      <c r="B83" s="3" t="s">
        <v>150</v>
      </c>
      <c r="H83" s="323"/>
      <c r="I83" s="328"/>
      <c r="J83" s="257">
        <f>'26. Entry- en exittarieven '!J162</f>
        <v>5.2985049999999999E-2</v>
      </c>
      <c r="K83" s="259"/>
      <c r="L83" s="306"/>
      <c r="M83" s="260"/>
      <c r="N83" s="323"/>
      <c r="O83" s="328"/>
      <c r="P83" s="257">
        <f>'26. Entry- en exittarieven '!P162</f>
        <v>3.7271230000000002E-2</v>
      </c>
      <c r="Q83" s="259"/>
      <c r="R83" s="319"/>
    </row>
    <row r="84" spans="2:18">
      <c r="B84" s="3" t="s">
        <v>151</v>
      </c>
      <c r="H84" s="323"/>
      <c r="I84" s="328"/>
      <c r="J84" s="257">
        <f>'26. Entry- en exittarieven '!J163</f>
        <v>4.1009900000000002E-2</v>
      </c>
      <c r="K84" s="259"/>
      <c r="L84" s="306"/>
      <c r="M84" s="260"/>
      <c r="N84" s="323"/>
      <c r="O84" s="328"/>
      <c r="P84" s="257">
        <f>'26. Entry- en exittarieven '!P163</f>
        <v>2.8847560000000001E-2</v>
      </c>
      <c r="Q84" s="259"/>
      <c r="R84" s="319"/>
    </row>
    <row r="85" spans="2:18">
      <c r="B85" s="3" t="s">
        <v>152</v>
      </c>
      <c r="H85" s="323"/>
      <c r="I85" s="328">
        <f>'26. Entry- en exittarieven '!I164</f>
        <v>5.917795E-2</v>
      </c>
      <c r="J85" s="257">
        <f>'26. Entry- en exittarieven '!J164</f>
        <v>2.8244519999999999E-2</v>
      </c>
      <c r="K85" s="259"/>
      <c r="L85" s="306"/>
      <c r="M85" s="260"/>
      <c r="N85" s="323"/>
      <c r="O85" s="328">
        <f>'26. Entry- en exittarieven '!O164</f>
        <v>4.1627499999999998E-2</v>
      </c>
      <c r="P85" s="257">
        <f>'26. Entry- en exittarieven '!P164</f>
        <v>1.986802E-2</v>
      </c>
      <c r="Q85" s="259"/>
      <c r="R85" s="319"/>
    </row>
    <row r="86" spans="2:18">
      <c r="B86" s="3" t="s">
        <v>153</v>
      </c>
      <c r="H86" s="323"/>
      <c r="I86" s="328"/>
      <c r="J86" s="257">
        <f>'26. Entry- en exittarieven '!J165</f>
        <v>2.2968260000000001E-2</v>
      </c>
      <c r="K86" s="259"/>
      <c r="L86" s="306"/>
      <c r="M86" s="260"/>
      <c r="N86" s="323"/>
      <c r="O86" s="328"/>
      <c r="P86" s="257">
        <f>'26. Entry- en exittarieven '!P165</f>
        <v>1.6156549999999999E-2</v>
      </c>
      <c r="Q86" s="259"/>
      <c r="R86" s="319"/>
    </row>
    <row r="87" spans="2:18">
      <c r="B87" s="3" t="s">
        <v>154</v>
      </c>
      <c r="H87" s="323"/>
      <c r="I87" s="328"/>
      <c r="J87" s="257">
        <f>'26. Entry- en exittarieven '!J166</f>
        <v>1.972842E-2</v>
      </c>
      <c r="K87" s="259"/>
      <c r="L87" s="306"/>
      <c r="M87" s="260"/>
      <c r="N87" s="323"/>
      <c r="O87" s="328"/>
      <c r="P87" s="257">
        <f>'26. Entry- en exittarieven '!P166</f>
        <v>1.3877550000000001E-2</v>
      </c>
      <c r="Q87" s="259"/>
      <c r="R87" s="319"/>
    </row>
    <row r="88" spans="2:18">
      <c r="B88" s="3" t="s">
        <v>155</v>
      </c>
      <c r="H88" s="323"/>
      <c r="I88" s="328">
        <f>'26. Entry- en exittarieven '!I167</f>
        <v>4.63837E-2</v>
      </c>
      <c r="J88" s="257">
        <f>'26. Entry- en exittarieven '!J167</f>
        <v>1.8857079999999998E-2</v>
      </c>
      <c r="K88" s="259"/>
      <c r="L88" s="306"/>
      <c r="M88" s="260"/>
      <c r="N88" s="323"/>
      <c r="O88" s="328">
        <f>'26. Entry- en exittarieven '!O167</f>
        <v>3.2627650000000001E-2</v>
      </c>
      <c r="P88" s="257">
        <f>'26. Entry- en exittarieven '!P167</f>
        <v>1.326462E-2</v>
      </c>
      <c r="Q88" s="259"/>
      <c r="R88" s="319"/>
    </row>
    <row r="89" spans="2:18">
      <c r="B89" s="3" t="s">
        <v>156</v>
      </c>
      <c r="H89" s="323"/>
      <c r="I89" s="328"/>
      <c r="J89" s="257">
        <f>'26. Entry- en exittarieven '!J168</f>
        <v>1.7939710000000001E-2</v>
      </c>
      <c r="K89" s="259"/>
      <c r="L89" s="306"/>
      <c r="M89" s="260"/>
      <c r="N89" s="323"/>
      <c r="O89" s="328"/>
      <c r="P89" s="257">
        <f>'26. Entry- en exittarieven '!P168</f>
        <v>1.261931E-2</v>
      </c>
      <c r="Q89" s="259"/>
      <c r="R89" s="319"/>
    </row>
    <row r="90" spans="2:18">
      <c r="B90" s="3" t="s">
        <v>157</v>
      </c>
      <c r="H90" s="323"/>
      <c r="I90" s="328"/>
      <c r="J90" s="257">
        <f>'26. Entry- en exittarieven '!J169</f>
        <v>1.8873520000000001E-2</v>
      </c>
      <c r="K90" s="259"/>
      <c r="L90" s="306"/>
      <c r="M90" s="260"/>
      <c r="N90" s="323"/>
      <c r="O90" s="328"/>
      <c r="P90" s="257">
        <f>'26. Entry- en exittarieven '!P169</f>
        <v>1.327619E-2</v>
      </c>
      <c r="Q90" s="259"/>
      <c r="R90" s="319"/>
    </row>
    <row r="91" spans="2:18">
      <c r="B91" s="3" t="s">
        <v>158</v>
      </c>
      <c r="H91" s="323"/>
      <c r="I91" s="328">
        <f>'26. Entry- en exittarieven '!I170</f>
        <v>9.9405649999999998E-2</v>
      </c>
      <c r="J91" s="257">
        <f>'26. Entry- en exittarieven '!J170</f>
        <v>2.5312660000000001E-2</v>
      </c>
      <c r="K91" s="259"/>
      <c r="L91" s="306"/>
      <c r="M91" s="260"/>
      <c r="N91" s="323"/>
      <c r="O91" s="328">
        <f>'26. Entry- en exittarieven '!O170</f>
        <v>6.9924840000000002E-2</v>
      </c>
      <c r="P91" s="257">
        <f>'26. Entry- en exittarieven '!P170</f>
        <v>1.7805660000000001E-2</v>
      </c>
      <c r="Q91" s="259"/>
      <c r="R91" s="319"/>
    </row>
    <row r="92" spans="2:18">
      <c r="B92" s="3" t="s">
        <v>159</v>
      </c>
      <c r="H92" s="323"/>
      <c r="I92" s="328"/>
      <c r="J92" s="257">
        <f>'26. Entry- en exittarieven '!J171</f>
        <v>3.9687E-2</v>
      </c>
      <c r="K92" s="259"/>
      <c r="L92" s="306"/>
      <c r="M92" s="260"/>
      <c r="N92" s="323"/>
      <c r="O92" s="328"/>
      <c r="P92" s="257">
        <f>'26. Entry- en exittarieven '!P171</f>
        <v>2.7917000000000001E-2</v>
      </c>
      <c r="Q92" s="259"/>
      <c r="R92" s="319"/>
    </row>
    <row r="93" spans="2:18">
      <c r="B93" s="3" t="s">
        <v>160</v>
      </c>
      <c r="H93" s="323"/>
      <c r="I93" s="328"/>
      <c r="J93" s="257">
        <f>'26. Entry- en exittarieven '!J172</f>
        <v>5.4192869999999997E-2</v>
      </c>
      <c r="K93" s="259"/>
      <c r="L93" s="306"/>
      <c r="M93" s="260"/>
      <c r="N93" s="323"/>
      <c r="O93" s="328"/>
      <c r="P93" s="257">
        <f>'26. Entry- en exittarieven '!P172</f>
        <v>3.8120849999999998E-2</v>
      </c>
      <c r="Q93" s="259"/>
      <c r="R93" s="319"/>
    </row>
    <row r="94" spans="2:18">
      <c r="L94" s="291"/>
      <c r="R94" s="316"/>
    </row>
    <row r="95" spans="2:18" s="39" customFormat="1">
      <c r="B95" s="39" t="s">
        <v>167</v>
      </c>
      <c r="H95" s="39" t="s">
        <v>170</v>
      </c>
      <c r="L95" s="292"/>
      <c r="N95" s="39" t="s">
        <v>171</v>
      </c>
      <c r="R95" s="313"/>
    </row>
    <row r="96" spans="2:18" s="42" customFormat="1">
      <c r="H96" s="42" t="s">
        <v>139</v>
      </c>
      <c r="I96" s="42" t="s">
        <v>140</v>
      </c>
      <c r="J96" s="42" t="s">
        <v>141</v>
      </c>
      <c r="K96" s="42" t="s">
        <v>142</v>
      </c>
      <c r="L96" s="293" t="s">
        <v>143</v>
      </c>
      <c r="N96" s="42" t="s">
        <v>139</v>
      </c>
      <c r="O96" s="42" t="s">
        <v>140</v>
      </c>
      <c r="P96" s="42" t="s">
        <v>141</v>
      </c>
      <c r="Q96" s="42" t="s">
        <v>142</v>
      </c>
      <c r="R96" s="314" t="s">
        <v>143</v>
      </c>
    </row>
    <row r="97" spans="2:18" s="40" customFormat="1">
      <c r="H97" s="40" t="s">
        <v>144</v>
      </c>
      <c r="I97" s="40" t="s">
        <v>145</v>
      </c>
      <c r="J97" s="40" t="s">
        <v>146</v>
      </c>
      <c r="K97" s="40" t="s">
        <v>147</v>
      </c>
      <c r="L97" s="294" t="s">
        <v>148</v>
      </c>
      <c r="N97" s="40" t="s">
        <v>144</v>
      </c>
      <c r="O97" s="40" t="s">
        <v>145</v>
      </c>
      <c r="P97" s="40" t="s">
        <v>146</v>
      </c>
      <c r="Q97" s="40" t="s">
        <v>147</v>
      </c>
      <c r="R97" s="315" t="s">
        <v>148</v>
      </c>
    </row>
    <row r="98" spans="2:18">
      <c r="L98" s="291"/>
      <c r="R98" s="316"/>
    </row>
    <row r="99" spans="2:18">
      <c r="B99" s="3" t="s">
        <v>149</v>
      </c>
      <c r="H99" s="323">
        <f>'26. Entry- en exittarieven '!H178</f>
        <v>0.18628368000000001</v>
      </c>
      <c r="I99" s="328">
        <f>'26. Entry- en exittarieven '!I178</f>
        <v>8.9911779999999997E-2</v>
      </c>
      <c r="J99" s="257">
        <f>'26. Entry- en exittarieven '!J178</f>
        <v>4.2245930000000001E-2</v>
      </c>
      <c r="K99" s="259"/>
      <c r="L99" s="306"/>
      <c r="M99" s="260"/>
      <c r="N99" s="323">
        <f>'26. Entry- en exittarieven '!N178</f>
        <v>0.10697186</v>
      </c>
      <c r="O99" s="328">
        <f>'26. Entry- en exittarieven '!O178</f>
        <v>5.1631099999999999E-2</v>
      </c>
      <c r="P99" s="257">
        <f>'26. Entry- en exittarieven '!P178</f>
        <v>2.4259380000000001E-2</v>
      </c>
      <c r="Q99" s="259"/>
      <c r="R99" s="319"/>
    </row>
    <row r="100" spans="2:18">
      <c r="B100" s="3" t="s">
        <v>150</v>
      </c>
      <c r="H100" s="323"/>
      <c r="I100" s="328"/>
      <c r="J100" s="257">
        <f>'26. Entry- en exittarieven '!J179</f>
        <v>3.6907839999999997E-2</v>
      </c>
      <c r="K100" s="259"/>
      <c r="L100" s="306"/>
      <c r="M100" s="260"/>
      <c r="N100" s="323"/>
      <c r="O100" s="328"/>
      <c r="P100" s="257">
        <f>'26. Entry- en exittarieven '!P179</f>
        <v>2.1194020000000001E-2</v>
      </c>
      <c r="Q100" s="259"/>
      <c r="R100" s="319"/>
    </row>
    <row r="101" spans="2:18">
      <c r="B101" s="3" t="s">
        <v>151</v>
      </c>
      <c r="H101" s="323"/>
      <c r="I101" s="328"/>
      <c r="J101" s="257">
        <f>'26. Entry- en exittarieven '!J180</f>
        <v>2.8566299999999999E-2</v>
      </c>
      <c r="K101" s="259"/>
      <c r="L101" s="306"/>
      <c r="M101" s="260"/>
      <c r="N101" s="323"/>
      <c r="O101" s="328"/>
      <c r="P101" s="257">
        <f>'26. Entry- en exittarieven '!P180</f>
        <v>1.6403959999999999E-2</v>
      </c>
      <c r="Q101" s="259"/>
      <c r="R101" s="319"/>
    </row>
    <row r="102" spans="2:18">
      <c r="B102" s="3" t="s">
        <v>152</v>
      </c>
      <c r="H102" s="323"/>
      <c r="I102" s="328">
        <f>'26. Entry- en exittarieven '!I181</f>
        <v>4.1221630000000002E-2</v>
      </c>
      <c r="J102" s="257">
        <f>'26. Entry- en exittarieven '!J181</f>
        <v>1.967431E-2</v>
      </c>
      <c r="K102" s="259"/>
      <c r="L102" s="306"/>
      <c r="M102" s="260"/>
      <c r="N102" s="323"/>
      <c r="O102" s="328">
        <f>'26. Entry- en exittarieven '!O181</f>
        <v>2.367118E-2</v>
      </c>
      <c r="P102" s="257">
        <f>'26. Entry- en exittarieven '!P181</f>
        <v>1.129781E-2</v>
      </c>
      <c r="Q102" s="259"/>
      <c r="R102" s="319"/>
    </row>
    <row r="103" spans="2:18">
      <c r="B103" s="3" t="s">
        <v>153</v>
      </c>
      <c r="H103" s="323"/>
      <c r="I103" s="328"/>
      <c r="J103" s="257">
        <f>'26. Entry- en exittarieven '!J182</f>
        <v>1.5999019999999999E-2</v>
      </c>
      <c r="K103" s="259"/>
      <c r="L103" s="306"/>
      <c r="M103" s="260"/>
      <c r="N103" s="323"/>
      <c r="O103" s="328"/>
      <c r="P103" s="257">
        <f>'26. Entry- en exittarieven '!P182</f>
        <v>9.1873000000000007E-3</v>
      </c>
      <c r="Q103" s="259"/>
      <c r="R103" s="319"/>
    </row>
    <row r="104" spans="2:18">
      <c r="B104" s="3" t="s">
        <v>154</v>
      </c>
      <c r="H104" s="323"/>
      <c r="I104" s="328"/>
      <c r="J104" s="257">
        <f>'26. Entry- en exittarieven '!J183</f>
        <v>1.3742239999999999E-2</v>
      </c>
      <c r="K104" s="259"/>
      <c r="L104" s="306"/>
      <c r="M104" s="260"/>
      <c r="N104" s="323"/>
      <c r="O104" s="328"/>
      <c r="P104" s="257">
        <f>'26. Entry- en exittarieven '!P183</f>
        <v>7.89137E-3</v>
      </c>
      <c r="Q104" s="259"/>
      <c r="R104" s="319"/>
    </row>
    <row r="105" spans="2:18">
      <c r="B105" s="3" t="s">
        <v>155</v>
      </c>
      <c r="H105" s="323"/>
      <c r="I105" s="328">
        <f>'26. Entry- en exittarieven '!I184</f>
        <v>3.2309530000000003E-2</v>
      </c>
      <c r="J105" s="257">
        <f>'26. Entry- en exittarieven '!J184</f>
        <v>1.3135290000000001E-2</v>
      </c>
      <c r="K105" s="259"/>
      <c r="L105" s="306"/>
      <c r="M105" s="260"/>
      <c r="N105" s="323"/>
      <c r="O105" s="328">
        <f>'26. Entry- en exittarieven '!O184</f>
        <v>1.8553480000000001E-2</v>
      </c>
      <c r="P105" s="257">
        <f>'26. Entry- en exittarieven '!P184</f>
        <v>7.5428300000000004E-3</v>
      </c>
      <c r="Q105" s="259"/>
      <c r="R105" s="319"/>
    </row>
    <row r="106" spans="2:18">
      <c r="B106" s="3" t="s">
        <v>156</v>
      </c>
      <c r="H106" s="323"/>
      <c r="I106" s="328"/>
      <c r="J106" s="257">
        <f>'26. Entry- en exittarieven '!J185</f>
        <v>1.249628E-2</v>
      </c>
      <c r="K106" s="259"/>
      <c r="L106" s="306"/>
      <c r="M106" s="260"/>
      <c r="N106" s="323"/>
      <c r="O106" s="328"/>
      <c r="P106" s="257">
        <f>'26. Entry- en exittarieven '!P185</f>
        <v>7.1758799999999999E-3</v>
      </c>
      <c r="Q106" s="259"/>
      <c r="R106" s="319"/>
    </row>
    <row r="107" spans="2:18">
      <c r="B107" s="3" t="s">
        <v>157</v>
      </c>
      <c r="H107" s="323"/>
      <c r="I107" s="328"/>
      <c r="J107" s="257">
        <f>'26. Entry- en exittarieven '!J186</f>
        <v>1.3146740000000001E-2</v>
      </c>
      <c r="K107" s="259"/>
      <c r="L107" s="306"/>
      <c r="M107" s="260"/>
      <c r="N107" s="323"/>
      <c r="O107" s="328"/>
      <c r="P107" s="257">
        <f>'26. Entry- en exittarieven '!P186</f>
        <v>7.5494100000000003E-3</v>
      </c>
      <c r="Q107" s="259"/>
      <c r="R107" s="319"/>
    </row>
    <row r="108" spans="2:18">
      <c r="B108" s="3" t="s">
        <v>158</v>
      </c>
      <c r="H108" s="323"/>
      <c r="I108" s="328">
        <f>'26. Entry- en exittarieven '!I187</f>
        <v>6.9243070000000004E-2</v>
      </c>
      <c r="J108" s="257">
        <f>'26. Entry- en exittarieven '!J187</f>
        <v>1.7632060000000001E-2</v>
      </c>
      <c r="K108" s="259"/>
      <c r="L108" s="306"/>
      <c r="M108" s="260"/>
      <c r="N108" s="323"/>
      <c r="O108" s="328">
        <f>'26. Entry- en exittarieven '!O187</f>
        <v>3.9762260000000001E-2</v>
      </c>
      <c r="P108" s="257">
        <f>'26. Entry- en exittarieven '!P187</f>
        <v>1.012506E-2</v>
      </c>
      <c r="Q108" s="259"/>
      <c r="R108" s="319"/>
    </row>
    <row r="109" spans="2:18">
      <c r="B109" s="3" t="s">
        <v>159</v>
      </c>
      <c r="H109" s="323"/>
      <c r="I109" s="328"/>
      <c r="J109" s="257">
        <f>'26. Entry- en exittarieven '!J188</f>
        <v>2.7644800000000001E-2</v>
      </c>
      <c r="K109" s="259"/>
      <c r="L109" s="306"/>
      <c r="M109" s="260"/>
      <c r="N109" s="323"/>
      <c r="O109" s="328"/>
      <c r="P109" s="257">
        <f>'26. Entry- en exittarieven '!P188</f>
        <v>1.5874800000000001E-2</v>
      </c>
      <c r="Q109" s="259"/>
      <c r="R109" s="319"/>
    </row>
    <row r="110" spans="2:18">
      <c r="B110" s="3" t="s">
        <v>160</v>
      </c>
      <c r="H110" s="323"/>
      <c r="I110" s="328"/>
      <c r="J110" s="257">
        <f>'26. Entry- en exittarieven '!J189</f>
        <v>3.7749169999999999E-2</v>
      </c>
      <c r="K110" s="259"/>
      <c r="L110" s="306"/>
      <c r="M110" s="260"/>
      <c r="N110" s="323"/>
      <c r="O110" s="328"/>
      <c r="P110" s="257">
        <f>'26. Entry- en exittarieven '!P189</f>
        <v>2.1677149999999999E-2</v>
      </c>
      <c r="Q110" s="259"/>
      <c r="R110" s="319"/>
    </row>
  </sheetData>
  <mergeCells count="61">
    <mergeCell ref="H99:H110"/>
    <mergeCell ref="I99:I101"/>
    <mergeCell ref="N99:N110"/>
    <mergeCell ref="O99:O101"/>
    <mergeCell ref="I102:I104"/>
    <mergeCell ref="O102:O104"/>
    <mergeCell ref="I105:I107"/>
    <mergeCell ref="O105:O107"/>
    <mergeCell ref="I108:I110"/>
    <mergeCell ref="O108:O110"/>
    <mergeCell ref="H82:H93"/>
    <mergeCell ref="I82:I84"/>
    <mergeCell ref="N82:N93"/>
    <mergeCell ref="O82:O84"/>
    <mergeCell ref="I85:I87"/>
    <mergeCell ref="O85:O87"/>
    <mergeCell ref="I88:I90"/>
    <mergeCell ref="O88:O90"/>
    <mergeCell ref="I91:I93"/>
    <mergeCell ref="O91:O93"/>
    <mergeCell ref="N14:N25"/>
    <mergeCell ref="I14:I16"/>
    <mergeCell ref="I17:I19"/>
    <mergeCell ref="I20:I22"/>
    <mergeCell ref="I23:I25"/>
    <mergeCell ref="B5:F5"/>
    <mergeCell ref="O34:O36"/>
    <mergeCell ref="O37:O39"/>
    <mergeCell ref="O40:O42"/>
    <mergeCell ref="H31:H42"/>
    <mergeCell ref="I31:I33"/>
    <mergeCell ref="I34:I36"/>
    <mergeCell ref="I37:I39"/>
    <mergeCell ref="I40:I42"/>
    <mergeCell ref="N31:N42"/>
    <mergeCell ref="O14:O16"/>
    <mergeCell ref="O17:O19"/>
    <mergeCell ref="O20:O22"/>
    <mergeCell ref="O23:O25"/>
    <mergeCell ref="O31:O33"/>
    <mergeCell ref="H14:H25"/>
    <mergeCell ref="H48:H59"/>
    <mergeCell ref="I48:I50"/>
    <mergeCell ref="N48:N59"/>
    <mergeCell ref="O48:O50"/>
    <mergeCell ref="I51:I53"/>
    <mergeCell ref="O51:O53"/>
    <mergeCell ref="I54:I56"/>
    <mergeCell ref="O54:O56"/>
    <mergeCell ref="I57:I59"/>
    <mergeCell ref="O57:O59"/>
    <mergeCell ref="H65:H76"/>
    <mergeCell ref="I65:I67"/>
    <mergeCell ref="N65:N76"/>
    <mergeCell ref="O65:O67"/>
    <mergeCell ref="I68:I70"/>
    <mergeCell ref="O68:O70"/>
    <mergeCell ref="I71:I73"/>
    <mergeCell ref="O71:O73"/>
    <mergeCell ref="I74:I76"/>
    <mergeCell ref="O74:O76"/>
  </mergeCells>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2:CH183"/>
  <sheetViews>
    <sheetView showGridLines="0" zoomScale="90" zoomScaleNormal="90" workbookViewId="0">
      <pane xSplit="4" ySplit="7" topLeftCell="E8" activePane="bottomRight" state="frozen"/>
      <selection pane="topRight"/>
      <selection pane="bottomLeft"/>
      <selection pane="bottomRight"/>
    </sheetView>
  </sheetViews>
  <sheetFormatPr defaultColWidth="9.140625" defaultRowHeight="12.75"/>
  <cols>
    <col min="1" max="1" width="2.7109375" style="3" customWidth="1"/>
    <col min="2" max="2" width="80.140625" style="3" bestFit="1" customWidth="1"/>
    <col min="3" max="3" width="2.7109375" style="3" customWidth="1"/>
    <col min="4" max="4" width="15.140625" style="3" bestFit="1" customWidth="1"/>
    <col min="5" max="5" width="2.7109375" style="3" customWidth="1"/>
    <col min="6" max="6" width="13.7109375" style="3" customWidth="1"/>
    <col min="7" max="7" width="2.7109375" style="3" customWidth="1"/>
    <col min="8" max="8" width="13" style="3" bestFit="1" customWidth="1"/>
    <col min="9" max="9" width="12.5703125" style="3" customWidth="1"/>
    <col min="10" max="10" width="13" style="3" bestFit="1" customWidth="1"/>
    <col min="11" max="11" width="12.5703125" style="3" customWidth="1"/>
    <col min="12" max="12" width="14.5703125" style="3" bestFit="1" customWidth="1"/>
    <col min="13" max="17" width="12.5703125" style="3" customWidth="1"/>
    <col min="18" max="18" width="2.7109375" style="3" customWidth="1"/>
    <col min="19" max="19" width="40.140625" style="3" bestFit="1" customWidth="1"/>
    <col min="20" max="20" width="2.7109375" style="3" customWidth="1"/>
    <col min="21" max="34" width="13.7109375" style="3" customWidth="1"/>
    <col min="35" max="16384" width="9.140625" style="3"/>
  </cols>
  <sheetData>
    <row r="2" spans="2:21" s="12" customFormat="1" ht="18">
      <c r="B2" s="12" t="s">
        <v>172</v>
      </c>
    </row>
    <row r="4" spans="2:21">
      <c r="B4" s="16" t="s">
        <v>173</v>
      </c>
      <c r="C4" s="2"/>
      <c r="I4"/>
      <c r="K4"/>
    </row>
    <row r="5" spans="2:21" ht="30.75" customHeight="1">
      <c r="B5" s="322" t="s">
        <v>174</v>
      </c>
      <c r="C5" s="322"/>
      <c r="D5" s="322"/>
      <c r="F5" s="13"/>
    </row>
    <row r="7" spans="2:21" s="8" customFormat="1">
      <c r="B7" s="8" t="s">
        <v>134</v>
      </c>
      <c r="D7" s="8" t="s">
        <v>175</v>
      </c>
      <c r="F7" s="8" t="s">
        <v>176</v>
      </c>
      <c r="H7" s="52">
        <v>2017</v>
      </c>
      <c r="I7" s="59">
        <v>2018</v>
      </c>
      <c r="J7" s="52">
        <v>2019</v>
      </c>
      <c r="K7" s="59">
        <v>2020</v>
      </c>
      <c r="L7" s="52">
        <v>2021</v>
      </c>
      <c r="M7" s="52">
        <v>2022</v>
      </c>
      <c r="N7" s="52">
        <v>2023</v>
      </c>
      <c r="O7" s="52">
        <v>2024</v>
      </c>
      <c r="P7" s="52">
        <v>2025</v>
      </c>
      <c r="Q7" s="52">
        <v>2026</v>
      </c>
      <c r="S7" s="8" t="s">
        <v>177</v>
      </c>
      <c r="U7" s="8" t="s">
        <v>178</v>
      </c>
    </row>
    <row r="9" spans="2:21" s="8" customFormat="1">
      <c r="B9" s="8" t="s">
        <v>179</v>
      </c>
    </row>
    <row r="11" spans="2:21">
      <c r="B11" s="3" t="s">
        <v>179</v>
      </c>
      <c r="D11" s="3" t="s">
        <v>180</v>
      </c>
      <c r="F11" s="143">
        <v>3.78E-2</v>
      </c>
      <c r="S11" s="3" t="s">
        <v>107</v>
      </c>
    </row>
    <row r="13" spans="2:21" s="8" customFormat="1">
      <c r="B13" s="8" t="s">
        <v>181</v>
      </c>
    </row>
    <row r="15" spans="2:21">
      <c r="B15" s="3" t="s">
        <v>182</v>
      </c>
      <c r="D15" s="3" t="s">
        <v>183</v>
      </c>
      <c r="F15" s="93"/>
      <c r="H15" s="10"/>
      <c r="I15" s="10"/>
      <c r="J15" s="10"/>
      <c r="K15" s="10"/>
      <c r="L15" s="148">
        <v>948654045.67944181</v>
      </c>
      <c r="M15" s="10"/>
      <c r="N15" s="10"/>
      <c r="O15" s="10"/>
      <c r="P15" s="10"/>
      <c r="Q15" s="10"/>
      <c r="S15" s="3" t="s">
        <v>107</v>
      </c>
    </row>
    <row r="17" spans="2:27" s="8" customFormat="1">
      <c r="B17" s="8" t="s">
        <v>184</v>
      </c>
    </row>
    <row r="19" spans="2:27">
      <c r="B19" s="16" t="s">
        <v>185</v>
      </c>
    </row>
    <row r="20" spans="2:27">
      <c r="B20" s="32" t="s">
        <v>186</v>
      </c>
      <c r="D20" s="3" t="s">
        <v>180</v>
      </c>
      <c r="H20" s="279">
        <v>4.2000000000000003E-2</v>
      </c>
      <c r="I20" s="279">
        <v>3.9E-2</v>
      </c>
      <c r="J20" s="279">
        <v>3.5999999999999997E-2</v>
      </c>
      <c r="K20" s="279">
        <v>3.3000000000000002E-2</v>
      </c>
      <c r="L20" s="279">
        <v>0.03</v>
      </c>
      <c r="M20" s="113"/>
      <c r="N20" s="113"/>
      <c r="O20" s="113"/>
      <c r="P20" s="113"/>
      <c r="Q20" s="113"/>
      <c r="S20" s="3" t="s">
        <v>187</v>
      </c>
    </row>
    <row r="21" spans="2:27">
      <c r="B21" s="32" t="s">
        <v>188</v>
      </c>
      <c r="D21" s="3" t="s">
        <v>180</v>
      </c>
      <c r="H21" s="143">
        <v>3.7999999999999999E-2</v>
      </c>
      <c r="I21" s="143">
        <v>3.5999999999999997E-2</v>
      </c>
      <c r="J21" s="143">
        <v>3.4000000000000002E-2</v>
      </c>
      <c r="K21" s="143">
        <v>3.2000000000000001E-2</v>
      </c>
      <c r="L21" s="143">
        <v>0.03</v>
      </c>
      <c r="M21" s="113"/>
      <c r="N21" s="113"/>
      <c r="O21" s="113"/>
      <c r="P21" s="113"/>
      <c r="Q21" s="113"/>
      <c r="S21" s="3" t="s">
        <v>187</v>
      </c>
    </row>
    <row r="22" spans="2:27">
      <c r="B22" s="156" t="s">
        <v>189</v>
      </c>
      <c r="D22" s="3" t="s">
        <v>180</v>
      </c>
      <c r="F22" s="94"/>
      <c r="H22" s="113"/>
      <c r="I22" s="113"/>
      <c r="J22" s="113"/>
      <c r="K22" s="113"/>
      <c r="L22" s="113"/>
      <c r="M22" s="143">
        <v>3.1E-2</v>
      </c>
      <c r="N22" s="143">
        <v>0.03</v>
      </c>
      <c r="O22" s="143">
        <v>0.03</v>
      </c>
      <c r="P22" s="143">
        <v>0.03</v>
      </c>
      <c r="Q22" s="143">
        <v>0.03</v>
      </c>
      <c r="S22" s="88" t="s">
        <v>117</v>
      </c>
      <c r="U22" s="322"/>
      <c r="V22" s="322"/>
      <c r="W22" s="322"/>
      <c r="X22" s="322"/>
      <c r="Y22" s="322"/>
      <c r="Z22" s="322"/>
      <c r="AA22" s="322"/>
    </row>
    <row r="23" spans="2:27">
      <c r="B23" s="156" t="s">
        <v>190</v>
      </c>
      <c r="D23" s="3" t="s">
        <v>180</v>
      </c>
      <c r="F23" s="94"/>
      <c r="H23" s="113"/>
      <c r="I23" s="113"/>
      <c r="J23" s="113"/>
      <c r="K23" s="113"/>
      <c r="L23" s="113"/>
      <c r="M23" s="143">
        <v>0.03</v>
      </c>
      <c r="N23" s="143">
        <v>0.03</v>
      </c>
      <c r="O23" s="143">
        <v>0.03</v>
      </c>
      <c r="P23" s="143">
        <v>0.03</v>
      </c>
      <c r="Q23" s="143">
        <v>0.03</v>
      </c>
      <c r="S23" s="88" t="s">
        <v>117</v>
      </c>
      <c r="U23" s="322"/>
      <c r="V23" s="322"/>
      <c r="W23" s="322"/>
      <c r="X23" s="322"/>
      <c r="Y23" s="322"/>
      <c r="Z23" s="322"/>
      <c r="AA23" s="322"/>
    </row>
    <row r="24" spans="2:27">
      <c r="H24" s="23"/>
      <c r="I24" s="23"/>
      <c r="J24" s="23"/>
      <c r="K24" s="23"/>
      <c r="L24" s="23"/>
      <c r="M24" s="23"/>
      <c r="N24" s="23"/>
      <c r="O24" s="23"/>
      <c r="P24" s="23"/>
      <c r="Q24" s="23"/>
    </row>
    <row r="25" spans="2:27">
      <c r="B25" s="2" t="s">
        <v>191</v>
      </c>
      <c r="H25" s="23"/>
      <c r="I25" s="23"/>
      <c r="J25" s="23"/>
      <c r="K25" s="23"/>
      <c r="L25" s="23"/>
      <c r="M25" s="23"/>
      <c r="N25" s="23"/>
      <c r="O25" s="23"/>
      <c r="P25" s="23"/>
      <c r="Q25" s="23"/>
    </row>
    <row r="26" spans="2:27">
      <c r="B26" s="156" t="s">
        <v>189</v>
      </c>
      <c r="D26" s="3" t="s">
        <v>180</v>
      </c>
      <c r="F26" s="94"/>
      <c r="H26" s="113"/>
      <c r="I26" s="113"/>
      <c r="J26" s="113"/>
      <c r="K26" s="113"/>
      <c r="L26" s="113"/>
      <c r="M26" s="143">
        <v>0.04</v>
      </c>
      <c r="N26" s="113"/>
      <c r="O26" s="113"/>
      <c r="P26" s="113"/>
      <c r="Q26" s="113"/>
      <c r="S26" s="3" t="s">
        <v>1056</v>
      </c>
    </row>
    <row r="28" spans="2:27" s="8" customFormat="1">
      <c r="B28" s="8" t="s">
        <v>192</v>
      </c>
    </row>
    <row r="30" spans="2:27">
      <c r="B30" s="3" t="s">
        <v>193</v>
      </c>
      <c r="D30" s="3" t="s">
        <v>180</v>
      </c>
      <c r="F30" s="144">
        <v>0.01</v>
      </c>
      <c r="S30" s="3" t="s">
        <v>117</v>
      </c>
    </row>
    <row r="32" spans="2:27" s="8" customFormat="1">
      <c r="B32" s="8" t="s">
        <v>194</v>
      </c>
    </row>
    <row r="34" spans="2:27">
      <c r="B34" s="16" t="s">
        <v>194</v>
      </c>
    </row>
    <row r="35" spans="2:27" ht="12.75" customHeight="1">
      <c r="B35" s="3" t="s">
        <v>194</v>
      </c>
      <c r="D35" s="3" t="s">
        <v>180</v>
      </c>
      <c r="F35" s="23"/>
      <c r="H35" s="142">
        <v>2E-3</v>
      </c>
      <c r="I35" s="142">
        <v>1.4E-2</v>
      </c>
      <c r="J35" s="142">
        <v>1.2E-2</v>
      </c>
      <c r="K35" s="143">
        <v>2.5999999999999999E-2</v>
      </c>
      <c r="L35" s="143">
        <v>1.6E-2</v>
      </c>
      <c r="M35" s="143">
        <v>1.7999999999999999E-2</v>
      </c>
      <c r="N35" s="143">
        <v>6.2E-2</v>
      </c>
      <c r="O35" s="279">
        <v>0.08</v>
      </c>
      <c r="P35" s="143">
        <v>1.7000000000000001E-2</v>
      </c>
      <c r="Q35" s="143">
        <v>1.7000000000000001E-2</v>
      </c>
      <c r="S35" s="3" t="s">
        <v>195</v>
      </c>
      <c r="U35" s="322" t="s">
        <v>196</v>
      </c>
      <c r="V35" s="322"/>
      <c r="W35" s="322"/>
      <c r="X35" s="322"/>
      <c r="Y35" s="322"/>
      <c r="Z35" s="322"/>
      <c r="AA35" s="322"/>
    </row>
    <row r="37" spans="2:27">
      <c r="B37" s="16" t="s">
        <v>197</v>
      </c>
    </row>
    <row r="38" spans="2:27">
      <c r="B38" s="3" t="s">
        <v>198</v>
      </c>
      <c r="D38" s="3" t="s">
        <v>199</v>
      </c>
      <c r="H38" s="3">
        <v>1</v>
      </c>
      <c r="I38" s="31">
        <f>H38*(1+I$35)</f>
        <v>1.014</v>
      </c>
      <c r="J38" s="31">
        <f t="shared" ref="J38:Q38" si="0">I38*(1+J$35)</f>
        <v>1.026168</v>
      </c>
      <c r="K38" s="31">
        <f t="shared" si="0"/>
        <v>1.052848368</v>
      </c>
      <c r="L38" s="31">
        <f t="shared" si="0"/>
        <v>1.069693941888</v>
      </c>
      <c r="M38" s="31">
        <f t="shared" si="0"/>
        <v>1.0889484328419841</v>
      </c>
      <c r="N38" s="31">
        <f t="shared" si="0"/>
        <v>1.1564632356781872</v>
      </c>
      <c r="O38" s="31">
        <f t="shared" si="0"/>
        <v>1.2489802945324422</v>
      </c>
      <c r="P38" s="31">
        <f t="shared" si="0"/>
        <v>1.2702129595394935</v>
      </c>
      <c r="Q38" s="31">
        <f t="shared" si="0"/>
        <v>1.2918065798516647</v>
      </c>
    </row>
    <row r="39" spans="2:27">
      <c r="B39" s="32" t="s">
        <v>200</v>
      </c>
      <c r="D39" s="3" t="s">
        <v>199</v>
      </c>
      <c r="H39" s="10"/>
      <c r="I39" s="3">
        <v>1</v>
      </c>
      <c r="J39" s="31">
        <f>I39*(1+J$35)</f>
        <v>1.012</v>
      </c>
      <c r="K39" s="31">
        <f t="shared" ref="K39:Q39" si="1">J39*(1+K$35)</f>
        <v>1.0383120000000001</v>
      </c>
      <c r="L39" s="31">
        <f t="shared" si="1"/>
        <v>1.0549249920000001</v>
      </c>
      <c r="M39" s="31">
        <f t="shared" si="1"/>
        <v>1.0739136418560002</v>
      </c>
      <c r="N39" s="31">
        <f t="shared" si="1"/>
        <v>1.1404962876510722</v>
      </c>
      <c r="O39" s="31">
        <f t="shared" si="1"/>
        <v>1.2317359906631582</v>
      </c>
      <c r="P39" s="31">
        <f t="shared" si="1"/>
        <v>1.2526755025044318</v>
      </c>
      <c r="Q39" s="31">
        <f t="shared" si="1"/>
        <v>1.273970986047007</v>
      </c>
    </row>
    <row r="40" spans="2:27">
      <c r="B40" s="32" t="s">
        <v>201</v>
      </c>
      <c r="D40" s="3" t="s">
        <v>199</v>
      </c>
      <c r="H40" s="10"/>
      <c r="I40" s="10"/>
      <c r="J40" s="3">
        <v>1</v>
      </c>
      <c r="K40" s="31">
        <f>J40*(1+K$35)</f>
        <v>1.026</v>
      </c>
      <c r="L40" s="31">
        <f>K40*(1+L$35)</f>
        <v>1.042416</v>
      </c>
      <c r="M40" s="31">
        <f t="shared" ref="M40:Q40" si="2">L40*(1+M$35)</f>
        <v>1.0611794880000001</v>
      </c>
      <c r="N40" s="31">
        <f t="shared" si="2"/>
        <v>1.1269726162560001</v>
      </c>
      <c r="O40" s="31">
        <f t="shared" si="2"/>
        <v>1.2171304255564801</v>
      </c>
      <c r="P40" s="31">
        <f t="shared" si="2"/>
        <v>1.2378216427909401</v>
      </c>
      <c r="Q40" s="31">
        <f t="shared" si="2"/>
        <v>1.2588646107183858</v>
      </c>
    </row>
    <row r="41" spans="2:27">
      <c r="B41" s="32" t="s">
        <v>202</v>
      </c>
      <c r="D41" s="3" t="s">
        <v>199</v>
      </c>
      <c r="H41" s="10"/>
      <c r="I41" s="10"/>
      <c r="J41" s="10"/>
      <c r="K41" s="3">
        <v>1</v>
      </c>
      <c r="L41" s="31">
        <f>K41*(1+L$35)</f>
        <v>1.016</v>
      </c>
      <c r="M41" s="31">
        <f t="shared" ref="M41:Q41" si="3">L41*(1+M$35)</f>
        <v>1.0342880000000001</v>
      </c>
      <c r="N41" s="31">
        <f t="shared" si="3"/>
        <v>1.0984138560000001</v>
      </c>
      <c r="O41" s="31">
        <f t="shared" si="3"/>
        <v>1.1862869644800003</v>
      </c>
      <c r="P41" s="31">
        <f t="shared" si="3"/>
        <v>1.2064538428761602</v>
      </c>
      <c r="Q41" s="31">
        <f t="shared" si="3"/>
        <v>1.2269635582050549</v>
      </c>
    </row>
    <row r="42" spans="2:27">
      <c r="B42" s="32" t="s">
        <v>203</v>
      </c>
      <c r="D42" s="3" t="s">
        <v>199</v>
      </c>
      <c r="H42" s="10"/>
      <c r="I42" s="10"/>
      <c r="J42" s="10"/>
      <c r="K42" s="10"/>
      <c r="L42" s="3">
        <v>1</v>
      </c>
      <c r="M42" s="31">
        <f>L42*(1+M$35)</f>
        <v>1.018</v>
      </c>
      <c r="N42" s="31">
        <f t="shared" ref="N42:O42" si="4">M42*(1+N$35)</f>
        <v>1.081116</v>
      </c>
      <c r="O42" s="31">
        <f t="shared" si="4"/>
        <v>1.1676052800000001</v>
      </c>
      <c r="P42" s="31">
        <f t="shared" ref="P42:Q45" si="5">O42*(1+P$35)</f>
        <v>1.1874545697600001</v>
      </c>
      <c r="Q42" s="31">
        <f t="shared" si="5"/>
        <v>1.2076412974459199</v>
      </c>
    </row>
    <row r="43" spans="2:27">
      <c r="B43" s="32" t="s">
        <v>204</v>
      </c>
      <c r="D43" s="3" t="s">
        <v>199</v>
      </c>
      <c r="H43" s="10"/>
      <c r="I43" s="10"/>
      <c r="J43" s="10"/>
      <c r="K43" s="10"/>
      <c r="L43" s="10"/>
      <c r="M43" s="3">
        <v>1</v>
      </c>
      <c r="N43" s="31">
        <f t="shared" ref="N43:O43" si="6">M43*(1+N$35)</f>
        <v>1.0620000000000001</v>
      </c>
      <c r="O43" s="31">
        <f t="shared" si="6"/>
        <v>1.1469600000000002</v>
      </c>
      <c r="P43" s="31">
        <f t="shared" si="5"/>
        <v>1.16645832</v>
      </c>
      <c r="Q43" s="31">
        <f t="shared" si="5"/>
        <v>1.1862881114399999</v>
      </c>
    </row>
    <row r="44" spans="2:27">
      <c r="B44" s="32" t="s">
        <v>205</v>
      </c>
      <c r="D44" s="3" t="s">
        <v>199</v>
      </c>
      <c r="H44" s="10"/>
      <c r="I44" s="10"/>
      <c r="J44" s="10"/>
      <c r="K44" s="10"/>
      <c r="L44" s="10"/>
      <c r="M44" s="10"/>
      <c r="N44" s="3">
        <v>1</v>
      </c>
      <c r="O44" s="31">
        <f>N44*(1+O$35)</f>
        <v>1.08</v>
      </c>
      <c r="P44" s="31">
        <f>O44*(1+P$35)</f>
        <v>1.09836</v>
      </c>
      <c r="Q44" s="31">
        <f t="shared" si="5"/>
        <v>1.11703212</v>
      </c>
    </row>
    <row r="45" spans="2:27">
      <c r="B45" s="32" t="s">
        <v>206</v>
      </c>
      <c r="D45" s="3" t="s">
        <v>199</v>
      </c>
      <c r="H45" s="10"/>
      <c r="I45" s="10"/>
      <c r="J45" s="10"/>
      <c r="K45" s="10"/>
      <c r="L45" s="10"/>
      <c r="M45" s="10"/>
      <c r="N45" s="10"/>
      <c r="O45" s="3">
        <v>1</v>
      </c>
      <c r="P45" s="31">
        <f t="shared" si="5"/>
        <v>1.0169999999999999</v>
      </c>
      <c r="Q45" s="31">
        <f t="shared" si="5"/>
        <v>1.0342889999999998</v>
      </c>
    </row>
    <row r="46" spans="2:27">
      <c r="B46" s="32" t="s">
        <v>207</v>
      </c>
      <c r="D46" s="3" t="s">
        <v>199</v>
      </c>
      <c r="H46" s="10"/>
      <c r="I46" s="10"/>
      <c r="J46" s="10"/>
      <c r="K46" s="10"/>
      <c r="L46" s="10"/>
      <c r="M46" s="10"/>
      <c r="N46" s="10"/>
      <c r="O46" s="10"/>
      <c r="P46" s="3">
        <v>1</v>
      </c>
      <c r="Q46" s="31">
        <f>P46*(1+Q$35)</f>
        <v>1.0169999999999999</v>
      </c>
    </row>
    <row r="47" spans="2:27">
      <c r="B47" s="32" t="s">
        <v>208</v>
      </c>
      <c r="D47" s="3" t="s">
        <v>199</v>
      </c>
      <c r="H47" s="10"/>
      <c r="I47" s="10"/>
      <c r="J47" s="10"/>
      <c r="K47" s="10"/>
      <c r="L47" s="10"/>
      <c r="M47" s="10"/>
      <c r="N47" s="10"/>
      <c r="O47" s="10"/>
      <c r="P47" s="10"/>
      <c r="Q47" s="3">
        <v>1</v>
      </c>
    </row>
    <row r="49" spans="2:19" s="8" customFormat="1">
      <c r="B49" s="8" t="s">
        <v>209</v>
      </c>
    </row>
    <row r="51" spans="2:19">
      <c r="B51" s="16" t="s">
        <v>209</v>
      </c>
    </row>
    <row r="52" spans="2:19">
      <c r="B52" s="3" t="s">
        <v>210</v>
      </c>
      <c r="D52" s="3" t="s">
        <v>180</v>
      </c>
      <c r="F52" s="94"/>
      <c r="H52" s="144">
        <v>1E-3</v>
      </c>
      <c r="I52" s="144">
        <v>1E-3</v>
      </c>
      <c r="J52" s="144">
        <v>1E-3</v>
      </c>
      <c r="K52" s="144">
        <v>1E-3</v>
      </c>
      <c r="L52" s="144">
        <v>1E-3</v>
      </c>
      <c r="M52" s="144">
        <v>4.0000000000000001E-3</v>
      </c>
      <c r="N52" s="144">
        <v>4.0000000000000001E-3</v>
      </c>
      <c r="O52" s="144">
        <v>4.0000000000000001E-3</v>
      </c>
      <c r="P52" s="144">
        <v>4.0000000000000001E-3</v>
      </c>
      <c r="Q52" s="144">
        <v>4.0000000000000001E-3</v>
      </c>
      <c r="S52" s="3" t="s">
        <v>211</v>
      </c>
    </row>
    <row r="54" spans="2:19">
      <c r="B54" s="16" t="s">
        <v>212</v>
      </c>
    </row>
    <row r="55" spans="2:19">
      <c r="B55" s="3" t="s">
        <v>198</v>
      </c>
      <c r="D55" s="3" t="s">
        <v>213</v>
      </c>
      <c r="H55" s="3">
        <v>1</v>
      </c>
      <c r="I55" s="31">
        <f>H55*(1-I$52)</f>
        <v>0.999</v>
      </c>
      <c r="J55" s="31">
        <f t="shared" ref="J55" si="7">I55*(1-J$52)</f>
        <v>0.99800100000000003</v>
      </c>
      <c r="K55" s="31">
        <f>J55*(1-K$52)</f>
        <v>0.997002999</v>
      </c>
      <c r="L55" s="31">
        <f t="shared" ref="L55:M55" si="8">K55*(1-L$52)</f>
        <v>0.99600599600100004</v>
      </c>
      <c r="M55" s="31">
        <f t="shared" si="8"/>
        <v>0.99202197201699605</v>
      </c>
      <c r="N55" s="31">
        <f t="shared" ref="N55:O55" si="9">M55*(1-N$52)</f>
        <v>0.98805388412892803</v>
      </c>
      <c r="O55" s="31">
        <f t="shared" si="9"/>
        <v>0.98410166859241233</v>
      </c>
      <c r="P55" s="31">
        <f t="shared" ref="P55:Q62" si="10">O55*(1-P$52)</f>
        <v>0.98016526191804265</v>
      </c>
      <c r="Q55" s="31">
        <f t="shared" si="10"/>
        <v>0.97624460087037046</v>
      </c>
    </row>
    <row r="56" spans="2:19">
      <c r="B56" s="32" t="s">
        <v>200</v>
      </c>
      <c r="D56" s="3" t="s">
        <v>213</v>
      </c>
      <c r="H56" s="10"/>
      <c r="I56" s="3">
        <v>1</v>
      </c>
      <c r="J56" s="31">
        <f t="shared" ref="J56:K56" si="11">I56*(1-J$52)</f>
        <v>0.999</v>
      </c>
      <c r="K56" s="31">
        <f t="shared" si="11"/>
        <v>0.99800100000000003</v>
      </c>
      <c r="L56" s="31">
        <f t="shared" ref="L56:M56" si="12">K56*(1-L$52)</f>
        <v>0.997002999</v>
      </c>
      <c r="M56" s="31">
        <f t="shared" si="12"/>
        <v>0.99301498700400004</v>
      </c>
      <c r="N56" s="31">
        <f t="shared" ref="N56:O56" si="13">M56*(1-N$52)</f>
        <v>0.98904292705598407</v>
      </c>
      <c r="O56" s="31">
        <f t="shared" si="13"/>
        <v>0.98508675534776013</v>
      </c>
      <c r="P56" s="31">
        <f t="shared" si="10"/>
        <v>0.98114640832636912</v>
      </c>
      <c r="Q56" s="31">
        <f t="shared" si="10"/>
        <v>0.97722182269306368</v>
      </c>
    </row>
    <row r="57" spans="2:19">
      <c r="B57" s="32" t="s">
        <v>201</v>
      </c>
      <c r="D57" s="3" t="s">
        <v>213</v>
      </c>
      <c r="H57" s="10"/>
      <c r="I57" s="10"/>
      <c r="J57" s="3">
        <v>1</v>
      </c>
      <c r="K57" s="31">
        <f>J57*(1-K$52)</f>
        <v>0.999</v>
      </c>
      <c r="L57" s="31">
        <f t="shared" ref="L57:M57" si="14">K57*(1-L$52)</f>
        <v>0.99800100000000003</v>
      </c>
      <c r="M57" s="31">
        <f t="shared" si="14"/>
        <v>0.99400899600000003</v>
      </c>
      <c r="N57" s="31">
        <f t="shared" ref="N57:O57" si="15">M57*(1-N$52)</f>
        <v>0.99003296001600005</v>
      </c>
      <c r="O57" s="31">
        <f t="shared" si="15"/>
        <v>0.986072828175936</v>
      </c>
      <c r="P57" s="31">
        <f t="shared" si="10"/>
        <v>0.9821285368632322</v>
      </c>
      <c r="Q57" s="31">
        <f t="shared" si="10"/>
        <v>0.97820002271577933</v>
      </c>
    </row>
    <row r="58" spans="2:19">
      <c r="B58" s="32" t="s">
        <v>202</v>
      </c>
      <c r="D58" s="3" t="s">
        <v>213</v>
      </c>
      <c r="H58" s="10"/>
      <c r="I58" s="10"/>
      <c r="J58" s="10"/>
      <c r="K58" s="3">
        <v>1</v>
      </c>
      <c r="L58" s="31">
        <f t="shared" ref="L58:M58" si="16">K58*(1-L$52)</f>
        <v>0.999</v>
      </c>
      <c r="M58" s="31">
        <f t="shared" si="16"/>
        <v>0.995004</v>
      </c>
      <c r="N58" s="31">
        <f t="shared" ref="N58:O58" si="17">M58*(1-N$52)</f>
        <v>0.99102398400000002</v>
      </c>
      <c r="O58" s="31">
        <f t="shared" si="17"/>
        <v>0.98705988806400002</v>
      </c>
      <c r="P58" s="31">
        <f t="shared" si="10"/>
        <v>0.98311164851174404</v>
      </c>
      <c r="Q58" s="31">
        <f t="shared" si="10"/>
        <v>0.97917920191769703</v>
      </c>
    </row>
    <row r="59" spans="2:19">
      <c r="B59" s="32" t="s">
        <v>203</v>
      </c>
      <c r="D59" s="3" t="s">
        <v>213</v>
      </c>
      <c r="H59" s="10"/>
      <c r="I59" s="10"/>
      <c r="J59" s="10"/>
      <c r="K59" s="10"/>
      <c r="L59" s="3">
        <v>1</v>
      </c>
      <c r="M59" s="31">
        <f t="shared" ref="M59" si="18">L59*(1-M$52)</f>
        <v>0.996</v>
      </c>
      <c r="N59" s="31">
        <f t="shared" ref="N59:O59" si="19">M59*(1-N$52)</f>
        <v>0.99201600000000001</v>
      </c>
      <c r="O59" s="31">
        <f t="shared" si="19"/>
        <v>0.98804793599999996</v>
      </c>
      <c r="P59" s="31">
        <f t="shared" si="10"/>
        <v>0.98409574425599999</v>
      </c>
      <c r="Q59" s="31">
        <f t="shared" si="10"/>
        <v>0.98015936127897596</v>
      </c>
    </row>
    <row r="60" spans="2:19">
      <c r="B60" s="32" t="s">
        <v>204</v>
      </c>
      <c r="D60" s="3" t="s">
        <v>213</v>
      </c>
      <c r="H60" s="10"/>
      <c r="I60" s="10"/>
      <c r="J60" s="10"/>
      <c r="K60" s="10"/>
      <c r="L60" s="10"/>
      <c r="M60" s="3">
        <v>1</v>
      </c>
      <c r="N60" s="31">
        <f t="shared" ref="N60:O60" si="20">M60*(1-N$52)</f>
        <v>0.996</v>
      </c>
      <c r="O60" s="31">
        <f t="shared" si="20"/>
        <v>0.99201600000000001</v>
      </c>
      <c r="P60" s="31">
        <f t="shared" si="10"/>
        <v>0.98804793599999996</v>
      </c>
      <c r="Q60" s="31">
        <f t="shared" si="10"/>
        <v>0.98409574425599999</v>
      </c>
    </row>
    <row r="61" spans="2:19">
      <c r="B61" s="32" t="s">
        <v>205</v>
      </c>
      <c r="D61" s="3" t="s">
        <v>213</v>
      </c>
      <c r="H61" s="10"/>
      <c r="I61" s="10"/>
      <c r="J61" s="10"/>
      <c r="K61" s="10"/>
      <c r="L61" s="10"/>
      <c r="M61" s="10"/>
      <c r="N61" s="3">
        <v>1</v>
      </c>
      <c r="O61" s="31">
        <f t="shared" ref="O61" si="21">N61*(1-O$52)</f>
        <v>0.996</v>
      </c>
      <c r="P61" s="31">
        <f t="shared" si="10"/>
        <v>0.99201600000000001</v>
      </c>
      <c r="Q61" s="31">
        <f t="shared" si="10"/>
        <v>0.98804793599999996</v>
      </c>
    </row>
    <row r="62" spans="2:19">
      <c r="B62" s="32" t="s">
        <v>206</v>
      </c>
      <c r="D62" s="3" t="s">
        <v>213</v>
      </c>
      <c r="H62" s="10"/>
      <c r="I62" s="10"/>
      <c r="J62" s="10"/>
      <c r="K62" s="10"/>
      <c r="L62" s="10"/>
      <c r="M62" s="10"/>
      <c r="N62" s="10"/>
      <c r="O62" s="3">
        <v>1</v>
      </c>
      <c r="P62" s="31">
        <f t="shared" si="10"/>
        <v>0.996</v>
      </c>
      <c r="Q62" s="31">
        <f t="shared" si="10"/>
        <v>0.99201600000000001</v>
      </c>
    </row>
    <row r="63" spans="2:19">
      <c r="B63" s="32" t="s">
        <v>207</v>
      </c>
      <c r="D63" s="3" t="s">
        <v>213</v>
      </c>
      <c r="H63" s="10"/>
      <c r="I63" s="10"/>
      <c r="J63" s="10"/>
      <c r="K63" s="10"/>
      <c r="L63" s="10"/>
      <c r="M63" s="10"/>
      <c r="N63" s="10"/>
      <c r="O63" s="10"/>
      <c r="P63" s="3">
        <v>1</v>
      </c>
      <c r="Q63" s="31">
        <f>P63*(1-Q$52)</f>
        <v>0.996</v>
      </c>
    </row>
    <row r="64" spans="2:19">
      <c r="B64" s="32" t="s">
        <v>208</v>
      </c>
      <c r="D64" s="3" t="s">
        <v>213</v>
      </c>
      <c r="H64" s="10"/>
      <c r="I64" s="10"/>
      <c r="J64" s="10"/>
      <c r="K64" s="10"/>
      <c r="L64" s="10"/>
      <c r="M64" s="10"/>
      <c r="N64" s="10"/>
      <c r="O64" s="10"/>
      <c r="P64" s="10"/>
      <c r="Q64" s="3">
        <v>1</v>
      </c>
    </row>
    <row r="66" spans="1:19" s="8" customFormat="1">
      <c r="B66" s="8" t="s">
        <v>214</v>
      </c>
    </row>
    <row r="68" spans="1:19">
      <c r="B68" s="152" t="s">
        <v>214</v>
      </c>
    </row>
    <row r="69" spans="1:19">
      <c r="A69" s="2"/>
      <c r="B69" s="3" t="s">
        <v>121</v>
      </c>
      <c r="D69" s="3" t="s">
        <v>180</v>
      </c>
      <c r="H69" s="10"/>
      <c r="I69" s="10"/>
      <c r="J69" s="10"/>
      <c r="K69" s="10"/>
      <c r="L69" s="142">
        <v>0.02</v>
      </c>
      <c r="M69" s="142">
        <v>0.02</v>
      </c>
      <c r="N69" s="142">
        <v>0.02</v>
      </c>
      <c r="O69" s="142">
        <v>0.04</v>
      </c>
      <c r="P69" s="113">
        <v>0.04</v>
      </c>
      <c r="Q69" s="113">
        <v>0.04</v>
      </c>
      <c r="S69" s="3" t="s">
        <v>120</v>
      </c>
    </row>
    <row r="71" spans="1:19">
      <c r="B71" s="2" t="s">
        <v>215</v>
      </c>
    </row>
    <row r="72" spans="1:19">
      <c r="B72" s="32" t="s">
        <v>202</v>
      </c>
      <c r="D72" s="3" t="s">
        <v>216</v>
      </c>
      <c r="H72" s="10"/>
      <c r="I72" s="10"/>
      <c r="J72" s="10"/>
      <c r="K72" s="3">
        <v>1</v>
      </c>
      <c r="L72" s="31">
        <f>K72*(1+L$69)</f>
        <v>1.02</v>
      </c>
      <c r="M72" s="31">
        <f t="shared" ref="M72:M73" si="22">L72*(1+M$69)</f>
        <v>1.0404</v>
      </c>
      <c r="N72" s="31">
        <f>M72*(1+N$69)</f>
        <v>1.0612079999999999</v>
      </c>
      <c r="O72" s="31">
        <f>N72*(1+O$69)</f>
        <v>1.10365632</v>
      </c>
      <c r="P72" s="31">
        <f>O72*(1+P$69)</f>
        <v>1.1478025728000001</v>
      </c>
      <c r="Q72" s="31">
        <f>P72*(1+Q$69)</f>
        <v>1.1937146757120001</v>
      </c>
    </row>
    <row r="73" spans="1:19">
      <c r="B73" s="32" t="s">
        <v>203</v>
      </c>
      <c r="D73" s="3" t="s">
        <v>216</v>
      </c>
      <c r="H73" s="10"/>
      <c r="I73" s="10"/>
      <c r="J73" s="10"/>
      <c r="K73" s="10"/>
      <c r="L73" s="3">
        <v>1</v>
      </c>
      <c r="M73" s="31">
        <f t="shared" si="22"/>
        <v>1.02</v>
      </c>
      <c r="N73" s="31">
        <f t="shared" ref="N73:Q73" si="23">M73*(1+N$69)</f>
        <v>1.0404</v>
      </c>
      <c r="O73" s="31">
        <f t="shared" si="23"/>
        <v>1.0820160000000001</v>
      </c>
      <c r="P73" s="31">
        <f t="shared" si="23"/>
        <v>1.1252966400000002</v>
      </c>
      <c r="Q73" s="31">
        <f t="shared" si="23"/>
        <v>1.1703085056000002</v>
      </c>
    </row>
    <row r="74" spans="1:19">
      <c r="B74" s="32" t="s">
        <v>204</v>
      </c>
      <c r="D74" s="3" t="s">
        <v>216</v>
      </c>
      <c r="H74" s="10"/>
      <c r="I74" s="10"/>
      <c r="J74" s="10"/>
      <c r="K74" s="10"/>
      <c r="L74" s="10"/>
      <c r="M74" s="3">
        <v>1</v>
      </c>
      <c r="N74" s="31">
        <f t="shared" ref="N74:Q74" si="24">M74*(1+N$69)</f>
        <v>1.02</v>
      </c>
      <c r="O74" s="31">
        <f>N74*(1+O$69)</f>
        <v>1.0608</v>
      </c>
      <c r="P74" s="31">
        <f t="shared" si="24"/>
        <v>1.103232</v>
      </c>
      <c r="Q74" s="31">
        <f t="shared" si="24"/>
        <v>1.1473612799999999</v>
      </c>
    </row>
    <row r="75" spans="1:19">
      <c r="B75" s="32" t="s">
        <v>205</v>
      </c>
      <c r="D75" s="3" t="s">
        <v>216</v>
      </c>
      <c r="H75" s="10"/>
      <c r="I75" s="10"/>
      <c r="J75" s="10"/>
      <c r="K75" s="10"/>
      <c r="L75" s="10"/>
      <c r="M75" s="10"/>
      <c r="N75" s="3">
        <v>1</v>
      </c>
      <c r="O75" s="31">
        <f>N75*(1+O$69)</f>
        <v>1.04</v>
      </c>
      <c r="P75" s="31">
        <f t="shared" ref="P75:Q75" si="25">O75*(1+P$69)</f>
        <v>1.0816000000000001</v>
      </c>
      <c r="Q75" s="31">
        <f t="shared" si="25"/>
        <v>1.1248640000000001</v>
      </c>
    </row>
    <row r="76" spans="1:19">
      <c r="B76" s="32" t="s">
        <v>206</v>
      </c>
      <c r="D76" s="3" t="s">
        <v>216</v>
      </c>
      <c r="H76" s="10"/>
      <c r="I76" s="10"/>
      <c r="J76" s="10"/>
      <c r="K76" s="10"/>
      <c r="L76" s="10"/>
      <c r="M76" s="10"/>
      <c r="N76" s="10"/>
      <c r="O76" s="3">
        <v>1</v>
      </c>
      <c r="P76" s="31">
        <f t="shared" ref="P76:Q76" si="26">O76*(1+P$69)</f>
        <v>1.04</v>
      </c>
      <c r="Q76" s="31">
        <f t="shared" si="26"/>
        <v>1.0816000000000001</v>
      </c>
    </row>
    <row r="77" spans="1:19">
      <c r="B77" s="32" t="s">
        <v>207</v>
      </c>
      <c r="D77" s="3" t="s">
        <v>216</v>
      </c>
      <c r="H77" s="10"/>
      <c r="I77" s="10"/>
      <c r="J77" s="10"/>
      <c r="K77" s="10"/>
      <c r="L77" s="10"/>
      <c r="M77" s="10"/>
      <c r="N77" s="10"/>
      <c r="O77" s="10"/>
      <c r="P77" s="3">
        <v>1</v>
      </c>
      <c r="Q77" s="31">
        <f t="shared" ref="Q77" si="27">P77*(1+Q$69)</f>
        <v>1.04</v>
      </c>
    </row>
    <row r="78" spans="1:19">
      <c r="B78" s="32" t="s">
        <v>208</v>
      </c>
      <c r="D78" s="3" t="s">
        <v>216</v>
      </c>
      <c r="H78" s="10"/>
      <c r="I78" s="10"/>
      <c r="J78" s="10"/>
      <c r="K78" s="10"/>
      <c r="L78" s="10"/>
      <c r="M78" s="10"/>
      <c r="N78" s="10"/>
      <c r="O78" s="10"/>
      <c r="P78" s="10"/>
      <c r="Q78" s="3">
        <v>1</v>
      </c>
    </row>
    <row r="80" spans="1:19" s="8" customFormat="1">
      <c r="B80" s="8" t="s">
        <v>217</v>
      </c>
    </row>
    <row r="82" spans="2:86">
      <c r="B82" s="3" t="s">
        <v>217</v>
      </c>
      <c r="D82" s="3" t="s">
        <v>180</v>
      </c>
      <c r="F82" s="144">
        <v>0.93700000000000006</v>
      </c>
      <c r="S82" s="3" t="s">
        <v>117</v>
      </c>
    </row>
    <row r="84" spans="2:86" s="8" customFormat="1">
      <c r="B84" s="8" t="s">
        <v>218</v>
      </c>
    </row>
    <row r="86" spans="2:86">
      <c r="B86" s="3" t="s">
        <v>218</v>
      </c>
      <c r="D86" s="3" t="s">
        <v>180</v>
      </c>
      <c r="F86" s="148">
        <v>1.3</v>
      </c>
      <c r="S86" s="3" t="s">
        <v>117</v>
      </c>
    </row>
    <row r="87" spans="2:86">
      <c r="F87" s="102"/>
    </row>
    <row r="88" spans="2:86" s="8" customFormat="1">
      <c r="B88" s="8" t="s">
        <v>219</v>
      </c>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row>
    <row r="90" spans="2:86">
      <c r="B90" s="3" t="s">
        <v>219</v>
      </c>
      <c r="D90" s="3" t="s">
        <v>180</v>
      </c>
      <c r="F90" s="153">
        <v>0.1</v>
      </c>
      <c r="S90" s="3" t="s">
        <v>117</v>
      </c>
    </row>
    <row r="91" spans="2:86" s="154" customFormat="1">
      <c r="D91" s="155"/>
    </row>
    <row r="92" spans="2:86" s="8" customFormat="1">
      <c r="B92" s="8" t="s">
        <v>220</v>
      </c>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row>
    <row r="94" spans="2:86">
      <c r="B94" s="3" t="s">
        <v>220</v>
      </c>
      <c r="D94" s="3" t="s">
        <v>180</v>
      </c>
      <c r="F94" s="153">
        <v>0.9</v>
      </c>
      <c r="S94" s="3" t="s">
        <v>117</v>
      </c>
      <c r="AQ94"/>
      <c r="AR94"/>
      <c r="AS94"/>
      <c r="AT94"/>
      <c r="AU94"/>
      <c r="AV94"/>
      <c r="AW94"/>
    </row>
    <row r="95" spans="2:86">
      <c r="AQ95"/>
      <c r="AR95"/>
      <c r="AS95"/>
      <c r="AT95"/>
      <c r="AU95"/>
      <c r="AV95"/>
      <c r="AW95"/>
    </row>
    <row r="96" spans="2:86" s="8" customFormat="1">
      <c r="B96" s="8" t="s">
        <v>221</v>
      </c>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row>
    <row r="97" spans="2:19" s="98" customFormat="1">
      <c r="B97" s="115"/>
    </row>
    <row r="98" spans="2:19" s="98" customFormat="1">
      <c r="B98" s="98" t="s">
        <v>222</v>
      </c>
      <c r="D98" s="98" t="s">
        <v>180</v>
      </c>
      <c r="F98" s="153">
        <v>0.25</v>
      </c>
      <c r="S98" s="98" t="s">
        <v>129</v>
      </c>
    </row>
    <row r="99" spans="2:19">
      <c r="B99" s="3" t="s">
        <v>223</v>
      </c>
      <c r="D99" s="3" t="s">
        <v>180</v>
      </c>
      <c r="F99" s="153">
        <v>0.2</v>
      </c>
      <c r="S99" s="98" t="s">
        <v>129</v>
      </c>
    </row>
    <row r="101" spans="2:19" s="8" customFormat="1">
      <c r="B101" s="8" t="s">
        <v>224</v>
      </c>
    </row>
    <row r="103" spans="2:19">
      <c r="B103" s="3" t="s">
        <v>225</v>
      </c>
      <c r="D103" s="3" t="s">
        <v>180</v>
      </c>
      <c r="F103" s="142">
        <v>0.4</v>
      </c>
      <c r="S103" s="3" t="s">
        <v>128</v>
      </c>
    </row>
    <row r="104" spans="2:19">
      <c r="B104" s="3" t="s">
        <v>226</v>
      </c>
      <c r="D104" s="3" t="s">
        <v>180</v>
      </c>
      <c r="F104" s="34">
        <f>1-F103</f>
        <v>0.6</v>
      </c>
      <c r="S104" s="3" t="s">
        <v>128</v>
      </c>
    </row>
    <row r="106" spans="2:19" s="8" customFormat="1">
      <c r="B106" s="8" t="s">
        <v>227</v>
      </c>
    </row>
    <row r="108" spans="2:19">
      <c r="B108" s="3" t="s">
        <v>228</v>
      </c>
      <c r="D108" s="3" t="s">
        <v>180</v>
      </c>
      <c r="F108" s="142">
        <v>0.6</v>
      </c>
      <c r="S108" s="3" t="s">
        <v>128</v>
      </c>
    </row>
    <row r="109" spans="2:19">
      <c r="B109" s="3" t="s">
        <v>229</v>
      </c>
      <c r="D109" s="3" t="s">
        <v>180</v>
      </c>
      <c r="F109" s="142">
        <v>0.94</v>
      </c>
      <c r="S109" s="3" t="s">
        <v>128</v>
      </c>
    </row>
    <row r="111" spans="2:19" s="8" customFormat="1">
      <c r="B111" s="8" t="s">
        <v>230</v>
      </c>
    </row>
    <row r="113" spans="2:19">
      <c r="B113" s="3" t="s">
        <v>231</v>
      </c>
      <c r="F113" s="101">
        <v>1.25</v>
      </c>
      <c r="S113" s="3" t="s">
        <v>128</v>
      </c>
    </row>
    <row r="114" spans="2:19">
      <c r="B114" s="3" t="s">
        <v>232</v>
      </c>
      <c r="F114" s="101">
        <v>1.5</v>
      </c>
      <c r="S114" s="3" t="s">
        <v>128</v>
      </c>
    </row>
    <row r="115" spans="2:19">
      <c r="B115" s="3" t="s">
        <v>233</v>
      </c>
      <c r="F115" s="101">
        <v>1.75</v>
      </c>
      <c r="S115" s="3" t="s">
        <v>128</v>
      </c>
    </row>
    <row r="116" spans="2:19">
      <c r="B116" s="3" t="s">
        <v>234</v>
      </c>
      <c r="F116" s="101">
        <v>1.75</v>
      </c>
      <c r="S116" s="3" t="s">
        <v>128</v>
      </c>
    </row>
    <row r="118" spans="2:19" s="8" customFormat="1">
      <c r="B118" s="8" t="s">
        <v>235</v>
      </c>
    </row>
    <row r="120" spans="2:19">
      <c r="B120" s="2" t="s">
        <v>236</v>
      </c>
      <c r="F120" s="29"/>
    </row>
    <row r="121" spans="2:19">
      <c r="B121" s="3" t="s">
        <v>237</v>
      </c>
      <c r="F121" s="101">
        <v>1.5529999999999999</v>
      </c>
      <c r="S121" s="3" t="s">
        <v>128</v>
      </c>
    </row>
    <row r="122" spans="2:19">
      <c r="B122" s="3" t="s">
        <v>238</v>
      </c>
      <c r="F122" s="101">
        <v>0.71199999999999997</v>
      </c>
      <c r="S122" s="3" t="s">
        <v>128</v>
      </c>
    </row>
    <row r="123" spans="2:19">
      <c r="B123" s="3" t="s">
        <v>239</v>
      </c>
      <c r="F123" s="101">
        <v>0.55200000000000005</v>
      </c>
      <c r="S123" s="3" t="s">
        <v>128</v>
      </c>
    </row>
    <row r="124" spans="2:19">
      <c r="B124" s="3" t="s">
        <v>240</v>
      </c>
      <c r="F124" s="101">
        <v>1.1830000000000001</v>
      </c>
      <c r="S124" s="3" t="s">
        <v>128</v>
      </c>
    </row>
    <row r="126" spans="2:19">
      <c r="B126" s="2" t="s">
        <v>241</v>
      </c>
    </row>
    <row r="127" spans="2:19">
      <c r="B127" s="3" t="s">
        <v>149</v>
      </c>
      <c r="F127" s="101">
        <v>1.7849999999999999</v>
      </c>
      <c r="S127" s="3" t="s">
        <v>128</v>
      </c>
    </row>
    <row r="128" spans="2:19">
      <c r="B128" s="3" t="s">
        <v>150</v>
      </c>
      <c r="F128" s="101">
        <v>1.667</v>
      </c>
      <c r="S128" s="3" t="s">
        <v>128</v>
      </c>
    </row>
    <row r="129" spans="2:19">
      <c r="B129" s="3" t="s">
        <v>151</v>
      </c>
      <c r="F129" s="101">
        <v>1.2070000000000001</v>
      </c>
      <c r="S129" s="3" t="s">
        <v>128</v>
      </c>
    </row>
    <row r="130" spans="2:19">
      <c r="B130" s="3" t="s">
        <v>152</v>
      </c>
      <c r="F130" s="101">
        <v>0.85899999999999999</v>
      </c>
      <c r="S130" s="3" t="s">
        <v>128</v>
      </c>
    </row>
    <row r="131" spans="2:19">
      <c r="B131" s="3" t="s">
        <v>153</v>
      </c>
      <c r="F131" s="101">
        <v>0.67600000000000005</v>
      </c>
      <c r="S131" s="3" t="s">
        <v>128</v>
      </c>
    </row>
    <row r="132" spans="2:19">
      <c r="B132" s="3" t="s">
        <v>154</v>
      </c>
      <c r="F132" s="101">
        <v>0.6</v>
      </c>
      <c r="S132" s="3" t="s">
        <v>128</v>
      </c>
    </row>
    <row r="133" spans="2:19">
      <c r="B133" s="3" t="s">
        <v>155</v>
      </c>
      <c r="F133" s="101">
        <v>0.55500000000000005</v>
      </c>
      <c r="S133" s="3" t="s">
        <v>128</v>
      </c>
    </row>
    <row r="134" spans="2:19">
      <c r="B134" s="3" t="s">
        <v>156</v>
      </c>
      <c r="F134" s="101">
        <v>0.52800000000000002</v>
      </c>
      <c r="S134" s="3" t="s">
        <v>128</v>
      </c>
    </row>
    <row r="135" spans="2:19">
      <c r="B135" s="3" t="s">
        <v>157</v>
      </c>
      <c r="F135" s="101">
        <v>0.57399999999999995</v>
      </c>
      <c r="S135" s="3" t="s">
        <v>128</v>
      </c>
    </row>
    <row r="136" spans="2:19">
      <c r="B136" s="3" t="s">
        <v>158</v>
      </c>
      <c r="F136" s="101">
        <v>0.745</v>
      </c>
      <c r="S136" s="3" t="s">
        <v>128</v>
      </c>
    </row>
    <row r="137" spans="2:19">
      <c r="B137" s="3" t="s">
        <v>159</v>
      </c>
      <c r="F137" s="101">
        <v>1.2070000000000001</v>
      </c>
      <c r="S137" s="3" t="s">
        <v>128</v>
      </c>
    </row>
    <row r="138" spans="2:19">
      <c r="B138" s="3" t="s">
        <v>160</v>
      </c>
      <c r="F138" s="101">
        <v>1.595</v>
      </c>
      <c r="S138" s="3" t="s">
        <v>128</v>
      </c>
    </row>
    <row r="140" spans="2:19">
      <c r="B140" s="2" t="s">
        <v>242</v>
      </c>
    </row>
    <row r="141" spans="2:19">
      <c r="B141" s="3" t="s">
        <v>149</v>
      </c>
      <c r="F141" s="101">
        <v>1.877</v>
      </c>
      <c r="S141" s="3" t="s">
        <v>128</v>
      </c>
    </row>
    <row r="142" spans="2:19">
      <c r="B142" s="3" t="s">
        <v>150</v>
      </c>
      <c r="F142" s="101">
        <v>1.7529999999999999</v>
      </c>
      <c r="S142" s="3" t="s">
        <v>128</v>
      </c>
    </row>
    <row r="143" spans="2:19">
      <c r="B143" s="3" t="s">
        <v>151</v>
      </c>
      <c r="F143" s="101">
        <v>1.2689999999999999</v>
      </c>
      <c r="S143" s="3" t="s">
        <v>128</v>
      </c>
    </row>
    <row r="144" spans="2:19">
      <c r="B144" s="3" t="s">
        <v>152</v>
      </c>
      <c r="F144" s="101">
        <v>0.90300000000000002</v>
      </c>
      <c r="S144" s="3" t="s">
        <v>128</v>
      </c>
    </row>
    <row r="145" spans="2:19">
      <c r="B145" s="3" t="s">
        <v>153</v>
      </c>
      <c r="F145" s="101">
        <v>0.71099999999999997</v>
      </c>
      <c r="S145" s="3" t="s">
        <v>128</v>
      </c>
    </row>
    <row r="146" spans="2:19">
      <c r="B146" s="3" t="s">
        <v>154</v>
      </c>
      <c r="F146" s="101">
        <v>0.63100000000000001</v>
      </c>
      <c r="S146" s="3" t="s">
        <v>128</v>
      </c>
    </row>
    <row r="147" spans="2:19">
      <c r="B147" s="3" t="s">
        <v>155</v>
      </c>
      <c r="F147" s="101">
        <v>0.58299999999999996</v>
      </c>
      <c r="S147" s="3" t="s">
        <v>128</v>
      </c>
    </row>
    <row r="148" spans="2:19">
      <c r="B148" s="3" t="s">
        <v>156</v>
      </c>
      <c r="F148" s="101">
        <v>0.55500000000000005</v>
      </c>
      <c r="S148" s="3" t="s">
        <v>128</v>
      </c>
    </row>
    <row r="149" spans="2:19">
      <c r="B149" s="3" t="s">
        <v>157</v>
      </c>
      <c r="F149" s="101">
        <v>0.60399999999999998</v>
      </c>
      <c r="S149" s="3" t="s">
        <v>128</v>
      </c>
    </row>
    <row r="150" spans="2:19">
      <c r="B150" s="3" t="s">
        <v>158</v>
      </c>
      <c r="F150" s="101">
        <v>0.78400000000000003</v>
      </c>
      <c r="S150" s="3" t="s">
        <v>128</v>
      </c>
    </row>
    <row r="151" spans="2:19">
      <c r="B151" s="3" t="s">
        <v>159</v>
      </c>
      <c r="F151" s="101">
        <v>1.2689999999999999</v>
      </c>
      <c r="S151" s="3" t="s">
        <v>128</v>
      </c>
    </row>
    <row r="152" spans="2:19">
      <c r="B152" s="3" t="s">
        <v>160</v>
      </c>
      <c r="F152" s="101">
        <v>1.677</v>
      </c>
      <c r="S152" s="3" t="s">
        <v>128</v>
      </c>
    </row>
    <row r="154" spans="2:19" s="8" customFormat="1">
      <c r="B154" s="8" t="s">
        <v>243</v>
      </c>
    </row>
    <row r="156" spans="2:19">
      <c r="B156" s="2" t="s">
        <v>244</v>
      </c>
      <c r="F156" s="29"/>
    </row>
    <row r="157" spans="2:19">
      <c r="B157" s="3" t="s">
        <v>149</v>
      </c>
      <c r="F157" s="101">
        <v>31</v>
      </c>
    </row>
    <row r="158" spans="2:19">
      <c r="B158" s="3" t="s">
        <v>150</v>
      </c>
      <c r="F158" s="101">
        <v>29</v>
      </c>
    </row>
    <row r="159" spans="2:19">
      <c r="B159" s="3" t="s">
        <v>151</v>
      </c>
      <c r="F159" s="101">
        <v>31</v>
      </c>
    </row>
    <row r="160" spans="2:19">
      <c r="B160" s="3" t="s">
        <v>152</v>
      </c>
      <c r="F160" s="101">
        <v>30</v>
      </c>
    </row>
    <row r="161" spans="2:6">
      <c r="B161" s="3" t="s">
        <v>153</v>
      </c>
      <c r="F161" s="101">
        <v>31</v>
      </c>
    </row>
    <row r="162" spans="2:6">
      <c r="B162" s="3" t="s">
        <v>154</v>
      </c>
      <c r="F162" s="101">
        <v>30</v>
      </c>
    </row>
    <row r="163" spans="2:6">
      <c r="B163" s="3" t="s">
        <v>155</v>
      </c>
      <c r="F163" s="101">
        <v>31</v>
      </c>
    </row>
    <row r="164" spans="2:6">
      <c r="B164" s="3" t="s">
        <v>156</v>
      </c>
      <c r="F164" s="101">
        <v>31</v>
      </c>
    </row>
    <row r="165" spans="2:6">
      <c r="B165" s="3" t="s">
        <v>157</v>
      </c>
      <c r="F165" s="101">
        <v>30</v>
      </c>
    </row>
    <row r="166" spans="2:6">
      <c r="B166" s="3" t="s">
        <v>158</v>
      </c>
      <c r="F166" s="101">
        <v>31</v>
      </c>
    </row>
    <row r="167" spans="2:6">
      <c r="B167" s="3" t="s">
        <v>159</v>
      </c>
      <c r="F167" s="101">
        <v>30</v>
      </c>
    </row>
    <row r="168" spans="2:6">
      <c r="B168" s="3" t="s">
        <v>160</v>
      </c>
      <c r="F168" s="101">
        <v>31</v>
      </c>
    </row>
    <row r="170" spans="2:6">
      <c r="B170" s="2" t="s">
        <v>245</v>
      </c>
    </row>
    <row r="171" spans="2:6">
      <c r="B171" s="3" t="s">
        <v>237</v>
      </c>
      <c r="F171" s="35">
        <f>SUM(F157:F159)</f>
        <v>91</v>
      </c>
    </row>
    <row r="172" spans="2:6">
      <c r="B172" s="3" t="s">
        <v>238</v>
      </c>
      <c r="F172" s="35">
        <f>SUM(F160:F162)</f>
        <v>91</v>
      </c>
    </row>
    <row r="173" spans="2:6">
      <c r="B173" s="3" t="s">
        <v>239</v>
      </c>
      <c r="F173" s="35">
        <f>SUM(F163:F165)</f>
        <v>92</v>
      </c>
    </row>
    <row r="174" spans="2:6">
      <c r="B174" s="3" t="s">
        <v>240</v>
      </c>
      <c r="F174" s="35">
        <f>SUM(F166:F168)</f>
        <v>92</v>
      </c>
    </row>
    <row r="176" spans="2:6">
      <c r="B176" s="2" t="s">
        <v>246</v>
      </c>
    </row>
    <row r="177" spans="2:19">
      <c r="B177" s="3" t="s">
        <v>247</v>
      </c>
      <c r="F177" s="101">
        <v>24</v>
      </c>
    </row>
    <row r="178" spans="2:19">
      <c r="B178" s="3" t="s">
        <v>248</v>
      </c>
      <c r="F178" s="35">
        <f>SUM(F157:F168)</f>
        <v>366</v>
      </c>
    </row>
    <row r="179" spans="2:19">
      <c r="B179" s="3" t="s">
        <v>249</v>
      </c>
      <c r="F179" s="35">
        <f>F177*F178</f>
        <v>8784</v>
      </c>
    </row>
    <row r="181" spans="2:19" s="8" customFormat="1">
      <c r="B181" s="8" t="s">
        <v>250</v>
      </c>
    </row>
    <row r="183" spans="2:19">
      <c r="B183" s="3" t="s">
        <v>251</v>
      </c>
      <c r="F183" s="144">
        <v>0.95409999999999995</v>
      </c>
      <c r="S183" s="3" t="s">
        <v>128</v>
      </c>
    </row>
  </sheetData>
  <mergeCells count="4">
    <mergeCell ref="B5:D5"/>
    <mergeCell ref="U22:AA22"/>
    <mergeCell ref="U23:AA23"/>
    <mergeCell ref="U35:AA35"/>
  </mergeCells>
  <phoneticPr fontId="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186"/>
  <sheetViews>
    <sheetView showGridLines="0" zoomScale="90" zoomScaleNormal="90" workbookViewId="0"/>
  </sheetViews>
  <sheetFormatPr defaultColWidth="13.7109375" defaultRowHeight="12.75"/>
  <cols>
    <col min="1" max="1" width="2.7109375" style="3" customWidth="1"/>
    <col min="2" max="2" width="75.5703125" style="3" customWidth="1"/>
    <col min="3" max="3" width="2.7109375" style="3" customWidth="1"/>
    <col min="4" max="4" width="30.5703125" style="3" customWidth="1"/>
    <col min="5" max="5" width="15.7109375" style="3" customWidth="1"/>
    <col min="6" max="6" width="20" style="3" bestFit="1" customWidth="1"/>
    <col min="7" max="7" width="27.5703125" style="3" customWidth="1"/>
    <col min="8" max="8" width="25.28515625" style="3" customWidth="1"/>
    <col min="9" max="16384" width="13.7109375" style="3"/>
  </cols>
  <sheetData>
    <row r="2" spans="1:12" s="12" customFormat="1" ht="18">
      <c r="B2" s="12" t="s">
        <v>252</v>
      </c>
    </row>
    <row r="4" spans="1:12">
      <c r="B4" s="16" t="s">
        <v>253</v>
      </c>
    </row>
    <row r="5" spans="1:12" ht="58.5" customHeight="1">
      <c r="B5" s="322" t="s">
        <v>254</v>
      </c>
      <c r="C5" s="322"/>
      <c r="D5" s="322"/>
      <c r="E5" s="322"/>
    </row>
    <row r="7" spans="1:12" s="8" customFormat="1">
      <c r="A7" s="161"/>
      <c r="B7" s="8" t="s">
        <v>134</v>
      </c>
      <c r="G7" s="52"/>
      <c r="H7" s="52"/>
      <c r="I7" s="52"/>
      <c r="J7" s="52"/>
      <c r="K7" s="52"/>
      <c r="L7" s="52"/>
    </row>
    <row r="8" spans="1:12" ht="12" customHeight="1"/>
    <row r="9" spans="1:12" s="8" customFormat="1">
      <c r="A9" s="161"/>
      <c r="B9" s="8" t="s">
        <v>255</v>
      </c>
      <c r="D9" s="8" t="s">
        <v>256</v>
      </c>
      <c r="E9" s="8" t="s">
        <v>257</v>
      </c>
      <c r="G9" s="8" t="s">
        <v>177</v>
      </c>
      <c r="H9" s="193"/>
      <c r="I9" s="193"/>
    </row>
    <row r="11" spans="1:12">
      <c r="B11" s="101" t="s">
        <v>258</v>
      </c>
      <c r="D11" s="101">
        <v>55</v>
      </c>
      <c r="E11" s="101">
        <v>1</v>
      </c>
      <c r="G11" s="3" t="s">
        <v>259</v>
      </c>
    </row>
    <row r="12" spans="1:12">
      <c r="B12" s="101" t="s">
        <v>260</v>
      </c>
      <c r="D12" s="101">
        <v>55</v>
      </c>
      <c r="E12" s="101">
        <v>0</v>
      </c>
      <c r="G12" s="3" t="s">
        <v>259</v>
      </c>
    </row>
    <row r="13" spans="1:12">
      <c r="B13" s="101" t="s">
        <v>261</v>
      </c>
      <c r="D13" s="101">
        <v>55</v>
      </c>
      <c r="E13" s="101">
        <v>0</v>
      </c>
      <c r="G13" s="3" t="s">
        <v>259</v>
      </c>
    </row>
    <row r="14" spans="1:12">
      <c r="B14" s="101" t="s">
        <v>262</v>
      </c>
      <c r="D14" s="101">
        <v>30</v>
      </c>
      <c r="E14" s="101">
        <v>0</v>
      </c>
      <c r="G14" s="3" t="s">
        <v>259</v>
      </c>
    </row>
    <row r="15" spans="1:12">
      <c r="B15" s="101" t="s">
        <v>263</v>
      </c>
      <c r="D15" s="101">
        <v>30</v>
      </c>
      <c r="E15" s="101">
        <v>0</v>
      </c>
      <c r="G15" s="3" t="s">
        <v>259</v>
      </c>
    </row>
    <row r="16" spans="1:12">
      <c r="B16" s="101" t="s">
        <v>264</v>
      </c>
      <c r="D16" s="101">
        <v>5</v>
      </c>
      <c r="E16" s="101">
        <v>1</v>
      </c>
      <c r="G16" s="3" t="s">
        <v>259</v>
      </c>
    </row>
    <row r="17" spans="2:7">
      <c r="B17" s="101" t="s">
        <v>265</v>
      </c>
      <c r="D17" s="101">
        <v>0</v>
      </c>
      <c r="E17" s="101">
        <v>0</v>
      </c>
      <c r="G17" s="3" t="s">
        <v>259</v>
      </c>
    </row>
    <row r="18" spans="2:7">
      <c r="B18" s="101" t="s">
        <v>266</v>
      </c>
      <c r="D18" s="101">
        <v>0</v>
      </c>
      <c r="E18" s="101">
        <v>0</v>
      </c>
      <c r="G18" s="3" t="s">
        <v>259</v>
      </c>
    </row>
    <row r="19" spans="2:7">
      <c r="B19" s="101" t="s">
        <v>267</v>
      </c>
      <c r="D19" s="101">
        <v>10</v>
      </c>
      <c r="E19" s="101">
        <v>0</v>
      </c>
      <c r="G19" s="3" t="s">
        <v>259</v>
      </c>
    </row>
    <row r="20" spans="2:7">
      <c r="B20" s="101" t="s">
        <v>268</v>
      </c>
      <c r="D20" s="101">
        <v>10</v>
      </c>
      <c r="E20" s="101">
        <v>0</v>
      </c>
      <c r="G20" s="3" t="s">
        <v>259</v>
      </c>
    </row>
    <row r="21" spans="2:7">
      <c r="B21" s="101" t="s">
        <v>269</v>
      </c>
      <c r="D21" s="101">
        <v>30</v>
      </c>
      <c r="E21" s="101">
        <v>0</v>
      </c>
      <c r="G21" s="3" t="s">
        <v>259</v>
      </c>
    </row>
    <row r="22" spans="2:7">
      <c r="B22" s="101" t="s">
        <v>270</v>
      </c>
      <c r="D22" s="101">
        <v>30</v>
      </c>
      <c r="E22" s="101">
        <v>0</v>
      </c>
      <c r="G22" s="3" t="s">
        <v>259</v>
      </c>
    </row>
    <row r="23" spans="2:7">
      <c r="B23" s="101" t="s">
        <v>271</v>
      </c>
      <c r="D23" s="101">
        <v>30</v>
      </c>
      <c r="E23" s="101">
        <v>0</v>
      </c>
      <c r="G23" s="3" t="s">
        <v>259</v>
      </c>
    </row>
    <row r="24" spans="2:7">
      <c r="B24" s="101" t="s">
        <v>272</v>
      </c>
      <c r="D24" s="101">
        <v>55</v>
      </c>
      <c r="E24" s="101">
        <v>0</v>
      </c>
      <c r="G24" s="3" t="s">
        <v>259</v>
      </c>
    </row>
    <row r="25" spans="2:7">
      <c r="B25" s="101" t="s">
        <v>273</v>
      </c>
      <c r="D25" s="101">
        <v>10</v>
      </c>
      <c r="E25" s="101">
        <v>0</v>
      </c>
      <c r="G25" s="3" t="s">
        <v>259</v>
      </c>
    </row>
    <row r="26" spans="2:7">
      <c r="B26" s="101" t="s">
        <v>274</v>
      </c>
      <c r="D26" s="101">
        <v>10</v>
      </c>
      <c r="E26" s="101">
        <v>1</v>
      </c>
      <c r="G26" s="3" t="s">
        <v>259</v>
      </c>
    </row>
    <row r="27" spans="2:7">
      <c r="B27" s="101" t="s">
        <v>275</v>
      </c>
      <c r="D27" s="101">
        <v>10</v>
      </c>
      <c r="E27" s="101">
        <v>1</v>
      </c>
      <c r="G27" s="3" t="s">
        <v>259</v>
      </c>
    </row>
    <row r="28" spans="2:7">
      <c r="B28" s="101" t="s">
        <v>276</v>
      </c>
      <c r="D28" s="101">
        <v>10</v>
      </c>
      <c r="E28" s="101">
        <v>0</v>
      </c>
      <c r="G28" s="3" t="s">
        <v>259</v>
      </c>
    </row>
    <row r="29" spans="2:7">
      <c r="B29" s="101" t="s">
        <v>277</v>
      </c>
      <c r="D29" s="101">
        <v>10</v>
      </c>
      <c r="E29" s="101">
        <v>0</v>
      </c>
      <c r="G29" s="3" t="s">
        <v>259</v>
      </c>
    </row>
    <row r="30" spans="2:7">
      <c r="B30" s="101" t="s">
        <v>278</v>
      </c>
      <c r="D30" s="101">
        <v>10</v>
      </c>
      <c r="E30" s="101">
        <v>0</v>
      </c>
      <c r="G30" s="3" t="s">
        <v>259</v>
      </c>
    </row>
    <row r="31" spans="2:7">
      <c r="B31" s="101" t="s">
        <v>279</v>
      </c>
      <c r="D31" s="101">
        <v>10</v>
      </c>
      <c r="E31" s="101">
        <v>1</v>
      </c>
      <c r="G31" s="3" t="s">
        <v>259</v>
      </c>
    </row>
    <row r="32" spans="2:7">
      <c r="B32" s="101" t="s">
        <v>280</v>
      </c>
      <c r="D32" s="101">
        <v>10</v>
      </c>
      <c r="E32" s="101">
        <v>0</v>
      </c>
      <c r="G32" s="3" t="s">
        <v>259</v>
      </c>
    </row>
    <row r="33" spans="2:7">
      <c r="B33" s="101" t="s">
        <v>281</v>
      </c>
      <c r="D33" s="101">
        <v>10</v>
      </c>
      <c r="E33" s="101">
        <v>0</v>
      </c>
      <c r="G33" s="3" t="s">
        <v>259</v>
      </c>
    </row>
    <row r="34" spans="2:7">
      <c r="B34" s="101" t="s">
        <v>282</v>
      </c>
      <c r="D34" s="101">
        <v>10</v>
      </c>
      <c r="E34" s="101">
        <v>0</v>
      </c>
      <c r="G34" s="3" t="s">
        <v>259</v>
      </c>
    </row>
    <row r="35" spans="2:7">
      <c r="B35" s="101" t="s">
        <v>283</v>
      </c>
      <c r="D35" s="101">
        <v>10</v>
      </c>
      <c r="E35" s="101">
        <v>1</v>
      </c>
      <c r="G35" s="3" t="s">
        <v>259</v>
      </c>
    </row>
    <row r="36" spans="2:7">
      <c r="B36" s="101" t="s">
        <v>284</v>
      </c>
      <c r="D36" s="101">
        <v>10</v>
      </c>
      <c r="E36" s="101">
        <v>1</v>
      </c>
      <c r="G36" s="3" t="s">
        <v>259</v>
      </c>
    </row>
    <row r="37" spans="2:7">
      <c r="B37" s="101" t="s">
        <v>285</v>
      </c>
      <c r="D37" s="101">
        <v>10</v>
      </c>
      <c r="E37" s="101">
        <v>0</v>
      </c>
      <c r="G37" s="3" t="s">
        <v>259</v>
      </c>
    </row>
    <row r="38" spans="2:7">
      <c r="B38" s="101" t="s">
        <v>286</v>
      </c>
      <c r="D38" s="101">
        <v>10</v>
      </c>
      <c r="E38" s="101">
        <v>1</v>
      </c>
      <c r="G38" s="3" t="s">
        <v>259</v>
      </c>
    </row>
    <row r="39" spans="2:7">
      <c r="B39" s="101" t="s">
        <v>287</v>
      </c>
      <c r="D39" s="101">
        <v>10</v>
      </c>
      <c r="E39" s="101">
        <v>0</v>
      </c>
      <c r="G39" s="3" t="s">
        <v>259</v>
      </c>
    </row>
    <row r="40" spans="2:7">
      <c r="B40" s="101" t="s">
        <v>288</v>
      </c>
      <c r="D40" s="101">
        <v>10</v>
      </c>
      <c r="E40" s="101">
        <v>0</v>
      </c>
      <c r="G40" s="3" t="s">
        <v>259</v>
      </c>
    </row>
    <row r="41" spans="2:7">
      <c r="B41" s="101" t="s">
        <v>289</v>
      </c>
      <c r="D41" s="101">
        <v>30</v>
      </c>
      <c r="E41" s="101">
        <v>1</v>
      </c>
      <c r="G41" s="3" t="s">
        <v>259</v>
      </c>
    </row>
    <row r="42" spans="2:7">
      <c r="B42" s="101" t="s">
        <v>290</v>
      </c>
      <c r="D42" s="101">
        <v>30</v>
      </c>
      <c r="E42" s="101">
        <v>0</v>
      </c>
      <c r="G42" s="3" t="s">
        <v>259</v>
      </c>
    </row>
    <row r="43" spans="2:7">
      <c r="B43" s="101" t="s">
        <v>291</v>
      </c>
      <c r="D43" s="101">
        <v>30</v>
      </c>
      <c r="E43" s="101">
        <v>0</v>
      </c>
      <c r="G43" s="3" t="s">
        <v>259</v>
      </c>
    </row>
    <row r="44" spans="2:7">
      <c r="B44" s="101" t="s">
        <v>292</v>
      </c>
      <c r="D44" s="101">
        <v>30</v>
      </c>
      <c r="E44" s="101">
        <v>0</v>
      </c>
      <c r="G44" s="3" t="s">
        <v>259</v>
      </c>
    </row>
    <row r="45" spans="2:7">
      <c r="B45" s="101" t="s">
        <v>293</v>
      </c>
      <c r="D45" s="101">
        <v>30</v>
      </c>
      <c r="E45" s="101">
        <v>0</v>
      </c>
      <c r="G45" s="3" t="s">
        <v>259</v>
      </c>
    </row>
    <row r="46" spans="2:7">
      <c r="B46" s="101" t="s">
        <v>294</v>
      </c>
      <c r="D46" s="101">
        <v>30</v>
      </c>
      <c r="E46" s="101">
        <v>1</v>
      </c>
      <c r="G46" s="3" t="s">
        <v>259</v>
      </c>
    </row>
    <row r="47" spans="2:7">
      <c r="B47" s="101" t="s">
        <v>295</v>
      </c>
      <c r="D47" s="101">
        <v>30</v>
      </c>
      <c r="E47" s="101">
        <v>1</v>
      </c>
      <c r="G47" s="3" t="s">
        <v>259</v>
      </c>
    </row>
    <row r="48" spans="2:7">
      <c r="B48" s="101" t="s">
        <v>296</v>
      </c>
      <c r="D48" s="101">
        <v>30</v>
      </c>
      <c r="E48" s="101">
        <v>0</v>
      </c>
      <c r="G48" s="3" t="s">
        <v>259</v>
      </c>
    </row>
    <row r="49" spans="2:7">
      <c r="B49" s="101" t="s">
        <v>297</v>
      </c>
      <c r="D49" s="101">
        <v>55</v>
      </c>
      <c r="E49" s="101">
        <v>1</v>
      </c>
      <c r="G49" s="3" t="s">
        <v>259</v>
      </c>
    </row>
    <row r="50" spans="2:7">
      <c r="B50" s="101" t="s">
        <v>298</v>
      </c>
      <c r="D50" s="101">
        <v>55</v>
      </c>
      <c r="E50" s="101">
        <v>0</v>
      </c>
      <c r="G50" s="3" t="s">
        <v>259</v>
      </c>
    </row>
    <row r="51" spans="2:7">
      <c r="B51" s="101" t="s">
        <v>299</v>
      </c>
      <c r="D51" s="101">
        <v>55</v>
      </c>
      <c r="E51" s="101">
        <v>0</v>
      </c>
      <c r="G51" s="3" t="s">
        <v>259</v>
      </c>
    </row>
    <row r="52" spans="2:7">
      <c r="B52" s="101" t="s">
        <v>300</v>
      </c>
      <c r="D52" s="101">
        <v>55</v>
      </c>
      <c r="E52" s="101">
        <v>0</v>
      </c>
      <c r="G52" s="3" t="s">
        <v>259</v>
      </c>
    </row>
    <row r="53" spans="2:7">
      <c r="B53" s="101" t="s">
        <v>301</v>
      </c>
      <c r="D53" s="101">
        <v>55</v>
      </c>
      <c r="E53" s="101">
        <v>1</v>
      </c>
      <c r="G53" s="3" t="s">
        <v>259</v>
      </c>
    </row>
    <row r="54" spans="2:7">
      <c r="B54" s="101" t="s">
        <v>302</v>
      </c>
      <c r="D54" s="101">
        <v>55</v>
      </c>
      <c r="E54" s="101">
        <v>1</v>
      </c>
      <c r="G54" s="3" t="s">
        <v>259</v>
      </c>
    </row>
    <row r="55" spans="2:7">
      <c r="B55" s="101" t="s">
        <v>303</v>
      </c>
      <c r="D55" s="101">
        <v>30</v>
      </c>
      <c r="E55" s="101">
        <v>1</v>
      </c>
      <c r="G55" s="3" t="s">
        <v>259</v>
      </c>
    </row>
    <row r="56" spans="2:7">
      <c r="B56" s="101" t="s">
        <v>304</v>
      </c>
      <c r="D56" s="101">
        <v>30</v>
      </c>
      <c r="E56" s="101">
        <v>0</v>
      </c>
      <c r="G56" s="3" t="s">
        <v>259</v>
      </c>
    </row>
    <row r="57" spans="2:7">
      <c r="B57" s="101" t="s">
        <v>305</v>
      </c>
      <c r="D57" s="101">
        <v>30</v>
      </c>
      <c r="E57" s="101">
        <v>0</v>
      </c>
      <c r="G57" s="3" t="s">
        <v>259</v>
      </c>
    </row>
    <row r="58" spans="2:7">
      <c r="B58" s="101" t="s">
        <v>306</v>
      </c>
      <c r="D58" s="101">
        <v>30</v>
      </c>
      <c r="E58" s="101">
        <v>1</v>
      </c>
      <c r="G58" s="3" t="s">
        <v>259</v>
      </c>
    </row>
    <row r="59" spans="2:7">
      <c r="B59" s="101" t="s">
        <v>307</v>
      </c>
      <c r="D59" s="101">
        <v>30</v>
      </c>
      <c r="E59" s="101">
        <v>0</v>
      </c>
      <c r="G59" s="3" t="s">
        <v>259</v>
      </c>
    </row>
    <row r="60" spans="2:7">
      <c r="B60" s="101" t="s">
        <v>308</v>
      </c>
      <c r="D60" s="101">
        <v>30</v>
      </c>
      <c r="E60" s="101">
        <v>1</v>
      </c>
      <c r="G60" s="3" t="s">
        <v>259</v>
      </c>
    </row>
    <row r="61" spans="2:7">
      <c r="B61" s="101" t="s">
        <v>309</v>
      </c>
      <c r="D61" s="101">
        <v>30</v>
      </c>
      <c r="E61" s="101">
        <v>0</v>
      </c>
      <c r="G61" s="3" t="s">
        <v>259</v>
      </c>
    </row>
    <row r="62" spans="2:7">
      <c r="B62" s="101" t="s">
        <v>310</v>
      </c>
      <c r="D62" s="101">
        <v>30</v>
      </c>
      <c r="E62" s="101">
        <v>0</v>
      </c>
      <c r="G62" s="3" t="s">
        <v>259</v>
      </c>
    </row>
    <row r="63" spans="2:7">
      <c r="B63" s="101" t="s">
        <v>311</v>
      </c>
      <c r="D63" s="101">
        <v>30</v>
      </c>
      <c r="E63" s="101">
        <v>1</v>
      </c>
      <c r="G63" s="3" t="s">
        <v>259</v>
      </c>
    </row>
    <row r="64" spans="2:7">
      <c r="B64" s="101" t="s">
        <v>312</v>
      </c>
      <c r="D64" s="101">
        <v>30</v>
      </c>
      <c r="E64" s="101">
        <v>0</v>
      </c>
      <c r="G64" s="3" t="s">
        <v>259</v>
      </c>
    </row>
    <row r="65" spans="2:7">
      <c r="B65" s="101" t="s">
        <v>313</v>
      </c>
      <c r="D65" s="101">
        <v>5</v>
      </c>
      <c r="E65" s="101">
        <v>1</v>
      </c>
      <c r="G65" s="3" t="s">
        <v>259</v>
      </c>
    </row>
    <row r="66" spans="2:7">
      <c r="B66" s="101" t="s">
        <v>314</v>
      </c>
      <c r="D66" s="101">
        <v>5</v>
      </c>
      <c r="E66" s="101">
        <v>0</v>
      </c>
      <c r="G66" s="3" t="s">
        <v>259</v>
      </c>
    </row>
    <row r="67" spans="2:7">
      <c r="B67" s="101" t="s">
        <v>315</v>
      </c>
      <c r="D67" s="101">
        <v>5</v>
      </c>
      <c r="E67" s="101">
        <v>0</v>
      </c>
      <c r="G67" s="3" t="s">
        <v>259</v>
      </c>
    </row>
    <row r="68" spans="2:7">
      <c r="B68" s="101" t="s">
        <v>316</v>
      </c>
      <c r="D68" s="101">
        <v>5</v>
      </c>
      <c r="E68" s="101">
        <v>0</v>
      </c>
      <c r="G68" s="3" t="s">
        <v>259</v>
      </c>
    </row>
    <row r="69" spans="2:7">
      <c r="B69" s="101" t="s">
        <v>317</v>
      </c>
      <c r="D69" s="101">
        <v>5</v>
      </c>
      <c r="E69" s="101">
        <v>0</v>
      </c>
      <c r="G69" s="3" t="s">
        <v>259</v>
      </c>
    </row>
    <row r="70" spans="2:7">
      <c r="B70" s="101" t="s">
        <v>318</v>
      </c>
      <c r="D70" s="101">
        <v>10</v>
      </c>
      <c r="E70" s="101">
        <v>1</v>
      </c>
      <c r="G70" s="3" t="s">
        <v>259</v>
      </c>
    </row>
    <row r="71" spans="2:7">
      <c r="B71" s="101" t="s">
        <v>319</v>
      </c>
      <c r="D71" s="101">
        <v>15</v>
      </c>
      <c r="E71" s="101">
        <v>1</v>
      </c>
      <c r="G71" s="3" t="s">
        <v>259</v>
      </c>
    </row>
    <row r="72" spans="2:7">
      <c r="B72" s="101" t="s">
        <v>320</v>
      </c>
      <c r="D72" s="101">
        <v>15</v>
      </c>
      <c r="E72" s="101">
        <v>0</v>
      </c>
      <c r="G72" s="3" t="s">
        <v>259</v>
      </c>
    </row>
    <row r="73" spans="2:7">
      <c r="B73" s="101" t="s">
        <v>321</v>
      </c>
      <c r="D73" s="101">
        <v>15</v>
      </c>
      <c r="E73" s="101">
        <v>0</v>
      </c>
      <c r="G73" s="3" t="s">
        <v>259</v>
      </c>
    </row>
    <row r="74" spans="2:7">
      <c r="B74" s="101" t="s">
        <v>322</v>
      </c>
      <c r="D74" s="101">
        <v>55</v>
      </c>
      <c r="E74" s="101">
        <v>1</v>
      </c>
      <c r="G74" s="3" t="s">
        <v>259</v>
      </c>
    </row>
    <row r="75" spans="2:7">
      <c r="B75" s="101" t="s">
        <v>323</v>
      </c>
      <c r="D75" s="101">
        <v>30</v>
      </c>
      <c r="E75" s="101">
        <v>0</v>
      </c>
      <c r="G75" s="3" t="s">
        <v>259</v>
      </c>
    </row>
    <row r="76" spans="2:7">
      <c r="B76" s="101" t="s">
        <v>324</v>
      </c>
      <c r="D76" s="101">
        <v>0</v>
      </c>
      <c r="E76" s="101">
        <v>0</v>
      </c>
      <c r="G76" s="3" t="s">
        <v>259</v>
      </c>
    </row>
    <row r="77" spans="2:7">
      <c r="B77" s="101" t="s">
        <v>325</v>
      </c>
      <c r="D77" s="101">
        <v>0</v>
      </c>
      <c r="E77" s="101">
        <v>0</v>
      </c>
      <c r="G77" s="3" t="s">
        <v>259</v>
      </c>
    </row>
    <row r="78" spans="2:7">
      <c r="B78" s="101" t="s">
        <v>326</v>
      </c>
      <c r="D78" s="101">
        <v>0</v>
      </c>
      <c r="E78" s="101">
        <v>0</v>
      </c>
      <c r="G78" s="3" t="s">
        <v>259</v>
      </c>
    </row>
    <row r="79" spans="2:7">
      <c r="B79" s="101" t="s">
        <v>327</v>
      </c>
      <c r="D79" s="101">
        <v>55</v>
      </c>
      <c r="E79" s="101">
        <v>0</v>
      </c>
      <c r="G79" s="3" t="s">
        <v>259</v>
      </c>
    </row>
    <row r="80" spans="2:7">
      <c r="B80" s="101" t="s">
        <v>328</v>
      </c>
      <c r="D80" s="101">
        <v>30</v>
      </c>
      <c r="E80" s="101">
        <v>0</v>
      </c>
      <c r="G80" s="3" t="s">
        <v>259</v>
      </c>
    </row>
    <row r="82" spans="2:11" s="39" customFormat="1">
      <c r="B82" s="39" t="s">
        <v>329</v>
      </c>
    </row>
    <row r="83" spans="2:11" s="45" customFormat="1">
      <c r="B83" s="45" t="s">
        <v>330</v>
      </c>
      <c r="D83" s="45" t="s">
        <v>331</v>
      </c>
      <c r="F83" s="46" t="s">
        <v>332</v>
      </c>
      <c r="G83" s="45" t="s">
        <v>255</v>
      </c>
      <c r="H83" s="46" t="s">
        <v>256</v>
      </c>
      <c r="I83" s="47" t="s">
        <v>333</v>
      </c>
      <c r="J83" s="47"/>
      <c r="K83" s="40" t="s">
        <v>177</v>
      </c>
    </row>
    <row r="84" spans="2:11" s="54" customFormat="1">
      <c r="F84" s="55"/>
      <c r="H84" s="55"/>
      <c r="I84" s="56"/>
    </row>
    <row r="85" spans="2:11">
      <c r="B85" s="101">
        <v>1532</v>
      </c>
      <c r="D85" s="157">
        <v>23504856.52408703</v>
      </c>
      <c r="F85" s="101">
        <v>2020</v>
      </c>
      <c r="G85" s="101" t="s">
        <v>334</v>
      </c>
      <c r="H85" s="101">
        <v>15</v>
      </c>
      <c r="I85" s="101">
        <v>1</v>
      </c>
      <c r="K85" s="3" t="s">
        <v>122</v>
      </c>
    </row>
    <row r="86" spans="2:11">
      <c r="B86" s="101">
        <v>1533</v>
      </c>
      <c r="D86" s="157">
        <v>28868891.250722278</v>
      </c>
      <c r="F86" s="101">
        <v>2020</v>
      </c>
      <c r="G86" s="101" t="s">
        <v>334</v>
      </c>
      <c r="H86" s="101">
        <v>30</v>
      </c>
      <c r="I86" s="101">
        <v>1</v>
      </c>
      <c r="K86" s="3" t="s">
        <v>122</v>
      </c>
    </row>
    <row r="87" spans="2:11">
      <c r="B87" s="101">
        <v>1534</v>
      </c>
      <c r="D87" s="157">
        <v>79913166.073822603</v>
      </c>
      <c r="F87" s="101">
        <v>2020</v>
      </c>
      <c r="G87" s="101" t="s">
        <v>334</v>
      </c>
      <c r="H87" s="101">
        <v>55</v>
      </c>
      <c r="I87" s="101">
        <v>1</v>
      </c>
      <c r="K87" s="3" t="s">
        <v>122</v>
      </c>
    </row>
    <row r="88" spans="2:11">
      <c r="B88" s="101">
        <v>1538</v>
      </c>
      <c r="D88" s="157">
        <v>4629744.6502016177</v>
      </c>
      <c r="F88" s="101">
        <v>2020</v>
      </c>
      <c r="G88" s="101" t="s">
        <v>334</v>
      </c>
      <c r="H88" s="101">
        <v>15</v>
      </c>
      <c r="I88" s="101">
        <v>0</v>
      </c>
      <c r="K88" s="3" t="s">
        <v>122</v>
      </c>
    </row>
    <row r="89" spans="2:11">
      <c r="B89" s="101">
        <v>1539</v>
      </c>
      <c r="D89" s="157">
        <v>26259145.971940324</v>
      </c>
      <c r="F89" s="101">
        <v>2020</v>
      </c>
      <c r="G89" s="101" t="s">
        <v>334</v>
      </c>
      <c r="H89" s="101">
        <v>30</v>
      </c>
      <c r="I89" s="101">
        <v>0</v>
      </c>
      <c r="K89" s="3" t="s">
        <v>122</v>
      </c>
    </row>
    <row r="90" spans="2:11">
      <c r="B90" s="101">
        <v>1540</v>
      </c>
      <c r="D90" s="157">
        <v>37094.77163904941</v>
      </c>
      <c r="F90" s="101">
        <v>2020</v>
      </c>
      <c r="G90" s="101" t="s">
        <v>334</v>
      </c>
      <c r="H90" s="101">
        <v>55</v>
      </c>
      <c r="I90" s="101">
        <v>0</v>
      </c>
      <c r="K90" s="3" t="s">
        <v>122</v>
      </c>
    </row>
    <row r="91" spans="2:11">
      <c r="B91" s="101">
        <v>1544</v>
      </c>
      <c r="D91" s="157">
        <v>7478818.3856429011</v>
      </c>
      <c r="F91" s="101">
        <v>2020</v>
      </c>
      <c r="G91" s="101" t="s">
        <v>334</v>
      </c>
      <c r="H91" s="101">
        <v>15</v>
      </c>
      <c r="I91" s="101">
        <v>0</v>
      </c>
      <c r="K91" s="3" t="s">
        <v>122</v>
      </c>
    </row>
    <row r="92" spans="2:11">
      <c r="B92" s="101">
        <v>1545</v>
      </c>
      <c r="D92" s="157">
        <v>7420552.1500870837</v>
      </c>
      <c r="F92" s="101">
        <v>2020</v>
      </c>
      <c r="G92" s="101" t="s">
        <v>334</v>
      </c>
      <c r="H92" s="101">
        <v>30</v>
      </c>
      <c r="I92" s="101">
        <v>0</v>
      </c>
      <c r="K92" s="3" t="s">
        <v>122</v>
      </c>
    </row>
    <row r="93" spans="2:11">
      <c r="B93" s="101">
        <v>1546</v>
      </c>
      <c r="D93" s="157">
        <v>0</v>
      </c>
      <c r="F93" s="101">
        <v>2020</v>
      </c>
      <c r="G93" s="101" t="s">
        <v>334</v>
      </c>
      <c r="H93" s="101">
        <v>55</v>
      </c>
      <c r="I93" s="101">
        <v>0</v>
      </c>
      <c r="K93" s="3" t="s">
        <v>122</v>
      </c>
    </row>
    <row r="94" spans="2:11">
      <c r="B94" s="101">
        <v>1550</v>
      </c>
      <c r="D94" s="157">
        <v>23857053.29424395</v>
      </c>
      <c r="F94" s="101">
        <v>2021</v>
      </c>
      <c r="G94" s="101" t="s">
        <v>334</v>
      </c>
      <c r="H94" s="101">
        <v>15</v>
      </c>
      <c r="I94" s="101">
        <v>1</v>
      </c>
      <c r="K94" s="3" t="s">
        <v>122</v>
      </c>
    </row>
    <row r="95" spans="2:11">
      <c r="B95" s="101">
        <v>1551</v>
      </c>
      <c r="D95" s="157">
        <v>29301462.7172231</v>
      </c>
      <c r="F95" s="101">
        <v>2021</v>
      </c>
      <c r="G95" s="101" t="s">
        <v>334</v>
      </c>
      <c r="H95" s="101">
        <v>30</v>
      </c>
      <c r="I95" s="101">
        <v>1</v>
      </c>
      <c r="K95" s="3" t="s">
        <v>122</v>
      </c>
    </row>
    <row r="96" spans="2:11">
      <c r="B96" s="101">
        <v>1552</v>
      </c>
      <c r="D96" s="157">
        <v>81110584.954272762</v>
      </c>
      <c r="F96" s="101">
        <v>2021</v>
      </c>
      <c r="G96" s="101" t="s">
        <v>334</v>
      </c>
      <c r="H96" s="101">
        <v>55</v>
      </c>
      <c r="I96" s="101">
        <v>1</v>
      </c>
      <c r="K96" s="3" t="s">
        <v>122</v>
      </c>
    </row>
    <row r="97" spans="2:11">
      <c r="B97" s="101">
        <v>1556</v>
      </c>
      <c r="D97" s="157">
        <v>4699116.7440402387</v>
      </c>
      <c r="F97" s="101">
        <v>2021</v>
      </c>
      <c r="G97" s="101" t="s">
        <v>334</v>
      </c>
      <c r="H97" s="101">
        <v>15</v>
      </c>
      <c r="I97" s="101">
        <v>0</v>
      </c>
      <c r="K97" s="3" t="s">
        <v>122</v>
      </c>
    </row>
    <row r="98" spans="2:11" ht="12" customHeight="1">
      <c r="B98" s="101">
        <v>1557</v>
      </c>
      <c r="D98" s="157">
        <v>26652613.015183877</v>
      </c>
      <c r="F98" s="101">
        <v>2021</v>
      </c>
      <c r="G98" s="101" t="s">
        <v>334</v>
      </c>
      <c r="H98" s="101">
        <v>30</v>
      </c>
      <c r="I98" s="101">
        <v>0</v>
      </c>
      <c r="K98" s="3" t="s">
        <v>122</v>
      </c>
    </row>
    <row r="99" spans="2:11">
      <c r="B99" s="101">
        <v>1558</v>
      </c>
      <c r="D99" s="157">
        <v>37650.599697288933</v>
      </c>
      <c r="F99" s="101">
        <v>2021</v>
      </c>
      <c r="G99" s="101" t="s">
        <v>334</v>
      </c>
      <c r="H99" s="101">
        <v>55</v>
      </c>
      <c r="I99" s="101">
        <v>0</v>
      </c>
      <c r="K99" s="3" t="s">
        <v>122</v>
      </c>
    </row>
    <row r="100" spans="2:11">
      <c r="B100" s="101">
        <v>1562</v>
      </c>
      <c r="D100" s="157">
        <v>7590881.0003333744</v>
      </c>
      <c r="F100" s="101">
        <v>2021</v>
      </c>
      <c r="G100" s="101" t="s">
        <v>334</v>
      </c>
      <c r="H100" s="101">
        <v>15</v>
      </c>
      <c r="I100" s="101">
        <v>0</v>
      </c>
      <c r="K100" s="3" t="s">
        <v>122</v>
      </c>
    </row>
    <row r="101" spans="2:11">
      <c r="B101" s="101">
        <v>1563</v>
      </c>
      <c r="D101" s="157">
        <v>7531741.7035039887</v>
      </c>
      <c r="F101" s="101">
        <v>2021</v>
      </c>
      <c r="G101" s="101" t="s">
        <v>334</v>
      </c>
      <c r="H101" s="101">
        <v>30</v>
      </c>
      <c r="I101" s="101">
        <v>0</v>
      </c>
      <c r="K101" s="3" t="s">
        <v>122</v>
      </c>
    </row>
    <row r="102" spans="2:11">
      <c r="B102" s="101">
        <v>1564</v>
      </c>
      <c r="D102" s="157">
        <v>0</v>
      </c>
      <c r="F102" s="101">
        <v>2021</v>
      </c>
      <c r="G102" s="101" t="s">
        <v>334</v>
      </c>
      <c r="H102" s="101">
        <v>55</v>
      </c>
      <c r="I102" s="101">
        <v>0</v>
      </c>
      <c r="K102" s="3" t="s">
        <v>122</v>
      </c>
    </row>
    <row r="103" spans="2:11">
      <c r="B103" s="101">
        <v>1568</v>
      </c>
      <c r="D103" s="157">
        <v>24165572.707445111</v>
      </c>
      <c r="F103" s="101">
        <v>2022</v>
      </c>
      <c r="G103" s="101" t="s">
        <v>334</v>
      </c>
      <c r="H103" s="101">
        <v>15</v>
      </c>
      <c r="I103" s="101">
        <v>1</v>
      </c>
      <c r="K103" s="3" t="s">
        <v>122</v>
      </c>
    </row>
    <row r="104" spans="2:11">
      <c r="B104" s="101">
        <v>1569</v>
      </c>
      <c r="D104" s="157">
        <v>29680389.233082227</v>
      </c>
      <c r="F104" s="101">
        <v>2022</v>
      </c>
      <c r="G104" s="101" t="s">
        <v>334</v>
      </c>
      <c r="H104" s="101">
        <v>30</v>
      </c>
      <c r="I104" s="101">
        <v>1</v>
      </c>
      <c r="K104" s="3" t="s">
        <v>122</v>
      </c>
    </row>
    <row r="105" spans="2:11">
      <c r="B105" s="101">
        <v>1570</v>
      </c>
      <c r="D105" s="157">
        <v>82159507.038901418</v>
      </c>
      <c r="F105" s="101">
        <v>2022</v>
      </c>
      <c r="G105" s="101" t="s">
        <v>334</v>
      </c>
      <c r="H105" s="101">
        <v>55</v>
      </c>
      <c r="I105" s="101">
        <v>1</v>
      </c>
      <c r="K105" s="3" t="s">
        <v>122</v>
      </c>
    </row>
    <row r="106" spans="2:11">
      <c r="B106" s="101">
        <v>1574</v>
      </c>
      <c r="D106" s="157">
        <v>4759885.7217741664</v>
      </c>
      <c r="F106" s="101">
        <v>2022</v>
      </c>
      <c r="G106" s="101" t="s">
        <v>334</v>
      </c>
      <c r="H106" s="101">
        <v>15</v>
      </c>
      <c r="I106" s="101">
        <v>0</v>
      </c>
      <c r="K106" s="3" t="s">
        <v>122</v>
      </c>
    </row>
    <row r="107" spans="2:11">
      <c r="B107" s="101">
        <v>1575</v>
      </c>
      <c r="D107" s="157">
        <v>26997284.606696233</v>
      </c>
      <c r="F107" s="101">
        <v>2022</v>
      </c>
      <c r="G107" s="101" t="s">
        <v>334</v>
      </c>
      <c r="H107" s="101">
        <v>30</v>
      </c>
      <c r="I107" s="101">
        <v>0</v>
      </c>
      <c r="K107" s="3" t="s">
        <v>122</v>
      </c>
    </row>
    <row r="108" spans="2:11">
      <c r="B108" s="101">
        <v>1576</v>
      </c>
      <c r="D108" s="157">
        <v>38137.497252574271</v>
      </c>
      <c r="F108" s="101">
        <v>2022</v>
      </c>
      <c r="G108" s="101" t="s">
        <v>334</v>
      </c>
      <c r="H108" s="101">
        <v>55</v>
      </c>
      <c r="I108" s="101">
        <v>0</v>
      </c>
      <c r="K108" s="3" t="s">
        <v>122</v>
      </c>
    </row>
    <row r="109" spans="2:11">
      <c r="B109" s="101">
        <v>1580</v>
      </c>
      <c r="D109" s="157">
        <v>7689046.2734296853</v>
      </c>
      <c r="F109" s="101">
        <v>2022</v>
      </c>
      <c r="G109" s="101" t="s">
        <v>334</v>
      </c>
      <c r="H109" s="101">
        <v>15</v>
      </c>
      <c r="I109" s="101">
        <v>0</v>
      </c>
      <c r="K109" s="3" t="s">
        <v>122</v>
      </c>
    </row>
    <row r="110" spans="2:11">
      <c r="B110" s="101">
        <v>1581</v>
      </c>
      <c r="D110" s="157">
        <v>7629142.1872137021</v>
      </c>
      <c r="F110" s="101">
        <v>2022</v>
      </c>
      <c r="G110" s="101" t="s">
        <v>334</v>
      </c>
      <c r="H110" s="101">
        <v>30</v>
      </c>
      <c r="I110" s="101">
        <v>0</v>
      </c>
      <c r="K110" s="3" t="s">
        <v>122</v>
      </c>
    </row>
    <row r="111" spans="2:11">
      <c r="B111" s="101">
        <v>1582</v>
      </c>
      <c r="D111" s="157">
        <v>0</v>
      </c>
      <c r="F111" s="101">
        <v>2022</v>
      </c>
      <c r="G111" s="101" t="s">
        <v>334</v>
      </c>
      <c r="H111" s="101">
        <v>55</v>
      </c>
      <c r="I111" s="101">
        <v>0</v>
      </c>
      <c r="K111" s="3" t="s">
        <v>122</v>
      </c>
    </row>
    <row r="112" spans="2:11">
      <c r="B112" s="101">
        <v>1586</v>
      </c>
      <c r="D112" s="157">
        <v>24478081.893697795</v>
      </c>
      <c r="F112" s="101">
        <v>2023</v>
      </c>
      <c r="G112" s="101" t="s">
        <v>334</v>
      </c>
      <c r="H112" s="101">
        <v>15</v>
      </c>
      <c r="I112" s="101">
        <v>1</v>
      </c>
      <c r="K112" s="3" t="s">
        <v>122</v>
      </c>
    </row>
    <row r="113" spans="2:11">
      <c r="B113" s="101">
        <v>1587</v>
      </c>
      <c r="D113" s="157">
        <v>30064216.026644446</v>
      </c>
      <c r="F113" s="101">
        <v>2023</v>
      </c>
      <c r="G113" s="101" t="s">
        <v>334</v>
      </c>
      <c r="H113" s="101">
        <v>30</v>
      </c>
      <c r="I113" s="101">
        <v>1</v>
      </c>
      <c r="K113" s="3" t="s">
        <v>122</v>
      </c>
    </row>
    <row r="114" spans="2:11">
      <c r="B114" s="101">
        <v>1588</v>
      </c>
      <c r="D114" s="157">
        <v>83221993.783928484</v>
      </c>
      <c r="F114" s="101">
        <v>2023</v>
      </c>
      <c r="G114" s="101" t="s">
        <v>334</v>
      </c>
      <c r="H114" s="101">
        <v>55</v>
      </c>
      <c r="I114" s="101">
        <v>1</v>
      </c>
      <c r="K114" s="3" t="s">
        <v>122</v>
      </c>
    </row>
    <row r="115" spans="2:11">
      <c r="B115" s="101">
        <v>1592</v>
      </c>
      <c r="D115" s="157">
        <v>4821440.5639281506</v>
      </c>
      <c r="F115" s="101">
        <v>2023</v>
      </c>
      <c r="G115" s="101" t="s">
        <v>334</v>
      </c>
      <c r="H115" s="101">
        <v>15</v>
      </c>
      <c r="I115" s="101">
        <v>0</v>
      </c>
      <c r="K115" s="3" t="s">
        <v>122</v>
      </c>
    </row>
    <row r="116" spans="2:11">
      <c r="B116" s="101">
        <v>1593</v>
      </c>
      <c r="D116" s="157">
        <v>27346413.49123003</v>
      </c>
      <c r="F116" s="101">
        <v>2023</v>
      </c>
      <c r="G116" s="101" t="s">
        <v>334</v>
      </c>
      <c r="H116" s="101">
        <v>30</v>
      </c>
      <c r="I116" s="101">
        <v>0</v>
      </c>
      <c r="K116" s="3" t="s">
        <v>122</v>
      </c>
    </row>
    <row r="117" spans="2:11">
      <c r="B117" s="101">
        <v>1594</v>
      </c>
      <c r="D117" s="157">
        <v>38630.691367044557</v>
      </c>
      <c r="F117" s="101">
        <v>2023</v>
      </c>
      <c r="G117" s="101" t="s">
        <v>334</v>
      </c>
      <c r="H117" s="101">
        <v>55</v>
      </c>
      <c r="I117" s="101">
        <v>0</v>
      </c>
      <c r="K117" s="3" t="s">
        <v>122</v>
      </c>
    </row>
    <row r="118" spans="2:11">
      <c r="B118" s="101">
        <v>1598</v>
      </c>
      <c r="D118" s="157">
        <v>7788481.0198376775</v>
      </c>
      <c r="F118" s="101">
        <v>2023</v>
      </c>
      <c r="G118" s="101" t="s">
        <v>334</v>
      </c>
      <c r="H118" s="101">
        <v>15</v>
      </c>
      <c r="I118" s="101">
        <v>0</v>
      </c>
      <c r="K118" s="3" t="s">
        <v>122</v>
      </c>
    </row>
    <row r="119" spans="2:11">
      <c r="B119" s="101">
        <v>1599</v>
      </c>
      <c r="D119" s="157">
        <v>7727802.2539787497</v>
      </c>
      <c r="F119" s="101">
        <v>2023</v>
      </c>
      <c r="G119" s="101" t="s">
        <v>334</v>
      </c>
      <c r="H119" s="101">
        <v>30</v>
      </c>
      <c r="I119" s="101">
        <v>0</v>
      </c>
      <c r="K119" s="3" t="s">
        <v>122</v>
      </c>
    </row>
    <row r="120" spans="2:11">
      <c r="B120" s="101">
        <v>1600</v>
      </c>
      <c r="D120" s="157">
        <v>0</v>
      </c>
      <c r="F120" s="101">
        <v>2023</v>
      </c>
      <c r="G120" s="101" t="s">
        <v>334</v>
      </c>
      <c r="H120" s="101">
        <v>55</v>
      </c>
      <c r="I120" s="101">
        <v>0</v>
      </c>
      <c r="K120" s="3" t="s">
        <v>122</v>
      </c>
    </row>
    <row r="121" spans="2:11">
      <c r="B121" s="101">
        <v>1604</v>
      </c>
      <c r="D121" s="157">
        <v>24794632.448747091</v>
      </c>
      <c r="F121" s="101">
        <v>2024</v>
      </c>
      <c r="G121" s="101" t="s">
        <v>334</v>
      </c>
      <c r="H121" s="101">
        <v>15</v>
      </c>
      <c r="I121" s="101">
        <v>1</v>
      </c>
      <c r="K121" s="3" t="s">
        <v>122</v>
      </c>
    </row>
    <row r="122" spans="2:11">
      <c r="B122" s="101">
        <v>1605</v>
      </c>
      <c r="D122" s="157">
        <v>30453006.468301013</v>
      </c>
      <c r="F122" s="101">
        <v>2024</v>
      </c>
      <c r="G122" s="101" t="s">
        <v>334</v>
      </c>
      <c r="H122" s="101">
        <v>30</v>
      </c>
      <c r="I122" s="101">
        <v>1</v>
      </c>
      <c r="K122" s="3" t="s">
        <v>122</v>
      </c>
    </row>
    <row r="123" spans="2:11">
      <c r="B123" s="101">
        <v>1606</v>
      </c>
      <c r="D123" s="157">
        <v>84298220.607542247</v>
      </c>
      <c r="F123" s="101">
        <v>2024</v>
      </c>
      <c r="G123" s="101" t="s">
        <v>334</v>
      </c>
      <c r="H123" s="101">
        <v>55</v>
      </c>
      <c r="I123" s="101">
        <v>1</v>
      </c>
      <c r="K123" s="3" t="s">
        <v>122</v>
      </c>
    </row>
    <row r="124" spans="2:11">
      <c r="B124" s="101">
        <v>1610</v>
      </c>
      <c r="D124" s="157">
        <v>4883791.4333008695</v>
      </c>
      <c r="F124" s="101">
        <v>2024</v>
      </c>
      <c r="G124" s="101" t="s">
        <v>334</v>
      </c>
      <c r="H124" s="101">
        <v>15</v>
      </c>
      <c r="I124" s="101">
        <v>0</v>
      </c>
      <c r="K124" s="3" t="s">
        <v>122</v>
      </c>
    </row>
    <row r="125" spans="2:11">
      <c r="B125" s="101">
        <v>1611</v>
      </c>
      <c r="D125" s="157">
        <v>27700057.310498618</v>
      </c>
      <c r="F125" s="101">
        <v>2024</v>
      </c>
      <c r="G125" s="101" t="s">
        <v>334</v>
      </c>
      <c r="H125" s="101">
        <v>30</v>
      </c>
      <c r="I125" s="101">
        <v>0</v>
      </c>
      <c r="K125" s="3" t="s">
        <v>122</v>
      </c>
    </row>
    <row r="126" spans="2:11">
      <c r="B126" s="101">
        <v>1612</v>
      </c>
      <c r="D126" s="157">
        <v>39130.263467803168</v>
      </c>
      <c r="F126" s="101">
        <v>2024</v>
      </c>
      <c r="G126" s="101" t="s">
        <v>334</v>
      </c>
      <c r="H126" s="101">
        <v>55</v>
      </c>
      <c r="I126" s="101">
        <v>0</v>
      </c>
      <c r="K126" s="3" t="s">
        <v>122</v>
      </c>
    </row>
    <row r="127" spans="2:11">
      <c r="B127" s="101">
        <v>1616</v>
      </c>
      <c r="D127" s="157">
        <v>7889201.656386218</v>
      </c>
      <c r="F127" s="101">
        <v>2024</v>
      </c>
      <c r="G127" s="101" t="s">
        <v>334</v>
      </c>
      <c r="H127" s="101">
        <v>15</v>
      </c>
      <c r="I127" s="101">
        <v>0</v>
      </c>
      <c r="K127" s="3" t="s">
        <v>122</v>
      </c>
    </row>
    <row r="128" spans="2:11">
      <c r="B128" s="101">
        <v>1617</v>
      </c>
      <c r="D128" s="157">
        <v>7827738.1927272025</v>
      </c>
      <c r="F128" s="101">
        <v>2024</v>
      </c>
      <c r="G128" s="101" t="s">
        <v>334</v>
      </c>
      <c r="H128" s="101">
        <v>30</v>
      </c>
      <c r="I128" s="101">
        <v>0</v>
      </c>
      <c r="K128" s="3" t="s">
        <v>122</v>
      </c>
    </row>
    <row r="129" spans="2:11">
      <c r="B129" s="101">
        <v>1618</v>
      </c>
      <c r="D129" s="157">
        <v>0</v>
      </c>
      <c r="F129" s="101">
        <v>2024</v>
      </c>
      <c r="G129" s="101" t="s">
        <v>334</v>
      </c>
      <c r="H129" s="101">
        <v>55</v>
      </c>
      <c r="I129" s="101">
        <v>0</v>
      </c>
      <c r="K129" s="3" t="s">
        <v>122</v>
      </c>
    </row>
    <row r="130" spans="2:11">
      <c r="B130" s="101">
        <v>1622</v>
      </c>
      <c r="D130" s="157">
        <v>25115276.635574285</v>
      </c>
      <c r="F130" s="101">
        <v>2025</v>
      </c>
      <c r="G130" s="101" t="s">
        <v>334</v>
      </c>
      <c r="H130" s="101">
        <v>15</v>
      </c>
      <c r="I130" s="101">
        <v>1</v>
      </c>
      <c r="K130" s="3" t="s">
        <v>122</v>
      </c>
    </row>
    <row r="131" spans="2:11">
      <c r="B131" s="101">
        <v>1623</v>
      </c>
      <c r="D131" s="157">
        <v>30846824.747949079</v>
      </c>
      <c r="F131" s="101">
        <v>2025</v>
      </c>
      <c r="G131" s="101" t="s">
        <v>334</v>
      </c>
      <c r="H131" s="101">
        <v>30</v>
      </c>
      <c r="I131" s="101">
        <v>1</v>
      </c>
      <c r="K131" s="3" t="s">
        <v>122</v>
      </c>
    </row>
    <row r="132" spans="2:11">
      <c r="B132" s="101">
        <v>1624</v>
      </c>
      <c r="D132" s="157">
        <v>85388365.196438983</v>
      </c>
      <c r="F132" s="101">
        <v>2025</v>
      </c>
      <c r="G132" s="101" t="s">
        <v>334</v>
      </c>
      <c r="H132" s="101">
        <v>55</v>
      </c>
      <c r="I132" s="101">
        <v>1</v>
      </c>
      <c r="K132" s="3" t="s">
        <v>122</v>
      </c>
    </row>
    <row r="133" spans="2:11">
      <c r="B133" s="101">
        <v>1628</v>
      </c>
      <c r="D133" s="157">
        <v>4946948.6241163164</v>
      </c>
      <c r="F133" s="101">
        <v>2025</v>
      </c>
      <c r="G133" s="101" t="s">
        <v>334</v>
      </c>
      <c r="H133" s="101">
        <v>15</v>
      </c>
      <c r="I133" s="101">
        <v>0</v>
      </c>
      <c r="K133" s="3" t="s">
        <v>122</v>
      </c>
    </row>
    <row r="134" spans="2:11">
      <c r="B134" s="101">
        <v>1629</v>
      </c>
      <c r="D134" s="157">
        <v>28058274.451637983</v>
      </c>
      <c r="F134" s="101">
        <v>2025</v>
      </c>
      <c r="G134" s="101" t="s">
        <v>334</v>
      </c>
      <c r="H134" s="101">
        <v>30</v>
      </c>
      <c r="I134" s="101">
        <v>0</v>
      </c>
      <c r="K134" s="3" t="s">
        <v>122</v>
      </c>
    </row>
    <row r="135" spans="2:11">
      <c r="B135" s="101">
        <v>1630</v>
      </c>
      <c r="D135" s="157">
        <v>39636.2960349688</v>
      </c>
      <c r="F135" s="101">
        <v>2025</v>
      </c>
      <c r="G135" s="101" t="s">
        <v>334</v>
      </c>
      <c r="H135" s="101">
        <v>55</v>
      </c>
      <c r="I135" s="101">
        <v>0</v>
      </c>
      <c r="K135" s="3" t="s">
        <v>122</v>
      </c>
    </row>
    <row r="136" spans="2:11">
      <c r="B136" s="101">
        <v>1634</v>
      </c>
      <c r="D136" s="157">
        <v>7991224.8122066045</v>
      </c>
      <c r="F136" s="101">
        <v>2025</v>
      </c>
      <c r="G136" s="101" t="s">
        <v>334</v>
      </c>
      <c r="H136" s="101">
        <v>15</v>
      </c>
      <c r="I136" s="101">
        <v>0</v>
      </c>
      <c r="K136" s="3" t="s">
        <v>122</v>
      </c>
    </row>
    <row r="137" spans="2:11">
      <c r="B137" s="101">
        <v>1635</v>
      </c>
      <c r="D137" s="157">
        <v>7928966.50303555</v>
      </c>
      <c r="F137" s="101">
        <v>2025</v>
      </c>
      <c r="G137" s="101" t="s">
        <v>334</v>
      </c>
      <c r="H137" s="101">
        <v>30</v>
      </c>
      <c r="I137" s="101">
        <v>0</v>
      </c>
      <c r="K137" s="3" t="s">
        <v>122</v>
      </c>
    </row>
    <row r="138" spans="2:11">
      <c r="B138" s="101">
        <v>1636</v>
      </c>
      <c r="D138" s="157">
        <v>0</v>
      </c>
      <c r="F138" s="101">
        <v>2025</v>
      </c>
      <c r="G138" s="101" t="s">
        <v>334</v>
      </c>
      <c r="H138" s="101">
        <v>55</v>
      </c>
      <c r="I138" s="101">
        <v>0</v>
      </c>
      <c r="K138" s="3" t="s">
        <v>122</v>
      </c>
    </row>
    <row r="139" spans="2:11">
      <c r="B139" s="101">
        <v>1640</v>
      </c>
      <c r="D139" s="157">
        <v>25440067.393025532</v>
      </c>
      <c r="F139" s="101">
        <v>2026</v>
      </c>
      <c r="G139" s="101" t="s">
        <v>334</v>
      </c>
      <c r="H139" s="101">
        <v>15</v>
      </c>
      <c r="I139" s="101">
        <v>1</v>
      </c>
      <c r="K139" s="3" t="s">
        <v>122</v>
      </c>
    </row>
    <row r="140" spans="2:11">
      <c r="B140" s="101">
        <v>1641</v>
      </c>
      <c r="D140" s="157">
        <v>31245735.885589555</v>
      </c>
      <c r="F140" s="101">
        <v>2026</v>
      </c>
      <c r="G140" s="101" t="s">
        <v>334</v>
      </c>
      <c r="H140" s="101">
        <v>30</v>
      </c>
      <c r="I140" s="101">
        <v>1</v>
      </c>
      <c r="K140" s="3" t="s">
        <v>122</v>
      </c>
    </row>
    <row r="141" spans="2:11">
      <c r="B141" s="101">
        <v>1642</v>
      </c>
      <c r="D141" s="157">
        <v>86492607.535159335</v>
      </c>
      <c r="F141" s="101">
        <v>2026</v>
      </c>
      <c r="G141" s="101" t="s">
        <v>334</v>
      </c>
      <c r="H141" s="101">
        <v>55</v>
      </c>
      <c r="I141" s="101">
        <v>1</v>
      </c>
      <c r="K141" s="3" t="s">
        <v>122</v>
      </c>
    </row>
    <row r="142" spans="2:11">
      <c r="B142" s="101">
        <v>1646</v>
      </c>
      <c r="D142" s="157">
        <v>5010922.5637233881</v>
      </c>
      <c r="F142" s="101">
        <v>2026</v>
      </c>
      <c r="G142" s="101" t="s">
        <v>334</v>
      </c>
      <c r="H142" s="101">
        <v>15</v>
      </c>
      <c r="I142" s="101">
        <v>0</v>
      </c>
      <c r="K142" s="3" t="s">
        <v>122</v>
      </c>
    </row>
    <row r="143" spans="2:11">
      <c r="B143" s="101">
        <v>1647</v>
      </c>
      <c r="D143" s="157">
        <v>28421124.056846563</v>
      </c>
      <c r="F143" s="101">
        <v>2026</v>
      </c>
      <c r="G143" s="101" t="s">
        <v>334</v>
      </c>
      <c r="H143" s="101">
        <v>30</v>
      </c>
      <c r="I143" s="101">
        <v>0</v>
      </c>
      <c r="K143" s="3" t="s">
        <v>122</v>
      </c>
    </row>
    <row r="144" spans="2:11">
      <c r="B144" s="101">
        <v>1648</v>
      </c>
      <c r="D144" s="157">
        <v>40148.872615293018</v>
      </c>
      <c r="F144" s="101">
        <v>2026</v>
      </c>
      <c r="G144" s="101" t="s">
        <v>334</v>
      </c>
      <c r="H144" s="101">
        <v>55</v>
      </c>
      <c r="I144" s="101">
        <v>0</v>
      </c>
      <c r="K144" s="3" t="s">
        <v>122</v>
      </c>
    </row>
    <row r="145" spans="2:11">
      <c r="B145" s="101">
        <v>1652</v>
      </c>
      <c r="D145" s="157">
        <v>8094567.3314780593</v>
      </c>
      <c r="F145" s="101">
        <v>2026</v>
      </c>
      <c r="G145" s="101" t="s">
        <v>334</v>
      </c>
      <c r="H145" s="101">
        <v>15</v>
      </c>
      <c r="I145" s="101">
        <v>0</v>
      </c>
      <c r="K145" s="3" t="s">
        <v>122</v>
      </c>
    </row>
    <row r="146" spans="2:11">
      <c r="B146" s="101">
        <v>1653</v>
      </c>
      <c r="D146" s="157">
        <v>8031503.8978528045</v>
      </c>
      <c r="F146" s="101">
        <v>2026</v>
      </c>
      <c r="G146" s="101" t="s">
        <v>334</v>
      </c>
      <c r="H146" s="101">
        <v>30</v>
      </c>
      <c r="I146" s="101">
        <v>0</v>
      </c>
      <c r="K146" s="3" t="s">
        <v>122</v>
      </c>
    </row>
    <row r="147" spans="2:11">
      <c r="B147" s="101">
        <v>1654</v>
      </c>
      <c r="D147" s="157">
        <v>0</v>
      </c>
      <c r="F147" s="101">
        <v>2026</v>
      </c>
      <c r="G147" s="101" t="s">
        <v>334</v>
      </c>
      <c r="H147" s="101">
        <v>55</v>
      </c>
      <c r="I147" s="101">
        <v>0</v>
      </c>
      <c r="K147" s="3" t="s">
        <v>122</v>
      </c>
    </row>
    <row r="148" spans="2:11">
      <c r="B148" s="101">
        <v>1655</v>
      </c>
      <c r="D148" s="157">
        <v>1823110</v>
      </c>
      <c r="F148" s="101">
        <v>2020</v>
      </c>
      <c r="G148" s="101" t="s">
        <v>258</v>
      </c>
      <c r="H148" s="101">
        <v>55</v>
      </c>
      <c r="I148" s="101">
        <v>1</v>
      </c>
      <c r="K148" s="3" t="s">
        <v>122</v>
      </c>
    </row>
    <row r="149" spans="2:11">
      <c r="B149" s="101">
        <v>1656</v>
      </c>
      <c r="D149" s="157">
        <v>1850427.4802399999</v>
      </c>
      <c r="F149" s="101">
        <v>2021</v>
      </c>
      <c r="G149" s="101" t="s">
        <v>258</v>
      </c>
      <c r="H149" s="101">
        <v>55</v>
      </c>
      <c r="I149" s="101">
        <v>1</v>
      </c>
      <c r="K149" s="3" t="s">
        <v>122</v>
      </c>
    </row>
    <row r="150" spans="2:11">
      <c r="B150" s="101">
        <v>1657</v>
      </c>
      <c r="D150" s="157">
        <v>1874357.2084144636</v>
      </c>
      <c r="F150" s="101">
        <v>2022</v>
      </c>
      <c r="G150" s="101" t="s">
        <v>258</v>
      </c>
      <c r="H150" s="101">
        <v>55</v>
      </c>
      <c r="I150" s="101">
        <v>1</v>
      </c>
      <c r="K150" s="3" t="s">
        <v>122</v>
      </c>
    </row>
    <row r="151" spans="2:11">
      <c r="B151" s="101">
        <v>1658</v>
      </c>
      <c r="D151" s="157">
        <v>1898596.3958336795</v>
      </c>
      <c r="F151" s="101">
        <v>2023</v>
      </c>
      <c r="G151" s="101" t="s">
        <v>258</v>
      </c>
      <c r="H151" s="101">
        <v>55</v>
      </c>
      <c r="I151" s="101">
        <v>1</v>
      </c>
      <c r="K151" s="3" t="s">
        <v>122</v>
      </c>
    </row>
    <row r="152" spans="2:11">
      <c r="B152" s="101">
        <v>1659</v>
      </c>
      <c r="D152" s="157">
        <v>1923149.0444246007</v>
      </c>
      <c r="F152" s="101">
        <v>2024</v>
      </c>
      <c r="G152" s="101" t="s">
        <v>258</v>
      </c>
      <c r="H152" s="101">
        <v>55</v>
      </c>
      <c r="I152" s="101">
        <v>1</v>
      </c>
      <c r="K152" s="3" t="s">
        <v>122</v>
      </c>
    </row>
    <row r="153" spans="2:11">
      <c r="B153" s="101">
        <v>1660</v>
      </c>
      <c r="D153" s="157">
        <v>1948019.2078670992</v>
      </c>
      <c r="F153" s="101">
        <v>2025</v>
      </c>
      <c r="G153" s="101" t="s">
        <v>258</v>
      </c>
      <c r="H153" s="101">
        <v>55</v>
      </c>
      <c r="I153" s="101">
        <v>1</v>
      </c>
      <c r="K153" s="3" t="s">
        <v>122</v>
      </c>
    </row>
    <row r="154" spans="2:11">
      <c r="B154" s="101">
        <v>1661</v>
      </c>
      <c r="D154" s="157">
        <v>1973210.9922632365</v>
      </c>
      <c r="F154" s="101">
        <v>2026</v>
      </c>
      <c r="G154" s="101" t="s">
        <v>258</v>
      </c>
      <c r="H154" s="101">
        <v>55</v>
      </c>
      <c r="I154" s="101">
        <v>1</v>
      </c>
      <c r="K154" s="3" t="s">
        <v>122</v>
      </c>
    </row>
    <row r="155" spans="2:11">
      <c r="B155" s="101">
        <v>1662</v>
      </c>
      <c r="D155" s="157">
        <v>463333.33333333337</v>
      </c>
      <c r="F155" s="101">
        <v>2020</v>
      </c>
      <c r="G155" s="101" t="s">
        <v>262</v>
      </c>
      <c r="H155" s="101">
        <v>30</v>
      </c>
      <c r="I155" s="101">
        <v>0</v>
      </c>
      <c r="K155" s="3" t="s">
        <v>122</v>
      </c>
    </row>
    <row r="156" spans="2:11">
      <c r="B156" s="101">
        <v>1663</v>
      </c>
      <c r="D156" s="157">
        <v>470275.92000000004</v>
      </c>
      <c r="F156" s="101">
        <v>2021</v>
      </c>
      <c r="G156" s="101" t="s">
        <v>262</v>
      </c>
      <c r="H156" s="101">
        <v>30</v>
      </c>
      <c r="I156" s="101">
        <v>0</v>
      </c>
      <c r="K156" s="3" t="s">
        <v>122</v>
      </c>
    </row>
    <row r="157" spans="2:11">
      <c r="B157" s="101">
        <v>1664</v>
      </c>
      <c r="D157" s="157">
        <v>476357.52819743997</v>
      </c>
      <c r="F157" s="101">
        <v>2022</v>
      </c>
      <c r="G157" s="101" t="s">
        <v>262</v>
      </c>
      <c r="H157" s="101">
        <v>30</v>
      </c>
      <c r="I157" s="101">
        <v>0</v>
      </c>
      <c r="K157" s="3" t="s">
        <v>122</v>
      </c>
    </row>
    <row r="158" spans="2:11">
      <c r="B158" s="101">
        <v>1665</v>
      </c>
      <c r="D158" s="157">
        <v>482517.78375208931</v>
      </c>
      <c r="F158" s="101">
        <v>2023</v>
      </c>
      <c r="G158" s="101" t="s">
        <v>262</v>
      </c>
      <c r="H158" s="101">
        <v>30</v>
      </c>
      <c r="I158" s="101">
        <v>0</v>
      </c>
      <c r="K158" s="3" t="s">
        <v>122</v>
      </c>
    </row>
    <row r="159" spans="2:11">
      <c r="B159" s="101">
        <v>1666</v>
      </c>
      <c r="D159" s="157">
        <v>488757.70373157132</v>
      </c>
      <c r="F159" s="101">
        <v>2024</v>
      </c>
      <c r="G159" s="101" t="s">
        <v>262</v>
      </c>
      <c r="H159" s="101">
        <v>30</v>
      </c>
      <c r="I159" s="101">
        <v>0</v>
      </c>
      <c r="K159" s="3" t="s">
        <v>122</v>
      </c>
    </row>
    <row r="160" spans="2:11">
      <c r="B160" s="101">
        <v>1667</v>
      </c>
      <c r="D160" s="157">
        <v>495078.31835622794</v>
      </c>
      <c r="F160" s="101">
        <v>2025</v>
      </c>
      <c r="G160" s="101" t="s">
        <v>262</v>
      </c>
      <c r="H160" s="101">
        <v>30</v>
      </c>
      <c r="I160" s="101">
        <v>0</v>
      </c>
      <c r="K160" s="3" t="s">
        <v>122</v>
      </c>
    </row>
    <row r="161" spans="2:11">
      <c r="B161" s="101">
        <v>1668</v>
      </c>
      <c r="D161" s="157">
        <v>501480.67116921069</v>
      </c>
      <c r="F161" s="101">
        <v>2026</v>
      </c>
      <c r="G161" s="101" t="s">
        <v>262</v>
      </c>
      <c r="H161" s="101">
        <v>30</v>
      </c>
      <c r="I161" s="101">
        <v>0</v>
      </c>
      <c r="K161" s="3" t="s">
        <v>122</v>
      </c>
    </row>
    <row r="162" spans="2:11">
      <c r="B162" s="101">
        <v>1529</v>
      </c>
      <c r="D162" s="157">
        <v>0</v>
      </c>
      <c r="F162" s="101">
        <v>2020</v>
      </c>
      <c r="G162" s="101" t="s">
        <v>334</v>
      </c>
      <c r="H162" s="101">
        <v>0</v>
      </c>
      <c r="I162" s="101">
        <v>1</v>
      </c>
      <c r="K162" s="3" t="s">
        <v>122</v>
      </c>
    </row>
    <row r="163" spans="2:11">
      <c r="B163" s="101">
        <v>1535</v>
      </c>
      <c r="D163" s="157">
        <v>-30502.390165910823</v>
      </c>
      <c r="F163" s="101">
        <v>2020</v>
      </c>
      <c r="G163" s="101" t="s">
        <v>334</v>
      </c>
      <c r="H163" s="101">
        <v>0</v>
      </c>
      <c r="I163" s="101">
        <v>0</v>
      </c>
      <c r="K163" s="3" t="s">
        <v>122</v>
      </c>
    </row>
    <row r="164" spans="2:11">
      <c r="B164" s="101">
        <v>1541</v>
      </c>
      <c r="D164" s="157">
        <v>0</v>
      </c>
      <c r="F164" s="101">
        <v>2020</v>
      </c>
      <c r="G164" s="101" t="s">
        <v>334</v>
      </c>
      <c r="H164" s="101">
        <v>0</v>
      </c>
      <c r="I164" s="101">
        <v>0</v>
      </c>
      <c r="K164" s="3" t="s">
        <v>122</v>
      </c>
    </row>
    <row r="165" spans="2:11">
      <c r="B165" s="101">
        <v>1547</v>
      </c>
      <c r="D165" s="157">
        <v>0</v>
      </c>
      <c r="F165" s="101">
        <v>2021</v>
      </c>
      <c r="G165" s="101" t="s">
        <v>334</v>
      </c>
      <c r="H165" s="101">
        <v>0</v>
      </c>
      <c r="I165" s="101">
        <v>1</v>
      </c>
      <c r="K165" s="3" t="s">
        <v>122</v>
      </c>
    </row>
    <row r="166" spans="2:11">
      <c r="B166" s="101">
        <v>1553</v>
      </c>
      <c r="D166" s="157">
        <v>-30959.437980156832</v>
      </c>
      <c r="F166" s="101">
        <v>2021</v>
      </c>
      <c r="G166" s="101" t="s">
        <v>334</v>
      </c>
      <c r="H166" s="101">
        <v>0</v>
      </c>
      <c r="I166" s="101">
        <v>0</v>
      </c>
      <c r="K166" s="3" t="s">
        <v>122</v>
      </c>
    </row>
    <row r="167" spans="2:11">
      <c r="B167" s="101">
        <v>1559</v>
      </c>
      <c r="D167" s="157">
        <v>0</v>
      </c>
      <c r="F167" s="101">
        <v>2021</v>
      </c>
      <c r="G167" s="101" t="s">
        <v>334</v>
      </c>
      <c r="H167" s="101">
        <v>0</v>
      </c>
      <c r="I167" s="101">
        <v>0</v>
      </c>
      <c r="K167" s="3" t="s">
        <v>122</v>
      </c>
    </row>
    <row r="168" spans="2:11">
      <c r="B168" s="101">
        <v>1565</v>
      </c>
      <c r="D168" s="157">
        <v>0</v>
      </c>
      <c r="F168" s="101">
        <v>2022</v>
      </c>
      <c r="G168" s="101" t="s">
        <v>334</v>
      </c>
      <c r="H168" s="101">
        <v>0</v>
      </c>
      <c r="I168" s="101">
        <v>1</v>
      </c>
      <c r="K168" s="3" t="s">
        <v>122</v>
      </c>
    </row>
    <row r="169" spans="2:11">
      <c r="B169" s="101">
        <v>1571</v>
      </c>
      <c r="D169" s="157">
        <v>-31359.805432116216</v>
      </c>
      <c r="F169" s="101">
        <v>2022</v>
      </c>
      <c r="G169" s="101" t="s">
        <v>334</v>
      </c>
      <c r="H169" s="101">
        <v>0</v>
      </c>
      <c r="I169" s="101">
        <v>0</v>
      </c>
      <c r="K169" s="3" t="s">
        <v>122</v>
      </c>
    </row>
    <row r="170" spans="2:11">
      <c r="B170" s="101">
        <v>1577</v>
      </c>
      <c r="D170" s="157">
        <v>0</v>
      </c>
      <c r="F170" s="101">
        <v>2022</v>
      </c>
      <c r="G170" s="101" t="s">
        <v>334</v>
      </c>
      <c r="H170" s="101">
        <v>0</v>
      </c>
      <c r="I170" s="101">
        <v>0</v>
      </c>
      <c r="K170" s="3" t="s">
        <v>122</v>
      </c>
    </row>
    <row r="171" spans="2:11">
      <c r="B171" s="101">
        <v>1583</v>
      </c>
      <c r="D171" s="157">
        <v>0</v>
      </c>
      <c r="F171" s="101">
        <v>2023</v>
      </c>
      <c r="G171" s="101" t="s">
        <v>334</v>
      </c>
      <c r="H171" s="101">
        <v>0</v>
      </c>
      <c r="I171" s="101">
        <v>1</v>
      </c>
      <c r="K171" s="3" t="s">
        <v>122</v>
      </c>
    </row>
    <row r="172" spans="2:11">
      <c r="B172" s="101">
        <v>1589</v>
      </c>
      <c r="D172" s="157">
        <v>-31765.350435964345</v>
      </c>
      <c r="F172" s="101">
        <v>2023</v>
      </c>
      <c r="G172" s="101" t="s">
        <v>334</v>
      </c>
      <c r="H172" s="101">
        <v>0</v>
      </c>
      <c r="I172" s="101">
        <v>0</v>
      </c>
      <c r="K172" s="3" t="s">
        <v>122</v>
      </c>
    </row>
    <row r="173" spans="2:11">
      <c r="B173" s="101">
        <v>1595</v>
      </c>
      <c r="D173" s="157">
        <v>0</v>
      </c>
      <c r="F173" s="101">
        <v>2023</v>
      </c>
      <c r="G173" s="101" t="s">
        <v>334</v>
      </c>
      <c r="H173" s="101">
        <v>0</v>
      </c>
      <c r="I173" s="101">
        <v>0</v>
      </c>
      <c r="K173" s="3" t="s">
        <v>122</v>
      </c>
    </row>
    <row r="174" spans="2:11">
      <c r="B174" s="101">
        <v>1601</v>
      </c>
      <c r="D174" s="157">
        <v>0</v>
      </c>
      <c r="F174" s="101">
        <v>2024</v>
      </c>
      <c r="G174" s="101" t="s">
        <v>334</v>
      </c>
      <c r="H174" s="101">
        <v>0</v>
      </c>
      <c r="I174" s="101">
        <v>1</v>
      </c>
      <c r="K174" s="3" t="s">
        <v>122</v>
      </c>
    </row>
    <row r="175" spans="2:11">
      <c r="B175" s="101">
        <v>1607</v>
      </c>
      <c r="D175" s="157">
        <v>-32176.139947802236</v>
      </c>
      <c r="F175" s="101">
        <v>2024</v>
      </c>
      <c r="G175" s="101" t="s">
        <v>334</v>
      </c>
      <c r="H175" s="101">
        <v>0</v>
      </c>
      <c r="I175" s="101">
        <v>0</v>
      </c>
      <c r="K175" s="3" t="s">
        <v>122</v>
      </c>
    </row>
    <row r="176" spans="2:11">
      <c r="B176" s="101">
        <v>1613</v>
      </c>
      <c r="D176" s="157">
        <v>0</v>
      </c>
      <c r="F176" s="101">
        <v>2024</v>
      </c>
      <c r="G176" s="101" t="s">
        <v>334</v>
      </c>
      <c r="H176" s="101">
        <v>0</v>
      </c>
      <c r="I176" s="101">
        <v>0</v>
      </c>
      <c r="K176" s="3" t="s">
        <v>122</v>
      </c>
    </row>
    <row r="177" spans="2:86">
      <c r="B177" s="101">
        <v>1619</v>
      </c>
      <c r="D177" s="157">
        <v>0</v>
      </c>
      <c r="F177" s="101">
        <v>2025</v>
      </c>
      <c r="G177" s="101" t="s">
        <v>334</v>
      </c>
      <c r="H177" s="101">
        <v>0</v>
      </c>
      <c r="I177" s="101">
        <v>1</v>
      </c>
      <c r="K177" s="3" t="s">
        <v>122</v>
      </c>
    </row>
    <row r="178" spans="2:86">
      <c r="B178" s="101">
        <v>1625</v>
      </c>
      <c r="D178" s="157">
        <v>-32592.241789607215</v>
      </c>
      <c r="F178" s="101">
        <v>2025</v>
      </c>
      <c r="G178" s="101" t="s">
        <v>334</v>
      </c>
      <c r="H178" s="101">
        <v>0</v>
      </c>
      <c r="I178" s="101">
        <v>0</v>
      </c>
      <c r="K178" s="3" t="s">
        <v>122</v>
      </c>
    </row>
    <row r="179" spans="2:86">
      <c r="B179" s="101">
        <v>1631</v>
      </c>
      <c r="D179" s="157">
        <v>0</v>
      </c>
      <c r="F179" s="101">
        <v>2025</v>
      </c>
      <c r="G179" s="101" t="s">
        <v>334</v>
      </c>
      <c r="H179" s="101">
        <v>0</v>
      </c>
      <c r="I179" s="101">
        <v>0</v>
      </c>
      <c r="K179" s="3" t="s">
        <v>122</v>
      </c>
    </row>
    <row r="180" spans="2:86">
      <c r="B180" s="101">
        <v>1637</v>
      </c>
      <c r="D180" s="157">
        <v>0</v>
      </c>
      <c r="F180" s="101">
        <v>2026</v>
      </c>
      <c r="G180" s="101" t="s">
        <v>334</v>
      </c>
      <c r="H180" s="101">
        <v>0</v>
      </c>
      <c r="I180" s="101">
        <v>1</v>
      </c>
      <c r="K180" s="3" t="s">
        <v>122</v>
      </c>
    </row>
    <row r="181" spans="2:86">
      <c r="B181" s="101">
        <v>1643</v>
      </c>
      <c r="D181" s="157">
        <v>-33013.724660430409</v>
      </c>
      <c r="F181" s="101">
        <v>2026</v>
      </c>
      <c r="G181" s="101" t="s">
        <v>334</v>
      </c>
      <c r="H181" s="101">
        <v>0</v>
      </c>
      <c r="I181" s="101">
        <v>0</v>
      </c>
      <c r="K181" s="3" t="s">
        <v>122</v>
      </c>
    </row>
    <row r="182" spans="2:86">
      <c r="B182" s="101">
        <v>1649</v>
      </c>
      <c r="D182" s="157">
        <v>0</v>
      </c>
      <c r="F182" s="101">
        <v>2026</v>
      </c>
      <c r="G182" s="101" t="s">
        <v>334</v>
      </c>
      <c r="H182" s="101">
        <v>0</v>
      </c>
      <c r="I182" s="101">
        <v>0</v>
      </c>
      <c r="K182" s="3" t="s">
        <v>122</v>
      </c>
    </row>
    <row r="184" spans="2:86" s="8" customFormat="1">
      <c r="B184" s="8" t="s">
        <v>335</v>
      </c>
      <c r="D184" s="8" t="s">
        <v>175</v>
      </c>
      <c r="F184" s="119" t="s">
        <v>336</v>
      </c>
      <c r="G184" s="119" t="s">
        <v>337</v>
      </c>
      <c r="H184" s="119" t="s">
        <v>338</v>
      </c>
      <c r="I184" s="119" t="s">
        <v>339</v>
      </c>
      <c r="J184" s="119" t="s">
        <v>340</v>
      </c>
      <c r="K184" s="119" t="s">
        <v>341</v>
      </c>
      <c r="L184" s="119" t="s">
        <v>342</v>
      </c>
      <c r="M184" s="119" t="s">
        <v>343</v>
      </c>
      <c r="N184" s="119" t="s">
        <v>344</v>
      </c>
      <c r="O184" s="119" t="s">
        <v>345</v>
      </c>
      <c r="P184" s="119" t="s">
        <v>346</v>
      </c>
      <c r="Q184" s="119" t="s">
        <v>347</v>
      </c>
      <c r="R184" s="119" t="s">
        <v>348</v>
      </c>
      <c r="S184" s="119" t="s">
        <v>349</v>
      </c>
      <c r="T184" s="119" t="s">
        <v>350</v>
      </c>
      <c r="U184" s="119" t="s">
        <v>351</v>
      </c>
      <c r="V184" s="119" t="s">
        <v>352</v>
      </c>
      <c r="W184" s="119" t="s">
        <v>353</v>
      </c>
      <c r="X184" s="119" t="s">
        <v>354</v>
      </c>
      <c r="Y184" s="119" t="s">
        <v>355</v>
      </c>
      <c r="Z184" s="119" t="s">
        <v>356</v>
      </c>
      <c r="AA184" s="119" t="s">
        <v>357</v>
      </c>
      <c r="AB184" s="119" t="s">
        <v>358</v>
      </c>
      <c r="AC184" s="119" t="s">
        <v>359</v>
      </c>
      <c r="AD184" s="119" t="s">
        <v>360</v>
      </c>
      <c r="AE184" s="119" t="s">
        <v>361</v>
      </c>
      <c r="AF184" s="119" t="s">
        <v>362</v>
      </c>
      <c r="AG184" s="119" t="s">
        <v>363</v>
      </c>
      <c r="AH184" s="119" t="s">
        <v>364</v>
      </c>
      <c r="AI184" s="119" t="s">
        <v>365</v>
      </c>
      <c r="AJ184" s="119" t="s">
        <v>366</v>
      </c>
      <c r="AK184" s="119" t="s">
        <v>367</v>
      </c>
      <c r="AL184" s="119" t="s">
        <v>368</v>
      </c>
      <c r="AM184" s="119" t="s">
        <v>369</v>
      </c>
      <c r="AN184" s="119" t="s">
        <v>370</v>
      </c>
      <c r="AO184" s="119" t="s">
        <v>371</v>
      </c>
      <c r="AP184" s="119" t="s">
        <v>372</v>
      </c>
      <c r="AQ184" s="119" t="s">
        <v>373</v>
      </c>
      <c r="AR184" s="119" t="s">
        <v>374</v>
      </c>
      <c r="AS184" s="119" t="s">
        <v>375</v>
      </c>
      <c r="AT184" s="119" t="s">
        <v>376</v>
      </c>
      <c r="AU184" s="119" t="s">
        <v>377</v>
      </c>
      <c r="AV184" s="119" t="s">
        <v>378</v>
      </c>
      <c r="AW184" s="119" t="s">
        <v>379</v>
      </c>
      <c r="AX184" s="119" t="s">
        <v>380</v>
      </c>
      <c r="AY184" s="119" t="s">
        <v>381</v>
      </c>
      <c r="AZ184" s="119" t="s">
        <v>382</v>
      </c>
      <c r="BA184" s="119" t="s">
        <v>383</v>
      </c>
      <c r="BB184" s="119" t="s">
        <v>384</v>
      </c>
      <c r="BC184" s="119" t="s">
        <v>385</v>
      </c>
      <c r="BD184" s="119" t="s">
        <v>386</v>
      </c>
      <c r="BE184" s="119" t="s">
        <v>387</v>
      </c>
      <c r="BF184" s="119" t="s">
        <v>388</v>
      </c>
      <c r="BG184" s="119" t="s">
        <v>389</v>
      </c>
      <c r="BH184" s="119" t="s">
        <v>390</v>
      </c>
      <c r="BI184" s="119" t="s">
        <v>391</v>
      </c>
      <c r="BJ184" s="119" t="s">
        <v>392</v>
      </c>
      <c r="BK184" s="119" t="s">
        <v>393</v>
      </c>
      <c r="BL184" s="119" t="s">
        <v>394</v>
      </c>
      <c r="BM184" s="119" t="s">
        <v>395</v>
      </c>
      <c r="BN184" s="119" t="s">
        <v>396</v>
      </c>
      <c r="BO184" s="119" t="s">
        <v>397</v>
      </c>
      <c r="BP184" s="119" t="s">
        <v>398</v>
      </c>
      <c r="BQ184" s="119" t="s">
        <v>399</v>
      </c>
      <c r="BR184" s="119" t="s">
        <v>400</v>
      </c>
      <c r="BS184" s="119" t="s">
        <v>401</v>
      </c>
      <c r="BT184" s="119" t="s">
        <v>402</v>
      </c>
      <c r="BU184" s="119" t="s">
        <v>403</v>
      </c>
      <c r="BV184" s="119" t="s">
        <v>404</v>
      </c>
      <c r="BW184" s="119" t="s">
        <v>405</v>
      </c>
      <c r="BX184" s="119" t="s">
        <v>406</v>
      </c>
      <c r="BY184" s="119" t="s">
        <v>407</v>
      </c>
      <c r="BZ184" s="119" t="s">
        <v>408</v>
      </c>
      <c r="CA184" s="119" t="s">
        <v>409</v>
      </c>
      <c r="CB184" s="119" t="s">
        <v>410</v>
      </c>
      <c r="CC184" s="119" t="s">
        <v>411</v>
      </c>
      <c r="CD184" s="119" t="s">
        <v>412</v>
      </c>
      <c r="CE184" s="119" t="s">
        <v>413</v>
      </c>
      <c r="CF184" s="119" t="s">
        <v>414</v>
      </c>
      <c r="CG184" s="119" t="s">
        <v>415</v>
      </c>
      <c r="CH184" s="119" t="s">
        <v>416</v>
      </c>
    </row>
    <row r="186" spans="2:86">
      <c r="B186" s="3" t="s">
        <v>417</v>
      </c>
      <c r="D186" s="3" t="s">
        <v>180</v>
      </c>
      <c r="F186" s="142">
        <v>9.0830073880921361E-2</v>
      </c>
      <c r="G186" s="142">
        <v>3.6254980079681365E-2</v>
      </c>
      <c r="H186" s="142">
        <v>3.5371011149557818E-2</v>
      </c>
      <c r="I186" s="142">
        <v>6.3126624582250282E-2</v>
      </c>
      <c r="J186" s="142">
        <v>9.1163115612993242E-2</v>
      </c>
      <c r="K186" s="142">
        <v>9.6350832266325306E-2</v>
      </c>
      <c r="L186" s="142">
        <v>0</v>
      </c>
      <c r="M186" s="142">
        <v>0</v>
      </c>
      <c r="N186" s="142">
        <v>0.04</v>
      </c>
      <c r="O186" s="142">
        <v>1.909039865244248E-2</v>
      </c>
      <c r="P186" s="142">
        <v>1.9008264462809853E-2</v>
      </c>
      <c r="Q186" s="142">
        <v>6.4882400648824015E-2</v>
      </c>
      <c r="R186" s="142">
        <v>1.7263264788017294E-2</v>
      </c>
      <c r="S186" s="142">
        <v>8.4851509857749793E-3</v>
      </c>
      <c r="T186" s="142">
        <v>2.5488740410789294E-2</v>
      </c>
      <c r="U186" s="142">
        <v>1.6650579150579235E-2</v>
      </c>
      <c r="V186" s="142">
        <v>1.92262046047946E-2</v>
      </c>
      <c r="W186" s="142">
        <v>3.8192827200745308E-2</v>
      </c>
      <c r="X186" s="142">
        <v>1.9E-2</v>
      </c>
      <c r="Y186" s="142">
        <v>8.4000000000000005E-2</v>
      </c>
      <c r="Z186" s="142">
        <v>4.2999999999999997E-2</v>
      </c>
      <c r="AA186" s="142">
        <v>5.7999999999999996E-2</v>
      </c>
      <c r="AB186" s="142">
        <v>3.9E-2</v>
      </c>
      <c r="AC186" s="142">
        <v>3.3000000000000002E-2</v>
      </c>
      <c r="AD186" s="142">
        <v>6.9000000000000006E-2</v>
      </c>
      <c r="AE186" s="142">
        <v>5.4000000000000006E-2</v>
      </c>
      <c r="AF186" s="142">
        <v>7.5999999999999998E-2</v>
      </c>
      <c r="AG186" s="142">
        <v>7.400000000000001E-2</v>
      </c>
      <c r="AH186" s="142">
        <v>8.1000000000000003E-2</v>
      </c>
      <c r="AI186" s="142">
        <v>9.8000000000000004E-2</v>
      </c>
      <c r="AJ186" s="142">
        <v>0.107</v>
      </c>
      <c r="AK186" s="142">
        <v>8.3000000000000004E-2</v>
      </c>
      <c r="AL186" s="142">
        <v>6.8000000000000005E-2</v>
      </c>
      <c r="AM186" s="142">
        <v>4.2000000000000003E-2</v>
      </c>
      <c r="AN186" s="142">
        <v>3.7999999999999999E-2</v>
      </c>
      <c r="AO186" s="142">
        <v>7.0999999999999994E-2</v>
      </c>
      <c r="AP186" s="142">
        <v>6.4000000000000001E-2</v>
      </c>
      <c r="AQ186" s="142">
        <v>5.9000000000000004E-2</v>
      </c>
      <c r="AR186" s="142">
        <v>2.6000000000000002E-2</v>
      </c>
      <c r="AS186" s="142">
        <v>2.7999999999999997E-2</v>
      </c>
      <c r="AT186" s="142">
        <v>2.3E-2</v>
      </c>
      <c r="AU186" s="142">
        <v>-5.0000000000000001E-3</v>
      </c>
      <c r="AV186" s="142">
        <v>2E-3</v>
      </c>
      <c r="AW186" s="142">
        <v>9.0000000000000011E-3</v>
      </c>
      <c r="AX186" s="142">
        <v>1.1000000000000001E-2</v>
      </c>
      <c r="AY186" s="142">
        <v>2.4E-2</v>
      </c>
      <c r="AZ186" s="142">
        <v>4.5999999999999999E-2</v>
      </c>
      <c r="BA186" s="142">
        <v>3.5000000000000003E-2</v>
      </c>
      <c r="BB186" s="142">
        <v>0.02</v>
      </c>
      <c r="BC186" s="142">
        <v>2.6000000000000002E-2</v>
      </c>
      <c r="BD186" s="142">
        <v>1.4999999999999999E-2</v>
      </c>
      <c r="BE186" s="142">
        <v>1.9E-2</v>
      </c>
      <c r="BF186" s="142">
        <v>2.6000000000000002E-2</v>
      </c>
      <c r="BG186" s="142">
        <v>1.7000000000000001E-2</v>
      </c>
      <c r="BH186" s="142">
        <v>2.6000000000000002E-2</v>
      </c>
      <c r="BI186" s="142">
        <v>2.5000000000000001E-2</v>
      </c>
      <c r="BJ186" s="142">
        <v>4.7E-2</v>
      </c>
      <c r="BK186" s="142">
        <v>3.3000000000000002E-2</v>
      </c>
      <c r="BL186" s="142">
        <v>2.1000000000000001E-2</v>
      </c>
      <c r="BM186" s="142">
        <v>1.1000000000000001E-2</v>
      </c>
      <c r="BN186" s="142">
        <v>1.7999999999999999E-2</v>
      </c>
      <c r="BO186" s="142">
        <v>1.4E-2</v>
      </c>
      <c r="BP186" s="142">
        <v>1.0999999999999999E-2</v>
      </c>
      <c r="BQ186" s="142">
        <v>3.2000000000000001E-2</v>
      </c>
      <c r="BR186" s="142">
        <v>3.0000000000000001E-3</v>
      </c>
      <c r="BS186" s="142">
        <v>1.4999999999999999E-2</v>
      </c>
      <c r="BT186" s="142">
        <v>2.5999999999999999E-2</v>
      </c>
      <c r="BU186" s="142">
        <v>2.3E-2</v>
      </c>
      <c r="BV186" s="142">
        <v>2.8000000000000001E-2</v>
      </c>
      <c r="BW186" s="142">
        <v>0.01</v>
      </c>
      <c r="BX186" s="142">
        <v>8.0000000000000002E-3</v>
      </c>
      <c r="BY186" s="142">
        <v>2E-3</v>
      </c>
      <c r="BZ186" s="142">
        <v>1.4E-2</v>
      </c>
      <c r="CA186" s="142">
        <v>1.2E-2</v>
      </c>
      <c r="CB186" s="142">
        <v>2.5999999999999999E-2</v>
      </c>
      <c r="CC186" s="142">
        <v>1.6E-2</v>
      </c>
      <c r="CD186" s="61">
        <f>'2. Parameters'!M35</f>
        <v>1.7999999999999999E-2</v>
      </c>
      <c r="CE186" s="61">
        <f>'2. Parameters'!N35</f>
        <v>6.2E-2</v>
      </c>
      <c r="CF186" s="61">
        <f>'2. Parameters'!O35</f>
        <v>0.08</v>
      </c>
      <c r="CG186" s="61">
        <f>'2. Parameters'!P35</f>
        <v>1.7000000000000001E-2</v>
      </c>
      <c r="CH186" s="61">
        <f>'2. Parameters'!Q35</f>
        <v>1.7000000000000001E-2</v>
      </c>
    </row>
  </sheetData>
  <mergeCells count="1">
    <mergeCell ref="B5:E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V46"/>
  <sheetViews>
    <sheetView showGridLines="0" zoomScale="90" zoomScaleNormal="90" workbookViewId="0">
      <pane xSplit="4" ySplit="7" topLeftCell="E8" activePane="bottomRight" state="frozen"/>
      <selection pane="topRight"/>
      <selection pane="bottomLeft"/>
      <selection pane="bottomRight"/>
    </sheetView>
  </sheetViews>
  <sheetFormatPr defaultColWidth="9.140625" defaultRowHeight="12.75"/>
  <cols>
    <col min="1" max="1" width="2.7109375" style="3" customWidth="1"/>
    <col min="2" max="2" width="90.7109375" style="3" customWidth="1"/>
    <col min="3" max="3" width="2.7109375" style="3" customWidth="1"/>
    <col min="4" max="4" width="13.7109375" style="3" customWidth="1"/>
    <col min="5" max="5" width="2.7109375" style="3" customWidth="1"/>
    <col min="6" max="6" width="13.7109375" style="3" customWidth="1"/>
    <col min="7" max="7" width="2.7109375" style="3" customWidth="1"/>
    <col min="8" max="13" width="13.7109375" style="3" customWidth="1"/>
    <col min="14" max="18" width="14.85546875" style="3" bestFit="1" customWidth="1"/>
    <col min="19" max="19" width="2.7109375" style="3" customWidth="1"/>
    <col min="20" max="20" width="18.7109375" style="3" customWidth="1"/>
    <col min="21" max="21" width="2.7109375" style="3" customWidth="1"/>
    <col min="22" max="32" width="13.7109375" style="3" customWidth="1"/>
    <col min="33" max="16384" width="9.140625" style="3"/>
  </cols>
  <sheetData>
    <row r="2" spans="2:22" s="12" customFormat="1" ht="18">
      <c r="B2" s="12" t="s">
        <v>418</v>
      </c>
    </row>
    <row r="4" spans="2:22">
      <c r="B4" s="16" t="s">
        <v>173</v>
      </c>
      <c r="C4" s="2"/>
    </row>
    <row r="5" spans="2:22" ht="27.75" customHeight="1">
      <c r="B5" s="322" t="s">
        <v>419</v>
      </c>
      <c r="C5" s="322"/>
      <c r="D5" s="322"/>
      <c r="F5" s="13"/>
    </row>
    <row r="6" spans="2:22" ht="12" customHeight="1"/>
    <row r="7" spans="2:22" s="8" customFormat="1" ht="12" customHeight="1">
      <c r="B7" s="8" t="s">
        <v>134</v>
      </c>
      <c r="D7" s="8" t="s">
        <v>175</v>
      </c>
      <c r="F7" s="8" t="s">
        <v>176</v>
      </c>
      <c r="H7" s="59">
        <v>2016</v>
      </c>
      <c r="I7" s="52">
        <v>2017</v>
      </c>
      <c r="J7" s="59">
        <v>2018</v>
      </c>
      <c r="K7" s="52">
        <v>2019</v>
      </c>
      <c r="L7" s="59">
        <v>2020</v>
      </c>
      <c r="M7" s="52">
        <v>2021</v>
      </c>
      <c r="N7" s="52">
        <v>2022</v>
      </c>
      <c r="O7" s="52">
        <v>2023</v>
      </c>
      <c r="P7" s="52">
        <v>2024</v>
      </c>
      <c r="Q7" s="52">
        <v>2025</v>
      </c>
      <c r="R7" s="52">
        <v>2026</v>
      </c>
      <c r="T7" s="8" t="s">
        <v>177</v>
      </c>
      <c r="V7" s="8" t="s">
        <v>178</v>
      </c>
    </row>
    <row r="9" spans="2:22" s="8" customFormat="1">
      <c r="B9" s="8" t="s">
        <v>420</v>
      </c>
    </row>
    <row r="11" spans="2:22">
      <c r="B11" s="3" t="s">
        <v>421</v>
      </c>
      <c r="D11" s="3" t="s">
        <v>183</v>
      </c>
      <c r="H11" s="10"/>
      <c r="I11" s="10"/>
      <c r="J11" s="10"/>
      <c r="K11" s="10"/>
      <c r="L11" s="10"/>
      <c r="M11" s="281">
        <v>921547613.75964785</v>
      </c>
      <c r="N11" s="281">
        <v>959485384.44049966</v>
      </c>
      <c r="O11" s="10"/>
      <c r="P11" s="10"/>
      <c r="Q11" s="10"/>
      <c r="R11" s="10"/>
      <c r="T11" s="3" t="s">
        <v>422</v>
      </c>
    </row>
    <row r="13" spans="2:22" s="8" customFormat="1">
      <c r="B13" s="8" t="s">
        <v>423</v>
      </c>
    </row>
    <row r="15" spans="2:22">
      <c r="B15" s="3" t="s">
        <v>424</v>
      </c>
      <c r="D15" s="3" t="s">
        <v>183</v>
      </c>
      <c r="H15" s="10"/>
      <c r="I15" s="10"/>
      <c r="J15" s="10"/>
      <c r="K15" s="10"/>
      <c r="L15" s="10"/>
      <c r="M15" s="10"/>
      <c r="N15" s="10"/>
      <c r="O15" s="281">
        <v>0</v>
      </c>
      <c r="P15" s="10"/>
      <c r="Q15" s="10"/>
      <c r="R15" s="10"/>
      <c r="T15" s="3" t="s">
        <v>425</v>
      </c>
    </row>
    <row r="16" spans="2:22">
      <c r="B16" s="3" t="s">
        <v>426</v>
      </c>
      <c r="D16" s="3" t="s">
        <v>183</v>
      </c>
      <c r="H16" s="10"/>
      <c r="I16" s="10"/>
      <c r="J16" s="10"/>
      <c r="K16" s="10"/>
      <c r="L16" s="10"/>
      <c r="M16" s="10"/>
      <c r="N16" s="10"/>
      <c r="O16" s="10"/>
      <c r="P16" s="178">
        <f>'19. Nacalculaties'!L72</f>
        <v>234818622.54864001</v>
      </c>
      <c r="Q16" s="10"/>
      <c r="R16" s="10"/>
      <c r="V16" s="3" t="s">
        <v>427</v>
      </c>
    </row>
    <row r="17" spans="2:22">
      <c r="B17" s="3" t="s">
        <v>1075</v>
      </c>
      <c r="D17" s="3" t="s">
        <v>183</v>
      </c>
      <c r="H17" s="10"/>
      <c r="I17" s="10"/>
      <c r="J17" s="10"/>
      <c r="K17" s="10"/>
      <c r="L17" s="10"/>
      <c r="M17" s="10"/>
      <c r="N17" s="10"/>
      <c r="O17" s="10"/>
      <c r="P17" s="267">
        <f>P16</f>
        <v>234818622.54864001</v>
      </c>
      <c r="Q17" s="10"/>
      <c r="R17" s="10"/>
    </row>
    <row r="18" spans="2:22">
      <c r="B18" s="3" t="s">
        <v>428</v>
      </c>
      <c r="D18" s="3" t="s">
        <v>183</v>
      </c>
      <c r="H18" s="10"/>
      <c r="I18" s="10"/>
      <c r="J18" s="10"/>
      <c r="K18" s="10"/>
      <c r="L18" s="10"/>
      <c r="M18" s="10"/>
      <c r="N18" s="10"/>
      <c r="O18" s="10"/>
      <c r="P18" s="267"/>
      <c r="Q18" s="10"/>
      <c r="R18" s="10"/>
    </row>
    <row r="20" spans="2:22" s="8" customFormat="1">
      <c r="B20" s="8" t="s">
        <v>429</v>
      </c>
    </row>
    <row r="22" spans="2:22">
      <c r="B22" s="3" t="s">
        <v>430</v>
      </c>
      <c r="D22" s="3" t="s">
        <v>183</v>
      </c>
      <c r="H22" s="10"/>
      <c r="I22" s="10"/>
      <c r="J22" s="10"/>
      <c r="K22" s="10"/>
      <c r="L22" s="10"/>
      <c r="M22" s="10"/>
      <c r="N22" s="176">
        <v>5268139756.0391312</v>
      </c>
      <c r="O22" s="176">
        <v>5115634665.0918875</v>
      </c>
      <c r="P22" s="176">
        <v>4980890118.9719696</v>
      </c>
      <c r="Q22" s="176">
        <v>4857675740.1304922</v>
      </c>
      <c r="R22" s="176">
        <v>4748752834.5466137</v>
      </c>
      <c r="T22" s="3" t="s">
        <v>431</v>
      </c>
    </row>
    <row r="23" spans="2:22">
      <c r="B23" s="3" t="s">
        <v>432</v>
      </c>
      <c r="D23" s="3" t="s">
        <v>183</v>
      </c>
      <c r="H23" s="10"/>
      <c r="I23" s="10"/>
      <c r="J23" s="10"/>
      <c r="K23" s="10"/>
      <c r="L23" s="10"/>
      <c r="M23" s="10"/>
      <c r="N23" s="176">
        <v>1236767462.5833061</v>
      </c>
      <c r="O23" s="176">
        <v>1207881645.0947828</v>
      </c>
      <c r="P23" s="176">
        <v>1182417569.8607492</v>
      </c>
      <c r="Q23" s="176">
        <v>1160937568.2311876</v>
      </c>
      <c r="R23" s="176">
        <v>1143786642.7114766</v>
      </c>
      <c r="T23" s="3" t="s">
        <v>431</v>
      </c>
    </row>
    <row r="24" spans="2:22">
      <c r="N24" s="97"/>
      <c r="O24" s="97"/>
      <c r="P24" s="97"/>
      <c r="Q24" s="97"/>
      <c r="R24" s="97"/>
    </row>
    <row r="25" spans="2:22" s="8" customFormat="1">
      <c r="B25" s="8" t="s">
        <v>433</v>
      </c>
    </row>
    <row r="26" spans="2:22">
      <c r="N26" s="97"/>
      <c r="O26" s="97"/>
      <c r="P26" s="97"/>
      <c r="Q26" s="97"/>
      <c r="R26" s="97"/>
    </row>
    <row r="27" spans="2:22">
      <c r="B27" s="3" t="s">
        <v>434</v>
      </c>
      <c r="H27" s="10"/>
      <c r="I27" s="281">
        <v>46141700.732850499</v>
      </c>
      <c r="J27" s="281">
        <v>60491853.149999999</v>
      </c>
      <c r="K27" s="281">
        <v>59941898.980000004</v>
      </c>
      <c r="L27" s="10"/>
      <c r="M27" s="10"/>
      <c r="N27" s="10"/>
      <c r="O27" s="10"/>
      <c r="P27" s="10"/>
      <c r="Q27" s="10"/>
      <c r="R27" s="10"/>
      <c r="T27" s="3" t="s">
        <v>431</v>
      </c>
    </row>
    <row r="28" spans="2:22">
      <c r="B28" s="3" t="s">
        <v>435</v>
      </c>
      <c r="H28" s="10"/>
      <c r="I28" s="281">
        <v>51772596.931449495</v>
      </c>
      <c r="J28" s="281">
        <v>57577907.726399995</v>
      </c>
      <c r="K28" s="281">
        <v>46608188.220100001</v>
      </c>
      <c r="L28" s="10"/>
      <c r="M28" s="10"/>
      <c r="N28" s="10"/>
      <c r="O28" s="10"/>
      <c r="P28" s="10"/>
      <c r="Q28" s="10"/>
      <c r="R28" s="10"/>
      <c r="T28" s="3" t="s">
        <v>431</v>
      </c>
    </row>
    <row r="30" spans="2:22" s="8" customFormat="1">
      <c r="B30" s="8" t="s">
        <v>1064</v>
      </c>
    </row>
    <row r="32" spans="2:22">
      <c r="B32" s="3" t="s">
        <v>1066</v>
      </c>
      <c r="H32" s="10"/>
      <c r="I32" s="10"/>
      <c r="J32" s="10"/>
      <c r="K32" s="10"/>
      <c r="L32" s="281">
        <v>2227061.457252</v>
      </c>
      <c r="M32" s="10"/>
      <c r="N32" s="10"/>
      <c r="O32" s="10"/>
      <c r="P32" s="10"/>
      <c r="Q32" s="10"/>
      <c r="R32" s="10"/>
      <c r="T32" s="3" t="s">
        <v>741</v>
      </c>
      <c r="V32" s="3" t="s">
        <v>1067</v>
      </c>
    </row>
    <row r="34" spans="2:20" s="8" customFormat="1">
      <c r="B34" s="8" t="s">
        <v>436</v>
      </c>
    </row>
    <row r="36" spans="2:20">
      <c r="B36" s="3" t="s">
        <v>437</v>
      </c>
      <c r="H36" s="10"/>
      <c r="I36" s="10"/>
      <c r="J36" s="10"/>
      <c r="K36" s="10"/>
      <c r="L36" s="10"/>
      <c r="M36" s="10"/>
      <c r="N36" s="176">
        <v>0</v>
      </c>
      <c r="O36" s="176">
        <v>0</v>
      </c>
      <c r="P36" s="10"/>
      <c r="Q36" s="10"/>
      <c r="R36" s="10"/>
      <c r="T36" s="3" t="s">
        <v>438</v>
      </c>
    </row>
    <row r="37" spans="2:20">
      <c r="B37" s="3" t="s">
        <v>439</v>
      </c>
      <c r="H37" s="10"/>
      <c r="I37" s="10"/>
      <c r="J37" s="10"/>
      <c r="K37" s="10"/>
      <c r="L37" s="10"/>
      <c r="M37" s="10"/>
      <c r="N37" s="176">
        <v>119072.05535743562</v>
      </c>
      <c r="O37" s="176">
        <v>43971.119724233969</v>
      </c>
      <c r="P37" s="10"/>
      <c r="Q37" s="10"/>
      <c r="R37" s="10"/>
      <c r="T37" s="3" t="s">
        <v>438</v>
      </c>
    </row>
    <row r="38" spans="2:20">
      <c r="B38" s="3" t="s">
        <v>440</v>
      </c>
      <c r="H38" s="10"/>
      <c r="I38" s="10"/>
      <c r="J38" s="10"/>
      <c r="K38" s="10"/>
      <c r="L38" s="10"/>
      <c r="M38" s="10"/>
      <c r="N38" s="176">
        <v>-2514124.5400079801</v>
      </c>
      <c r="O38" s="176">
        <v>-892610.16077459906</v>
      </c>
      <c r="P38" s="10"/>
      <c r="Q38" s="10"/>
      <c r="R38" s="10"/>
      <c r="T38" s="3" t="s">
        <v>438</v>
      </c>
    </row>
    <row r="39" spans="2:20">
      <c r="B39" s="3" t="s">
        <v>441</v>
      </c>
      <c r="H39" s="10"/>
      <c r="I39" s="10"/>
      <c r="J39" s="10"/>
      <c r="K39" s="10"/>
      <c r="L39" s="10"/>
      <c r="M39" s="10"/>
      <c r="N39" s="176">
        <v>-3840127.8443999998</v>
      </c>
      <c r="O39" s="176">
        <v>-7019622.9493739996</v>
      </c>
      <c r="P39" s="10"/>
      <c r="Q39" s="10"/>
      <c r="R39" s="10"/>
      <c r="T39" s="3" t="s">
        <v>438</v>
      </c>
    </row>
    <row r="40" spans="2:20">
      <c r="B40" s="3" t="s">
        <v>442</v>
      </c>
      <c r="H40" s="10"/>
      <c r="I40" s="10"/>
      <c r="J40" s="10"/>
      <c r="K40" s="10"/>
      <c r="L40" s="10"/>
      <c r="M40" s="10"/>
      <c r="N40" s="176">
        <v>-1510375</v>
      </c>
      <c r="O40" s="176">
        <v>-1091840.3578679999</v>
      </c>
      <c r="P40" s="10"/>
      <c r="Q40" s="10"/>
      <c r="R40" s="10"/>
      <c r="T40" s="3" t="s">
        <v>438</v>
      </c>
    </row>
    <row r="41" spans="2:20">
      <c r="B41" s="3" t="s">
        <v>443</v>
      </c>
      <c r="H41" s="10"/>
      <c r="I41" s="10"/>
      <c r="J41" s="10"/>
      <c r="K41" s="10"/>
      <c r="L41" s="10"/>
      <c r="M41" s="10"/>
      <c r="N41" s="176">
        <v>37459989.57773035</v>
      </c>
      <c r="O41" s="176">
        <v>94853547.603668377</v>
      </c>
      <c r="P41" s="10"/>
      <c r="Q41" s="10"/>
      <c r="R41" s="10"/>
      <c r="T41" s="3" t="s">
        <v>438</v>
      </c>
    </row>
    <row r="42" spans="2:20">
      <c r="B42" s="3" t="s">
        <v>444</v>
      </c>
      <c r="H42" s="10"/>
      <c r="I42" s="10"/>
      <c r="J42" s="10"/>
      <c r="K42" s="10"/>
      <c r="L42" s="10"/>
      <c r="M42" s="10"/>
      <c r="N42" s="176">
        <v>7429834.5300000003</v>
      </c>
      <c r="O42" s="176">
        <v>22739593.510152001</v>
      </c>
      <c r="P42" s="10"/>
      <c r="Q42" s="10"/>
      <c r="R42" s="10"/>
      <c r="T42" s="3" t="s">
        <v>438</v>
      </c>
    </row>
    <row r="43" spans="2:20">
      <c r="B43" s="3" t="s">
        <v>445</v>
      </c>
      <c r="H43" s="10"/>
      <c r="I43" s="10"/>
      <c r="J43" s="10"/>
      <c r="K43" s="10"/>
      <c r="L43" s="10"/>
      <c r="M43" s="10"/>
      <c r="N43" s="176">
        <v>-6987581.421986118</v>
      </c>
      <c r="O43" s="176">
        <v>-26590510.266268313</v>
      </c>
      <c r="P43" s="10"/>
      <c r="Q43" s="10"/>
      <c r="R43" s="10"/>
      <c r="T43" s="3" t="s">
        <v>438</v>
      </c>
    </row>
    <row r="44" spans="2:20">
      <c r="B44" s="3" t="s">
        <v>446</v>
      </c>
      <c r="H44" s="10"/>
      <c r="I44" s="10"/>
      <c r="J44" s="10"/>
      <c r="K44" s="10"/>
      <c r="L44" s="10"/>
      <c r="M44" s="10"/>
      <c r="N44" s="176">
        <v>-651743.81498073554</v>
      </c>
      <c r="O44" s="176">
        <v>-2713634.922561896</v>
      </c>
      <c r="P44" s="10"/>
      <c r="Q44" s="10"/>
      <c r="R44" s="10"/>
      <c r="T44" s="3" t="s">
        <v>438</v>
      </c>
    </row>
    <row r="45" spans="2:20">
      <c r="B45" s="3" t="s">
        <v>447</v>
      </c>
      <c r="H45" s="10"/>
      <c r="I45" s="10"/>
      <c r="J45" s="10"/>
      <c r="K45" s="10"/>
      <c r="L45" s="10"/>
      <c r="M45" s="10"/>
      <c r="N45" s="176">
        <v>109745.32379785551</v>
      </c>
      <c r="O45" s="207" t="s">
        <v>7</v>
      </c>
      <c r="P45" s="10"/>
      <c r="Q45" s="10"/>
      <c r="R45" s="10"/>
      <c r="T45" s="3" t="s">
        <v>438</v>
      </c>
    </row>
    <row r="46" spans="2:20">
      <c r="B46" s="3" t="s">
        <v>448</v>
      </c>
      <c r="H46" s="10"/>
      <c r="I46" s="10"/>
      <c r="J46" s="10"/>
      <c r="K46" s="10"/>
      <c r="L46" s="10"/>
      <c r="M46" s="10"/>
      <c r="N46" s="176">
        <v>0</v>
      </c>
      <c r="O46" s="176">
        <v>-6549650.450141957</v>
      </c>
      <c r="P46" s="10"/>
      <c r="Q46" s="10"/>
      <c r="R46" s="10"/>
      <c r="T46" s="3" t="s">
        <v>438</v>
      </c>
    </row>
  </sheetData>
  <mergeCells count="1">
    <mergeCell ref="B5:D5"/>
  </mergeCells>
  <phoneticPr fontId="4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125"/>
  <sheetViews>
    <sheetView showGridLines="0" zoomScale="90" zoomScaleNormal="90" workbookViewId="0"/>
  </sheetViews>
  <sheetFormatPr defaultColWidth="13.7109375" defaultRowHeight="12.75"/>
  <cols>
    <col min="1" max="1" width="2.7109375" style="3" customWidth="1"/>
    <col min="2" max="2" width="75.5703125" style="3" customWidth="1"/>
    <col min="3" max="3" width="2.7109375" style="3" customWidth="1"/>
    <col min="4" max="4" width="30.5703125" style="3" customWidth="1"/>
    <col min="5" max="5" width="15.7109375" style="3" customWidth="1"/>
    <col min="6" max="16384" width="13.7109375" style="3"/>
  </cols>
  <sheetData>
    <row r="2" spans="1:10" s="12" customFormat="1" ht="18">
      <c r="B2" s="12" t="s">
        <v>449</v>
      </c>
    </row>
    <row r="4" spans="1:10">
      <c r="B4" s="16" t="s">
        <v>253</v>
      </c>
    </row>
    <row r="5" spans="1:10" ht="55.5" customHeight="1">
      <c r="B5" s="322" t="s">
        <v>450</v>
      </c>
      <c r="C5" s="322"/>
      <c r="D5" s="322"/>
      <c r="E5" s="322"/>
    </row>
    <row r="7" spans="1:10" s="8" customFormat="1">
      <c r="A7" s="161"/>
      <c r="B7" s="8" t="s">
        <v>134</v>
      </c>
      <c r="F7" s="52"/>
      <c r="G7" s="52"/>
    </row>
    <row r="8" spans="1:10" s="54" customFormat="1"/>
    <row r="9" spans="1:10" s="145" customFormat="1">
      <c r="A9" s="263"/>
      <c r="B9" s="145" t="s">
        <v>451</v>
      </c>
      <c r="D9" s="145" t="s">
        <v>452</v>
      </c>
      <c r="F9" s="8" t="s">
        <v>177</v>
      </c>
    </row>
    <row r="10" spans="1:10" s="54" customFormat="1"/>
    <row r="11" spans="1:10">
      <c r="B11" s="101" cm="1">
        <f t="array" ref="B11:B102">'11. Desinvesteringen'!B335:B426</f>
        <v>316</v>
      </c>
      <c r="D11" s="268">
        <v>0</v>
      </c>
      <c r="F11" s="3" t="s">
        <v>453</v>
      </c>
      <c r="J11" s="97"/>
    </row>
    <row r="12" spans="1:10">
      <c r="B12" s="101">
        <v>317</v>
      </c>
      <c r="D12" s="268">
        <v>0</v>
      </c>
      <c r="F12" s="3" t="s">
        <v>453</v>
      </c>
      <c r="J12" s="97"/>
    </row>
    <row r="13" spans="1:10">
      <c r="B13" s="101">
        <v>318</v>
      </c>
      <c r="D13" s="268">
        <v>0</v>
      </c>
      <c r="F13" s="3" t="s">
        <v>453</v>
      </c>
      <c r="J13" s="97"/>
    </row>
    <row r="14" spans="1:10">
      <c r="B14" s="101">
        <v>319</v>
      </c>
      <c r="D14" s="268">
        <v>0</v>
      </c>
      <c r="F14" s="3" t="s">
        <v>453</v>
      </c>
      <c r="J14" s="97"/>
    </row>
    <row r="15" spans="1:10">
      <c r="B15" s="101">
        <v>320</v>
      </c>
      <c r="D15" s="268">
        <v>0</v>
      </c>
      <c r="F15" s="3" t="s">
        <v>453</v>
      </c>
      <c r="J15" s="97"/>
    </row>
    <row r="16" spans="1:10">
      <c r="B16" s="101">
        <v>321</v>
      </c>
      <c r="D16" s="268">
        <v>0</v>
      </c>
      <c r="F16" s="3" t="s">
        <v>453</v>
      </c>
      <c r="J16" s="97"/>
    </row>
    <row r="17" spans="2:10">
      <c r="B17" s="101">
        <v>322</v>
      </c>
      <c r="D17" s="268">
        <v>0</v>
      </c>
      <c r="F17" s="3" t="s">
        <v>453</v>
      </c>
      <c r="J17" s="97"/>
    </row>
    <row r="18" spans="2:10">
      <c r="B18" s="101">
        <v>323</v>
      </c>
      <c r="D18" s="157">
        <v>4800.0618690721003</v>
      </c>
      <c r="F18" s="3" t="s">
        <v>453</v>
      </c>
      <c r="J18" s="97"/>
    </row>
    <row r="19" spans="2:10">
      <c r="B19" s="101">
        <v>324</v>
      </c>
      <c r="D19" s="157">
        <v>7362.4523493487277</v>
      </c>
      <c r="F19" s="3" t="s">
        <v>453</v>
      </c>
      <c r="J19" s="97"/>
    </row>
    <row r="20" spans="2:10">
      <c r="B20" s="101">
        <v>325</v>
      </c>
      <c r="D20" s="157">
        <v>19106.465971183679</v>
      </c>
      <c r="F20" s="3" t="s">
        <v>453</v>
      </c>
      <c r="J20" s="97"/>
    </row>
    <row r="21" spans="2:10">
      <c r="B21" s="101">
        <v>326</v>
      </c>
      <c r="D21" s="157">
        <v>34361.047919882221</v>
      </c>
      <c r="F21" s="3" t="s">
        <v>453</v>
      </c>
      <c r="J21" s="97"/>
    </row>
    <row r="22" spans="2:10">
      <c r="B22" s="101">
        <v>327</v>
      </c>
      <c r="D22" s="157">
        <v>24689.78297700132</v>
      </c>
      <c r="F22" s="3" t="s">
        <v>453</v>
      </c>
      <c r="J22" s="97"/>
    </row>
    <row r="23" spans="2:10">
      <c r="B23" s="101">
        <v>328</v>
      </c>
      <c r="D23" s="157">
        <v>84795.96142136406</v>
      </c>
      <c r="F23" s="3" t="s">
        <v>453</v>
      </c>
      <c r="J23" s="97"/>
    </row>
    <row r="24" spans="2:10" ht="12" customHeight="1">
      <c r="B24" s="101">
        <v>329</v>
      </c>
      <c r="D24" s="157">
        <v>73143.543504977206</v>
      </c>
      <c r="F24" s="3" t="s">
        <v>453</v>
      </c>
      <c r="J24" s="97"/>
    </row>
    <row r="25" spans="2:10">
      <c r="B25" s="101">
        <v>330</v>
      </c>
      <c r="D25" s="157">
        <v>28650.688160986421</v>
      </c>
      <c r="F25" s="3" t="s">
        <v>453</v>
      </c>
      <c r="J25" s="97"/>
    </row>
    <row r="26" spans="2:10">
      <c r="B26" s="101">
        <v>331</v>
      </c>
      <c r="D26" s="157">
        <v>22915.340357348177</v>
      </c>
      <c r="F26" s="3" t="s">
        <v>453</v>
      </c>
      <c r="J26" s="97"/>
    </row>
    <row r="27" spans="2:10">
      <c r="B27" s="101">
        <v>332</v>
      </c>
      <c r="D27" s="157">
        <v>52322.526677778427</v>
      </c>
      <c r="F27" s="3" t="s">
        <v>453</v>
      </c>
      <c r="J27" s="97"/>
    </row>
    <row r="28" spans="2:10">
      <c r="B28" s="101">
        <v>333</v>
      </c>
      <c r="D28" s="157">
        <v>22168.241432612802</v>
      </c>
      <c r="F28" s="3" t="s">
        <v>453</v>
      </c>
      <c r="J28" s="97"/>
    </row>
    <row r="29" spans="2:10">
      <c r="B29" s="101">
        <v>334</v>
      </c>
      <c r="D29" s="157">
        <v>74293.951826154895</v>
      </c>
      <c r="F29" s="3" t="s">
        <v>453</v>
      </c>
      <c r="J29" s="97"/>
    </row>
    <row r="30" spans="2:10">
      <c r="B30" s="101">
        <v>335</v>
      </c>
      <c r="D30" s="157">
        <v>357.48421114725051</v>
      </c>
      <c r="F30" s="3" t="s">
        <v>453</v>
      </c>
      <c r="J30" s="97"/>
    </row>
    <row r="31" spans="2:10">
      <c r="B31" s="101">
        <v>336</v>
      </c>
      <c r="D31" s="157">
        <v>38915.650783577308</v>
      </c>
      <c r="F31" s="3" t="s">
        <v>453</v>
      </c>
      <c r="J31" s="97"/>
    </row>
    <row r="32" spans="2:10">
      <c r="B32" s="101">
        <v>337</v>
      </c>
      <c r="D32" s="157">
        <v>22545.342886393813</v>
      </c>
      <c r="F32" s="3" t="s">
        <v>453</v>
      </c>
      <c r="J32" s="97"/>
    </row>
    <row r="33" spans="2:10">
      <c r="B33" s="101">
        <v>338</v>
      </c>
      <c r="D33" s="157">
        <v>91128.347042326975</v>
      </c>
      <c r="F33" s="3" t="s">
        <v>453</v>
      </c>
      <c r="J33" s="97"/>
    </row>
    <row r="34" spans="2:10">
      <c r="B34" s="101">
        <v>339</v>
      </c>
      <c r="D34" s="157">
        <v>19475.506076320318</v>
      </c>
      <c r="F34" s="3" t="s">
        <v>453</v>
      </c>
      <c r="J34" s="97"/>
    </row>
    <row r="35" spans="2:10">
      <c r="B35" s="101">
        <v>340</v>
      </c>
      <c r="D35" s="157">
        <v>4265.7894840755598</v>
      </c>
      <c r="F35" s="3" t="s">
        <v>453</v>
      </c>
      <c r="J35" s="97"/>
    </row>
    <row r="36" spans="2:10">
      <c r="B36" s="101">
        <v>341</v>
      </c>
      <c r="D36" s="157">
        <v>6065.0353725967525</v>
      </c>
      <c r="F36" s="3" t="s">
        <v>453</v>
      </c>
      <c r="J36" s="97"/>
    </row>
    <row r="37" spans="2:10">
      <c r="B37" s="101">
        <v>342</v>
      </c>
      <c r="D37" s="157">
        <v>3963.0132452867715</v>
      </c>
      <c r="F37" s="3" t="s">
        <v>453</v>
      </c>
      <c r="J37" s="97"/>
    </row>
    <row r="38" spans="2:10">
      <c r="B38" s="101">
        <v>343</v>
      </c>
      <c r="D38" s="157">
        <v>99386.826026262308</v>
      </c>
      <c r="F38" s="3" t="s">
        <v>453</v>
      </c>
      <c r="J38" s="97"/>
    </row>
    <row r="39" spans="2:10">
      <c r="B39" s="101">
        <v>344</v>
      </c>
      <c r="D39" s="157">
        <v>21724.935672167638</v>
      </c>
      <c r="F39" s="3" t="s">
        <v>453</v>
      </c>
      <c r="J39" s="97"/>
    </row>
    <row r="40" spans="2:10">
      <c r="B40" s="101">
        <v>345</v>
      </c>
      <c r="D40" s="157">
        <v>354150.64233630133</v>
      </c>
      <c r="F40" s="3" t="s">
        <v>453</v>
      </c>
      <c r="J40" s="97"/>
    </row>
    <row r="41" spans="2:10">
      <c r="B41" s="101">
        <v>346</v>
      </c>
      <c r="D41" s="157">
        <v>152476.71374613314</v>
      </c>
      <c r="F41" s="3" t="s">
        <v>453</v>
      </c>
      <c r="J41" s="97"/>
    </row>
    <row r="42" spans="2:10">
      <c r="B42" s="101">
        <v>347</v>
      </c>
      <c r="D42" s="157">
        <v>56089.001773568591</v>
      </c>
      <c r="F42" s="3" t="s">
        <v>453</v>
      </c>
      <c r="J42" s="97"/>
    </row>
    <row r="43" spans="2:10">
      <c r="B43" s="101">
        <v>348</v>
      </c>
      <c r="D43" s="157">
        <v>89195.270846924876</v>
      </c>
      <c r="F43" s="3" t="s">
        <v>453</v>
      </c>
      <c r="J43" s="97"/>
    </row>
    <row r="44" spans="2:10">
      <c r="B44" s="101">
        <v>349</v>
      </c>
      <c r="D44" s="157">
        <v>160239.08891040052</v>
      </c>
      <c r="F44" s="3" t="s">
        <v>453</v>
      </c>
      <c r="J44" s="97"/>
    </row>
    <row r="45" spans="2:10">
      <c r="B45" s="101">
        <v>350</v>
      </c>
      <c r="D45" s="268">
        <v>0</v>
      </c>
      <c r="F45" s="3" t="s">
        <v>453</v>
      </c>
      <c r="J45" s="97"/>
    </row>
    <row r="46" spans="2:10">
      <c r="B46" s="101">
        <v>351</v>
      </c>
      <c r="D46" s="268">
        <v>0</v>
      </c>
      <c r="F46" s="3" t="s">
        <v>453</v>
      </c>
      <c r="J46" s="97"/>
    </row>
    <row r="47" spans="2:10">
      <c r="B47" s="101">
        <v>352</v>
      </c>
      <c r="D47" s="268">
        <v>0</v>
      </c>
      <c r="F47" s="3" t="s">
        <v>453</v>
      </c>
      <c r="J47" s="97"/>
    </row>
    <row r="48" spans="2:10">
      <c r="B48" s="101">
        <v>353</v>
      </c>
      <c r="D48" s="268">
        <v>0</v>
      </c>
      <c r="F48" s="3" t="s">
        <v>453</v>
      </c>
      <c r="J48" s="97"/>
    </row>
    <row r="49" spans="2:10">
      <c r="B49" s="101">
        <v>354</v>
      </c>
      <c r="D49" s="268">
        <v>0</v>
      </c>
      <c r="F49" s="3" t="s">
        <v>453</v>
      </c>
      <c r="J49" s="97"/>
    </row>
    <row r="50" spans="2:10">
      <c r="B50" s="101">
        <v>355</v>
      </c>
      <c r="D50" s="268">
        <v>0</v>
      </c>
      <c r="F50" s="3" t="s">
        <v>453</v>
      </c>
      <c r="J50" s="97"/>
    </row>
    <row r="51" spans="2:10">
      <c r="B51" s="101">
        <v>356</v>
      </c>
      <c r="D51" s="268">
        <v>0</v>
      </c>
      <c r="F51" s="3" t="s">
        <v>453</v>
      </c>
      <c r="J51" s="97"/>
    </row>
    <row r="52" spans="2:10">
      <c r="B52" s="101">
        <v>357</v>
      </c>
      <c r="D52" s="268">
        <v>0</v>
      </c>
      <c r="F52" s="3" t="s">
        <v>453</v>
      </c>
      <c r="J52" s="97"/>
    </row>
    <row r="53" spans="2:10">
      <c r="B53" s="101">
        <v>358</v>
      </c>
      <c r="D53" s="268">
        <v>0</v>
      </c>
      <c r="F53" s="3" t="s">
        <v>453</v>
      </c>
      <c r="J53" s="97"/>
    </row>
    <row r="54" spans="2:10">
      <c r="B54" s="101">
        <v>359</v>
      </c>
      <c r="D54" s="268">
        <v>0</v>
      </c>
      <c r="F54" s="3" t="s">
        <v>453</v>
      </c>
      <c r="J54" s="97"/>
    </row>
    <row r="55" spans="2:10">
      <c r="B55" s="101">
        <v>360</v>
      </c>
      <c r="D55" s="268">
        <v>0</v>
      </c>
      <c r="F55" s="3" t="s">
        <v>453</v>
      </c>
      <c r="J55" s="97"/>
    </row>
    <row r="56" spans="2:10">
      <c r="B56" s="101">
        <v>361</v>
      </c>
      <c r="D56" s="268">
        <v>0</v>
      </c>
      <c r="F56" s="3" t="s">
        <v>453</v>
      </c>
      <c r="J56" s="97"/>
    </row>
    <row r="57" spans="2:10">
      <c r="B57" s="101">
        <v>362</v>
      </c>
      <c r="D57" s="268">
        <v>0</v>
      </c>
      <c r="F57" s="3" t="s">
        <v>453</v>
      </c>
      <c r="J57" s="97"/>
    </row>
    <row r="58" spans="2:10">
      <c r="B58" s="101">
        <v>363</v>
      </c>
      <c r="D58" s="268">
        <v>0</v>
      </c>
      <c r="F58" s="3" t="s">
        <v>453</v>
      </c>
      <c r="J58" s="97"/>
    </row>
    <row r="59" spans="2:10">
      <c r="B59" s="101">
        <v>364</v>
      </c>
      <c r="D59" s="268">
        <v>0</v>
      </c>
      <c r="F59" s="3" t="s">
        <v>453</v>
      </c>
      <c r="J59" s="97"/>
    </row>
    <row r="60" spans="2:10">
      <c r="B60" s="101">
        <v>365</v>
      </c>
      <c r="D60" s="268">
        <v>0</v>
      </c>
      <c r="F60" s="3" t="s">
        <v>453</v>
      </c>
      <c r="J60" s="97"/>
    </row>
    <row r="61" spans="2:10">
      <c r="B61" s="101">
        <v>366</v>
      </c>
      <c r="D61" s="268">
        <v>0</v>
      </c>
      <c r="F61" s="3" t="s">
        <v>453</v>
      </c>
      <c r="J61" s="97"/>
    </row>
    <row r="62" spans="2:10">
      <c r="B62" s="101">
        <v>367</v>
      </c>
      <c r="D62" s="268">
        <v>0</v>
      </c>
      <c r="F62" s="3" t="s">
        <v>453</v>
      </c>
      <c r="J62" s="97"/>
    </row>
    <row r="63" spans="2:10">
      <c r="B63" s="101">
        <v>368</v>
      </c>
      <c r="D63" s="268">
        <v>0</v>
      </c>
      <c r="F63" s="3" t="s">
        <v>453</v>
      </c>
      <c r="J63" s="97"/>
    </row>
    <row r="64" spans="2:10">
      <c r="B64" s="101">
        <v>369</v>
      </c>
      <c r="D64" s="268">
        <v>0</v>
      </c>
      <c r="F64" s="3" t="s">
        <v>453</v>
      </c>
      <c r="J64" s="97"/>
    </row>
    <row r="65" spans="2:10">
      <c r="B65" s="101">
        <v>370</v>
      </c>
      <c r="D65" s="268">
        <v>0</v>
      </c>
      <c r="F65" s="3" t="s">
        <v>453</v>
      </c>
      <c r="J65" s="97"/>
    </row>
    <row r="66" spans="2:10">
      <c r="B66" s="101">
        <v>371</v>
      </c>
      <c r="D66" s="157">
        <v>646.89002615775189</v>
      </c>
      <c r="F66" s="3" t="s">
        <v>453</v>
      </c>
      <c r="J66" s="97"/>
    </row>
    <row r="67" spans="2:10">
      <c r="B67" s="101">
        <v>372</v>
      </c>
      <c r="D67" s="157">
        <v>1357.7574875549008</v>
      </c>
      <c r="F67" s="3" t="s">
        <v>453</v>
      </c>
      <c r="J67" s="97"/>
    </row>
    <row r="68" spans="2:10">
      <c r="B68" s="101">
        <v>373</v>
      </c>
      <c r="D68" s="157">
        <v>7195.5569834638591</v>
      </c>
      <c r="F68" s="3" t="s">
        <v>453</v>
      </c>
      <c r="J68" s="97"/>
    </row>
    <row r="69" spans="2:10">
      <c r="B69" s="101">
        <v>374</v>
      </c>
      <c r="D69" s="157">
        <v>11931.605633190833</v>
      </c>
      <c r="F69" s="3" t="s">
        <v>453</v>
      </c>
      <c r="J69" s="97"/>
    </row>
    <row r="70" spans="2:10">
      <c r="B70" s="101">
        <v>375</v>
      </c>
      <c r="D70" s="157">
        <v>4008.6360537194205</v>
      </c>
      <c r="F70" s="3" t="s">
        <v>453</v>
      </c>
      <c r="J70" s="97"/>
    </row>
    <row r="71" spans="2:10">
      <c r="B71" s="101">
        <v>376</v>
      </c>
      <c r="D71" s="157">
        <v>4682.8462589200817</v>
      </c>
      <c r="F71" s="3" t="s">
        <v>453</v>
      </c>
      <c r="J71" s="97"/>
    </row>
    <row r="72" spans="2:10">
      <c r="B72" s="101">
        <v>377</v>
      </c>
      <c r="D72" s="157">
        <v>4626.8552263726942</v>
      </c>
      <c r="F72" s="3" t="s">
        <v>453</v>
      </c>
      <c r="J72" s="97"/>
    </row>
    <row r="73" spans="2:10">
      <c r="B73" s="101">
        <v>378</v>
      </c>
      <c r="D73" s="157">
        <v>4611.6740310663999</v>
      </c>
      <c r="F73" s="3" t="s">
        <v>453</v>
      </c>
      <c r="J73" s="97"/>
    </row>
    <row r="74" spans="2:10">
      <c r="B74" s="101">
        <v>379</v>
      </c>
      <c r="D74" s="157">
        <v>19084.802391040361</v>
      </c>
      <c r="F74" s="3" t="s">
        <v>453</v>
      </c>
      <c r="J74" s="97"/>
    </row>
    <row r="75" spans="2:10">
      <c r="B75" s="101">
        <v>380</v>
      </c>
      <c r="D75" s="157">
        <v>7912.0882258856245</v>
      </c>
      <c r="F75" s="3" t="s">
        <v>453</v>
      </c>
      <c r="J75" s="97"/>
    </row>
    <row r="76" spans="2:10">
      <c r="B76" s="101">
        <v>381</v>
      </c>
      <c r="D76" s="157">
        <v>204757.05379307119</v>
      </c>
      <c r="F76" s="3" t="s">
        <v>453</v>
      </c>
      <c r="J76" s="97"/>
    </row>
    <row r="77" spans="2:10">
      <c r="B77" s="101">
        <v>382</v>
      </c>
      <c r="D77" s="157">
        <v>114014.92388584625</v>
      </c>
      <c r="F77" s="3" t="s">
        <v>453</v>
      </c>
      <c r="J77" s="97"/>
    </row>
    <row r="78" spans="2:10">
      <c r="B78" s="101">
        <v>383</v>
      </c>
      <c r="D78" s="157">
        <v>32772.828513993481</v>
      </c>
      <c r="F78" s="3" t="s">
        <v>453</v>
      </c>
      <c r="J78" s="97"/>
    </row>
    <row r="79" spans="2:10">
      <c r="B79" s="101">
        <v>384</v>
      </c>
      <c r="D79" s="268">
        <v>0</v>
      </c>
      <c r="F79" s="3" t="s">
        <v>453</v>
      </c>
      <c r="J79" s="97"/>
    </row>
    <row r="80" spans="2:10">
      <c r="B80" s="101">
        <v>385</v>
      </c>
      <c r="D80" s="268">
        <v>0</v>
      </c>
      <c r="F80" s="3" t="s">
        <v>453</v>
      </c>
      <c r="J80" s="97"/>
    </row>
    <row r="81" spans="2:10">
      <c r="B81" s="101">
        <v>386</v>
      </c>
      <c r="D81" s="268">
        <v>0</v>
      </c>
      <c r="F81" s="3" t="s">
        <v>453</v>
      </c>
      <c r="J81" s="97"/>
    </row>
    <row r="82" spans="2:10">
      <c r="B82" s="101">
        <v>387</v>
      </c>
      <c r="D82" s="268">
        <v>0</v>
      </c>
      <c r="F82" s="3" t="s">
        <v>453</v>
      </c>
      <c r="J82" s="97"/>
    </row>
    <row r="83" spans="2:10">
      <c r="B83" s="101">
        <v>388</v>
      </c>
      <c r="D83" s="157">
        <v>4540.0402775800039</v>
      </c>
      <c r="F83" s="3" t="s">
        <v>453</v>
      </c>
      <c r="J83" s="97"/>
    </row>
    <row r="84" spans="2:10">
      <c r="B84" s="101">
        <v>389</v>
      </c>
      <c r="D84" s="157">
        <v>89847.095733059148</v>
      </c>
      <c r="F84" s="3" t="s">
        <v>453</v>
      </c>
      <c r="J84" s="97"/>
    </row>
    <row r="85" spans="2:10">
      <c r="B85" s="101">
        <v>390</v>
      </c>
      <c r="D85" s="268">
        <v>0</v>
      </c>
      <c r="F85" s="3" t="s">
        <v>453</v>
      </c>
      <c r="J85" s="97"/>
    </row>
    <row r="86" spans="2:10">
      <c r="B86" s="101">
        <v>391</v>
      </c>
      <c r="D86" s="157">
        <v>614953.64546122367</v>
      </c>
      <c r="F86" s="3" t="s">
        <v>453</v>
      </c>
      <c r="J86" s="97"/>
    </row>
    <row r="87" spans="2:10">
      <c r="B87" s="101">
        <v>392</v>
      </c>
      <c r="D87" s="157">
        <v>61437.139832305947</v>
      </c>
      <c r="F87" s="3" t="s">
        <v>453</v>
      </c>
      <c r="J87" s="97"/>
    </row>
    <row r="88" spans="2:10">
      <c r="B88" s="101">
        <v>393</v>
      </c>
      <c r="D88" s="268">
        <v>0</v>
      </c>
      <c r="F88" s="3" t="s">
        <v>453</v>
      </c>
      <c r="J88" s="97"/>
    </row>
    <row r="89" spans="2:10">
      <c r="B89" s="101">
        <v>394</v>
      </c>
      <c r="D89" s="157">
        <v>27710.301790765967</v>
      </c>
      <c r="F89" s="3" t="s">
        <v>453</v>
      </c>
      <c r="J89" s="97"/>
    </row>
    <row r="90" spans="2:10">
      <c r="B90" s="101">
        <v>395</v>
      </c>
      <c r="D90" s="157">
        <v>9353.7976978691713</v>
      </c>
      <c r="F90" s="3" t="s">
        <v>453</v>
      </c>
      <c r="J90" s="97"/>
    </row>
    <row r="91" spans="2:10">
      <c r="B91" s="101">
        <v>396</v>
      </c>
      <c r="D91" s="157">
        <v>27670.188323616749</v>
      </c>
      <c r="F91" s="3" t="s">
        <v>453</v>
      </c>
      <c r="J91" s="97"/>
    </row>
    <row r="92" spans="2:10">
      <c r="B92" s="101">
        <v>397</v>
      </c>
      <c r="D92" s="157">
        <v>65069.242178936642</v>
      </c>
      <c r="F92" s="3" t="s">
        <v>453</v>
      </c>
      <c r="J92" s="97"/>
    </row>
    <row r="93" spans="2:10">
      <c r="B93" s="101">
        <v>398</v>
      </c>
      <c r="D93" s="268">
        <v>0</v>
      </c>
      <c r="F93" s="3" t="s">
        <v>453</v>
      </c>
      <c r="J93" s="97"/>
    </row>
    <row r="94" spans="2:10">
      <c r="B94" s="101">
        <v>399</v>
      </c>
      <c r="D94" s="268">
        <v>0</v>
      </c>
      <c r="F94" s="3" t="s">
        <v>453</v>
      </c>
      <c r="J94" s="97"/>
    </row>
    <row r="95" spans="2:10">
      <c r="B95" s="101">
        <v>400</v>
      </c>
      <c r="D95" s="268">
        <v>0</v>
      </c>
      <c r="F95" s="3" t="s">
        <v>453</v>
      </c>
      <c r="J95" s="97"/>
    </row>
    <row r="96" spans="2:10">
      <c r="B96" s="101">
        <v>401</v>
      </c>
      <c r="D96" s="268">
        <v>0</v>
      </c>
      <c r="F96" s="3" t="s">
        <v>453</v>
      </c>
      <c r="J96" s="97"/>
    </row>
    <row r="97" spans="2:10">
      <c r="B97" s="101">
        <v>402</v>
      </c>
      <c r="D97" s="268">
        <v>0</v>
      </c>
      <c r="F97" s="3" t="s">
        <v>453</v>
      </c>
      <c r="J97" s="97"/>
    </row>
    <row r="98" spans="2:10">
      <c r="B98" s="101">
        <v>403</v>
      </c>
      <c r="D98" s="268">
        <v>0</v>
      </c>
      <c r="F98" s="3" t="s">
        <v>453</v>
      </c>
      <c r="J98" s="97"/>
    </row>
    <row r="99" spans="2:10">
      <c r="B99" s="101">
        <v>404</v>
      </c>
      <c r="D99" s="268">
        <v>0</v>
      </c>
      <c r="F99" s="3" t="s">
        <v>453</v>
      </c>
      <c r="J99" s="97"/>
    </row>
    <row r="100" spans="2:10">
      <c r="B100" s="101">
        <v>405</v>
      </c>
      <c r="D100" s="157">
        <v>3006.4882057138966</v>
      </c>
      <c r="F100" s="3" t="s">
        <v>453</v>
      </c>
      <c r="J100" s="97"/>
    </row>
    <row r="101" spans="2:10">
      <c r="B101" s="101">
        <v>406</v>
      </c>
      <c r="D101" s="157">
        <v>303439.87492153718</v>
      </c>
      <c r="F101" s="3" t="s">
        <v>453</v>
      </c>
      <c r="J101" s="97"/>
    </row>
    <row r="102" spans="2:10">
      <c r="B102" s="101">
        <v>407</v>
      </c>
      <c r="D102" s="268">
        <v>0</v>
      </c>
      <c r="F102" s="3" t="s">
        <v>453</v>
      </c>
      <c r="J102" s="97"/>
    </row>
    <row r="103" spans="2:10">
      <c r="D103" s="179"/>
      <c r="J103" s="97"/>
    </row>
    <row r="104" spans="2:10">
      <c r="D104" s="179"/>
      <c r="J104" s="97"/>
    </row>
    <row r="105" spans="2:10">
      <c r="D105" s="179"/>
      <c r="J105" s="97"/>
    </row>
    <row r="106" spans="2:10">
      <c r="D106" s="179"/>
      <c r="J106" s="97"/>
    </row>
    <row r="107" spans="2:10">
      <c r="D107" s="179"/>
      <c r="J107" s="97"/>
    </row>
    <row r="108" spans="2:10">
      <c r="D108" s="179"/>
      <c r="J108" s="97"/>
    </row>
    <row r="109" spans="2:10">
      <c r="D109" s="179"/>
      <c r="J109" s="97"/>
    </row>
    <row r="110" spans="2:10">
      <c r="D110" s="179"/>
      <c r="J110" s="97"/>
    </row>
    <row r="111" spans="2:10">
      <c r="D111" s="179"/>
    </row>
    <row r="112" spans="2:10">
      <c r="D112" s="179"/>
    </row>
    <row r="113" spans="4:4">
      <c r="D113" s="179"/>
    </row>
    <row r="114" spans="4:4">
      <c r="D114" s="179"/>
    </row>
    <row r="115" spans="4:4">
      <c r="D115" s="179"/>
    </row>
    <row r="116" spans="4:4">
      <c r="D116" s="179"/>
    </row>
    <row r="117" spans="4:4">
      <c r="D117" s="179"/>
    </row>
    <row r="118" spans="4:4">
      <c r="D118" s="179"/>
    </row>
    <row r="119" spans="4:4">
      <c r="D119" s="179"/>
    </row>
    <row r="120" spans="4:4">
      <c r="D120" s="179"/>
    </row>
    <row r="121" spans="4:4">
      <c r="D121" s="179"/>
    </row>
    <row r="122" spans="4:4">
      <c r="D122" s="179"/>
    </row>
    <row r="123" spans="4:4">
      <c r="D123" s="179"/>
    </row>
    <row r="124" spans="4:4">
      <c r="D124" s="179"/>
    </row>
    <row r="125" spans="4:4">
      <c r="D125" s="179"/>
    </row>
  </sheetData>
  <mergeCells count="1">
    <mergeCell ref="B5:E5"/>
  </mergeCells>
  <phoneticPr fontId="4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VYM6E4WDAQJW-152829890-162</_dlc_DocId>
    <_dlc_DocIdUrl xmlns="0009d3ae-0f9e-47be-ae31-9d6cd8b104c4">
      <Url>https://gasunie.sharepoint.com/sites/20190841/_layouts/15/DocIdRedir.aspx?ID=VYM6E4WDAQJW-152829890-162</Url>
      <Description>VYM6E4WDAQJW-152829890-162</Description>
    </_dlc_DocIdUrl>
  </documentManagement>
</p:properties>
</file>

<file path=customXml/item2.xml>��< ? x m l   v e r s i o n = " 1 . 0 "   e n c o d i n g = " u t f - 1 6 " ? > < D a t a M a s h u p   s q m i d = " e e 5 b 4 3 f 7 - 4 1 8 5 - 4 e 3 5 - 9 2 5 d - 6 2 b 6 3 1 9 3 3 f 3 3 "   x m l n s = " h t t p : / / s c h e m a s . m i c r o s o f t . c o m / D a t a M a s h u p " > A A A A A B Q D A A B Q S w M E F A A C A A g A f Y 6 3 V t p h E C e k A A A A 9 g A A A B I A H A B D b 2 5 m a W c v U G F j a 2 F n Z S 5 4 b W w g o h g A K K A U A A A A A A A A A A A A A A A A A A A A A A A A A A A A h Y 9 L C s I w G I S v U r J v X o J I + Z s u 3 L Y i C O I 2 p L E N t q k 0 q e n d X H g k r 2 B F q + 5 c z s w 3 M H O / 3 i A b 2 y a 6 6 N 6 Z z q a I Y Y o i b V V X G l u l a P D H e I U y A V u p T r L S 0 Q R b l 4 z O p K j 2 / p w Q E k L A Y Y G 7 v i K c U k Y O R b 5 T t W 5 l b K z z 0 i q N P q 3 y f w s J 2 L / G C I 4 Z Y 3 h J O a Z A Z h M K Y 7 8 A n / Y + 0 x 8 T 1 k P j h 1 4 L 2 8 S b H M g s g b w / i A d Q S w M E F A A C A A g A f Y 6 3 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2 O t 1 Y o i k e 4 D g A A A B E A A A A T A B w A R m 9 y b X V s Y X M v U 2 V j d G l v b j E u b S C i G A A o o B Q A A A A A A A A A A A A A A A A A A A A A A A A A A A A r T k 0 u y c z P U w i G 0 I b W A F B L A Q I t A B Q A A g A I A H 2 O t 1 b a Y R A n p A A A A P Y A A A A S A A A A A A A A A A A A A A A A A A A A A A B D b 2 5 m a W c v U G F j a 2 F n Z S 5 4 b W x Q S w E C L Q A U A A I A C A B 9 j r d W D 8 r p q 6 Q A A A D p A A A A E w A A A A A A A A A A A A A A A A D w A A A A W 0 N v b n R l b n R f V H l w Z X N d L n h t b F B L A Q I t A B Q A A g A I A H 2 O t 1 Y 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9 S 6 w G 9 X 6 5 S Z n D I 6 t x u v h C A A A A A A I A A A A A A A N m A A D A A A A A E A A A A E q r n x 8 7 7 F V t 1 U M r H Z h b Y R g A A A A A B I A A A K A A A A A Q A A A A C b P I y U D U I 1 Q g W V 0 U p h J G e V A A A A B 8 v X Q J l J 9 D 4 d O s M H A Q H N N 4 q l S 1 7 p h e u H 1 p O A m E f f P I O C v C w d c U X O e M K t f i h 9 x 5 a d N J F 1 3 x B M h O / a w s M B U 3 B K g Y u 7 B 6 H k p 3 f P L 6 d q m 6 h 4 5 4 W x Q A A A C 7 2 b B Y Z p s e d 3 d Z L A I G D q H K e o h R B 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A8E940C92323B46A11BBCAC580DD774" ma:contentTypeVersion="4" ma:contentTypeDescription="Een nieuw document maken." ma:contentTypeScope="" ma:versionID="10caea114167e1caed16422456d31a43">
  <xsd:schema xmlns:xsd="http://www.w3.org/2001/XMLSchema" xmlns:xs="http://www.w3.org/2001/XMLSchema" xmlns:p="http://schemas.microsoft.com/office/2006/metadata/properties" xmlns:ns2="0009d3ae-0f9e-47be-ae31-9d6cd8b104c4" xmlns:ns3="eac07dc5-f243-4c67-9e25-532f466ec767" targetNamespace="http://schemas.microsoft.com/office/2006/metadata/properties" ma:root="true" ma:fieldsID="0db566733dc2ae1c305924549bf9091b" ns2:_="" ns3:_="">
    <xsd:import namespace="0009d3ae-0f9e-47be-ae31-9d6cd8b104c4"/>
    <xsd:import namespace="eac07dc5-f243-4c67-9e25-532f466ec76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c07dc5-f243-4c67-9e25-532f466ec76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CDAB9D1-B815-4B0E-93E7-4496A7FE99F6}">
  <ds:schemaRefs>
    <ds:schemaRef ds:uri="0009d3ae-0f9e-47be-ae31-9d6cd8b104c4"/>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eac07dc5-f243-4c67-9e25-532f466ec767"/>
    <ds:schemaRef ds:uri="http://www.w3.org/XML/1998/namespace"/>
    <ds:schemaRef ds:uri="http://purl.org/dc/dcmitype/"/>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83F25A75-D7BD-4224-85EB-A13D1576F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eac07dc5-f243-4c67-9e25-532f466ec7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F476EE9-57EE-4A57-9645-1C093EDB7BE0}">
  <ds:schemaRefs>
    <ds:schemaRef ds:uri="http://schemas.microsoft.com/sharepoint/v3/contenttype/forms"/>
  </ds:schemaRefs>
</ds:datastoreItem>
</file>

<file path=customXml/itemProps5.xml><?xml version="1.0" encoding="utf-8"?>
<ds:datastoreItem xmlns:ds="http://schemas.openxmlformats.org/officeDocument/2006/customXml" ds:itemID="{4651D173-5D1D-4DD1-A11E-C256FB3A644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32</vt:i4>
      </vt:variant>
    </vt:vector>
  </HeadingPairs>
  <TitlesOfParts>
    <vt:vector size="32"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incidentele correcties</vt:lpstr>
      <vt:lpstr>8. Input capaciteit</vt:lpstr>
      <vt:lpstr>Input database --&gt;</vt:lpstr>
      <vt:lpstr>9. Investeringen (WUI &amp; ombouw)</vt:lpstr>
      <vt:lpstr>10. Investeringen (bijschatten)</vt:lpstr>
      <vt:lpstr>11. Desinvesteringen</vt:lpstr>
      <vt:lpstr>12. Omzet</vt:lpstr>
      <vt:lpstr>13. Operationele kosten</vt:lpstr>
      <vt:lpstr>14. Volumes stikstof</vt:lpstr>
      <vt:lpstr>Berekeningen --&gt;</vt:lpstr>
      <vt:lpstr>15. WUI &amp; ombouwtaak</vt:lpstr>
      <vt:lpstr>16. Nacalculatie bijschatten</vt:lpstr>
      <vt:lpstr>17. Nacalculatie desinv.</vt:lpstr>
      <vt:lpstr>18. Indexatie desinvesteringen</vt:lpstr>
      <vt:lpstr>19. Nacalculaties</vt:lpstr>
      <vt:lpstr>20. Correctie WQA</vt:lpstr>
      <vt:lpstr>21. Correctie inkoop energie</vt:lpstr>
      <vt:lpstr>22. Correctie assetoverdracht</vt:lpstr>
      <vt:lpstr>23. Correctie peakshaver</vt:lpstr>
      <vt:lpstr>24. Toegestane inkomsten</vt:lpstr>
      <vt:lpstr>25. RPM</vt:lpstr>
      <vt:lpstr>26.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2023-05-23T15:57:48Z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0x0101006A8E940C92323B46A11BBCAC580DD774</vt:lpwstr>
  </property>
  <property fmtid="{D5CDD505-2E9C-101B-9397-08002B2CF9AE}" pid="3" name="_dlc_DocIdItemGuid">
    <vt:lpwstr>8fb81aa0-60e6-4e21-8330-03b10629fcc9</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ies>
</file>