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DA65102B-C507-4AEE-8F85-4DC6DD84DCA0}" xr6:coauthVersionLast="47" xr6:coauthVersionMax="47" xr10:uidLastSave="{00000000-0000-0000-0000-000000000000}"/>
  <bookViews>
    <workbookView xWindow="-120" yWindow="-120" windowWidth="29040" windowHeight="17520" tabRatio="806" xr2:uid="{00000000-000D-0000-FFFF-FFFF00000000}"/>
  </bookViews>
  <sheets>
    <sheet name="Cover sheet" sheetId="9" r:id="rId1"/>
    <sheet name="Explanation" sheetId="10" r:id="rId2"/>
    <sheet name="Sources and specifics" sheetId="11" r:id="rId3"/>
    <sheet name="Result" sheetId="21" r:id="rId4"/>
    <sheet name="Input --&gt;" sheetId="13" r:id="rId5"/>
    <sheet name="Parameters" sheetId="18" r:id="rId6"/>
    <sheet name="Historical data" sheetId="24" r:id="rId7"/>
    <sheet name="Estimates" sheetId="27" r:id="rId8"/>
    <sheet name="Data ACM" sheetId="41" r:id="rId9"/>
    <sheet name="Financial data" sheetId="46" r:id="rId10"/>
    <sheet name="Calculations corrections --&gt;" sheetId="15" r:id="rId11"/>
    <sheet name="WACC correction 2024" sheetId="51" r:id="rId12"/>
    <sheet name="Volume-effect 2024" sheetId="33" r:id="rId13"/>
    <sheet name="Profit Sharing 2024" sheetId="22" r:id="rId14"/>
    <sheet name="Energy cost correction 2025" sheetId="35" r:id="rId15"/>
    <sheet name="Overview corrections" sheetId="48" r:id="rId16"/>
    <sheet name="Calculations tariffs --&gt;" sheetId="29" r:id="rId17"/>
    <sheet name="Fixed-variable costs" sheetId="36" r:id="rId18"/>
    <sheet name="Income level" sheetId="37" r:id="rId19"/>
    <sheet name="Variable tariffs electricity" sheetId="47" r:id="rId20"/>
    <sheet name="Fixed tariffs electricity" sheetId="49" r:id="rId21"/>
    <sheet name="Variable tariffs water" sheetId="40" r:id="rId22"/>
    <sheet name="Fixed tariffs water" sheetId="50" r:id="rId23"/>
    <sheet name="Dictum&amp;Bijlage 1 Electricity EN" sheetId="43" r:id="rId24"/>
    <sheet name="Dictum&amp;Bijlage 1 Water EN" sheetId="4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48" l="1"/>
  <c r="J18" i="48"/>
  <c r="H43" i="24"/>
  <c r="F49" i="24" l="1"/>
  <c r="H42" i="24"/>
  <c r="H44" i="24"/>
  <c r="J30" i="48"/>
  <c r="J60" i="46" l="1"/>
  <c r="J51" i="46"/>
  <c r="J52" i="46" s="1"/>
  <c r="J53" i="46" s="1"/>
  <c r="J56" i="46" l="1"/>
  <c r="J57" i="46" s="1"/>
  <c r="J58" i="46" s="1"/>
  <c r="J59" i="46" s="1"/>
  <c r="M38" i="46"/>
  <c r="E31" i="44" l="1"/>
  <c r="E51" i="43"/>
  <c r="E50" i="43"/>
  <c r="M39" i="46" l="1"/>
  <c r="M40" i="46"/>
  <c r="M43" i="46"/>
  <c r="M42" i="46"/>
  <c r="M41" i="46"/>
  <c r="M45" i="46" l="1"/>
  <c r="F47" i="44" s="1"/>
  <c r="M44" i="46"/>
  <c r="F46" i="44" s="1"/>
  <c r="M18" i="22" l="1"/>
  <c r="K17" i="22"/>
  <c r="L17" i="22"/>
  <c r="M17" i="22"/>
  <c r="N17" i="22"/>
  <c r="J17" i="22"/>
  <c r="N28" i="27" l="1"/>
  <c r="M20" i="22" l="1"/>
  <c r="M19" i="22"/>
  <c r="N13" i="22"/>
  <c r="M13" i="22"/>
  <c r="L13" i="22"/>
  <c r="K13" i="22"/>
  <c r="J13" i="22"/>
  <c r="J28" i="51"/>
  <c r="K28" i="51"/>
  <c r="L28" i="51"/>
  <c r="N28" i="51"/>
  <c r="M27" i="51"/>
  <c r="M28" i="51"/>
  <c r="M29" i="51"/>
  <c r="K26" i="51"/>
  <c r="L26" i="51"/>
  <c r="M26" i="51"/>
  <c r="N26" i="51"/>
  <c r="J26" i="51"/>
  <c r="M21" i="51"/>
  <c r="J22" i="51"/>
  <c r="K22" i="51"/>
  <c r="L22" i="51"/>
  <c r="M22" i="51"/>
  <c r="N22" i="51"/>
  <c r="M23" i="51"/>
  <c r="K20" i="51"/>
  <c r="L20" i="51"/>
  <c r="M20" i="51"/>
  <c r="N20" i="51"/>
  <c r="J20" i="51"/>
  <c r="M16" i="51"/>
  <c r="K17" i="51"/>
  <c r="L17" i="51"/>
  <c r="M17" i="51"/>
  <c r="N17" i="51"/>
  <c r="N36" i="51" l="1"/>
  <c r="M36" i="51"/>
  <c r="M37" i="51"/>
  <c r="H20" i="51"/>
  <c r="H26" i="51"/>
  <c r="L34" i="51"/>
  <c r="M35" i="51"/>
  <c r="J34" i="51"/>
  <c r="K34" i="51"/>
  <c r="N34" i="51"/>
  <c r="L36" i="51"/>
  <c r="M34" i="51"/>
  <c r="K36" i="51"/>
  <c r="N40" i="51" l="1"/>
  <c r="M40" i="51"/>
  <c r="K40" i="51"/>
  <c r="L40" i="51"/>
  <c r="L25" i="48" s="1"/>
  <c r="K25" i="48" l="1"/>
  <c r="M25" i="48"/>
  <c r="N25" i="48"/>
  <c r="J50" i="46" l="1"/>
  <c r="F36" i="40"/>
  <c r="J27" i="48"/>
  <c r="J38" i="36" l="1"/>
  <c r="N28" i="24"/>
  <c r="J61" i="46" l="1"/>
  <c r="K29" i="36"/>
  <c r="L29" i="36"/>
  <c r="M29" i="36"/>
  <c r="N29" i="36"/>
  <c r="K31" i="36"/>
  <c r="L31" i="36"/>
  <c r="M31" i="36"/>
  <c r="N31" i="36"/>
  <c r="J31" i="36"/>
  <c r="K30" i="46"/>
  <c r="K32" i="36" s="1"/>
  <c r="L30" i="46"/>
  <c r="L32" i="36" s="1"/>
  <c r="M30" i="46"/>
  <c r="M32" i="36" s="1"/>
  <c r="N30" i="46"/>
  <c r="N32" i="36" s="1"/>
  <c r="J30" i="46"/>
  <c r="J32" i="36" s="1"/>
  <c r="K28" i="46"/>
  <c r="K30" i="36" s="1"/>
  <c r="L28" i="46"/>
  <c r="L30" i="36" s="1"/>
  <c r="M28" i="46"/>
  <c r="M30" i="36" s="1"/>
  <c r="N28" i="46"/>
  <c r="N30" i="36" s="1"/>
  <c r="J37" i="36" l="1"/>
  <c r="J28" i="46"/>
  <c r="J30" i="36" s="1"/>
  <c r="F41" i="49" l="1"/>
  <c r="F21" i="50"/>
  <c r="F24" i="50"/>
  <c r="F29" i="50" s="1"/>
  <c r="F26" i="50"/>
  <c r="F25" i="50"/>
  <c r="F30" i="50" l="1"/>
  <c r="F31" i="50"/>
  <c r="F45" i="49"/>
  <c r="F52" i="49" s="1"/>
  <c r="F47" i="49"/>
  <c r="F54" i="49" s="1"/>
  <c r="F48" i="49"/>
  <c r="F44" i="49"/>
  <c r="F51" i="49" s="1"/>
  <c r="B36" i="49"/>
  <c r="B35" i="49"/>
  <c r="B34" i="49"/>
  <c r="B33" i="49"/>
  <c r="B32" i="49"/>
  <c r="B31" i="49"/>
  <c r="B30" i="49"/>
  <c r="B29" i="49"/>
  <c r="B28" i="49"/>
  <c r="B27" i="49"/>
  <c r="B26" i="49"/>
  <c r="B25" i="49"/>
  <c r="B24" i="49"/>
  <c r="B23" i="49"/>
  <c r="B22" i="49"/>
  <c r="B21" i="49"/>
  <c r="B20" i="49"/>
  <c r="F55" i="49" l="1"/>
  <c r="E53" i="43" l="1"/>
  <c r="E52" i="43"/>
  <c r="E32" i="44" l="1"/>
  <c r="F43" i="21" l="1"/>
  <c r="N16" i="36"/>
  <c r="M16" i="36"/>
  <c r="L16" i="36"/>
  <c r="K16" i="36"/>
  <c r="J16" i="36"/>
  <c r="J39" i="36" s="1"/>
  <c r="E66" i="43" s="1"/>
  <c r="F62" i="21" l="1"/>
  <c r="F37" i="47"/>
  <c r="J35" i="48"/>
  <c r="K19" i="48"/>
  <c r="F13" i="48"/>
  <c r="J17" i="48"/>
  <c r="K49" i="48" l="1"/>
  <c r="K53" i="48" s="1"/>
  <c r="H49" i="48" l="1"/>
  <c r="F74" i="43"/>
  <c r="F33" i="47"/>
  <c r="F23" i="47" l="1"/>
  <c r="F21" i="18" l="1"/>
  <c r="F14" i="48" s="1"/>
  <c r="J46" i="48" s="1"/>
  <c r="H46" i="48" l="1"/>
  <c r="J30" i="37"/>
  <c r="H30" i="37" s="1"/>
  <c r="L43" i="48"/>
  <c r="E50" i="44" s="1"/>
  <c r="N43" i="48"/>
  <c r="G50" i="44" s="1"/>
  <c r="M43" i="48"/>
  <c r="F50" i="44" s="1"/>
  <c r="K43" i="48"/>
  <c r="F69" i="43" s="1"/>
  <c r="L27" i="37"/>
  <c r="J45" i="48"/>
  <c r="H45" i="48" s="1"/>
  <c r="N71" i="27"/>
  <c r="M71" i="27"/>
  <c r="L71" i="27"/>
  <c r="N27" i="37" l="1"/>
  <c r="K27" i="37"/>
  <c r="M27" i="37"/>
  <c r="J29" i="37"/>
  <c r="H29" i="37" s="1"/>
  <c r="H40" i="48"/>
  <c r="J24" i="37"/>
  <c r="H24" i="37" s="1"/>
  <c r="F46" i="40"/>
  <c r="N34" i="48"/>
  <c r="N15" i="37"/>
  <c r="F15" i="50"/>
  <c r="M15" i="37"/>
  <c r="F15" i="40"/>
  <c r="L34" i="48"/>
  <c r="L15" i="37"/>
  <c r="M36" i="36"/>
  <c r="M35" i="36"/>
  <c r="L39" i="27"/>
  <c r="J34" i="27"/>
  <c r="J33" i="27"/>
  <c r="M65" i="36" l="1"/>
  <c r="F59" i="44" s="1"/>
  <c r="H16" i="46"/>
  <c r="H17" i="46"/>
  <c r="H19" i="46"/>
  <c r="H20" i="46"/>
  <c r="H23" i="46"/>
  <c r="H24" i="46"/>
  <c r="F70" i="44" l="1"/>
  <c r="F69" i="44"/>
  <c r="E67" i="44"/>
  <c r="G65" i="44"/>
  <c r="E64" i="44"/>
  <c r="E37" i="44" l="1"/>
  <c r="E35" i="44"/>
  <c r="E34" i="44"/>
  <c r="F89" i="43"/>
  <c r="E85" i="43"/>
  <c r="E84" i="43"/>
  <c r="F62" i="43"/>
  <c r="F63" i="43"/>
  <c r="E63" i="43"/>
  <c r="E62" i="43"/>
  <c r="F60" i="43"/>
  <c r="F61" i="43"/>
  <c r="E61" i="43"/>
  <c r="E60" i="43"/>
  <c r="E57" i="43"/>
  <c r="E56" i="43"/>
  <c r="E55" i="43"/>
  <c r="J17" i="24" l="1"/>
  <c r="J21" i="36" l="1"/>
  <c r="J17" i="51"/>
  <c r="J36" i="51" s="1"/>
  <c r="J40" i="51" s="1"/>
  <c r="J31" i="22"/>
  <c r="J25" i="48" l="1"/>
  <c r="J43" i="48" s="1"/>
  <c r="H40" i="51"/>
  <c r="E87" i="43"/>
  <c r="E69" i="43" l="1"/>
  <c r="J27" i="37"/>
  <c r="H43" i="48"/>
  <c r="N26" i="22"/>
  <c r="M26" i="22"/>
  <c r="L26" i="22"/>
  <c r="L43" i="22" s="1"/>
  <c r="K26" i="22"/>
  <c r="K43" i="22" s="1"/>
  <c r="J26" i="22"/>
  <c r="J43" i="22" s="1"/>
  <c r="K25" i="22"/>
  <c r="K42" i="22" s="1"/>
  <c r="L25" i="22"/>
  <c r="L42" i="22" s="1"/>
  <c r="M25" i="22"/>
  <c r="N25" i="22"/>
  <c r="J25" i="22"/>
  <c r="J42" i="22" s="1"/>
  <c r="H27" i="37" l="1"/>
  <c r="J49" i="22"/>
  <c r="L49" i="22"/>
  <c r="K49" i="22"/>
  <c r="H25" i="22"/>
  <c r="H26" i="22"/>
  <c r="L38" i="27" l="1"/>
  <c r="L40" i="27" s="1"/>
  <c r="E66" i="44" s="1"/>
  <c r="E36" i="44"/>
  <c r="K63" i="27" l="1"/>
  <c r="F90" i="43" l="1"/>
  <c r="K71" i="27"/>
  <c r="F16" i="49" l="1"/>
  <c r="K15" i="37"/>
  <c r="M24" i="24"/>
  <c r="J35" i="27"/>
  <c r="F21" i="47" s="1"/>
  <c r="M21" i="37" l="1"/>
  <c r="E86" i="43"/>
  <c r="E38" i="43"/>
  <c r="F47" i="21" l="1"/>
  <c r="F46" i="21"/>
  <c r="F66" i="21"/>
  <c r="F48" i="21"/>
  <c r="F65" i="21"/>
  <c r="E19" i="44"/>
  <c r="F17" i="36"/>
  <c r="F21" i="40"/>
  <c r="J26" i="36" l="1"/>
  <c r="N18" i="35"/>
  <c r="N17" i="35"/>
  <c r="N19" i="35"/>
  <c r="N20" i="35"/>
  <c r="N16" i="35"/>
  <c r="M66" i="22"/>
  <c r="K66" i="22"/>
  <c r="M65" i="22"/>
  <c r="K65" i="22"/>
  <c r="L64" i="22"/>
  <c r="J63" i="22"/>
  <c r="J62" i="22"/>
  <c r="K31" i="22"/>
  <c r="L31" i="22"/>
  <c r="M31" i="22"/>
  <c r="N31" i="22"/>
  <c r="M30" i="22"/>
  <c r="J24" i="22"/>
  <c r="M70" i="22" l="1"/>
  <c r="M69" i="22"/>
  <c r="N24" i="22"/>
  <c r="K24" i="22"/>
  <c r="L24" i="22"/>
  <c r="M24" i="22"/>
  <c r="K23" i="22"/>
  <c r="L23" i="22"/>
  <c r="M23" i="22"/>
  <c r="N23" i="22"/>
  <c r="J23" i="22"/>
  <c r="K40" i="22" l="1"/>
  <c r="H23" i="22"/>
  <c r="H24" i="22"/>
  <c r="J19" i="22"/>
  <c r="J52" i="22" s="1"/>
  <c r="K19" i="22"/>
  <c r="L19" i="22"/>
  <c r="N19" i="22"/>
  <c r="F14" i="22"/>
  <c r="O20" i="33"/>
  <c r="M20" i="33"/>
  <c r="M18" i="33"/>
  <c r="N18" i="33"/>
  <c r="O18" i="33"/>
  <c r="P18" i="33"/>
  <c r="L18" i="33"/>
  <c r="M17" i="33"/>
  <c r="N17" i="33"/>
  <c r="O17" i="33"/>
  <c r="P17" i="33"/>
  <c r="L17" i="33"/>
  <c r="L52" i="22" l="1"/>
  <c r="K52" i="22"/>
  <c r="H17" i="22"/>
  <c r="M13" i="33"/>
  <c r="N13" i="33"/>
  <c r="O13" i="33"/>
  <c r="P13" i="33"/>
  <c r="L13" i="33"/>
  <c r="L25" i="33" s="1"/>
  <c r="N25" i="35" l="1"/>
  <c r="N24" i="35"/>
  <c r="N27" i="35" l="1"/>
  <c r="L26" i="48" s="1"/>
  <c r="L44" i="48" s="1"/>
  <c r="H44" i="48" s="1"/>
  <c r="J64" i="22"/>
  <c r="K70" i="22" s="1"/>
  <c r="M52" i="22"/>
  <c r="L40" i="22"/>
  <c r="K41" i="22"/>
  <c r="L41" i="22"/>
  <c r="N52" i="22"/>
  <c r="J40" i="22"/>
  <c r="J41" i="22"/>
  <c r="J18" i="33"/>
  <c r="J17" i="33"/>
  <c r="J13" i="33"/>
  <c r="E54" i="44" l="1"/>
  <c r="L28" i="37"/>
  <c r="J48" i="22"/>
  <c r="J53" i="22" s="1"/>
  <c r="L48" i="22"/>
  <c r="L53" i="22" s="1"/>
  <c r="K48" i="22"/>
  <c r="K53" i="22" s="1"/>
  <c r="K69" i="22"/>
  <c r="K73" i="22" s="1"/>
  <c r="M73" i="22"/>
  <c r="M74" i="22" s="1"/>
  <c r="M24" i="48" s="1"/>
  <c r="M50" i="48" s="1"/>
  <c r="F53" i="44" s="1"/>
  <c r="M54" i="48" l="1"/>
  <c r="F33" i="40" s="1"/>
  <c r="H52" i="22"/>
  <c r="J56" i="22"/>
  <c r="K74" i="22"/>
  <c r="K24" i="48" s="1"/>
  <c r="K50" i="48" s="1"/>
  <c r="L56" i="22"/>
  <c r="L57" i="22" s="1"/>
  <c r="L23" i="48" s="1"/>
  <c r="L42" i="48" s="1"/>
  <c r="L26" i="37" s="1"/>
  <c r="K56" i="22"/>
  <c r="K57" i="22" s="1"/>
  <c r="K23" i="48" s="1"/>
  <c r="K42" i="48" s="1"/>
  <c r="K26" i="37" s="1"/>
  <c r="J57" i="22" l="1"/>
  <c r="F72" i="43"/>
  <c r="H50" i="48"/>
  <c r="N25" i="33"/>
  <c r="J23" i="48" l="1"/>
  <c r="J42" i="48" s="1"/>
  <c r="J26" i="37" s="1"/>
  <c r="O25" i="33"/>
  <c r="O26" i="33" s="1"/>
  <c r="N26" i="33"/>
  <c r="P25" i="33"/>
  <c r="P26" i="33" s="1"/>
  <c r="M25" i="33"/>
  <c r="M26" i="33" s="1"/>
  <c r="L22" i="48" l="1"/>
  <c r="L41" i="48" s="1"/>
  <c r="L25" i="37" s="1"/>
  <c r="M22" i="48"/>
  <c r="M41" i="48" s="1"/>
  <c r="M25" i="37" s="1"/>
  <c r="K22" i="48"/>
  <c r="K41" i="48" s="1"/>
  <c r="K25" i="37" s="1"/>
  <c r="N22" i="48"/>
  <c r="N41" i="48" s="1"/>
  <c r="N25" i="37" s="1"/>
  <c r="L26" i="33"/>
  <c r="J25" i="33"/>
  <c r="J22" i="48" l="1"/>
  <c r="J41" i="48" s="1"/>
  <c r="J26" i="33"/>
  <c r="J25" i="37" l="1"/>
  <c r="H25" i="37" s="1"/>
  <c r="H41" i="48"/>
  <c r="F32" i="22"/>
  <c r="M28" i="36"/>
  <c r="J22" i="27"/>
  <c r="J71" i="27" s="1"/>
  <c r="F16" i="47" l="1"/>
  <c r="J34" i="48"/>
  <c r="J15" i="37"/>
  <c r="M42" i="22"/>
  <c r="N43" i="22"/>
  <c r="N42" i="22"/>
  <c r="M43" i="22"/>
  <c r="E83" i="43"/>
  <c r="M40" i="22"/>
  <c r="N41" i="22"/>
  <c r="M41" i="22"/>
  <c r="N40" i="22"/>
  <c r="J24" i="27"/>
  <c r="F22" i="47" s="1"/>
  <c r="F24" i="47" s="1"/>
  <c r="F15" i="21" s="1"/>
  <c r="K54" i="48" l="1"/>
  <c r="F34" i="47" s="1"/>
  <c r="N49" i="22"/>
  <c r="M48" i="22"/>
  <c r="N48" i="22"/>
  <c r="M49" i="22"/>
  <c r="H40" i="22"/>
  <c r="H41" i="22"/>
  <c r="H42" i="22"/>
  <c r="K21" i="36"/>
  <c r="L21" i="36"/>
  <c r="M21" i="36"/>
  <c r="M16" i="37" s="1"/>
  <c r="N21" i="36"/>
  <c r="J29" i="36"/>
  <c r="K24" i="36"/>
  <c r="L24" i="36"/>
  <c r="M24" i="36"/>
  <c r="K25" i="36"/>
  <c r="L25" i="36"/>
  <c r="M25" i="36"/>
  <c r="J25" i="36"/>
  <c r="J24" i="36"/>
  <c r="K26" i="36"/>
  <c r="L26" i="36"/>
  <c r="M26" i="36"/>
  <c r="N26" i="36"/>
  <c r="K27" i="36"/>
  <c r="L27" i="36"/>
  <c r="M27" i="36"/>
  <c r="N27" i="36"/>
  <c r="J27" i="36"/>
  <c r="F15" i="36"/>
  <c r="E21" i="44"/>
  <c r="E20" i="44"/>
  <c r="M46" i="36" l="1"/>
  <c r="F42" i="44" s="1"/>
  <c r="N46" i="36"/>
  <c r="N53" i="22"/>
  <c r="N56" i="22" s="1"/>
  <c r="N57" i="22" s="1"/>
  <c r="N23" i="48" s="1"/>
  <c r="N42" i="48" s="1"/>
  <c r="N26" i="37" s="1"/>
  <c r="M53" i="22"/>
  <c r="M56" i="22" s="1"/>
  <c r="M45" i="36"/>
  <c r="F41" i="44" s="1"/>
  <c r="N45" i="36"/>
  <c r="G41" i="44" s="1"/>
  <c r="M47" i="36"/>
  <c r="N47" i="36"/>
  <c r="G43" i="44" s="1"/>
  <c r="M44" i="36"/>
  <c r="N44" i="36"/>
  <c r="M57" i="36" l="1"/>
  <c r="M58" i="36" s="1"/>
  <c r="M52" i="36"/>
  <c r="G40" i="44"/>
  <c r="N52" i="36"/>
  <c r="M59" i="36"/>
  <c r="M60" i="36" s="1"/>
  <c r="M57" i="22"/>
  <c r="M23" i="48" s="1"/>
  <c r="M42" i="48" s="1"/>
  <c r="M26" i="37" s="1"/>
  <c r="H56" i="22"/>
  <c r="G42" i="44"/>
  <c r="N57" i="36"/>
  <c r="N58" i="36" s="1"/>
  <c r="H53" i="22"/>
  <c r="F40" i="44"/>
  <c r="F43" i="44"/>
  <c r="H26" i="37" l="1"/>
  <c r="H28" i="37"/>
  <c r="H42" i="48"/>
  <c r="E39" i="43"/>
  <c r="E43" i="43"/>
  <c r="E42" i="43"/>
  <c r="L45" i="36" l="1"/>
  <c r="E41" i="44" s="1"/>
  <c r="K45" i="36"/>
  <c r="L44" i="36"/>
  <c r="J44" i="36"/>
  <c r="L47" i="36"/>
  <c r="E43" i="44" s="1"/>
  <c r="K47" i="36"/>
  <c r="J47" i="36"/>
  <c r="L46" i="36"/>
  <c r="J46" i="36"/>
  <c r="E40" i="44" l="1"/>
  <c r="L52" i="36"/>
  <c r="J57" i="36"/>
  <c r="J58" i="36" s="1"/>
  <c r="J53" i="36"/>
  <c r="J54" i="36" s="1"/>
  <c r="E42" i="44"/>
  <c r="L57" i="36"/>
  <c r="L58" i="36" s="1"/>
  <c r="N53" i="36"/>
  <c r="N54" i="36" s="1"/>
  <c r="H26" i="36"/>
  <c r="H27" i="36"/>
  <c r="H25" i="36"/>
  <c r="H24" i="36"/>
  <c r="L53" i="36"/>
  <c r="L54" i="36" s="1"/>
  <c r="K46" i="36"/>
  <c r="K57" i="36" s="1"/>
  <c r="K58" i="36" s="1"/>
  <c r="K44" i="36"/>
  <c r="K52" i="36" s="1"/>
  <c r="J45" i="36"/>
  <c r="J52" i="36" s="1"/>
  <c r="H47" i="36" l="1"/>
  <c r="H45" i="36"/>
  <c r="H44" i="36"/>
  <c r="H46" i="36"/>
  <c r="K59" i="36"/>
  <c r="K60" i="36" s="1"/>
  <c r="L59" i="36"/>
  <c r="L60" i="36" s="1"/>
  <c r="M53" i="36"/>
  <c r="M54" i="36" s="1"/>
  <c r="K53" i="36"/>
  <c r="K54" i="36" s="1"/>
  <c r="N59" i="36" l="1"/>
  <c r="N60" i="36" s="1"/>
  <c r="H53" i="36"/>
  <c r="H28" i="36" l="1"/>
  <c r="F14" i="36" l="1"/>
  <c r="J63" i="36" s="1"/>
  <c r="E54" i="43"/>
  <c r="E33" i="44"/>
  <c r="M63" i="36" l="1"/>
  <c r="M19" i="37" s="1"/>
  <c r="M64" i="36"/>
  <c r="E71" i="43"/>
  <c r="E73" i="43"/>
  <c r="E70" i="43"/>
  <c r="E75" i="43"/>
  <c r="L63" i="36"/>
  <c r="N63" i="36"/>
  <c r="N19" i="37" s="1"/>
  <c r="K63" i="36"/>
  <c r="K19" i="37" s="1"/>
  <c r="N64" i="36"/>
  <c r="G52" i="44"/>
  <c r="G51" i="44"/>
  <c r="F70" i="43"/>
  <c r="F71" i="43"/>
  <c r="F52" i="44"/>
  <c r="F51" i="44"/>
  <c r="K64" i="36"/>
  <c r="L64" i="36"/>
  <c r="E52" i="44"/>
  <c r="E51" i="44"/>
  <c r="H52" i="36"/>
  <c r="J59" i="36"/>
  <c r="J60" i="36" s="1"/>
  <c r="J64" i="36" s="1"/>
  <c r="J19" i="37"/>
  <c r="H57" i="36"/>
  <c r="B16" i="10"/>
  <c r="B23" i="10" s="1"/>
  <c r="E58" i="44" l="1"/>
  <c r="L20" i="37"/>
  <c r="G58" i="44"/>
  <c r="N20" i="37"/>
  <c r="N35" i="37" s="1"/>
  <c r="N36" i="37" s="1"/>
  <c r="F79" i="43"/>
  <c r="K20" i="37"/>
  <c r="K35" i="37" s="1"/>
  <c r="K36" i="37" s="1"/>
  <c r="L19" i="37"/>
  <c r="E79" i="43"/>
  <c r="J20" i="37"/>
  <c r="J35" i="37" s="1"/>
  <c r="J36" i="37" s="1"/>
  <c r="F58" i="44"/>
  <c r="M20" i="37"/>
  <c r="M35" i="37" s="1"/>
  <c r="M36" i="37" s="1"/>
  <c r="H58" i="36"/>
  <c r="H59" i="36"/>
  <c r="B17" i="10"/>
  <c r="G57" i="44" l="1"/>
  <c r="F15" i="49"/>
  <c r="F17" i="49" s="1"/>
  <c r="F22" i="21" s="1"/>
  <c r="F78" i="43"/>
  <c r="F14" i="50"/>
  <c r="F16" i="50" s="1"/>
  <c r="F59" i="21" s="1"/>
  <c r="F57" i="44"/>
  <c r="F15" i="47"/>
  <c r="F17" i="47" s="1"/>
  <c r="F18" i="47" s="1"/>
  <c r="F14" i="21" s="1"/>
  <c r="E78" i="43"/>
  <c r="L35" i="37"/>
  <c r="L36" i="37" s="1"/>
  <c r="H63" i="36"/>
  <c r="B18" i="10"/>
  <c r="B22" i="10" s="1"/>
  <c r="E17" i="43" l="1"/>
  <c r="F32" i="49"/>
  <c r="F24" i="49"/>
  <c r="F28" i="21" s="1"/>
  <c r="E23" i="43" s="1"/>
  <c r="F33" i="49"/>
  <c r="F37" i="21" s="1"/>
  <c r="E32" i="43" s="1"/>
  <c r="F25" i="49"/>
  <c r="F29" i="21" s="1"/>
  <c r="E24" i="43" s="1"/>
  <c r="F30" i="49"/>
  <c r="F34" i="21" s="1"/>
  <c r="E29" i="43" s="1"/>
  <c r="F22" i="49"/>
  <c r="F26" i="21" s="1"/>
  <c r="E21" i="43" s="1"/>
  <c r="F31" i="49"/>
  <c r="F35" i="21" s="1"/>
  <c r="E30" i="43" s="1"/>
  <c r="F23" i="49"/>
  <c r="F27" i="21" s="1"/>
  <c r="E22" i="43" s="1"/>
  <c r="F36" i="49"/>
  <c r="F40" i="21" s="1"/>
  <c r="E35" i="43" s="1"/>
  <c r="F28" i="49"/>
  <c r="F32" i="21" s="1"/>
  <c r="E27" i="43" s="1"/>
  <c r="F20" i="49"/>
  <c r="F24" i="21" s="1"/>
  <c r="E19" i="43" s="1"/>
  <c r="F29" i="49"/>
  <c r="F33" i="21" s="1"/>
  <c r="E28" i="43" s="1"/>
  <c r="F21" i="49"/>
  <c r="F25" i="21" s="1"/>
  <c r="E20" i="43" s="1"/>
  <c r="F34" i="49"/>
  <c r="F38" i="21" s="1"/>
  <c r="E33" i="43" s="1"/>
  <c r="F26" i="49"/>
  <c r="F30" i="21" s="1"/>
  <c r="E25" i="43" s="1"/>
  <c r="F35" i="49"/>
  <c r="F39" i="21" s="1"/>
  <c r="E34" i="43" s="1"/>
  <c r="F27" i="49"/>
  <c r="F31" i="21" s="1"/>
  <c r="E26" i="43" s="1"/>
  <c r="G60" i="44"/>
  <c r="F45" i="40"/>
  <c r="E16" i="44"/>
  <c r="F60" i="44"/>
  <c r="E80" i="43"/>
  <c r="F80" i="43"/>
  <c r="F14" i="40"/>
  <c r="F16" i="40" s="1"/>
  <c r="E57" i="44"/>
  <c r="F27" i="47"/>
  <c r="F28" i="47" s="1"/>
  <c r="F16" i="21" s="1"/>
  <c r="E9" i="43"/>
  <c r="F20" i="40" l="1"/>
  <c r="F22" i="40" s="1"/>
  <c r="F36" i="21"/>
  <c r="E31" i="43" s="1"/>
  <c r="E60" i="44"/>
  <c r="F40" i="47"/>
  <c r="F41" i="47" s="1"/>
  <c r="F19" i="21" s="1"/>
  <c r="F19" i="40" l="1"/>
  <c r="F23" i="40" s="1"/>
  <c r="F24" i="40" s="1"/>
  <c r="E14" i="43"/>
  <c r="E61" i="44" l="1"/>
  <c r="F27" i="40"/>
  <c r="F39" i="40" l="1"/>
  <c r="F40" i="40" s="1"/>
  <c r="F56" i="21" s="1"/>
  <c r="E14" i="44" s="1"/>
  <c r="F28" i="40"/>
  <c r="F53" i="21" s="1"/>
  <c r="E9" i="44" s="1"/>
  <c r="F47" i="40"/>
  <c r="F48" i="40" l="1"/>
  <c r="F69" i="21" s="1"/>
  <c r="E24"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2" authorId="0" shapeId="0" xr:uid="{00000000-0006-0000-0400-000001000000}">
      <text>
        <r>
          <rPr>
            <sz val="8"/>
            <color indexed="81"/>
            <rFont val="Tahoma"/>
            <family val="2"/>
          </rPr>
          <t>At all times a (group of) pink cell(s) needs an explanantion on its special nature. This explanation will be added through this remark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M29" authorId="0" shapeId="0" xr:uid="{31DB1D88-C811-4623-B1C7-0ADA370CE230}">
      <text>
        <r>
          <rPr>
            <sz val="9"/>
            <color indexed="81"/>
            <rFont val="Tahoma"/>
            <family val="2"/>
          </rPr>
          <t>Costs related to network growth are calculated separately (see below)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M19" authorId="0" shapeId="0" xr:uid="{5CE7BBD8-8244-4AA8-8A7D-4E258BD784A0}">
      <text>
        <r>
          <rPr>
            <sz val="9"/>
            <color indexed="81"/>
            <rFont val="Tahoma"/>
            <family val="2"/>
          </rPr>
          <t xml:space="preserve">Only operational costs. Estimated variable capital costs per new connection are listed in O20.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M52" authorId="0" shapeId="0" xr:uid="{F4C00F2E-D804-4583-B2F1-6DDAD1C577D7}">
      <text>
        <r>
          <rPr>
            <sz val="8"/>
            <color indexed="81"/>
            <rFont val="Tahoma"/>
            <family val="2"/>
          </rPr>
          <t>Income related to new connections is deducted from fixed operational costs</t>
        </r>
      </text>
    </comment>
    <comment ref="J57" authorId="0" shapeId="0" xr:uid="{906CB5C4-EFDA-4BFA-897A-865465CDF428}">
      <text>
        <r>
          <rPr>
            <sz val="9"/>
            <color indexed="81"/>
            <rFont val="Tahoma"/>
            <family val="2"/>
          </rPr>
          <t>Includes additions in estimated capital costs for solar park phase 3.</t>
        </r>
      </text>
    </comment>
    <comment ref="M65" authorId="0" shapeId="0" xr:uid="{9994C04C-7A7A-46B6-AC3E-AA3EC91961D8}">
      <text>
        <r>
          <rPr>
            <sz val="9"/>
            <color indexed="81"/>
            <rFont val="Tahoma"/>
            <family val="2"/>
          </rPr>
          <t>These extra variable costs  are added per new water connection above the number of connections in 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M16" authorId="0" shapeId="0" xr:uid="{CDF24042-260D-4185-B837-777476C8A9A7}">
      <text>
        <r>
          <rPr>
            <sz val="9"/>
            <color indexed="81"/>
            <rFont val="Tahoma"/>
            <family val="2"/>
          </rPr>
          <t xml:space="preserve">Needed for variable capital costs per new water connection.Amount of new connections is: Estimated number of connections 2025 minus number of connections 2023.
</t>
        </r>
      </text>
    </comment>
    <comment ref="M35" authorId="0" shapeId="0" xr:uid="{84D2BB73-EC38-40F1-8E24-7AA791A4BE4F}">
      <text>
        <r>
          <rPr>
            <sz val="9"/>
            <color indexed="81"/>
            <rFont val="Tahoma"/>
            <family val="2"/>
          </rPr>
          <t>Variable capital cost per new connection only apply to new connections.</t>
        </r>
      </text>
    </comment>
  </commentList>
</comments>
</file>

<file path=xl/sharedStrings.xml><?xml version="1.0" encoding="utf-8"?>
<sst xmlns="http://schemas.openxmlformats.org/spreadsheetml/2006/main" count="1633" uniqueCount="777">
  <si>
    <t>Disclaimer</t>
  </si>
  <si>
    <t>Data</t>
  </si>
  <si>
    <t>Input --&gt;</t>
  </si>
  <si>
    <t>About this file</t>
  </si>
  <si>
    <t>Case number</t>
  </si>
  <si>
    <t>File title</t>
  </si>
  <si>
    <t>Subtitle</t>
  </si>
  <si>
    <t>Other remarks</t>
  </si>
  <si>
    <t>About the status of this file</t>
  </si>
  <si>
    <t>Final version? (y/n)</t>
  </si>
  <si>
    <t>Is this file legally part of the decision(s) listed above? (y/n)</t>
  </si>
  <si>
    <t>Cell colors (for numbers)</t>
  </si>
  <si>
    <t>Description</t>
  </si>
  <si>
    <t>Data and input (source required)</t>
  </si>
  <si>
    <t>Calculated value</t>
  </si>
  <si>
    <t>Empty cell (not zero) used in a formula range</t>
  </si>
  <si>
    <t>Value or calculation that needs special attention or explanation</t>
  </si>
  <si>
    <t>Sheet tab colors</t>
  </si>
  <si>
    <t>Sheet with result/output</t>
  </si>
  <si>
    <t>Sheet with input</t>
  </si>
  <si>
    <t>Sheet with calculations</t>
  </si>
  <si>
    <t>Model sheets</t>
  </si>
  <si>
    <t>Result</t>
  </si>
  <si>
    <t>Calculation</t>
  </si>
  <si>
    <t>Explanatory sheets</t>
  </si>
  <si>
    <t>Explanation</t>
  </si>
  <si>
    <t>Special attention:</t>
  </si>
  <si>
    <t>Source overview and specific applications</t>
  </si>
  <si>
    <t>Source overview</t>
  </si>
  <si>
    <t>Each input sheet contains a column 'Source', in which the sources are referred to by their shortened name. These sources are further explained in the table below.</t>
  </si>
  <si>
    <t>No.</t>
  </si>
  <si>
    <t>Shortened name</t>
  </si>
  <si>
    <t>External file name</t>
  </si>
  <si>
    <t>As referred to in Source column</t>
  </si>
  <si>
    <t>Exact file name</t>
  </si>
  <si>
    <t>Date received, email, URL, file location</t>
  </si>
  <si>
    <t>Unit</t>
  </si>
  <si>
    <t>Constant</t>
  </si>
  <si>
    <t>Row total</t>
  </si>
  <si>
    <t>Remarks</t>
  </si>
  <si>
    <t>Source</t>
  </si>
  <si>
    <t>Cover sheet</t>
  </si>
  <si>
    <t>Belongs to decision(s):</t>
  </si>
  <si>
    <t>Reference number of decision(s)</t>
  </si>
  <si>
    <t>Objections and appeals can be filed against the decision to which this file belongs.</t>
  </si>
  <si>
    <t xml:space="preserve">If there are any substantive differences between the calculation in this file and the calculation that follows from the relevant decision, the decision's calculation is authentic. </t>
  </si>
  <si>
    <t>Explanatory notes to this file</t>
  </si>
  <si>
    <t xml:space="preserve">Explanation about how this file works </t>
  </si>
  <si>
    <t>Legend for the cell and sheet colors</t>
  </si>
  <si>
    <t>Value that is taken from another sheet or cell without calculation</t>
  </si>
  <si>
    <t>Result/calculated value that is used in another sheet</t>
  </si>
  <si>
    <t>Input or calculation that is not yet up-to-date or work in progress</t>
  </si>
  <si>
    <t>Sheet that is not yet up-to-date/work in progress</t>
  </si>
  <si>
    <t xml:space="preserve">Empty sheet used for indexing </t>
  </si>
  <si>
    <t>Additional information about this source</t>
  </si>
  <si>
    <t xml:space="preserve">If ACM does use cell or range references, macros, or other more complex functions in Excel, these will be explained on this sheet. </t>
  </si>
  <si>
    <t>Relationship to other calculation files</t>
  </si>
  <si>
    <t>in the overview below, ACM lists the sources that are used for data and calculations in this file.</t>
  </si>
  <si>
    <t>Explanation of the use of specific Excel-applications and other details</t>
  </si>
  <si>
    <t xml:space="preserve">In its calculation files, ACM seeks to use simple and easy-to-follow calculations as much as possible, and seeks to avoid the use of complex formulas or specific applications. </t>
  </si>
  <si>
    <t>When final, will this file be published?</t>
  </si>
  <si>
    <t>When published, doe this file contain business-confidential information? (y/n)</t>
  </si>
  <si>
    <t>This calculation is developed in the standardized format used by the Energy Department of ACM (based on version 5, june 2021)</t>
  </si>
  <si>
    <t>[ END OF SHEET ]</t>
  </si>
  <si>
    <t>Parameters</t>
  </si>
  <si>
    <t>Description data</t>
  </si>
  <si>
    <t>Explanatory notes</t>
  </si>
  <si>
    <t xml:space="preserve">The development of the CPI of Q3 year T and Q3 year T-1 will be used as the estimated inflation for the year T+1. The estimated inflation is rounded to one decimal. </t>
  </si>
  <si>
    <t xml:space="preserve">Electricity production </t>
  </si>
  <si>
    <t>Electricity distribution</t>
  </si>
  <si>
    <t>Water production</t>
  </si>
  <si>
    <t>Water distribution</t>
  </si>
  <si>
    <t>Water truck delivery</t>
  </si>
  <si>
    <t>%</t>
  </si>
  <si>
    <t>Estimated inflation 2024</t>
  </si>
  <si>
    <t xml:space="preserve">WACC </t>
  </si>
  <si>
    <t>Wettelijke rente CNL ('legal fixed interest rate')</t>
  </si>
  <si>
    <t>Wettelijke rente CNL</t>
  </si>
  <si>
    <t>Variable part of capital costs</t>
  </si>
  <si>
    <t xml:space="preserve">Description data </t>
  </si>
  <si>
    <t xml:space="preserve">Description </t>
  </si>
  <si>
    <t xml:space="preserve">Unit </t>
  </si>
  <si>
    <t xml:space="preserve">Constant </t>
  </si>
  <si>
    <t xml:space="preserve">Row total </t>
  </si>
  <si>
    <t>Input from the OPEX-model</t>
  </si>
  <si>
    <t>OPEX-model, sheet "Output"; row 11</t>
  </si>
  <si>
    <t>OPEX-model, sheet "Output"; row 12</t>
  </si>
  <si>
    <t>Input from the RAB-model</t>
  </si>
  <si>
    <t>USD</t>
  </si>
  <si>
    <t>RAB-value does not relate to any price level due to the use of a nominal WACC.</t>
  </si>
  <si>
    <t>Depreciation does not relate to any price level due to the use of a nominal WACC.</t>
  </si>
  <si>
    <t>Realized volumes</t>
  </si>
  <si>
    <t>(see column)</t>
  </si>
  <si>
    <t>kWh</t>
  </si>
  <si>
    <t>kVA</t>
  </si>
  <si>
    <t>m3</t>
  </si>
  <si>
    <t>connections</t>
  </si>
  <si>
    <t>Estimated production data electricity</t>
  </si>
  <si>
    <t xml:space="preserve">kWh </t>
  </si>
  <si>
    <t>liters</t>
  </si>
  <si>
    <t>liters/kWh</t>
  </si>
  <si>
    <t>Most recent fuel price</t>
  </si>
  <si>
    <t>USD/liter</t>
  </si>
  <si>
    <t>Estimated production data water</t>
  </si>
  <si>
    <t>Production yield based on electricity</t>
  </si>
  <si>
    <t>kWh/m3</t>
  </si>
  <si>
    <t>Estimated distribution data</t>
  </si>
  <si>
    <t>Tariff for road crossing, per meter</t>
  </si>
  <si>
    <t>Tariff new electricity connection 3,2 and 7,7 kVA (incl. up to 25 meters)</t>
  </si>
  <si>
    <t>Tariff for road crossing for 3,2 kVA connection, per meter</t>
  </si>
  <si>
    <t>Tariff for road crossing for 7,7 kVA connection, per meter</t>
  </si>
  <si>
    <t>Reconnection fee</t>
  </si>
  <si>
    <t>Income associated with new water connections</t>
  </si>
  <si>
    <t>#</t>
  </si>
  <si>
    <t>Excluding mark-up for road crossings.</t>
  </si>
  <si>
    <t xml:space="preserve">Income associated with new connections </t>
  </si>
  <si>
    <t>This calculation is added, since the income from new drinking water connections is lower than the associated costs, due to a specific tariff arrangement.</t>
  </si>
  <si>
    <t>For electricity, the tariff category is determined by the kVA of the connection.</t>
  </si>
  <si>
    <t>Number of connections per kVA</t>
  </si>
  <si>
    <t># connections</t>
  </si>
  <si>
    <t>Total estimated volume</t>
  </si>
  <si>
    <t>Number of connections for water</t>
  </si>
  <si>
    <t>Standardized sheets with general information about this file</t>
  </si>
  <si>
    <t>CPI CBS</t>
  </si>
  <si>
    <t>https://opendata.cbs.nl/statline/#/CBS/nl/dataset/84046NED/table</t>
  </si>
  <si>
    <t>https://wetten.overheid.nl/BWBR0030649/2011-11-18</t>
  </si>
  <si>
    <t>Besluit WACC Caribisch Nederland 2023-2025</t>
  </si>
  <si>
    <t>https://www.acm.nl/nl/publicaties/wacc-elektriciteit-en-drinkwater-caribisch-nederland-2023-2025</t>
  </si>
  <si>
    <t>This sheet seperates different types of sheets and is intentionally left blank</t>
  </si>
  <si>
    <t>Data on corrections</t>
  </si>
  <si>
    <t>USD, pl 2024</t>
  </si>
  <si>
    <t>Corrections as calculated in fuel model</t>
  </si>
  <si>
    <t>Applicable period</t>
  </si>
  <si>
    <t>Production price</t>
  </si>
  <si>
    <t>Production price excl fuel</t>
  </si>
  <si>
    <t xml:space="preserve">Production price incl fuel </t>
  </si>
  <si>
    <t>Variable distribution tariff</t>
  </si>
  <si>
    <t>Fixed distribution tariff per kVA category</t>
  </si>
  <si>
    <t>3,2</t>
  </si>
  <si>
    <t>7,7</t>
  </si>
  <si>
    <t>13,3</t>
  </si>
  <si>
    <t>30,4</t>
  </si>
  <si>
    <t>38,0</t>
  </si>
  <si>
    <t>11,0</t>
  </si>
  <si>
    <t>19,0</t>
  </si>
  <si>
    <t>47,5</t>
  </si>
  <si>
    <t>13,9</t>
  </si>
  <si>
    <t>23,9</t>
  </si>
  <si>
    <t>60,8</t>
  </si>
  <si>
    <t>85,5</t>
  </si>
  <si>
    <t>119,7</t>
  </si>
  <si>
    <t>Tariff for reconnection</t>
  </si>
  <si>
    <t>Tariff for connection</t>
  </si>
  <si>
    <t>Connection 3,2 and 7,7 kVA (incl. up to 25 meters)</t>
  </si>
  <si>
    <t>The reconnection fee is set fixed at USD 40.</t>
  </si>
  <si>
    <t>175,0</t>
  </si>
  <si>
    <t>95,0</t>
  </si>
  <si>
    <t>76,0</t>
  </si>
  <si>
    <t>Production price per m3 (incl electricity costs)</t>
  </si>
  <si>
    <t>Fixed distribution tariff</t>
  </si>
  <si>
    <t>Standard connection (incl. up to 25 meters)</t>
  </si>
  <si>
    <t>Tariff for road crossing for standard connection, per meter</t>
  </si>
  <si>
    <t>Distribution by truck</t>
  </si>
  <si>
    <t>Price distribution by truck</t>
  </si>
  <si>
    <t>Electricity production</t>
  </si>
  <si>
    <t>Relevant data</t>
  </si>
  <si>
    <t>Income related to new connections</t>
  </si>
  <si>
    <t>Volume</t>
  </si>
  <si>
    <t>Fixed/variable operational costs</t>
  </si>
  <si>
    <t>Fixed/variable capital costs</t>
  </si>
  <si>
    <t>USD / #</t>
  </si>
  <si>
    <t>Input</t>
  </si>
  <si>
    <t>Income level</t>
  </si>
  <si>
    <t>Fuel component</t>
  </si>
  <si>
    <t>Fuel data</t>
  </si>
  <si>
    <t>Income level per kVA per month</t>
  </si>
  <si>
    <t>Estimated volume</t>
  </si>
  <si>
    <t>Profit sharing-percentage</t>
  </si>
  <si>
    <t>Estimated production and distribution data</t>
  </si>
  <si>
    <t>Lost subsidy income</t>
  </si>
  <si>
    <t>Data on the energy cost correction</t>
  </si>
  <si>
    <t>Data on energy costs</t>
  </si>
  <si>
    <t xml:space="preserve">Description calculation </t>
  </si>
  <si>
    <t>On this sheet the ACM calculates the correction for the volume effect.</t>
  </si>
  <si>
    <t xml:space="preserve">Relevant data for volume-effect correction </t>
  </si>
  <si>
    <t>Calculation volume-effect correction</t>
  </si>
  <si>
    <t>Calculation coverage of fixed costs</t>
  </si>
  <si>
    <t>Relevant data for profit sharing  correction</t>
  </si>
  <si>
    <t>Realized costs</t>
  </si>
  <si>
    <t xml:space="preserve">Negative amount indicates realized costs were higher than estimated. </t>
  </si>
  <si>
    <t>As a result of profit sharing, the income in 2024 will be increased by 50% of the difference between the realized and estimated costs.</t>
  </si>
  <si>
    <t>Calculation of the energy cost correction for water production</t>
  </si>
  <si>
    <t>The correction for energy costs is based on the difference between the variable distribution tariff, as used in the calculation of the drinking water production price, and the variable distribution tariff that is set for the second half of the year.</t>
  </si>
  <si>
    <t>The difference between both prices results in an under- or overrecovery of electricity costs for the drinking water producer, which the energy cost correction corrects for.</t>
  </si>
  <si>
    <t>Calculation of the energy cost correction</t>
  </si>
  <si>
    <t>The volume effect for distribution is corrected for the fact that subsidy income does not increase with rising volume</t>
  </si>
  <si>
    <t>Calculation profit sharing</t>
  </si>
  <si>
    <t>On this sheet ACM calculates the profit sharing correction for regular costs and for network losses.</t>
  </si>
  <si>
    <t>ACM assumes other income to be related to fixed costs.</t>
  </si>
  <si>
    <t>Allocation key fixed/variable costs</t>
  </si>
  <si>
    <t>Historical data</t>
  </si>
  <si>
    <t>Data for the energy cost correction</t>
  </si>
  <si>
    <t>Number of connections 2016</t>
  </si>
  <si>
    <t>RAB water distribution 2016</t>
  </si>
  <si>
    <t>Depreciation water distribution 2016</t>
  </si>
  <si>
    <t>Corrections to income level</t>
  </si>
  <si>
    <t>Estimated production yield drinking water</t>
  </si>
  <si>
    <t>Energy consumption for drinking water production</t>
  </si>
  <si>
    <t>Profit-sharing percentage</t>
  </si>
  <si>
    <t>OPEX-model, sheet "Output"; row 18</t>
  </si>
  <si>
    <t>OPEX-model, sheet "Output"; row 19</t>
  </si>
  <si>
    <t>USD/gallon</t>
  </si>
  <si>
    <t>US gallon to liter</t>
  </si>
  <si>
    <t>Profit sharing and cost estimates are both calculated in this file. In previous years, profit sharing was a separate file.</t>
  </si>
  <si>
    <t>Assets in row 5, 9 and 10 are related to water production (Source: e-mail sent by STUCO on September 27 2023)</t>
  </si>
  <si>
    <t>Connections for internal use are added to the total number of connections for their kVA category</t>
  </si>
  <si>
    <t>This sheet contains the calculation of the energy cost correction for the water production.</t>
  </si>
  <si>
    <t>Methodebesluit elektriciteit en drinkwater Caribisch Nederland 2020-2025 | ACM.nl</t>
  </si>
  <si>
    <t>Methodebesluit elektriciteit en drinkwater Caribisch Nederland 2020-2025</t>
  </si>
  <si>
    <t>The outcome of the tariff calculations is displayed on this sheet.</t>
  </si>
  <si>
    <t>Dictum en Bijlage 1 Besluit: tariffs and key figures Electricity</t>
  </si>
  <si>
    <t>Tariffs to include in Dictum production price decision</t>
  </si>
  <si>
    <t xml:space="preserve">Production price electricity excl. fuel </t>
  </si>
  <si>
    <t xml:space="preserve">Variable distribution tariff electricity </t>
  </si>
  <si>
    <t xml:space="preserve">Fixed distribution tariff electricity </t>
  </si>
  <si>
    <t>Tariff per kVA</t>
  </si>
  <si>
    <t xml:space="preserve">Tariff category </t>
  </si>
  <si>
    <t xml:space="preserve">  3,2 kVA</t>
  </si>
  <si>
    <t xml:space="preserve">  7,7 kVA</t>
  </si>
  <si>
    <t xml:space="preserve">  11 kVA</t>
  </si>
  <si>
    <t xml:space="preserve">  13,86 kVA</t>
  </si>
  <si>
    <t xml:space="preserve">  13,3 kVA</t>
  </si>
  <si>
    <t xml:space="preserve">  19 kVA</t>
  </si>
  <si>
    <t xml:space="preserve">  23,94 kVA</t>
  </si>
  <si>
    <t xml:space="preserve">  30,4 kVA</t>
  </si>
  <si>
    <t xml:space="preserve">  38 kVA</t>
  </si>
  <si>
    <t xml:space="preserve">  47,5 kVA</t>
  </si>
  <si>
    <t xml:space="preserve">  60,8 kVA</t>
  </si>
  <si>
    <t xml:space="preserve">  76 kVA</t>
  </si>
  <si>
    <t xml:space="preserve">  85,5 kVA</t>
  </si>
  <si>
    <t xml:space="preserve">  95 kVA</t>
  </si>
  <si>
    <t xml:space="preserve">  119,7 kVA</t>
  </si>
  <si>
    <t xml:space="preserve">  175 kVA</t>
  </si>
  <si>
    <t xml:space="preserve">Connections tariffs electricity </t>
  </si>
  <si>
    <t xml:space="preserve">Additional tariff for road crossing </t>
  </si>
  <si>
    <t>Profit sharing percentage</t>
  </si>
  <si>
    <t xml:space="preserve">  of which are the estimated variable costs per unit</t>
  </si>
  <si>
    <t>Total estimated production volume</t>
  </si>
  <si>
    <t xml:space="preserve">   Production by solar</t>
  </si>
  <si>
    <t xml:space="preserve">   Production by fuel</t>
  </si>
  <si>
    <t>Estimated production yield for fuel</t>
  </si>
  <si>
    <t>Liter/kWh</t>
  </si>
  <si>
    <t>Price fuel (most recent)</t>
  </si>
  <si>
    <t xml:space="preserve">Note: 'pl' means price level </t>
  </si>
  <si>
    <t>Dictum en Bijlage 1 Besluit: tariffs and key figures Drinking Water</t>
  </si>
  <si>
    <t>Production price drinking water</t>
  </si>
  <si>
    <t xml:space="preserve">Variable distribution tariff drinking water </t>
  </si>
  <si>
    <t xml:space="preserve">Fixed distribution tariff drinking water </t>
  </si>
  <si>
    <t>Connection tariffs drinking water</t>
  </si>
  <si>
    <t>Price drinking water by truck</t>
  </si>
  <si>
    <t>Percentage for profit sharing</t>
  </si>
  <si>
    <t xml:space="preserve">Water production </t>
  </si>
  <si>
    <t xml:space="preserve">Water distribution </t>
  </si>
  <si>
    <t>Data on developments</t>
  </si>
  <si>
    <t xml:space="preserve">  plus extra variable capital costs per new water connection</t>
  </si>
  <si>
    <t>Additional: total electricity costs for production of drinking water</t>
  </si>
  <si>
    <t xml:space="preserve">   of which distributed by truck</t>
  </si>
  <si>
    <t>Required electricity for drinking water</t>
  </si>
  <si>
    <t>kVA-connection for water production</t>
  </si>
  <si>
    <t xml:space="preserve">  200 kVA</t>
  </si>
  <si>
    <t>This file uses the output from the OPEX model, RAB model and the Fuel model</t>
  </si>
  <si>
    <t>This document contains the calculation of electricity and drinking water tariffs for 2025. These tariffs are based on cost estimates for STUCO for 2025 and the results of profit sharing for 2023.</t>
  </si>
  <si>
    <t>ACM bases cost estimates for 2025 on realized costs in 2023, as found in the financial statements of STUCO.</t>
  </si>
  <si>
    <t>Estimated inflation 2025</t>
  </si>
  <si>
    <t>CPI</t>
  </si>
  <si>
    <t>Legal interest rate</t>
  </si>
  <si>
    <t>Data ACM</t>
  </si>
  <si>
    <t>This sheet displays the percentages used for the CPI, WACC, legal fixed interest rate and the profit sharing.</t>
  </si>
  <si>
    <t>This sheet displays data sourced from ACM tariff models.</t>
  </si>
  <si>
    <t>Realized volume 2021</t>
  </si>
  <si>
    <t>Tariffs associated with connection activities</t>
  </si>
  <si>
    <t>Tariff for new water connection in 2024</t>
  </si>
  <si>
    <t>Data from tariff model 2024 and July 2024</t>
  </si>
  <si>
    <t>Data for production yield</t>
  </si>
  <si>
    <t>Production yield electricity</t>
  </si>
  <si>
    <t>Estimated production yield electricity</t>
  </si>
  <si>
    <t>Estimated production yield</t>
  </si>
  <si>
    <t>Production yield drinking water</t>
  </si>
  <si>
    <t>Total estimated volume per category</t>
  </si>
  <si>
    <t>USD, pl 2025</t>
  </si>
  <si>
    <t>Capital costs (RAB*WACC+ depreciation)</t>
  </si>
  <si>
    <t>USD/connection</t>
  </si>
  <si>
    <t>Addition in RAB per connection</t>
  </si>
  <si>
    <t>Addition in depreciation per connection</t>
  </si>
  <si>
    <t>Total fixed/variable costs</t>
  </si>
  <si>
    <t>Calculation split water distribution</t>
  </si>
  <si>
    <t>Variable part of operational costs</t>
  </si>
  <si>
    <t>Realized costs after split water distribution</t>
  </si>
  <si>
    <t>Energy cost correction 2024</t>
  </si>
  <si>
    <t>USD, pl 2024/kWh</t>
  </si>
  <si>
    <t>Additional costs related to new water connections is calculated using data from tariff model 2016.</t>
  </si>
  <si>
    <t>USD/#</t>
  </si>
  <si>
    <t>USD /#</t>
  </si>
  <si>
    <t>Regular cost base</t>
  </si>
  <si>
    <t>Additions to cost base (major occurrences)</t>
  </si>
  <si>
    <t>Variable capital costs per new connection</t>
  </si>
  <si>
    <t>Annual depreciation per extra connection</t>
  </si>
  <si>
    <t>Addtional RAB per extra connection</t>
  </si>
  <si>
    <t>Fixed/variable costs</t>
  </si>
  <si>
    <t>Calculation income level</t>
  </si>
  <si>
    <t>Overview corrections</t>
  </si>
  <si>
    <t>Corrections to variable distribution tariff</t>
  </si>
  <si>
    <t>Corrections calculated in tariff model</t>
  </si>
  <si>
    <t>Corrections imported from fuel model</t>
  </si>
  <si>
    <t>Fixed distribution tariff per category</t>
  </si>
  <si>
    <t>Fuel component correction May - October 2024 per kWh</t>
  </si>
  <si>
    <t>Profit sharing: network losses 2023 per m3</t>
  </si>
  <si>
    <t>Network losses (NRW)</t>
  </si>
  <si>
    <t>Costs of emergency production are renumerated separately. Therefore, production by GTI is omitted from realized volume for profit sharing and for the income level 2025. Production by GTI is included in the volume correction, because electricity produced by GTI was distributed to consumers.</t>
  </si>
  <si>
    <t>Energy costs correction 2024</t>
  </si>
  <si>
    <t>Fuel component correction May-October 2024</t>
  </si>
  <si>
    <t>STUCO Water usage analysis 2016</t>
  </si>
  <si>
    <t>Total number of consumers billed divided by 12</t>
  </si>
  <si>
    <t>Fixed distribution tariff for water production facility</t>
  </si>
  <si>
    <t>ACM uses WACC 2025 to calculate estimated cost of capital 2025.</t>
  </si>
  <si>
    <t>Tariff model 2018, sheet "Input costs and subsidies", cell I20</t>
  </si>
  <si>
    <t>Tariff model 2018, sheet "Input costs and subsidies", cell I21</t>
  </si>
  <si>
    <t>Total realized costs</t>
  </si>
  <si>
    <t>Corrections to variable distribution tariff per unit</t>
  </si>
  <si>
    <t>Income level (before corrections)</t>
  </si>
  <si>
    <t>Income level (after corrections)</t>
  </si>
  <si>
    <t>Profit sharing over network losses 2023 per kWh</t>
  </si>
  <si>
    <t>Network losses</t>
  </si>
  <si>
    <t>Corrections added to variable tariff</t>
  </si>
  <si>
    <t>Fuel component January 2025</t>
  </si>
  <si>
    <t>The fuel component correction May-October 2024 will be included in the variable usage tariff January-June 2025. Therefore, this amount is divided by the volume for 1st half of 2025.</t>
  </si>
  <si>
    <t>The income level before corrections is equal to estimated costs for 2025 including a reasonable return (WACC).</t>
  </si>
  <si>
    <t>Data for indexation</t>
  </si>
  <si>
    <t>Profit sharing for regular costs</t>
  </si>
  <si>
    <t>Profit sharing for network losses</t>
  </si>
  <si>
    <t>Input for profit sharing over network losses</t>
  </si>
  <si>
    <t>Production price electricity</t>
  </si>
  <si>
    <t xml:space="preserve">Calculation variable distribution tariff </t>
  </si>
  <si>
    <t>Corrections added to variable distribution tariff</t>
  </si>
  <si>
    <t>Fixed distribution tariffs electricity</t>
  </si>
  <si>
    <t>Variable distribution tariff drinking water</t>
  </si>
  <si>
    <t>Calculation variable distribution tariff drinking water</t>
  </si>
  <si>
    <t>Fixed distribution tariff drinking water</t>
  </si>
  <si>
    <t>Calculation fixed distribution tariff</t>
  </si>
  <si>
    <t>Water distribution by truck</t>
  </si>
  <si>
    <t>Calculation tariff distribution by truck</t>
  </si>
  <si>
    <t>Income level is for the whole year 2025, therefore income level per month is income level divided by 12.</t>
  </si>
  <si>
    <t>The (monthly) fixed distribution tariff for drinking water is income level per connection per month. Income level is for the whole year 2025, therefore income level per month is income level divided by 12.</t>
  </si>
  <si>
    <t>The tariff for water distribution by truck is the production price drinking water plus income level per m3 for water distribution by truck.</t>
  </si>
  <si>
    <t>The reconnection fee is set fixed at USD 40. Therefore, it is not indexed.</t>
  </si>
  <si>
    <r>
      <t xml:space="preserve">The calculations are explained in the </t>
    </r>
    <r>
      <rPr>
        <i/>
        <sz val="10"/>
        <rFont val="Arial"/>
        <family val="2"/>
      </rPr>
      <t>Remarks</t>
    </r>
    <r>
      <rPr>
        <sz val="10"/>
        <rFont val="Arial"/>
        <family val="2"/>
      </rPr>
      <t xml:space="preserve"> column.</t>
    </r>
  </si>
  <si>
    <t>The variable distribution tariff drinking water is the production price drinking water plus corrections, divided by percentage billed water.</t>
  </si>
  <si>
    <t>The variable distribution tairff for electricity is the production price electricity plus corrections, divided by percentage billed electricity.</t>
  </si>
  <si>
    <t>The (monthly) fixed distribution tariff per category is income level per kVA per month, multiplied by the kVA of the connection.</t>
  </si>
  <si>
    <t>Cost base</t>
  </si>
  <si>
    <t>On this sheet the ACM splits costs per department in a fixed and variable part.</t>
  </si>
  <si>
    <t>Variable distribution tariff water 2025</t>
  </si>
  <si>
    <t>Tariff for reconnection 2025</t>
  </si>
  <si>
    <t>New connection tariff 2025</t>
  </si>
  <si>
    <t>ACM splits cost of water distribution between distribution by line and by truck, using estimated percentage of water by truck as allocation key.</t>
  </si>
  <si>
    <t>ACM splits cost of water distribution between distribution by line and by truck, using realized percentage of water by truck as allocation key.</t>
  </si>
  <si>
    <t>Realized costs (after split water distribution)</t>
  </si>
  <si>
    <t>Split water distribution</t>
  </si>
  <si>
    <t>Production price excluding fuel</t>
  </si>
  <si>
    <t>The production price for electricity, excluding fuel component, is equal to income level divided by estimated volume for electricity production.</t>
  </si>
  <si>
    <t xml:space="preserve">On this sheet the ACM calculates the production price and variable distribution tariff for electricity. </t>
  </si>
  <si>
    <t>Tariffs for connection activities</t>
  </si>
  <si>
    <t>Tariffs for connection activities 2024</t>
  </si>
  <si>
    <t xml:space="preserve">The fuel component is fuel costs per kWh, given by: fuel price * fuel efficiency * share of production by fuel. </t>
  </si>
  <si>
    <t>Production price including fuel</t>
  </si>
  <si>
    <t>Electricity costs of water production</t>
  </si>
  <si>
    <t>Fixed tariffs are charged monthly, therefore annual fixed electricity costs equal the fixed tariff muliplied by 12.</t>
  </si>
  <si>
    <t>Production price including electricity costs</t>
  </si>
  <si>
    <t>Production price excluding electricity costs</t>
  </si>
  <si>
    <t>Variable electricity costs for water production per m3</t>
  </si>
  <si>
    <t>Income level for water truck delivery</t>
  </si>
  <si>
    <t>Tariff for road crossing, per meter 2024</t>
  </si>
  <si>
    <t>Tariffs associated with connection activities in 2024</t>
  </si>
  <si>
    <t>Reconnection fee 2024</t>
  </si>
  <si>
    <t>Not established in the tariff decision, ACM only establishes a production price including electricity costs. This is unlike the production price electricity because the fuel component for electricity can change monthly, but electricity tariffs for the water plant can not.</t>
  </si>
  <si>
    <t>Electricity costs for water production per m3</t>
  </si>
  <si>
    <t>The fixed distribution tariffs are based on income level for electricity distribution. Tarrifs for connection activities are last year's tariffs indexed for inflation.</t>
  </si>
  <si>
    <t>The production price is based on income level for electricity production. The variable distribution tariff electricity is based on the production price electricity.</t>
  </si>
  <si>
    <t>Fixed part of operational costs</t>
  </si>
  <si>
    <t>Fixed part of capital costs</t>
  </si>
  <si>
    <t>Fuel model, sheet "Result", cell H12</t>
  </si>
  <si>
    <t>Fuel model, sheet "Result", cell H13</t>
  </si>
  <si>
    <t>Production by GTI</t>
  </si>
  <si>
    <t>Production excluding GTI</t>
  </si>
  <si>
    <t>Electricity production by GTI</t>
  </si>
  <si>
    <t>Cost of emergency production</t>
  </si>
  <si>
    <t>Solar park phase 3</t>
  </si>
  <si>
    <t>Total costs phase 3</t>
  </si>
  <si>
    <t>Subsidy EZK phase 3</t>
  </si>
  <si>
    <t>Contribution STUCO to phase 3</t>
  </si>
  <si>
    <t>Estimated date of capitalization</t>
  </si>
  <si>
    <t>Depreciation rate</t>
  </si>
  <si>
    <t>Annual depreciation</t>
  </si>
  <si>
    <t xml:space="preserve">Period in use </t>
  </si>
  <si>
    <t>Months</t>
  </si>
  <si>
    <t>Addition to RAB phase 3</t>
  </si>
  <si>
    <t>Addtion to depreciation phase 3</t>
  </si>
  <si>
    <t>Additionals to fixed capital costs phase 3</t>
  </si>
  <si>
    <t>ACM uses the adjusted WACC to correct for the risk free rate</t>
  </si>
  <si>
    <t>Fixed/variable costs after WACC correction</t>
  </si>
  <si>
    <t>WACC correction</t>
  </si>
  <si>
    <t>Total WACC correction</t>
  </si>
  <si>
    <t>Estimated costs after WACC correction</t>
  </si>
  <si>
    <t>Income per kVA per month</t>
  </si>
  <si>
    <t>Rounded to four decimals.</t>
  </si>
  <si>
    <t>Rounded to three decimals.</t>
  </si>
  <si>
    <t>Estimated RAB value at time of capitalization</t>
  </si>
  <si>
    <t>30. STUCO Estimation of Net Losses of drinking water in 2025 WP 8144 (A) Water Summ Rev Analysis UPDATED</t>
  </si>
  <si>
    <t>Based on analysis by ACM on fixed/variable costs in the Caribbean Netherlands and as used in the 2024 decisions.</t>
  </si>
  <si>
    <t>Based on assumption by ACM on fixed/variable costs in the Caribbean Netherlands and as used in the 2024 decisions.</t>
  </si>
  <si>
    <t>Subsidy grant phase 3</t>
  </si>
  <si>
    <t>Data from tariff decisions 2018</t>
  </si>
  <si>
    <r>
      <t>This data is sourced from underlying ACM models based on</t>
    </r>
    <r>
      <rPr>
        <i/>
        <sz val="10"/>
        <rFont val="Arial"/>
        <family val="2"/>
      </rPr>
      <t xml:space="preserve"> Financial information</t>
    </r>
    <r>
      <rPr>
        <sz val="10"/>
        <rFont val="Arial"/>
        <family val="2"/>
      </rPr>
      <t xml:space="preserve"> that ACM received from STUCO.</t>
    </r>
  </si>
  <si>
    <t>OPEX model, sheet "Assessment OPEX", row 256</t>
  </si>
  <si>
    <t>Fixed/variable costs before WACC correction</t>
  </si>
  <si>
    <t>On this sheet the ACM calculates the fixed distribution tariffs and the tariffs for connection activities for electricity.</t>
  </si>
  <si>
    <t>Tariff calculation Electricity - variable</t>
  </si>
  <si>
    <t>Tariff calculation Electricity - fixed</t>
  </si>
  <si>
    <t>Tariff calculation drinking water - variable</t>
  </si>
  <si>
    <t>Tariff calculation drinking water - fixed</t>
  </si>
  <si>
    <t>On this sheet the ACM calculates the production price, variable distribution tariff and tariff for truck delivery of drinking water.</t>
  </si>
  <si>
    <t>Fixed electricity costs for water production</t>
  </si>
  <si>
    <t>On this sheet the ACM calculates the fixed distribution tariff and the tariffs for connection activities for drinking water</t>
  </si>
  <si>
    <t xml:space="preserve">The calculation is done by comparing the difference between estimated fixed and variable costs before adjusting the risk free rate with the estimated fixed and variable costs after adjusting the risk free rate. </t>
  </si>
  <si>
    <t>200,0</t>
  </si>
  <si>
    <t>Additions to capital costs due to network growth</t>
  </si>
  <si>
    <t>Estimated fixed costs before WACC correction</t>
  </si>
  <si>
    <t>Estimated inflation 2026</t>
  </si>
  <si>
    <t>Compounded legal fixed interest rate over 2024 - 2026</t>
  </si>
  <si>
    <t>Adjusted WACC 2024 - Electricity production</t>
  </si>
  <si>
    <t>Adjusted WACC 2024 - Electricity distribution</t>
  </si>
  <si>
    <t>Adujusted WACC 2024 - Water production and distribution</t>
  </si>
  <si>
    <t>ACM updated WACC 2024</t>
  </si>
  <si>
    <t>WACC 2026</t>
  </si>
  <si>
    <t>WACC 2026 - Electricity production</t>
  </si>
  <si>
    <t>WACC 2026 - Electricity distribution</t>
  </si>
  <si>
    <t>WACC 2026 - Water production and distribution</t>
  </si>
  <si>
    <t>ACM WACC decision 2026-2028</t>
  </si>
  <si>
    <t>ACM method decision 2026-2031</t>
  </si>
  <si>
    <t>WACC 2024 - adjusted risk free rate</t>
  </si>
  <si>
    <t>ACM Method decision 2026-2031</t>
  </si>
  <si>
    <t>Fuel component correction May - October 2025</t>
  </si>
  <si>
    <t>This sheet displays historical data over 2024. This data comes from Historic data that ACM recieved from STUCO.</t>
  </si>
  <si>
    <t>Volumes data 2024</t>
  </si>
  <si>
    <t>Realized volume 2024</t>
  </si>
  <si>
    <t>Network losses 2024</t>
  </si>
  <si>
    <t>Number of new connections in 2024</t>
  </si>
  <si>
    <t>Tariff for new connections in 2024</t>
  </si>
  <si>
    <t>Delivery of drinking water by truck 2024</t>
  </si>
  <si>
    <t>Realisation of water distributed by line in 2024</t>
  </si>
  <si>
    <t>Percentage water distribution by truck 2024</t>
  </si>
  <si>
    <t>Realized liters of fuel consumed for production in 2024</t>
  </si>
  <si>
    <t>Realized production volume by fuel in 2024</t>
  </si>
  <si>
    <t>Fuel cost correction 2024</t>
  </si>
  <si>
    <t>Overview of electricity production</t>
  </si>
  <si>
    <t>10. STUCO Overview of Prod Elec p.m. in 2024 (EY PBC #36 UA)</t>
  </si>
  <si>
    <t>7. STUCO Electricity connections by KVA in 2024</t>
  </si>
  <si>
    <t>Electricity connections 2024</t>
  </si>
  <si>
    <t>17. An Overview of the production of drinking Water in M3 in 2024</t>
  </si>
  <si>
    <t>14. STUCO Drinking Water Connections for 2024</t>
  </si>
  <si>
    <t>Water connections</t>
  </si>
  <si>
    <t>18. An Overview of the distributed drinking Water per category in 2024 per month</t>
  </si>
  <si>
    <t>Water distribution per category</t>
  </si>
  <si>
    <t>13. WP 8143 STUCO Net Losses Electricity 2024 (EY PBC #35UA)</t>
  </si>
  <si>
    <t>19. STUCO Net Losses of drinking water in 2024 (EY PBC #39UA)</t>
  </si>
  <si>
    <t>Net losses electricity</t>
  </si>
  <si>
    <t>Net losses water</t>
  </si>
  <si>
    <t>Net losses electricity , "8143 Elec usage 2024" cell O10; Net losses water, "8144Water usage 2024 Correc", cell O18</t>
  </si>
  <si>
    <t>15. STUCO New Drinking Water Connections for 2024</t>
  </si>
  <si>
    <t>New water connections</t>
  </si>
  <si>
    <t>New water connections, "2024 New Water Connections", cell N5</t>
  </si>
  <si>
    <t>Tarif model STUCO 2024, sheet "result", cell H63.</t>
  </si>
  <si>
    <t>[9] Water distribution per category, "2024 Distr of Water, cell N5</t>
  </si>
  <si>
    <t>Fuel model, sheet "Data production"; sum of cells H14:S14</t>
  </si>
  <si>
    <t>Fuel model, sheet "Data production"; sum of cells H14:S15</t>
  </si>
  <si>
    <t>20. STUCO Overview electricity used for Production and Distribution of drinking water in 2024</t>
  </si>
  <si>
    <t>Electricity for water</t>
  </si>
  <si>
    <t>Electricity for water, sum of row 5, 9 and 10.</t>
  </si>
  <si>
    <t>Depreciation in 2026</t>
  </si>
  <si>
    <t>Estimated RAB value ultimo 2026</t>
  </si>
  <si>
    <t>Average RAB value 2026</t>
  </si>
  <si>
    <t>Average RAB value 2026, by ratio of months in use</t>
  </si>
  <si>
    <t>Major occurrences in 2025 or 2026 are added to the cost base in the calculation of income level for 2026.</t>
  </si>
  <si>
    <t>Tariff model 2025, sheet "Historical data", row 25.</t>
  </si>
  <si>
    <t>Tariff model 2025, sheet "Historical data", row 26.</t>
  </si>
  <si>
    <t>WACC electricity production 2025</t>
  </si>
  <si>
    <t>Capitalized construction interest 2025</t>
  </si>
  <si>
    <t>E-mail sent by STUCO on October 16 2025</t>
  </si>
  <si>
    <t>Cost base 2024</t>
  </si>
  <si>
    <t>This sheet displays STUCO's cost base over 2024. This is used to calculate STUCO's income level for 2026 and profit sharing over regular costs for 2024.</t>
  </si>
  <si>
    <t xml:space="preserve">Operational costs (excl fuel) 2024 </t>
  </si>
  <si>
    <t>Other income 2024</t>
  </si>
  <si>
    <t>Operational costs (excl fuel) 2024 for Profit Sharing</t>
  </si>
  <si>
    <t>Other income 2024 for Profit Sharing</t>
  </si>
  <si>
    <t>RAB-value ultimo 2024</t>
  </si>
  <si>
    <t>Depreciation 2024</t>
  </si>
  <si>
    <t>Number of connections 2024</t>
  </si>
  <si>
    <t>RAB water distribution 2024</t>
  </si>
  <si>
    <t>Depreciation water distribution 2024</t>
  </si>
  <si>
    <t xml:space="preserve">Budget 2024, page 18 </t>
  </si>
  <si>
    <t>ACM WACC decision 2024-2026</t>
  </si>
  <si>
    <t>E-mail sent by STUCO on November 22 2024</t>
  </si>
  <si>
    <t>Estimates for 2026</t>
  </si>
  <si>
    <t>On this sheet the ACM imports estimates for 2026. This data comes from Forward looking information that ACM recieved from STUCO.</t>
  </si>
  <si>
    <t>Estimated production volume 2026</t>
  </si>
  <si>
    <t>Estimated network losses 2026 in %</t>
  </si>
  <si>
    <t>Estimated production by solar in 2026</t>
  </si>
  <si>
    <t>Estimated production by fuel in 2026</t>
  </si>
  <si>
    <t>Estimated total production in 2026</t>
  </si>
  <si>
    <t>Estimated total production first half 2026</t>
  </si>
  <si>
    <t>Estimated share of production with fuel in 2026</t>
  </si>
  <si>
    <t>Estimated delivery of drinking water by truck 2026</t>
  </si>
  <si>
    <t>Estimated drinking water delivered by truck in 2026</t>
  </si>
  <si>
    <t>Estimated percentage of drinking water delivered by truck in 2026</t>
  </si>
  <si>
    <t>Estimated fuel efficiency 2026</t>
  </si>
  <si>
    <t>Tariff categories and volumes 2026</t>
  </si>
  <si>
    <t>Expected number of connections in 2026</t>
  </si>
  <si>
    <t>Water connections 2026, "2026 Connections", O5.</t>
  </si>
  <si>
    <t>Estimated volume 2026</t>
  </si>
  <si>
    <t>Realized water production in 2024</t>
  </si>
  <si>
    <t>25. STUCO Estimation of Net Losses Electricity 2026 (WP 8143 (A) Electricity Usage Summary Revenue Analysis (EY E1))</t>
  </si>
  <si>
    <t>[17] Estimated electricity production, "Elec Meter readings Month(2026)", cell N6</t>
  </si>
  <si>
    <t>[17] Estimated electricity production, "Elec Meter readings Month(2026)", cell N5</t>
  </si>
  <si>
    <t>[17] Estimated electricity production, "Elec Meter readings Month(2026)", cell G9</t>
  </si>
  <si>
    <t>Estimated water production</t>
  </si>
  <si>
    <t>Estimated net losses electricity</t>
  </si>
  <si>
    <t>Estimated net losses water</t>
  </si>
  <si>
    <t>Estimated electricity production</t>
  </si>
  <si>
    <t>24. STUCO estimation of production of Electricity in KWh for 2026 distributed by first half and second half 2026</t>
  </si>
  <si>
    <t>28. STUCO estimation of distributed Water M3 per category for 2026</t>
  </si>
  <si>
    <t>[14] Estimated water production, "2026 Distr of Water", cell N7</t>
  </si>
  <si>
    <t>[14] Estimated water production, "2026 Distr of Water", cell N6</t>
  </si>
  <si>
    <t>Estimated connections KVA</t>
  </si>
  <si>
    <t>21. STUCO Electricity connections by KVA in projection 2026</t>
  </si>
  <si>
    <t>Calculation based on [18] Estimated connections KVA</t>
  </si>
  <si>
    <t>Estimated connections water</t>
  </si>
  <si>
    <t>26. STUCO Estimation of Drinking Water Connections for 2026</t>
  </si>
  <si>
    <t>Additional costs related to new water connections 2026</t>
  </si>
  <si>
    <t>Data from tariff model 2025 is used for the energy cost correction and tariffs associated with connection activities.</t>
  </si>
  <si>
    <t>Data from tariff model 2025 and July 2025</t>
  </si>
  <si>
    <t>Total estimated water production 2025</t>
  </si>
  <si>
    <t>Variable distribution tariff per 1 January 2025</t>
  </si>
  <si>
    <t>USD, pp 2025/kWh</t>
  </si>
  <si>
    <t>Variable distribution tariff per 1 July 2025</t>
  </si>
  <si>
    <t>Expected share of water distribution in second half of the year 2025</t>
  </si>
  <si>
    <t>Expected share of 50% as is assumed in the 2025 decisions.</t>
  </si>
  <si>
    <t>Tariff for new water connection in 2025</t>
  </si>
  <si>
    <t>Data from tariff model 2024 is used for the volume correction and profit sharing</t>
  </si>
  <si>
    <t>Data from tariff model 2024 with adjusted WACC</t>
  </si>
  <si>
    <t>Estimated fixed/variable costs from tariffs 2024, adjusted for WACC</t>
  </si>
  <si>
    <t>Total estimated fixed costs 2024</t>
  </si>
  <si>
    <t>Total estimated regular variable capital costs 2024 (excl. addition new water connections)</t>
  </si>
  <si>
    <t>Total estimated variable costs 2024 per unit (excl. addition for network growth)</t>
  </si>
  <si>
    <t>USD, pl 2024 / #</t>
  </si>
  <si>
    <t>Extra estimated variable costs 2024 for network growth per new water connection</t>
  </si>
  <si>
    <t>Estimated fixed/variable costs from tariffs 2024</t>
  </si>
  <si>
    <t>Estimated volume 2024</t>
  </si>
  <si>
    <t>Estimated network losses 2024</t>
  </si>
  <si>
    <t>Production price 2024</t>
  </si>
  <si>
    <t>Production price incl fuel (Jan-Jun 2024)</t>
  </si>
  <si>
    <t>USD/kWh, pl 2024</t>
  </si>
  <si>
    <t>Production price incl fuel (Jul-Dec 2024)</t>
  </si>
  <si>
    <t>USD/m3, pl 2024</t>
  </si>
  <si>
    <t>ACM calculation lost subsidy income, sheet "Lost subsidy income 2024", Cell E94 and E107</t>
  </si>
  <si>
    <t>Tariff model 2024</t>
  </si>
  <si>
    <t>Tariff calculation STUCO 2024 - 477547</t>
  </si>
  <si>
    <t>Realized volume 2022</t>
  </si>
  <si>
    <t>Berekening variabel gebruikstarief elektriciteit STUCO per 1 juli 2024</t>
  </si>
  <si>
    <t>Tariff model July 2024</t>
  </si>
  <si>
    <t>[10] Electricity production 2024, sheet "Elec Meter readings Month(2024), cell W45</t>
  </si>
  <si>
    <t>[20] Tariff model 2024, sheet "Estimates for 2024", cell L22 cell M65; cell N14; cell O68; cell P27.</t>
  </si>
  <si>
    <t>[20] Tariff model 2024, sheet "historical data", cell O37.</t>
  </si>
  <si>
    <t>[20] Tariff model 2024, sheet "Estimates for 2024", cell L22 cell M16 &amp; O17</t>
  </si>
  <si>
    <t>[21] Tariff model July 2024, sheet "Result", cell H40.</t>
  </si>
  <si>
    <t>[20] Tariff model 2024, sheet "Result", cell H16.</t>
  </si>
  <si>
    <t>[22] Tariff model 2025, sheet "Estimates for 2025", cell N14.</t>
  </si>
  <si>
    <t>Tariff model 2025</t>
  </si>
  <si>
    <t>Berekening tarieven stuco 2025</t>
  </si>
  <si>
    <t>[22] Tariff model 2025, sheet "Estimates for 2025", cell N40.</t>
  </si>
  <si>
    <t>[22] Tariff model 2025, sheet "Result", cell H19</t>
  </si>
  <si>
    <t>[22] Tariff model 2025, sheet "Result", cell H65</t>
  </si>
  <si>
    <t>[22] Tariff model 2025, sheet "Result", cell H66</t>
  </si>
  <si>
    <t>[22] Tariff model 2025, sheet "Result", cell H46</t>
  </si>
  <si>
    <t>[22] Tariff model 2025, sheet "Result", cell H47</t>
  </si>
  <si>
    <t>[22] Tariff model 2025, sheet "Result", cell H48</t>
  </si>
  <si>
    <t>[22] Tariff model 2025, sheet "Result", cell H43 &amp; cell H62</t>
  </si>
  <si>
    <t>Tariff model july 2025</t>
  </si>
  <si>
    <t>Berekening variabel gebruikstarief elektriciteit STUCO per 1 juli 2025 </t>
  </si>
  <si>
    <t>[23] Tariff model July 2025, sheet "Result", cell H40.</t>
  </si>
  <si>
    <t>RAB-model, sheet "Output"; row 16</t>
  </si>
  <si>
    <t>RAB-model, sheet "Output"; row 17</t>
  </si>
  <si>
    <t>Additionals to fixed capital costs for major occurance phase 3</t>
  </si>
  <si>
    <t>Calculation based on [20] Tariff model 2024, sheet "Calculation cost base 2024", row 69</t>
  </si>
  <si>
    <t>Calculation based on [20] Tariff model 2024, sheet "Calculation cost base 2024", row 70</t>
  </si>
  <si>
    <t>Calculation based on [20] Tariff model 2024, sheet "Calculation cost base 2024", row 71-72</t>
  </si>
  <si>
    <t>Calculation based on [20] Tariff model 2024, sheet "Calculation cost base 2024", row 73</t>
  </si>
  <si>
    <t>[20] Tariff model 2024, sheet "Calculation cost base 2024", row 69</t>
  </si>
  <si>
    <t>[20] Tariff model 2024, sheet "Calculation cost base 2024", row 70</t>
  </si>
  <si>
    <t>[20] Tariff model 2024, sheet "Calculation cost base 2024", row 71-72</t>
  </si>
  <si>
    <t>[20] Tariff model 2024, sheet "Calculation cost base 2024", row 73</t>
  </si>
  <si>
    <t>WACC correction 2024</t>
  </si>
  <si>
    <t>On this sheet ACM calculates the WACC correction 2024.</t>
  </si>
  <si>
    <t>In the WACC decision 2024-2026, ACM decided to include a yearly ex post recalculation of the risk free rate in the tariff decisions.</t>
  </si>
  <si>
    <t>WACC correction for fixed costs 2024</t>
  </si>
  <si>
    <t>WACC correction for regular variable capital costs 2024 (excl. addition new water connections)</t>
  </si>
  <si>
    <t>WACC correction for variable costs 2024  (excl. addition for network growth)</t>
  </si>
  <si>
    <t>WACC correction extra estimated variable costs 2024 for network growth per new water connection</t>
  </si>
  <si>
    <t>Calculation volume-effect correction 2024</t>
  </si>
  <si>
    <t>Total estimated fixed costs for 2024</t>
  </si>
  <si>
    <t>Total lost subsidy income as a result of rising volumes in 2024</t>
  </si>
  <si>
    <t>Realized income to cover fixed costs 2024</t>
  </si>
  <si>
    <t>Volume-effect correction 2024</t>
  </si>
  <si>
    <t>Estimated fixed costs 2024</t>
  </si>
  <si>
    <t>Estimated variable costs 2024 per unit</t>
  </si>
  <si>
    <t>Operational costs 2024 (excl fuel)</t>
  </si>
  <si>
    <t>Capital cost 2024 (RAB*WACC+ depreciation)</t>
  </si>
  <si>
    <t>Net operational costs 2024 (OPEX excl fuel - other income)</t>
  </si>
  <si>
    <t>Estimated and realized costs 2024</t>
  </si>
  <si>
    <t>Total estimated costs for 2024 adjusted for realized volume</t>
  </si>
  <si>
    <t>Total realized costs for 2024</t>
  </si>
  <si>
    <t>Calculation profit sharing for regular costs 2024</t>
  </si>
  <si>
    <t>Realized profit (loss) over 2024 for profit sharing</t>
  </si>
  <si>
    <t>Profit sharing correction 2024</t>
  </si>
  <si>
    <t>Production price incl fuel Jan-Jun 2024</t>
  </si>
  <si>
    <t>Production price incl fuel Jul-Dec 2024</t>
  </si>
  <si>
    <t>Average production price 2024</t>
  </si>
  <si>
    <t>ACM assumes an even distribution between the first and second half of 2024</t>
  </si>
  <si>
    <t>Realized network losses 2024</t>
  </si>
  <si>
    <t>Estimated and realized costs of network losses 2024</t>
  </si>
  <si>
    <t>Estimated costs of network losses 2024</t>
  </si>
  <si>
    <t>Realized costs of network losses 2024</t>
  </si>
  <si>
    <t>Calculation profit sharing for network losses 2024</t>
  </si>
  <si>
    <t>Realized profit (loss) over network losses 2024</t>
  </si>
  <si>
    <t>Profit sharing add-on for network losses 2024</t>
  </si>
  <si>
    <t>The energy cost correction is calculated for 2025, based on the variable distribution tariff as set in the semi-annual tariff decision for electricity distribution.</t>
  </si>
  <si>
    <t>Total expected water production 2025</t>
  </si>
  <si>
    <t>USD, pl 2025/kWh</t>
  </si>
  <si>
    <t>Required amount of electricity for drinking water production 2025</t>
  </si>
  <si>
    <t>Estimated share of water distribution in 2nd half of 2025</t>
  </si>
  <si>
    <t>Difference variable tariff per January 1st and per July 1st 2025</t>
  </si>
  <si>
    <t>Electricity for drinking water production in 2nd half of 2025</t>
  </si>
  <si>
    <t>Energy cost correction 2025</t>
  </si>
  <si>
    <t>This sheet gives an overview of corrections that affect the tariffs for 2026 and converts them to price level 2026.</t>
  </si>
  <si>
    <t>Estimated production 1st half of 2026</t>
  </si>
  <si>
    <t>Corrections in price level 2026</t>
  </si>
  <si>
    <t>USD, pl 2026</t>
  </si>
  <si>
    <t>USD, pl 2026 / kWh</t>
  </si>
  <si>
    <t>USD, pl 2026 / #</t>
  </si>
  <si>
    <t>Legal fixed interest rate over 2025 - 2026</t>
  </si>
  <si>
    <t>Fuel component correction May - October 2025 per kWh</t>
  </si>
  <si>
    <t>Profit sharing 2024: regular costs</t>
  </si>
  <si>
    <t>Profit sharing 2024: network losses</t>
  </si>
  <si>
    <t>Cost of emergency production 2024</t>
  </si>
  <si>
    <t>Profit sharing 2024: network losses per kWh / m3</t>
  </si>
  <si>
    <t>Calculation Fixed/Variable costs 2026</t>
  </si>
  <si>
    <t>Estimated percentage of water by truck 2026</t>
  </si>
  <si>
    <t>Calculation fixed-variable costs for cost estimates 2026</t>
  </si>
  <si>
    <t>Estimated fixed operational costs 2026</t>
  </si>
  <si>
    <t>Estimated variable operational costs 2026</t>
  </si>
  <si>
    <t>Estimated variable operational costs 2026 per unit</t>
  </si>
  <si>
    <t>Estimated fixed capital costs 2026</t>
  </si>
  <si>
    <t>Estimated variable capital costs 2026</t>
  </si>
  <si>
    <t>Estimated variable capital costs 2026 per unit</t>
  </si>
  <si>
    <t>Total estimated fixed costs 2026</t>
  </si>
  <si>
    <t>Total estimated variable costs 2026 per unit</t>
  </si>
  <si>
    <t>Calculation Income level 2026</t>
  </si>
  <si>
    <t>On this sheet the ACM calculates an income level per activity for 2026 based on estimated fixed and variable costs.</t>
  </si>
  <si>
    <t>Income level is fixed costs plus variable costs multiplied by estimated volume 2026.</t>
  </si>
  <si>
    <t>WACC correction 2026</t>
  </si>
  <si>
    <t>Income level for electricity production 2026</t>
  </si>
  <si>
    <t>Estimated volume electricity production 2026</t>
  </si>
  <si>
    <t>Production price electricity 2026 excl. fuel</t>
  </si>
  <si>
    <t>USD/kWh, pl 2026</t>
  </si>
  <si>
    <t>Production price electricity 2026 excl. fuel (rounded)</t>
  </si>
  <si>
    <t>Estimated share production with fuel 2026</t>
  </si>
  <si>
    <t>Fuel component January 2026</t>
  </si>
  <si>
    <t xml:space="preserve">Production price electricty 2026 incl. fuel </t>
  </si>
  <si>
    <t>Production price electricty 2026 incl. fuel (rounded)</t>
  </si>
  <si>
    <t>Estimated network losses 2026</t>
  </si>
  <si>
    <t>Variable distribution tariff electricity 2026</t>
  </si>
  <si>
    <t xml:space="preserve">Income level for electricity distribution per kVA 2026 </t>
  </si>
  <si>
    <t>Total estimated kVA of connections 2026</t>
  </si>
  <si>
    <t xml:space="preserve">Income level for electricity distribution per kVA per month 2026 </t>
  </si>
  <si>
    <t>USD/kVA/month, pl 2026</t>
  </si>
  <si>
    <t>USD/month, pl 2026</t>
  </si>
  <si>
    <t>Tariffs for connection activities 2026</t>
  </si>
  <si>
    <t>Reconnection fee 2026</t>
  </si>
  <si>
    <t>Tariff new electricity connection 3,2 and 7,7 kVA (incl. up to 25 meters) 2026</t>
  </si>
  <si>
    <t>Tariff for road crossing for 3,2 kVA connection, per meter 2026</t>
  </si>
  <si>
    <t>Tariff for road crossing for 7,7 kVA connection, per meter 2026</t>
  </si>
  <si>
    <t>Income level for water production per m3 2026</t>
  </si>
  <si>
    <t>Estimated volume water production 2026</t>
  </si>
  <si>
    <t>Production price drinking water 2026 (excl. electricity costs)</t>
  </si>
  <si>
    <t>USD/m3, pl 2026</t>
  </si>
  <si>
    <t>Production price drinking water 2026 (incl. electricity costs)</t>
  </si>
  <si>
    <t>Production price drinking water 2026 (incl. electricity costs, rounded)</t>
  </si>
  <si>
    <t>Variable distribution tariff 2026 drinking water</t>
  </si>
  <si>
    <t>Variable distribution tariff 2026 drinking water (rounded)</t>
  </si>
  <si>
    <t>Estimated volume water distributed by truck 2026</t>
  </si>
  <si>
    <t>Tariff for water distribution by truck 2026</t>
  </si>
  <si>
    <t>Tariff for water distribution by truck 2026 (rounded)</t>
  </si>
  <si>
    <t>Income level for drinking water distribution 2026</t>
  </si>
  <si>
    <t>USD, pl. 2026</t>
  </si>
  <si>
    <t>Estimated number of drinking water connections 2026</t>
  </si>
  <si>
    <t>Fixed distribution tariff drinking water 2026</t>
  </si>
  <si>
    <t>Tariffs associated with connection activities in 2026</t>
  </si>
  <si>
    <t>Tariff for new water connection 2026</t>
  </si>
  <si>
    <t>Tariff for road crossing, per meter 2026</t>
  </si>
  <si>
    <t xml:space="preserve">On this sheet all the relevant information to include in the appendix of the decision on the tariffs of 2026 is shown. </t>
  </si>
  <si>
    <t>Distribution tariffs 2026</t>
  </si>
  <si>
    <t>USD, pl 2026 / month</t>
  </si>
  <si>
    <t xml:space="preserve">Key figures Tariff decisions STUCO 2026 - Electricity </t>
  </si>
  <si>
    <t>WACC 2026 - Electricity Production</t>
  </si>
  <si>
    <t>WACC 2026 - Electricity Distribution</t>
  </si>
  <si>
    <t>Capital costs in 2026 related to major occurrences</t>
  </si>
  <si>
    <t>Income level 2026</t>
  </si>
  <si>
    <t>Total estimated costs 2026 based on estimated volume 2026</t>
  </si>
  <si>
    <t>Income level 2026 after corrections</t>
  </si>
  <si>
    <t>Other parameters (expectations 2026 electricity)</t>
  </si>
  <si>
    <t>Network losses (estimate for 2026)</t>
  </si>
  <si>
    <t>Total capacity of the network (estimate for 2026)</t>
  </si>
  <si>
    <t>USD, pp 2026 / m3</t>
  </si>
  <si>
    <t xml:space="preserve">USD, pp 2026 / month </t>
  </si>
  <si>
    <t>Key figures Tariff decisions STUCO 2026 - Drinking Water</t>
  </si>
  <si>
    <t>WACC 2026 - Water Production and Distribution</t>
  </si>
  <si>
    <t>Expected percentage of drinking water delivered by truck in 2026</t>
  </si>
  <si>
    <t>Addition in RAB in 2026 due to growth of the water network</t>
  </si>
  <si>
    <t>USD, pl 2026/#</t>
  </si>
  <si>
    <t>Addition in depreciation in 2026 due to growth of the water network</t>
  </si>
  <si>
    <t>Other parameters (expectations 2026 drinking water)</t>
  </si>
  <si>
    <t>Network loss (estimated for 2026)</t>
  </si>
  <si>
    <t>Estimated number of connections 2026 (standard category)</t>
  </si>
  <si>
    <t xml:space="preserve">Variable costs per unit are costs multiplied by percentage variable, divided by realized volume 2024. Fixed costs are costs multiplied by percentage fixed (= 1 - percentage variable). </t>
  </si>
  <si>
    <t>Operational costs 2024 (excl. fuel and other income)</t>
  </si>
  <si>
    <t>Other income 2024 (excl. income new connections for water distribution)</t>
  </si>
  <si>
    <t>Depreciation in 2024</t>
  </si>
  <si>
    <t>Operational costs 2024 (excl. fuel)</t>
  </si>
  <si>
    <t>Profit sharing over regular costs 2024</t>
  </si>
  <si>
    <t>Recalculated WACC 2024 - Electricity Production</t>
  </si>
  <si>
    <t>Recalculated WACC 2024 - Electricity Distribution</t>
  </si>
  <si>
    <t>Summary of cost data 2024</t>
  </si>
  <si>
    <t>Regulated Asset Value (ultimo 2024)</t>
  </si>
  <si>
    <t>Depreciation over 2024</t>
  </si>
  <si>
    <t>Volume-effect 2024</t>
  </si>
  <si>
    <t>Profit sharing: regular costs 2024</t>
  </si>
  <si>
    <t>Profit sharing: network losses 2024</t>
  </si>
  <si>
    <t>Total cost of production by GTI in 2024</t>
  </si>
  <si>
    <t>Recalculated WACC 2024 - Water Production and Distribution</t>
  </si>
  <si>
    <t>[20] Tariff model 2025, sheet "Major occurences", cell L42</t>
  </si>
  <si>
    <t>Correction phase 3</t>
  </si>
  <si>
    <t>Email to ACM 14-10-2025, [15] Estimated Net losses electricity , "8143Elec usage 2026", cell O10; [16] Estimated net losses water, "8144Water usage 2026 Correc"",  cell O20</t>
  </si>
  <si>
    <t>Also contains correction for inflation</t>
  </si>
  <si>
    <t>Delat Petroleum Inv #20250930</t>
  </si>
  <si>
    <t>Fuel cost correction 2025</t>
  </si>
  <si>
    <t>Fuel cost correction</t>
  </si>
  <si>
    <t>[5] Overview of electricity production, "Elec meter readings month (2024), cell U71   -   calculation based on [6] Electricity connections    -   [7] Water production , "2024 Prod of Water", cell O11;    -   Calculation based on [8] Water connections    -   [9] Water distribution per category, "2024 Distr of Water, cell N6</t>
  </si>
  <si>
    <t>2026 whole year</t>
  </si>
  <si>
    <t>January 2026</t>
  </si>
  <si>
    <t>January - June 2026</t>
  </si>
  <si>
    <t>Overview tariffs electricity 2026</t>
  </si>
  <si>
    <t>Overview tariffs drinking water 2026</t>
  </si>
  <si>
    <t>Yes</t>
  </si>
  <si>
    <t>Berekening tarieven STUCO 2026</t>
  </si>
  <si>
    <t>Beschikking productieprijs elektriciteit 2026 STUCO
Beschikking productieprijs drinkwater 2026 STUCO
Beschikking distributietarieven elektriciteit 2026 STUCO
Beschikking distributietarieven drinkwater 2026 STUCO</t>
  </si>
  <si>
    <t>ACM/UIT/662631
ACM/UIT/662627
ACM/UIT/662626
ACM/UIT/662624</t>
  </si>
  <si>
    <t>ACM/25/19710</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</si>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</sst>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_ ;_ * \-#,##0.000_ ;_ * &quot;-&quot;??_ ;_ @_ "/>
    <numFmt numFmtId="166" formatCode="_ * #,##0.0000_ ;_ * \-#,##0.0000_ ;_ * &quot;-&quot;??_ ;_ @_ "/>
    <numFmt numFmtId="167" formatCode="0.0%"/>
    <numFmt numFmtId="168" formatCode="_ * #,##0.0_ ;_ * \-#,##0.0_ ;_ * &quot;-&quot;??_ ;_ @_ "/>
    <numFmt numFmtId="169" formatCode="0.0"/>
    <numFmt numFmtId="170" formatCode="0.0000"/>
    <numFmt numFmtId="171" formatCode="_ * #,##0.00000_ ;_ * \-#,##0.00000_ ;_ * &quot;-&quot;??_ ;_ @_ "/>
    <numFmt numFmtId="172" formatCode="_ * #,##0.0_ ;_ * \-#,##0.0_ ;_ * &quot;-&quot;_ ;_ @_ "/>
    <numFmt numFmtId="173" formatCode="_ * #,##0.00_ ;_ * \-#,##0.00_ ;_ * &quot;-&quot;_ ;_ @_ "/>
    <numFmt numFmtId="174" formatCode="_ * #,##0.0000_ ;_ * \-#,##0.0000_ ;_ * &quot;-&quot;_ ;_ @_ "/>
    <numFmt numFmtId="175" formatCode="_ * #,##0.000_ ;_ * \-#,##0.000_ ;_ * &quot;-&quot;_ ;_ @_ "/>
    <numFmt numFmtId="176" formatCode="0.000"/>
  </numFmts>
  <fonts count="40"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rgb="FF00B0F0"/>
      <name val="Arial"/>
      <family val="2"/>
    </font>
    <font>
      <sz val="10"/>
      <color rgb="FF00B0F0"/>
      <name val="Arial"/>
      <family val="2"/>
    </font>
    <font>
      <sz val="8"/>
      <name val="Arial"/>
      <family val="2"/>
    </font>
    <font>
      <sz val="10"/>
      <color indexed="8"/>
      <name val="Arial"/>
      <family val="2"/>
    </font>
    <font>
      <i/>
      <sz val="10"/>
      <color rgb="FFFF0000"/>
      <name val="Arial"/>
      <family val="2"/>
    </font>
    <font>
      <sz val="9"/>
      <color indexed="81"/>
      <name val="Tahoma"/>
      <family val="2"/>
    </font>
    <font>
      <b/>
      <sz val="10"/>
      <color indexed="8"/>
      <name val="Arial"/>
      <family val="2"/>
    </font>
    <font>
      <sz val="9"/>
      <name val="Arial"/>
      <family val="2"/>
    </font>
    <font>
      <b/>
      <sz val="9"/>
      <color theme="0"/>
      <name val="Arial"/>
      <family val="2"/>
    </font>
    <font>
      <b/>
      <sz val="9"/>
      <name val="Arial"/>
      <family val="2"/>
    </font>
    <font>
      <i/>
      <sz val="10"/>
      <color theme="1"/>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4">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7" borderId="1">
      <alignment vertical="top"/>
    </xf>
    <xf numFmtId="49" fontId="6" fillId="0" borderId="0">
      <alignment vertical="top"/>
    </xf>
    <xf numFmtId="41" fontId="5" fillId="10" borderId="0">
      <alignment vertical="top"/>
    </xf>
    <xf numFmtId="41" fontId="5" fillId="9" borderId="0">
      <alignment vertical="top"/>
    </xf>
    <xf numFmtId="41" fontId="5" fillId="8" borderId="0">
      <alignment vertical="top"/>
    </xf>
    <xf numFmtId="41" fontId="5" fillId="44" borderId="0">
      <alignment vertical="top"/>
    </xf>
    <xf numFmtId="41" fontId="5" fillId="7" borderId="0">
      <alignment vertical="top"/>
    </xf>
    <xf numFmtId="41" fontId="5" fillId="11" borderId="0">
      <alignment vertical="top"/>
    </xf>
    <xf numFmtId="49" fontId="10" fillId="0" borderId="0">
      <alignment vertical="top"/>
    </xf>
    <xf numFmtId="49" fontId="9" fillId="0" borderId="0">
      <alignment vertical="top"/>
    </xf>
    <xf numFmtId="0" fontId="15" fillId="13" borderId="8" applyNumberFormat="0" applyAlignment="0" applyProtection="0"/>
    <xf numFmtId="0" fontId="16" fillId="14" borderId="9" applyNumberFormat="0" applyAlignment="0" applyProtection="0"/>
    <xf numFmtId="0" fontId="17" fillId="14" borderId="8" applyNumberFormat="0" applyAlignment="0" applyProtection="0"/>
    <xf numFmtId="0" fontId="18" fillId="0" borderId="10" applyNumberFormat="0" applyFill="0" applyAlignment="0" applyProtection="0"/>
    <xf numFmtId="0" fontId="12" fillId="15" borderId="11" applyNumberFormat="0" applyAlignment="0" applyProtection="0"/>
    <xf numFmtId="0" fontId="14" fillId="16" borderId="12"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6" applyNumberFormat="0" applyFill="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7" fillId="41"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2" borderId="0" applyNumberFormat="0">
      <alignment vertical="top"/>
    </xf>
    <xf numFmtId="43" fontId="5" fillId="9" borderId="0" applyFont="0" applyFill="0" applyBorder="0" applyAlignment="0" applyProtection="0">
      <alignment vertical="top"/>
    </xf>
    <xf numFmtId="10" fontId="5" fillId="0" borderId="0" applyFont="0" applyFill="0" applyBorder="0" applyAlignment="0" applyProtection="0">
      <alignment vertical="top"/>
    </xf>
    <xf numFmtId="41" fontId="5" fillId="43" borderId="0">
      <alignment vertical="top"/>
    </xf>
    <xf numFmtId="0" fontId="14" fillId="0" borderId="0"/>
    <xf numFmtId="43" fontId="5" fillId="45" borderId="0">
      <alignment vertical="top"/>
    </xf>
    <xf numFmtId="43" fontId="5" fillId="9" borderId="0">
      <alignment vertical="top"/>
    </xf>
    <xf numFmtId="49" fontId="6" fillId="17" borderId="1">
      <alignment vertical="top"/>
    </xf>
    <xf numFmtId="43" fontId="5" fillId="10" borderId="0">
      <alignment vertical="top"/>
    </xf>
    <xf numFmtId="43" fontId="5" fillId="11" borderId="0">
      <alignment vertical="top"/>
    </xf>
    <xf numFmtId="43" fontId="5" fillId="8" borderId="0">
      <alignment vertical="top"/>
    </xf>
    <xf numFmtId="0" fontId="32" fillId="0" borderId="0">
      <alignment vertical="top"/>
    </xf>
  </cellStyleXfs>
  <cellXfs count="204">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7" borderId="1" xfId="6">
      <alignment vertical="top"/>
    </xf>
    <xf numFmtId="0" fontId="5" fillId="0" borderId="2" xfId="4" applyBorder="1" applyAlignment="1">
      <alignment horizontal="left" vertical="top" wrapText="1"/>
    </xf>
    <xf numFmtId="0" fontId="5" fillId="6" borderId="0" xfId="4" applyFill="1">
      <alignment vertical="top"/>
    </xf>
    <xf numFmtId="1" fontId="5" fillId="0" borderId="0" xfId="4" applyNumberFormat="1">
      <alignment vertical="top"/>
    </xf>
    <xf numFmtId="0" fontId="8" fillId="5" borderId="1" xfId="5" applyNumberFormat="1">
      <alignment vertical="top"/>
    </xf>
    <xf numFmtId="0" fontId="13" fillId="0" borderId="0" xfId="4" applyFont="1">
      <alignment vertical="top"/>
    </xf>
    <xf numFmtId="0" fontId="5" fillId="12" borderId="0" xfId="4" applyFill="1">
      <alignment vertical="top"/>
    </xf>
    <xf numFmtId="49" fontId="5" fillId="17" borderId="2" xfId="6" applyFont="1" applyBorder="1">
      <alignment vertical="top"/>
    </xf>
    <xf numFmtId="0" fontId="5" fillId="0" borderId="0" xfId="4" quotePrefix="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10" borderId="0" xfId="8">
      <alignment vertical="top"/>
    </xf>
    <xf numFmtId="9" fontId="5" fillId="0" borderId="0" xfId="4" applyNumberFormat="1">
      <alignment vertical="top"/>
    </xf>
    <xf numFmtId="41" fontId="5" fillId="8" borderId="0" xfId="10">
      <alignment vertical="top"/>
    </xf>
    <xf numFmtId="41" fontId="5" fillId="7" borderId="0" xfId="12">
      <alignment vertical="top"/>
    </xf>
    <xf numFmtId="41" fontId="5" fillId="44" borderId="0" xfId="11">
      <alignment vertical="top"/>
    </xf>
    <xf numFmtId="41" fontId="5" fillId="11" borderId="0" xfId="13">
      <alignment vertical="top"/>
    </xf>
    <xf numFmtId="41" fontId="5" fillId="9" borderId="0" xfId="9">
      <alignment vertical="top"/>
    </xf>
    <xf numFmtId="49" fontId="29" fillId="0" borderId="0" xfId="14" applyFont="1">
      <alignment vertical="top"/>
    </xf>
    <xf numFmtId="0" fontId="30" fillId="0" borderId="0" xfId="4" applyFont="1">
      <alignment vertical="top"/>
    </xf>
    <xf numFmtId="49" fontId="5" fillId="17" borderId="0" xfId="6" applyFont="1" applyBorder="1">
      <alignment vertical="top"/>
    </xf>
    <xf numFmtId="49" fontId="12" fillId="5" borderId="1" xfId="5" applyFont="1">
      <alignment vertical="top"/>
    </xf>
    <xf numFmtId="49" fontId="5" fillId="0" borderId="0" xfId="7" applyFont="1">
      <alignment vertical="top"/>
    </xf>
    <xf numFmtId="0" fontId="9" fillId="12" borderId="0" xfId="4" applyFont="1" applyFill="1">
      <alignment vertical="top"/>
    </xf>
    <xf numFmtId="0" fontId="14" fillId="0" borderId="0" xfId="66" applyAlignment="1">
      <alignment vertical="top"/>
    </xf>
    <xf numFmtId="43" fontId="5" fillId="9" borderId="0" xfId="68">
      <alignment vertical="top"/>
    </xf>
    <xf numFmtId="164" fontId="5" fillId="9" borderId="0" xfId="68" applyNumberFormat="1">
      <alignment vertical="top"/>
    </xf>
    <xf numFmtId="0" fontId="13" fillId="6" borderId="0" xfId="4" applyFont="1" applyFill="1">
      <alignment vertical="top"/>
    </xf>
    <xf numFmtId="0" fontId="5" fillId="42" borderId="0" xfId="62" applyNumberFormat="1">
      <alignment vertical="top"/>
    </xf>
    <xf numFmtId="0" fontId="26" fillId="0" borderId="0" xfId="66" applyFont="1" applyAlignment="1">
      <alignment vertical="top"/>
    </xf>
    <xf numFmtId="0" fontId="13" fillId="6" borderId="0" xfId="4" applyFont="1" applyFill="1" applyAlignment="1">
      <alignment vertical="top" wrapText="1"/>
    </xf>
    <xf numFmtId="167" fontId="13" fillId="6" borderId="0" xfId="67" applyNumberFormat="1" applyFont="1" applyFill="1">
      <alignment vertical="top"/>
    </xf>
    <xf numFmtId="49" fontId="10" fillId="17" borderId="1" xfId="6" applyFont="1">
      <alignment vertical="top"/>
    </xf>
    <xf numFmtId="0" fontId="13" fillId="42" borderId="0" xfId="62" applyNumberFormat="1" applyFont="1">
      <alignment vertical="top"/>
    </xf>
    <xf numFmtId="43" fontId="13" fillId="6" borderId="0" xfId="67" applyFont="1" applyFill="1">
      <alignment vertical="top"/>
    </xf>
    <xf numFmtId="43" fontId="13" fillId="0" borderId="0" xfId="4" applyNumberFormat="1" applyFont="1">
      <alignment vertical="top"/>
    </xf>
    <xf numFmtId="49" fontId="13" fillId="0" borderId="0" xfId="15" applyFont="1">
      <alignment vertical="top"/>
    </xf>
    <xf numFmtId="0" fontId="1" fillId="0" borderId="0" xfId="66" applyFont="1"/>
    <xf numFmtId="164" fontId="5" fillId="0" borderId="0" xfId="68" applyNumberFormat="1" applyFill="1">
      <alignment vertical="top"/>
    </xf>
    <xf numFmtId="49" fontId="20" fillId="0" borderId="2" xfId="61" applyBorder="1" applyAlignment="1">
      <alignment vertical="top"/>
    </xf>
    <xf numFmtId="164" fontId="5" fillId="42" borderId="0" xfId="62" applyNumberFormat="1">
      <alignment vertical="top"/>
    </xf>
    <xf numFmtId="164" fontId="13" fillId="42" borderId="0" xfId="62" applyNumberFormat="1" applyFont="1">
      <alignment vertical="top"/>
    </xf>
    <xf numFmtId="166" fontId="5" fillId="10" borderId="0" xfId="70" applyNumberFormat="1">
      <alignment vertical="top"/>
    </xf>
    <xf numFmtId="166" fontId="5" fillId="9" borderId="0" xfId="68" applyNumberFormat="1">
      <alignment vertical="top"/>
    </xf>
    <xf numFmtId="43" fontId="5" fillId="10" borderId="0" xfId="70">
      <alignment vertical="top"/>
    </xf>
    <xf numFmtId="169" fontId="5" fillId="0" borderId="0" xfId="4" quotePrefix="1" applyNumberFormat="1">
      <alignment vertical="top"/>
    </xf>
    <xf numFmtId="43" fontId="5" fillId="10" borderId="0" xfId="4" applyNumberFormat="1" applyFill="1">
      <alignment vertical="top"/>
    </xf>
    <xf numFmtId="43" fontId="5" fillId="42" borderId="0" xfId="62">
      <alignment vertical="top"/>
    </xf>
    <xf numFmtId="167" fontId="5" fillId="11" borderId="0" xfId="71" applyNumberFormat="1">
      <alignment vertical="top"/>
    </xf>
    <xf numFmtId="10" fontId="5" fillId="11" borderId="0" xfId="71" applyNumberFormat="1">
      <alignment vertical="top"/>
    </xf>
    <xf numFmtId="164" fontId="5" fillId="11" borderId="0" xfId="71" applyNumberFormat="1">
      <alignment vertical="top"/>
    </xf>
    <xf numFmtId="164" fontId="5" fillId="6" borderId="0" xfId="71" applyNumberFormat="1" applyFill="1">
      <alignment vertical="top"/>
    </xf>
    <xf numFmtId="164" fontId="5" fillId="9" borderId="0" xfId="71" applyNumberFormat="1" applyFill="1">
      <alignment vertical="top"/>
    </xf>
    <xf numFmtId="9" fontId="5" fillId="11" borderId="0" xfId="71" applyNumberFormat="1">
      <alignment vertical="top"/>
    </xf>
    <xf numFmtId="0" fontId="14" fillId="0" borderId="0" xfId="66"/>
    <xf numFmtId="171" fontId="14" fillId="0" borderId="0" xfId="66" applyNumberFormat="1"/>
    <xf numFmtId="43" fontId="5" fillId="11" borderId="0" xfId="71">
      <alignment vertical="top"/>
    </xf>
    <xf numFmtId="0" fontId="5" fillId="46" borderId="0" xfId="4" applyFill="1">
      <alignment vertical="top"/>
    </xf>
    <xf numFmtId="166" fontId="5" fillId="11" borderId="0" xfId="71" applyNumberFormat="1">
      <alignment vertical="top"/>
    </xf>
    <xf numFmtId="172" fontId="5" fillId="11" borderId="0" xfId="13" applyNumberFormat="1">
      <alignment vertical="top"/>
    </xf>
    <xf numFmtId="10" fontId="5" fillId="11" borderId="0" xfId="13" applyNumberFormat="1">
      <alignment vertical="top"/>
    </xf>
    <xf numFmtId="173" fontId="5" fillId="11" borderId="0" xfId="13" applyNumberFormat="1">
      <alignment vertical="top"/>
    </xf>
    <xf numFmtId="173" fontId="5" fillId="10" borderId="0" xfId="8" applyNumberFormat="1">
      <alignment vertical="top"/>
    </xf>
    <xf numFmtId="10" fontId="5" fillId="0" borderId="0" xfId="4" applyNumberFormat="1">
      <alignment vertical="top"/>
    </xf>
    <xf numFmtId="43" fontId="5" fillId="42" borderId="0" xfId="62" applyNumberFormat="1">
      <alignment vertical="top"/>
    </xf>
    <xf numFmtId="49" fontId="5" fillId="0" borderId="0" xfId="15" applyFont="1">
      <alignment vertical="top"/>
    </xf>
    <xf numFmtId="49" fontId="5" fillId="42" borderId="0" xfId="62" applyNumberFormat="1">
      <alignment vertical="top"/>
    </xf>
    <xf numFmtId="49" fontId="6" fillId="0" borderId="0" xfId="4" applyNumberFormat="1" applyFont="1">
      <alignment vertical="top"/>
    </xf>
    <xf numFmtId="0" fontId="5" fillId="0" borderId="0" xfId="62" applyNumberFormat="1" applyFill="1">
      <alignment vertical="top"/>
    </xf>
    <xf numFmtId="166" fontId="5" fillId="9" borderId="0" xfId="4" applyNumberFormat="1" applyFill="1">
      <alignment vertical="top"/>
    </xf>
    <xf numFmtId="164" fontId="5" fillId="9" borderId="0" xfId="63" applyNumberFormat="1" applyFill="1">
      <alignment vertical="top"/>
    </xf>
    <xf numFmtId="49" fontId="6" fillId="0" borderId="0" xfId="15" applyFont="1">
      <alignment vertical="top"/>
    </xf>
    <xf numFmtId="173" fontId="5" fillId="9" borderId="0" xfId="9" applyNumberFormat="1">
      <alignment vertical="top"/>
    </xf>
    <xf numFmtId="0" fontId="5" fillId="0" borderId="0" xfId="4" applyFont="1">
      <alignment vertical="top"/>
    </xf>
    <xf numFmtId="41" fontId="5" fillId="42" borderId="0" xfId="62" applyNumberFormat="1">
      <alignment vertical="top"/>
    </xf>
    <xf numFmtId="174" fontId="5" fillId="9" borderId="0" xfId="9" applyNumberFormat="1">
      <alignment vertical="top"/>
    </xf>
    <xf numFmtId="174" fontId="5" fillId="11" borderId="0" xfId="13" applyNumberFormat="1">
      <alignment vertical="top"/>
    </xf>
    <xf numFmtId="174" fontId="5" fillId="10" borderId="0" xfId="8" applyNumberFormat="1">
      <alignment vertical="top"/>
    </xf>
    <xf numFmtId="49" fontId="20" fillId="0" borderId="0" xfId="61" applyAlignment="1">
      <alignment vertical="top"/>
    </xf>
    <xf numFmtId="166" fontId="5" fillId="10" borderId="0" xfId="4" applyNumberFormat="1" applyFill="1">
      <alignment vertical="top"/>
    </xf>
    <xf numFmtId="170" fontId="1" fillId="12" borderId="0" xfId="66" applyNumberFormat="1" applyFont="1" applyFill="1"/>
    <xf numFmtId="0" fontId="1" fillId="0" borderId="5" xfId="66" applyFont="1" applyBorder="1"/>
    <xf numFmtId="0" fontId="1" fillId="0" borderId="6" xfId="66" applyFont="1" applyBorder="1"/>
    <xf numFmtId="0" fontId="1" fillId="0" borderId="7" xfId="66" applyFont="1" applyBorder="1"/>
    <xf numFmtId="49" fontId="6" fillId="17" borderId="3" xfId="6" applyBorder="1">
      <alignment vertical="top"/>
    </xf>
    <xf numFmtId="49" fontId="6" fillId="17" borderId="4" xfId="6" applyBorder="1">
      <alignment vertical="top"/>
    </xf>
    <xf numFmtId="0" fontId="1" fillId="0" borderId="17" xfId="66" applyFont="1" applyBorder="1"/>
    <xf numFmtId="0" fontId="1" fillId="0" borderId="18" xfId="66" applyFont="1" applyBorder="1"/>
    <xf numFmtId="43" fontId="1" fillId="12" borderId="0" xfId="66" applyNumberFormat="1" applyFont="1" applyFill="1"/>
    <xf numFmtId="43" fontId="5" fillId="12" borderId="0" xfId="4" applyNumberFormat="1" applyFill="1">
      <alignment vertical="top"/>
    </xf>
    <xf numFmtId="0" fontId="5" fillId="0" borderId="18" xfId="4" applyBorder="1">
      <alignment vertical="top"/>
    </xf>
    <xf numFmtId="0" fontId="5" fillId="0" borderId="17" xfId="4" applyBorder="1">
      <alignment vertical="top"/>
    </xf>
    <xf numFmtId="0" fontId="1" fillId="0" borderId="19" xfId="66" applyFont="1" applyBorder="1"/>
    <xf numFmtId="0" fontId="5" fillId="0" borderId="20" xfId="4" applyBorder="1">
      <alignment vertical="top"/>
    </xf>
    <xf numFmtId="0" fontId="5" fillId="0" borderId="21" xfId="4" applyBorder="1">
      <alignment vertical="top"/>
    </xf>
    <xf numFmtId="0" fontId="5" fillId="0" borderId="6" xfId="4" applyBorder="1">
      <alignment vertical="top"/>
    </xf>
    <xf numFmtId="0" fontId="5" fillId="0" borderId="7" xfId="4" applyBorder="1">
      <alignment vertical="top"/>
    </xf>
    <xf numFmtId="10" fontId="5" fillId="12" borderId="0" xfId="4" applyNumberFormat="1" applyFill="1">
      <alignment vertical="top"/>
    </xf>
    <xf numFmtId="0" fontId="5" fillId="0" borderId="0" xfId="4" applyAlignment="1">
      <alignment horizontal="center" vertical="center"/>
    </xf>
    <xf numFmtId="0" fontId="6" fillId="0" borderId="0" xfId="4" applyFont="1" applyAlignment="1">
      <alignment horizontal="center" vertical="center" wrapText="1"/>
    </xf>
    <xf numFmtId="164" fontId="5" fillId="12" borderId="0" xfId="63" applyNumberFormat="1" applyFont="1" applyFill="1" applyBorder="1">
      <alignment vertical="top"/>
    </xf>
    <xf numFmtId="164" fontId="1" fillId="0" borderId="0" xfId="66" applyNumberFormat="1" applyFont="1"/>
    <xf numFmtId="165" fontId="5" fillId="12" borderId="0" xfId="63" applyNumberFormat="1" applyFont="1" applyFill="1" applyBorder="1">
      <alignment vertical="top"/>
    </xf>
    <xf numFmtId="0" fontId="26" fillId="0" borderId="0" xfId="66" applyFont="1"/>
    <xf numFmtId="166" fontId="5" fillId="12" borderId="0" xfId="63" applyNumberFormat="1" applyFont="1" applyFill="1" applyBorder="1">
      <alignment vertical="top"/>
    </xf>
    <xf numFmtId="166" fontId="5" fillId="0" borderId="0" xfId="63" applyNumberFormat="1" applyFont="1" applyFill="1" applyBorder="1">
      <alignment vertical="top"/>
    </xf>
    <xf numFmtId="10" fontId="5" fillId="12" borderId="0" xfId="64" applyFont="1" applyFill="1" applyBorder="1">
      <alignment vertical="top"/>
    </xf>
    <xf numFmtId="0" fontId="1" fillId="0" borderId="20" xfId="66" applyFont="1" applyBorder="1"/>
    <xf numFmtId="0" fontId="1" fillId="0" borderId="21" xfId="66" applyFont="1" applyBorder="1"/>
    <xf numFmtId="164" fontId="5" fillId="46" borderId="0" xfId="63" applyNumberFormat="1" applyFont="1" applyFill="1" applyBorder="1">
      <alignment vertical="top"/>
    </xf>
    <xf numFmtId="168" fontId="5" fillId="12" borderId="0" xfId="63" applyNumberFormat="1" applyFont="1" applyFill="1" applyBorder="1">
      <alignment vertical="top"/>
    </xf>
    <xf numFmtId="0" fontId="1" fillId="46" borderId="17" xfId="66" applyFont="1" applyFill="1" applyBorder="1"/>
    <xf numFmtId="168" fontId="5" fillId="46" borderId="0" xfId="63" applyNumberFormat="1" applyFont="1" applyFill="1" applyBorder="1">
      <alignment vertical="top"/>
    </xf>
    <xf numFmtId="0" fontId="1" fillId="46" borderId="0" xfId="66" applyFont="1" applyFill="1"/>
    <xf numFmtId="0" fontId="1" fillId="46" borderId="18" xfId="66" applyFont="1" applyFill="1" applyBorder="1"/>
    <xf numFmtId="43" fontId="5" fillId="12" borderId="0" xfId="63" applyNumberFormat="1" applyFont="1" applyFill="1" applyBorder="1">
      <alignment vertical="top"/>
    </xf>
    <xf numFmtId="9" fontId="5" fillId="44" borderId="0" xfId="11" applyNumberFormat="1">
      <alignment vertical="top"/>
    </xf>
    <xf numFmtId="173" fontId="5" fillId="44" borderId="0" xfId="11" applyNumberFormat="1">
      <alignment vertical="top"/>
    </xf>
    <xf numFmtId="49" fontId="33" fillId="0" borderId="0" xfId="15" applyFont="1">
      <alignment vertical="top"/>
    </xf>
    <xf numFmtId="0" fontId="1" fillId="0" borderId="0" xfId="4" applyFont="1">
      <alignment vertical="top"/>
    </xf>
    <xf numFmtId="173" fontId="5" fillId="8" borderId="0" xfId="10" applyNumberFormat="1">
      <alignment vertical="top"/>
    </xf>
    <xf numFmtId="0" fontId="32" fillId="0" borderId="0" xfId="73">
      <alignment vertical="top"/>
    </xf>
    <xf numFmtId="0" fontId="35" fillId="0" borderId="0" xfId="73" applyFont="1">
      <alignment vertical="top"/>
    </xf>
    <xf numFmtId="175" fontId="5" fillId="11" borderId="0" xfId="13" applyNumberFormat="1">
      <alignment vertical="top"/>
    </xf>
    <xf numFmtId="175" fontId="5" fillId="9" borderId="0" xfId="9" applyNumberFormat="1">
      <alignment vertical="top"/>
    </xf>
    <xf numFmtId="41" fontId="5" fillId="0" borderId="0" xfId="4" applyNumberFormat="1">
      <alignment vertical="top"/>
    </xf>
    <xf numFmtId="2" fontId="5" fillId="10" borderId="0" xfId="4" applyNumberFormat="1" applyFill="1">
      <alignment vertical="top"/>
    </xf>
    <xf numFmtId="165" fontId="5" fillId="10" borderId="0" xfId="70" applyNumberFormat="1">
      <alignment vertical="top"/>
    </xf>
    <xf numFmtId="175" fontId="5" fillId="10" borderId="0" xfId="8" applyNumberFormat="1">
      <alignment vertical="top"/>
    </xf>
    <xf numFmtId="176" fontId="1" fillId="12" borderId="0" xfId="66" applyNumberFormat="1" applyFont="1" applyFill="1"/>
    <xf numFmtId="165" fontId="5" fillId="12" borderId="0" xfId="4" applyNumberFormat="1" applyFill="1">
      <alignment vertical="top"/>
    </xf>
    <xf numFmtId="0" fontId="1" fillId="0" borderId="2" xfId="4" applyFont="1" applyBorder="1">
      <alignment vertical="top"/>
    </xf>
    <xf numFmtId="0" fontId="5" fillId="0" borderId="2" xfId="4" applyFont="1" applyBorder="1">
      <alignment vertical="top"/>
    </xf>
    <xf numFmtId="176" fontId="5" fillId="10" borderId="0" xfId="4" applyNumberFormat="1" applyFill="1">
      <alignment vertical="top"/>
    </xf>
    <xf numFmtId="176" fontId="5" fillId="9" borderId="0" xfId="9" applyNumberFormat="1">
      <alignment vertical="top"/>
    </xf>
    <xf numFmtId="0" fontId="36" fillId="0" borderId="0" xfId="4" applyFont="1">
      <alignment vertical="top"/>
    </xf>
    <xf numFmtId="0" fontId="37" fillId="5" borderId="1" xfId="5" applyNumberFormat="1" applyFont="1">
      <alignment vertical="top"/>
    </xf>
    <xf numFmtId="49" fontId="38" fillId="0" borderId="0" xfId="7" applyFont="1">
      <alignment vertical="top"/>
    </xf>
    <xf numFmtId="10" fontId="5" fillId="44" borderId="0" xfId="11" applyNumberFormat="1" applyFont="1">
      <alignment vertical="top"/>
    </xf>
    <xf numFmtId="10" fontId="5" fillId="9" borderId="0" xfId="68" applyNumberFormat="1" applyFont="1">
      <alignment vertical="top"/>
    </xf>
    <xf numFmtId="49" fontId="10" fillId="0" borderId="0" xfId="14" applyFont="1">
      <alignment vertical="top"/>
    </xf>
    <xf numFmtId="41" fontId="5" fillId="44" borderId="0" xfId="11" applyFont="1">
      <alignment vertical="top"/>
    </xf>
    <xf numFmtId="43" fontId="5" fillId="9" borderId="0" xfId="68" applyFont="1">
      <alignment vertical="top"/>
    </xf>
    <xf numFmtId="173" fontId="5" fillId="44" borderId="0" xfId="11" applyNumberFormat="1" applyFont="1">
      <alignment vertical="top"/>
    </xf>
    <xf numFmtId="164" fontId="5" fillId="9" borderId="0" xfId="67" applyNumberFormat="1" applyFont="1" applyFill="1">
      <alignment vertical="top"/>
    </xf>
    <xf numFmtId="10" fontId="5" fillId="9" borderId="0" xfId="4" applyNumberFormat="1" applyFont="1" applyFill="1">
      <alignment vertical="top"/>
    </xf>
    <xf numFmtId="174" fontId="5" fillId="44" borderId="0" xfId="11" applyNumberFormat="1" applyFont="1">
      <alignment vertical="top"/>
    </xf>
    <xf numFmtId="166" fontId="5" fillId="9" borderId="0" xfId="68" applyNumberFormat="1" applyFont="1">
      <alignment vertical="top"/>
    </xf>
    <xf numFmtId="164" fontId="5" fillId="9" borderId="0" xfId="68" applyNumberFormat="1" applyFont="1">
      <alignment vertical="top"/>
    </xf>
    <xf numFmtId="164" fontId="5" fillId="42" borderId="0" xfId="62" applyNumberFormat="1" applyFont="1">
      <alignment vertical="top"/>
    </xf>
    <xf numFmtId="164" fontId="13" fillId="0" borderId="0" xfId="4" applyNumberFormat="1" applyFont="1">
      <alignment vertical="top"/>
    </xf>
    <xf numFmtId="0" fontId="10" fillId="42" borderId="0" xfId="62" applyNumberFormat="1" applyFont="1">
      <alignment vertical="top"/>
    </xf>
    <xf numFmtId="9" fontId="13" fillId="0" borderId="0" xfId="4" applyNumberFormat="1" applyFont="1">
      <alignment vertical="top"/>
    </xf>
    <xf numFmtId="41" fontId="1" fillId="44" borderId="0" xfId="11" applyFont="1">
      <alignment vertical="top"/>
    </xf>
    <xf numFmtId="10" fontId="1" fillId="44" borderId="0" xfId="11" applyNumberFormat="1" applyFont="1">
      <alignment vertical="top"/>
    </xf>
    <xf numFmtId="164" fontId="1" fillId="9" borderId="0" xfId="68" applyNumberFormat="1" applyFont="1">
      <alignment vertical="top"/>
    </xf>
    <xf numFmtId="9" fontId="1" fillId="9" borderId="0" xfId="68" applyNumberFormat="1" applyFont="1">
      <alignment vertical="top"/>
    </xf>
    <xf numFmtId="10" fontId="1" fillId="9" borderId="0" xfId="64" applyFont="1" applyFill="1">
      <alignment vertical="top"/>
    </xf>
    <xf numFmtId="41" fontId="1" fillId="11" borderId="0" xfId="13" applyFont="1">
      <alignment vertical="top"/>
    </xf>
    <xf numFmtId="0" fontId="1" fillId="42" borderId="0" xfId="62" applyNumberFormat="1" applyFont="1">
      <alignment vertical="top"/>
    </xf>
    <xf numFmtId="165" fontId="1" fillId="9" borderId="0" xfId="67" applyNumberFormat="1" applyFont="1" applyFill="1">
      <alignment vertical="top"/>
    </xf>
    <xf numFmtId="0" fontId="1" fillId="6" borderId="0" xfId="4" applyFont="1" applyFill="1">
      <alignment vertical="top"/>
    </xf>
    <xf numFmtId="0" fontId="1" fillId="6" borderId="0" xfId="4" applyFont="1" applyFill="1" applyAlignment="1">
      <alignment vertical="top" wrapText="1"/>
    </xf>
    <xf numFmtId="43" fontId="1" fillId="9" borderId="0" xfId="68" applyFont="1">
      <alignment vertical="top"/>
    </xf>
    <xf numFmtId="0" fontId="26" fillId="0" borderId="0" xfId="4" applyFont="1">
      <alignment vertical="top"/>
    </xf>
    <xf numFmtId="49" fontId="39" fillId="0" borderId="0" xfId="15" applyFont="1">
      <alignment vertical="top"/>
    </xf>
    <xf numFmtId="41" fontId="1" fillId="10" borderId="0" xfId="8" applyFont="1">
      <alignment vertical="top"/>
    </xf>
    <xf numFmtId="43" fontId="5" fillId="42" borderId="0" xfId="62" applyNumberFormat="1" applyFont="1">
      <alignment vertical="top"/>
    </xf>
    <xf numFmtId="49" fontId="9" fillId="0" borderId="0" xfId="15" applyFont="1">
      <alignment vertical="top"/>
    </xf>
    <xf numFmtId="0" fontId="5" fillId="42" borderId="0" xfId="62" applyNumberFormat="1" applyFont="1">
      <alignment vertical="top"/>
    </xf>
    <xf numFmtId="41" fontId="5" fillId="44" borderId="0" xfId="11" applyNumberFormat="1" applyFont="1">
      <alignment vertical="top"/>
    </xf>
    <xf numFmtId="9" fontId="5" fillId="44" borderId="0" xfId="11" applyNumberFormat="1" applyFont="1">
      <alignment vertical="top"/>
    </xf>
    <xf numFmtId="41" fontId="5" fillId="11" borderId="0" xfId="13" applyFont="1">
      <alignment vertical="top"/>
    </xf>
    <xf numFmtId="41" fontId="5" fillId="11" borderId="0" xfId="13" applyNumberFormat="1" applyFont="1">
      <alignment vertical="top"/>
    </xf>
    <xf numFmtId="41" fontId="5" fillId="9" borderId="0" xfId="9" applyNumberFormat="1" applyFont="1">
      <alignment vertical="top"/>
    </xf>
    <xf numFmtId="173" fontId="5" fillId="42" borderId="0" xfId="62" applyNumberFormat="1" applyFont="1">
      <alignment vertical="top"/>
    </xf>
    <xf numFmtId="41" fontId="5" fillId="42" borderId="0" xfId="62" applyNumberFormat="1" applyFont="1">
      <alignment vertical="top"/>
    </xf>
    <xf numFmtId="175" fontId="5" fillId="44" borderId="0" xfId="11" applyNumberFormat="1" applyFont="1">
      <alignment vertical="top"/>
    </xf>
    <xf numFmtId="175" fontId="5" fillId="42" borderId="0" xfId="62" applyNumberFormat="1" applyFont="1">
      <alignment vertical="top"/>
    </xf>
    <xf numFmtId="173" fontId="5" fillId="11" borderId="0" xfId="11" applyNumberFormat="1" applyFont="1" applyFill="1">
      <alignment vertical="top"/>
    </xf>
    <xf numFmtId="164" fontId="5" fillId="6" borderId="0" xfId="67" applyNumberFormat="1" applyFont="1" applyFill="1">
      <alignment vertical="top"/>
    </xf>
    <xf numFmtId="164" fontId="5" fillId="0" borderId="0" xfId="4" applyNumberFormat="1" applyFont="1">
      <alignment vertical="top"/>
    </xf>
    <xf numFmtId="9" fontId="5" fillId="9" borderId="0" xfId="64" applyNumberFormat="1" applyFont="1" applyFill="1">
      <alignment vertical="top"/>
    </xf>
    <xf numFmtId="9" fontId="5" fillId="8" borderId="0" xfId="10" applyNumberFormat="1" applyFont="1">
      <alignment vertical="top"/>
    </xf>
    <xf numFmtId="9" fontId="5" fillId="9" borderId="0" xfId="9" applyNumberFormat="1" applyFont="1">
      <alignment vertical="top"/>
    </xf>
    <xf numFmtId="49" fontId="6" fillId="17" borderId="1" xfId="6" applyFont="1">
      <alignment vertical="top"/>
    </xf>
    <xf numFmtId="41" fontId="5" fillId="9" borderId="0" xfId="9" applyFont="1">
      <alignment vertical="top"/>
    </xf>
    <xf numFmtId="10" fontId="5" fillId="11" borderId="0" xfId="64" applyFont="1" applyFill="1">
      <alignment vertical="top"/>
    </xf>
    <xf numFmtId="14" fontId="5" fillId="44" borderId="0" xfId="11" applyNumberFormat="1" applyFont="1">
      <alignment vertical="top"/>
    </xf>
    <xf numFmtId="10" fontId="5" fillId="44" borderId="0" xfId="64" applyFont="1" applyFill="1">
      <alignment vertical="top"/>
    </xf>
    <xf numFmtId="173" fontId="5" fillId="9" borderId="0" xfId="9" applyNumberFormat="1" applyFont="1">
      <alignment vertical="top"/>
    </xf>
    <xf numFmtId="41" fontId="5" fillId="0" borderId="0" xfId="4" applyNumberFormat="1" applyFont="1">
      <alignment vertical="top"/>
    </xf>
    <xf numFmtId="0" fontId="5" fillId="0" borderId="0" xfId="4" applyAlignment="1">
      <alignment horizontal="left" vertical="top" wrapText="1"/>
    </xf>
    <xf numFmtId="0" fontId="7" fillId="0" borderId="0" xfId="4" applyFont="1" applyAlignment="1">
      <alignment horizontal="left" vertical="top" wrapText="1"/>
    </xf>
  </cellXfs>
  <cellStyles count="74">
    <cellStyle name="_kop1 Bladtitel" xfId="5" xr:uid="{00000000-0005-0000-0000-000000000000}"/>
    <cellStyle name="_kop2 Bloktitel" xfId="6" xr:uid="{00000000-0005-0000-0000-000001000000}"/>
    <cellStyle name="_kop2 Bloktitel 2" xfId="69" xr:uid="{C2CF9DFB-67CE-432D-A44A-58DF709AB70D}"/>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E0A95D49-8B2C-45C8-B1FA-2B4C69C4FF02}"/>
    <cellStyle name="Cel Berekening" xfId="9" xr:uid="{00000000-0005-0000-0000-00001D000000}"/>
    <cellStyle name="Cel Berekening 2" xfId="68" xr:uid="{E8D6279D-181C-414F-83DA-34F868260BBF}"/>
    <cellStyle name="Cel Bijzonderheid" xfId="10" xr:uid="{00000000-0005-0000-0000-00001E000000}"/>
    <cellStyle name="Cel Bijzonderheid 2" xfId="72" xr:uid="{A4CA7F2A-3248-4CD2-9BC3-8BE650255680}"/>
    <cellStyle name="Cel Dataverzoek" xfId="65" xr:uid="{00000000-0005-0000-0000-00001F000000}"/>
    <cellStyle name="Cel Input" xfId="11" xr:uid="{00000000-0005-0000-0000-000020000000}"/>
    <cellStyle name="Cel Input 2" xfId="67" xr:uid="{BAD5CA1F-8FF7-44D1-8A92-C93D93D2C5B2}"/>
    <cellStyle name="Cel n.v.t. (leeg)" xfId="62" xr:uid="{00000000-0005-0000-0000-000021000000}"/>
    <cellStyle name="Cel PM extern" xfId="12" xr:uid="{00000000-0005-0000-0000-000022000000}"/>
    <cellStyle name="Cel Verwijzing" xfId="13" xr:uid="{00000000-0005-0000-0000-000023000000}"/>
    <cellStyle name="Cel Verwijzing 2" xfId="71" xr:uid="{F9DC1D35-3E39-4B82-B03F-783C38245E56}"/>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rmal 2" xfId="73" xr:uid="{D5AD7B37-1534-4E04-86A9-B17A535F403E}"/>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2" xfId="66" xr:uid="{0B7B1EE6-8892-4792-AD00-1F8E9DAC9B9E}"/>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FFCC99"/>
      <color rgb="FFE1FFE1"/>
      <color rgb="FF99FF99"/>
      <color rgb="FFFFFFCC"/>
      <color rgb="FFCCC8D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wacc-elektriciteit-en-drinkwater-caribisch-nederland-2023-2025" TargetMode="External"/><Relationship Id="rId2" Type="http://schemas.openxmlformats.org/officeDocument/2006/relationships/hyperlink" Target="https://wetten.overheid.nl/BWBR0030649/2011-11-18"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3.bin"/><Relationship Id="rId4" Type="http://schemas.openxmlformats.org/officeDocument/2006/relationships/hyperlink" Target="https://www.acm.nl/nl/publicaties/methodebesluit-elektriciteit-en-drinkwater-caribisch-nederland-2020-202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E43"/>
  <sheetViews>
    <sheetView showGridLines="0" tabSelected="1" zoomScale="90" zoomScaleNormal="90"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44.5703125" style="2" customWidth="1"/>
    <col min="3" max="3" width="91.85546875" style="2" customWidth="1"/>
    <col min="4" max="16384" width="9.140625" style="2"/>
  </cols>
  <sheetData>
    <row r="2" spans="2:5" s="7" customFormat="1" ht="18" x14ac:dyDescent="0.2">
      <c r="B2" s="7" t="s">
        <v>41</v>
      </c>
    </row>
    <row r="6" spans="2:5" x14ac:dyDescent="0.2">
      <c r="B6" s="3"/>
    </row>
    <row r="13" spans="2:5" s="8" customFormat="1" x14ac:dyDescent="0.2">
      <c r="B13" s="8" t="s">
        <v>3</v>
      </c>
    </row>
    <row r="15" spans="2:5" x14ac:dyDescent="0.2">
      <c r="B15" s="9" t="s">
        <v>4</v>
      </c>
      <c r="C15" s="9" t="s">
        <v>775</v>
      </c>
      <c r="E15" s="18"/>
    </row>
    <row r="16" spans="2:5" x14ac:dyDescent="0.2">
      <c r="B16" s="9" t="s">
        <v>5</v>
      </c>
      <c r="C16" s="9" t="s">
        <v>772</v>
      </c>
    </row>
    <row r="17" spans="2:3" x14ac:dyDescent="0.2">
      <c r="B17" s="9" t="s">
        <v>6</v>
      </c>
      <c r="C17" s="9"/>
    </row>
    <row r="18" spans="2:3" ht="51" x14ac:dyDescent="0.2">
      <c r="B18" s="9" t="s">
        <v>42</v>
      </c>
      <c r="C18" s="9" t="s">
        <v>773</v>
      </c>
    </row>
    <row r="19" spans="2:3" ht="51" x14ac:dyDescent="0.2">
      <c r="B19" s="9" t="s">
        <v>43</v>
      </c>
      <c r="C19" s="9" t="s">
        <v>774</v>
      </c>
    </row>
    <row r="20" spans="2:3" x14ac:dyDescent="0.2">
      <c r="B20" s="9" t="s">
        <v>56</v>
      </c>
      <c r="C20" s="9" t="s">
        <v>270</v>
      </c>
    </row>
    <row r="21" spans="2:3" x14ac:dyDescent="0.2">
      <c r="B21" s="9" t="s">
        <v>7</v>
      </c>
      <c r="C21" s="9"/>
    </row>
    <row r="23" spans="2:3" x14ac:dyDescent="0.2">
      <c r="B23" s="20" t="s">
        <v>62</v>
      </c>
    </row>
    <row r="25" spans="2:3" s="8" customFormat="1" x14ac:dyDescent="0.2">
      <c r="B25" s="8" t="s">
        <v>8</v>
      </c>
    </row>
    <row r="27" spans="2:3" x14ac:dyDescent="0.2">
      <c r="B27" s="9" t="s">
        <v>9</v>
      </c>
      <c r="C27" s="9" t="s">
        <v>771</v>
      </c>
    </row>
    <row r="28" spans="2:3" x14ac:dyDescent="0.2">
      <c r="B28" s="9" t="s">
        <v>60</v>
      </c>
      <c r="C28" s="9" t="s">
        <v>771</v>
      </c>
    </row>
    <row r="29" spans="2:3" ht="25.5" x14ac:dyDescent="0.2">
      <c r="B29" s="9" t="s">
        <v>10</v>
      </c>
      <c r="C29" s="9" t="s">
        <v>771</v>
      </c>
    </row>
    <row r="30" spans="2:3" ht="25.5" x14ac:dyDescent="0.2">
      <c r="B30" s="9" t="s">
        <v>61</v>
      </c>
      <c r="C30" s="9" t="s">
        <v>776</v>
      </c>
    </row>
    <row r="31" spans="2:3" x14ac:dyDescent="0.2">
      <c r="B31" s="9" t="s">
        <v>7</v>
      </c>
      <c r="C31" s="9"/>
    </row>
    <row r="33" spans="2:4" x14ac:dyDescent="0.2">
      <c r="B33" s="202" t="s">
        <v>44</v>
      </c>
      <c r="C33" s="203"/>
      <c r="D33" s="5"/>
    </row>
    <row r="34" spans="2:4" x14ac:dyDescent="0.2">
      <c r="B34" s="17"/>
      <c r="C34" s="17"/>
      <c r="D34" s="5"/>
    </row>
    <row r="36" spans="2:4" s="8" customFormat="1" x14ac:dyDescent="0.2">
      <c r="B36" s="8" t="s">
        <v>0</v>
      </c>
    </row>
    <row r="38" spans="2:4" x14ac:dyDescent="0.2">
      <c r="B38" s="2" t="s">
        <v>45</v>
      </c>
    </row>
    <row r="41" spans="2:4" x14ac:dyDescent="0.2">
      <c r="B41" s="4" t="s">
        <v>63</v>
      </c>
    </row>
    <row r="43" spans="2:4" x14ac:dyDescent="0.2">
      <c r="C43" s="28"/>
    </row>
  </sheetData>
  <mergeCells count="1">
    <mergeCell ref="B33:C33"/>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03142-3A0B-42C6-BD9C-88B52044011D}">
  <sheetPr>
    <tabColor rgb="FFE1FFE1"/>
  </sheetPr>
  <dimension ref="B2:T73"/>
  <sheetViews>
    <sheetView showGridLines="0" zoomScale="70" zoomScaleNormal="70"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ColWidth="9.140625" defaultRowHeight="12.75" x14ac:dyDescent="0.2"/>
  <cols>
    <col min="1" max="1" width="4" style="2" customWidth="1"/>
    <col min="2" max="2" width="48.5703125" style="2" customWidth="1"/>
    <col min="3" max="3" width="4.570312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43.7109375" style="2" customWidth="1"/>
    <col min="17" max="17" width="2.7109375" style="2" customWidth="1"/>
    <col min="18" max="18" width="13.7109375" style="2" customWidth="1"/>
    <col min="19" max="19" width="2.7109375" style="2" customWidth="1"/>
    <col min="20" max="34" width="13.7109375" style="2" customWidth="1"/>
    <col min="35" max="16384" width="9.140625" style="2"/>
  </cols>
  <sheetData>
    <row r="2" spans="2:20" s="12" customFormat="1" ht="18" x14ac:dyDescent="0.2">
      <c r="B2" s="12" t="s">
        <v>498</v>
      </c>
    </row>
    <row r="4" spans="2:20" x14ac:dyDescent="0.2">
      <c r="B4" s="1" t="s">
        <v>79</v>
      </c>
    </row>
    <row r="5" spans="2:20" x14ac:dyDescent="0.2">
      <c r="B5" s="2" t="s">
        <v>499</v>
      </c>
      <c r="F5" s="13"/>
    </row>
    <row r="6" spans="2:20" x14ac:dyDescent="0.2">
      <c r="B6" s="2" t="s">
        <v>422</v>
      </c>
      <c r="F6" s="13"/>
    </row>
    <row r="7" spans="2:20" x14ac:dyDescent="0.2">
      <c r="B7" s="2" t="s">
        <v>492</v>
      </c>
      <c r="F7" s="13"/>
    </row>
    <row r="8" spans="2:20" x14ac:dyDescent="0.2">
      <c r="F8" s="13"/>
    </row>
    <row r="10" spans="2:20" s="8" customFormat="1" x14ac:dyDescent="0.2">
      <c r="B10" s="8" t="s">
        <v>80</v>
      </c>
      <c r="D10" s="8" t="s">
        <v>81</v>
      </c>
      <c r="F10" s="8" t="s">
        <v>82</v>
      </c>
      <c r="H10" s="8" t="s">
        <v>83</v>
      </c>
      <c r="J10" s="8" t="s">
        <v>68</v>
      </c>
      <c r="K10" s="8" t="s">
        <v>69</v>
      </c>
      <c r="L10" s="8" t="s">
        <v>70</v>
      </c>
      <c r="M10" s="8" t="s">
        <v>71</v>
      </c>
      <c r="N10" s="8" t="s">
        <v>72</v>
      </c>
      <c r="P10" s="8" t="s">
        <v>40</v>
      </c>
      <c r="R10" s="8" t="s">
        <v>39</v>
      </c>
    </row>
    <row r="13" spans="2:20" s="8" customFormat="1" x14ac:dyDescent="0.2">
      <c r="B13" s="8" t="s">
        <v>303</v>
      </c>
    </row>
    <row r="15" spans="2:20" x14ac:dyDescent="0.2">
      <c r="B15" s="81" t="s">
        <v>84</v>
      </c>
    </row>
    <row r="16" spans="2:20" x14ac:dyDescent="0.2">
      <c r="B16" s="2" t="s">
        <v>500</v>
      </c>
      <c r="D16" s="2" t="s">
        <v>130</v>
      </c>
      <c r="H16" s="158">
        <f>SUM(J16:N16)</f>
        <v>5086371.4499999993</v>
      </c>
      <c r="I16" s="13"/>
      <c r="J16" s="153">
        <v>2076797.0070999998</v>
      </c>
      <c r="K16" s="153">
        <v>1376192.1908999998</v>
      </c>
      <c r="L16" s="153">
        <v>898450.34100000001</v>
      </c>
      <c r="M16" s="153">
        <v>734931.91099999985</v>
      </c>
      <c r="N16" s="190"/>
      <c r="O16" s="83"/>
      <c r="P16" s="83" t="s">
        <v>85</v>
      </c>
      <c r="Q16" s="129"/>
      <c r="R16" s="129"/>
      <c r="S16" s="129"/>
      <c r="T16" s="129"/>
    </row>
    <row r="17" spans="2:20" x14ac:dyDescent="0.2">
      <c r="B17" s="2" t="s">
        <v>501</v>
      </c>
      <c r="D17" s="2" t="s">
        <v>130</v>
      </c>
      <c r="H17" s="158">
        <f>SUM(J17:N17)</f>
        <v>162360.31999999998</v>
      </c>
      <c r="I17" s="13"/>
      <c r="J17" s="153">
        <v>886.94235000000003</v>
      </c>
      <c r="K17" s="153">
        <v>128458.43064999998</v>
      </c>
      <c r="L17" s="153">
        <v>422.3535</v>
      </c>
      <c r="M17" s="153">
        <v>32592.593499999999</v>
      </c>
      <c r="N17" s="190"/>
      <c r="O17" s="83"/>
      <c r="P17" s="83" t="s">
        <v>86</v>
      </c>
      <c r="Q17" s="129"/>
      <c r="R17" s="129"/>
      <c r="S17" s="129"/>
      <c r="T17" s="129"/>
    </row>
    <row r="18" spans="2:20" x14ac:dyDescent="0.2">
      <c r="H18" s="13"/>
      <c r="I18" s="13"/>
      <c r="J18" s="83"/>
      <c r="K18" s="83"/>
      <c r="L18" s="83"/>
      <c r="M18" s="83"/>
      <c r="N18" s="83"/>
      <c r="O18" s="83"/>
      <c r="P18" s="83"/>
      <c r="Q18" s="129"/>
      <c r="R18" s="129"/>
      <c r="S18" s="129"/>
      <c r="T18" s="129"/>
    </row>
    <row r="19" spans="2:20" x14ac:dyDescent="0.2">
      <c r="B19" s="2" t="s">
        <v>502</v>
      </c>
      <c r="D19" s="2" t="s">
        <v>130</v>
      </c>
      <c r="H19" s="158">
        <f>SUM(J19:N19)</f>
        <v>5086371.4499999993</v>
      </c>
      <c r="I19" s="83"/>
      <c r="J19" s="153">
        <v>2076797.0070999998</v>
      </c>
      <c r="K19" s="153">
        <v>1376192.1908999998</v>
      </c>
      <c r="L19" s="153">
        <v>898450.34100000001</v>
      </c>
      <c r="M19" s="153">
        <v>734931.91099999985</v>
      </c>
      <c r="N19" s="190"/>
      <c r="O19" s="83"/>
      <c r="P19" s="83" t="s">
        <v>209</v>
      </c>
      <c r="Q19" s="129"/>
      <c r="R19" s="129"/>
      <c r="S19" s="129"/>
      <c r="T19" s="129"/>
    </row>
    <row r="20" spans="2:20" x14ac:dyDescent="0.2">
      <c r="B20" s="2" t="s">
        <v>503</v>
      </c>
      <c r="D20" s="2" t="s">
        <v>130</v>
      </c>
      <c r="H20" s="158">
        <f>SUM(J20:N20)</f>
        <v>162360.31999999998</v>
      </c>
      <c r="I20" s="83"/>
      <c r="J20" s="153">
        <v>886.94235000000003</v>
      </c>
      <c r="K20" s="153">
        <v>128458.43064999998</v>
      </c>
      <c r="L20" s="153">
        <v>422.3535</v>
      </c>
      <c r="M20" s="153">
        <v>32592.593499999999</v>
      </c>
      <c r="N20" s="190"/>
      <c r="O20" s="83"/>
      <c r="P20" s="83" t="s">
        <v>210</v>
      </c>
      <c r="Q20" s="129"/>
      <c r="R20" s="129"/>
      <c r="S20" s="129"/>
      <c r="T20" s="129"/>
    </row>
    <row r="21" spans="2:20" x14ac:dyDescent="0.2">
      <c r="H21" s="13"/>
      <c r="I21" s="13"/>
      <c r="J21" s="83"/>
      <c r="K21" s="83"/>
      <c r="L21" s="83"/>
      <c r="M21" s="83"/>
      <c r="N21" s="83"/>
      <c r="O21" s="83"/>
      <c r="P21" s="83"/>
      <c r="Q21" s="129"/>
      <c r="R21" s="129"/>
      <c r="S21" s="129"/>
      <c r="T21" s="129"/>
    </row>
    <row r="22" spans="2:20" x14ac:dyDescent="0.2">
      <c r="B22" s="81" t="s">
        <v>87</v>
      </c>
      <c r="H22" s="191"/>
      <c r="I22" s="160"/>
      <c r="J22" s="191"/>
      <c r="K22" s="191"/>
      <c r="L22" s="191"/>
      <c r="M22" s="191"/>
      <c r="N22" s="191"/>
      <c r="O22" s="83"/>
      <c r="P22" s="83"/>
      <c r="Q22" s="129"/>
      <c r="R22" s="129"/>
      <c r="S22" s="129"/>
      <c r="T22" s="129"/>
    </row>
    <row r="23" spans="2:20" x14ac:dyDescent="0.2">
      <c r="B23" s="2" t="s">
        <v>504</v>
      </c>
      <c r="D23" s="2" t="s">
        <v>88</v>
      </c>
      <c r="H23" s="158">
        <f>SUM(J23:N23)</f>
        <v>10211594.479806215</v>
      </c>
      <c r="I23" s="13"/>
      <c r="J23" s="153">
        <v>3498800.5176609857</v>
      </c>
      <c r="K23" s="153">
        <v>2018113.325682065</v>
      </c>
      <c r="L23" s="153">
        <v>1340233.1679049861</v>
      </c>
      <c r="M23" s="153">
        <v>3342484.5729151834</v>
      </c>
      <c r="N23" s="153">
        <v>11962.895642993451</v>
      </c>
      <c r="O23" s="83"/>
      <c r="P23" s="83" t="s">
        <v>599</v>
      </c>
      <c r="Q23" s="129"/>
      <c r="R23" s="129" t="s">
        <v>89</v>
      </c>
      <c r="S23" s="129"/>
      <c r="T23" s="129"/>
    </row>
    <row r="24" spans="2:20" x14ac:dyDescent="0.2">
      <c r="B24" s="2" t="s">
        <v>505</v>
      </c>
      <c r="D24" s="2" t="s">
        <v>88</v>
      </c>
      <c r="H24" s="158">
        <f>SUM(J24:N24)</f>
        <v>1071030.3547997535</v>
      </c>
      <c r="I24" s="13"/>
      <c r="J24" s="153">
        <v>458415.40787124331</v>
      </c>
      <c r="K24" s="153">
        <v>238571.9973477961</v>
      </c>
      <c r="L24" s="153">
        <v>137450.84816906904</v>
      </c>
      <c r="M24" s="153">
        <v>235420.0517652886</v>
      </c>
      <c r="N24" s="153">
        <v>1172.0496463563109</v>
      </c>
      <c r="O24" s="83"/>
      <c r="P24" s="83" t="s">
        <v>600</v>
      </c>
      <c r="Q24" s="129"/>
      <c r="R24" s="129" t="s">
        <v>90</v>
      </c>
      <c r="S24" s="129"/>
      <c r="T24" s="129"/>
    </row>
    <row r="25" spans="2:20" x14ac:dyDescent="0.2">
      <c r="H25" s="83"/>
      <c r="I25" s="13"/>
      <c r="J25" s="83"/>
      <c r="K25" s="83"/>
      <c r="L25" s="83"/>
      <c r="M25" s="83"/>
      <c r="N25" s="83"/>
      <c r="O25" s="83"/>
      <c r="P25" s="83"/>
      <c r="Q25" s="129"/>
      <c r="R25" s="129"/>
      <c r="S25" s="129"/>
      <c r="T25" s="129"/>
    </row>
    <row r="26" spans="2:20" x14ac:dyDescent="0.2">
      <c r="B26" s="1" t="s">
        <v>199</v>
      </c>
      <c r="H26" s="83"/>
      <c r="I26" s="13"/>
      <c r="J26" s="83"/>
      <c r="K26" s="83"/>
      <c r="L26" s="83"/>
      <c r="M26" s="83"/>
      <c r="N26" s="83"/>
      <c r="O26" s="83"/>
      <c r="P26" s="83"/>
      <c r="Q26" s="129"/>
      <c r="R26" s="129"/>
      <c r="S26" s="129"/>
      <c r="T26" s="129"/>
    </row>
    <row r="27" spans="2:20" x14ac:dyDescent="0.2">
      <c r="B27" s="2" t="s">
        <v>296</v>
      </c>
      <c r="D27" s="2" t="s">
        <v>73</v>
      </c>
      <c r="H27" s="13"/>
      <c r="I27" s="13"/>
      <c r="J27" s="181">
        <v>0.19410125059831115</v>
      </c>
      <c r="K27" s="181">
        <v>0.27580884597893079</v>
      </c>
      <c r="L27" s="181">
        <v>0.12889013723645187</v>
      </c>
      <c r="M27" s="181">
        <v>0.30232576550308171</v>
      </c>
      <c r="N27" s="181">
        <v>0.30232576550308171</v>
      </c>
      <c r="O27" s="83"/>
      <c r="P27" s="83" t="s">
        <v>493</v>
      </c>
      <c r="R27" s="2" t="s">
        <v>418</v>
      </c>
    </row>
    <row r="28" spans="2:20" x14ac:dyDescent="0.2">
      <c r="B28" s="83" t="s">
        <v>388</v>
      </c>
      <c r="D28" s="2" t="s">
        <v>73</v>
      </c>
      <c r="H28" s="13"/>
      <c r="I28" s="13"/>
      <c r="J28" s="192">
        <f>1-J27</f>
        <v>0.80589874940168882</v>
      </c>
      <c r="K28" s="192">
        <f t="shared" ref="K28:N28" si="0">1-K27</f>
        <v>0.72419115402106926</v>
      </c>
      <c r="L28" s="192">
        <f t="shared" si="0"/>
        <v>0.87110986276354807</v>
      </c>
      <c r="M28" s="192">
        <f t="shared" si="0"/>
        <v>0.69767423449691823</v>
      </c>
      <c r="N28" s="192">
        <f t="shared" si="0"/>
        <v>0.69767423449691823</v>
      </c>
      <c r="O28" s="83"/>
      <c r="P28" s="83"/>
    </row>
    <row r="29" spans="2:20" x14ac:dyDescent="0.2">
      <c r="B29" s="2" t="s">
        <v>78</v>
      </c>
      <c r="D29" s="2" t="s">
        <v>73</v>
      </c>
      <c r="H29" s="13"/>
      <c r="I29" s="13"/>
      <c r="J29" s="181">
        <v>0</v>
      </c>
      <c r="K29" s="181">
        <v>0.5</v>
      </c>
      <c r="L29" s="181">
        <v>0</v>
      </c>
      <c r="M29" s="193">
        <v>0</v>
      </c>
      <c r="N29" s="181">
        <v>0.5</v>
      </c>
      <c r="O29" s="83"/>
      <c r="P29" s="83" t="s">
        <v>494</v>
      </c>
      <c r="R29" s="2" t="s">
        <v>419</v>
      </c>
    </row>
    <row r="30" spans="2:20" x14ac:dyDescent="0.2">
      <c r="B30" s="2" t="s">
        <v>389</v>
      </c>
      <c r="D30" s="2" t="s">
        <v>73</v>
      </c>
      <c r="H30" s="13"/>
      <c r="I30" s="13"/>
      <c r="J30" s="194">
        <f>1-J29</f>
        <v>1</v>
      </c>
      <c r="K30" s="194">
        <f t="shared" ref="K30:N30" si="1">1-K29</f>
        <v>0.5</v>
      </c>
      <c r="L30" s="194">
        <f t="shared" si="1"/>
        <v>1</v>
      </c>
      <c r="M30" s="194">
        <f t="shared" si="1"/>
        <v>1</v>
      </c>
      <c r="N30" s="194">
        <f t="shared" si="1"/>
        <v>0.5</v>
      </c>
      <c r="O30" s="83"/>
      <c r="P30" s="83"/>
    </row>
    <row r="31" spans="2:20" x14ac:dyDescent="0.2">
      <c r="H31" s="13"/>
      <c r="I31" s="13"/>
      <c r="J31" s="83"/>
      <c r="K31" s="83"/>
      <c r="L31" s="83"/>
      <c r="M31" s="83"/>
      <c r="N31" s="83"/>
      <c r="O31" s="83"/>
      <c r="P31" s="83"/>
    </row>
    <row r="32" spans="2:20" s="8" customFormat="1" x14ac:dyDescent="0.2">
      <c r="B32" s="8" t="s">
        <v>304</v>
      </c>
      <c r="H32" s="42"/>
      <c r="I32" s="42"/>
      <c r="J32" s="195"/>
      <c r="K32" s="195"/>
      <c r="L32" s="195"/>
      <c r="M32" s="195"/>
      <c r="N32" s="195"/>
      <c r="O32" s="195"/>
      <c r="P32" s="195"/>
    </row>
    <row r="33" spans="2:16" x14ac:dyDescent="0.2">
      <c r="H33" s="13"/>
      <c r="I33" s="13"/>
      <c r="J33" s="83"/>
      <c r="K33" s="83"/>
      <c r="L33" s="83"/>
      <c r="M33" s="83"/>
      <c r="N33" s="83"/>
      <c r="O33" s="83"/>
      <c r="P33" s="83"/>
    </row>
    <row r="34" spans="2:16" x14ac:dyDescent="0.2">
      <c r="B34" s="1" t="s">
        <v>394</v>
      </c>
      <c r="H34" s="13"/>
      <c r="I34" s="13"/>
      <c r="J34" s="83"/>
      <c r="K34" s="83"/>
      <c r="L34" s="83"/>
      <c r="M34" s="83"/>
      <c r="N34" s="83"/>
      <c r="O34" s="83"/>
      <c r="P34" s="83"/>
    </row>
    <row r="35" spans="2:16" x14ac:dyDescent="0.2">
      <c r="B35" s="2" t="s">
        <v>395</v>
      </c>
      <c r="D35" s="2" t="s">
        <v>88</v>
      </c>
      <c r="H35" s="13"/>
      <c r="I35" s="13"/>
      <c r="J35" s="151">
        <v>50981.919999999998</v>
      </c>
      <c r="K35" s="179"/>
      <c r="L35" s="179"/>
      <c r="M35" s="179"/>
      <c r="N35" s="179"/>
      <c r="O35" s="83"/>
      <c r="P35" s="83" t="s">
        <v>423</v>
      </c>
    </row>
    <row r="36" spans="2:16" x14ac:dyDescent="0.2">
      <c r="H36" s="13"/>
      <c r="I36" s="13"/>
      <c r="J36" s="83"/>
      <c r="K36" s="83"/>
      <c r="L36" s="83"/>
      <c r="M36" s="83"/>
      <c r="N36" s="83"/>
      <c r="O36" s="83"/>
      <c r="P36" s="83"/>
    </row>
    <row r="37" spans="2:16" x14ac:dyDescent="0.2">
      <c r="B37" s="1" t="s">
        <v>435</v>
      </c>
      <c r="H37" s="13"/>
      <c r="I37" s="13"/>
      <c r="J37" s="83"/>
      <c r="K37" s="83"/>
      <c r="L37" s="83"/>
      <c r="M37" s="83"/>
      <c r="N37" s="83"/>
      <c r="O37" s="83"/>
      <c r="P37" s="83"/>
    </row>
    <row r="38" spans="2:16" x14ac:dyDescent="0.2">
      <c r="B38" s="2" t="s">
        <v>202</v>
      </c>
      <c r="D38" s="2" t="s">
        <v>113</v>
      </c>
      <c r="H38" s="13"/>
      <c r="I38" s="13"/>
      <c r="J38" s="179"/>
      <c r="K38" s="179"/>
      <c r="L38" s="179"/>
      <c r="M38" s="182">
        <f>'Data ACM'!M67</f>
        <v>518</v>
      </c>
      <c r="N38" s="179"/>
      <c r="O38" s="83"/>
      <c r="P38" s="83"/>
    </row>
    <row r="39" spans="2:16" x14ac:dyDescent="0.2">
      <c r="B39" s="2" t="s">
        <v>203</v>
      </c>
      <c r="D39" s="2" t="s">
        <v>88</v>
      </c>
      <c r="H39" s="13"/>
      <c r="I39" s="13"/>
      <c r="J39" s="179"/>
      <c r="K39" s="179"/>
      <c r="L39" s="179"/>
      <c r="M39" s="182">
        <f>'Data ACM'!M68</f>
        <v>307847</v>
      </c>
      <c r="N39" s="179"/>
      <c r="O39" s="83"/>
      <c r="P39" s="83"/>
    </row>
    <row r="40" spans="2:16" x14ac:dyDescent="0.2">
      <c r="B40" s="2" t="s">
        <v>204</v>
      </c>
      <c r="D40" s="2" t="s">
        <v>88</v>
      </c>
      <c r="H40" s="13"/>
      <c r="I40" s="13"/>
      <c r="J40" s="179"/>
      <c r="K40" s="179"/>
      <c r="L40" s="179"/>
      <c r="M40" s="182">
        <f>'Data ACM'!M69</f>
        <v>24424</v>
      </c>
      <c r="N40" s="179"/>
      <c r="O40" s="83"/>
      <c r="P40" s="83"/>
    </row>
    <row r="41" spans="2:16" x14ac:dyDescent="0.2">
      <c r="B41" s="2" t="s">
        <v>506</v>
      </c>
      <c r="D41" s="2" t="s">
        <v>113</v>
      </c>
      <c r="H41" s="13"/>
      <c r="I41" s="13"/>
      <c r="J41" s="179"/>
      <c r="K41" s="179"/>
      <c r="L41" s="179"/>
      <c r="M41" s="182">
        <f>'Historical data'!M15</f>
        <v>1178.75</v>
      </c>
      <c r="N41" s="179"/>
      <c r="O41" s="83"/>
      <c r="P41" s="83"/>
    </row>
    <row r="42" spans="2:16" x14ac:dyDescent="0.2">
      <c r="B42" s="2" t="s">
        <v>507</v>
      </c>
      <c r="D42" s="2" t="s">
        <v>88</v>
      </c>
      <c r="H42" s="13"/>
      <c r="I42" s="13"/>
      <c r="J42" s="179"/>
      <c r="K42" s="179"/>
      <c r="L42" s="179"/>
      <c r="M42" s="183">
        <f>'Financial data'!M23</f>
        <v>3342484.5729151834</v>
      </c>
      <c r="N42" s="179"/>
      <c r="O42" s="83"/>
      <c r="P42" s="83"/>
    </row>
    <row r="43" spans="2:16" x14ac:dyDescent="0.2">
      <c r="B43" s="2" t="s">
        <v>508</v>
      </c>
      <c r="D43" s="2" t="s">
        <v>88</v>
      </c>
      <c r="H43" s="13"/>
      <c r="I43" s="13"/>
      <c r="J43" s="179"/>
      <c r="K43" s="179"/>
      <c r="L43" s="179"/>
      <c r="M43" s="183">
        <f>'Financial data'!M24</f>
        <v>235420.0517652886</v>
      </c>
      <c r="N43" s="179"/>
      <c r="O43" s="83"/>
      <c r="P43" s="83"/>
    </row>
    <row r="44" spans="2:16" x14ac:dyDescent="0.2">
      <c r="B44" s="2" t="s">
        <v>307</v>
      </c>
      <c r="D44" s="2" t="s">
        <v>301</v>
      </c>
      <c r="H44" s="13"/>
      <c r="I44" s="13"/>
      <c r="J44" s="179"/>
      <c r="K44" s="179"/>
      <c r="L44" s="179"/>
      <c r="M44" s="184">
        <f>(M42-M39)/(M41-M38)</f>
        <v>4592.7167202651281</v>
      </c>
      <c r="N44" s="179"/>
      <c r="O44" s="83"/>
      <c r="P44" s="83"/>
    </row>
    <row r="45" spans="2:16" x14ac:dyDescent="0.2">
      <c r="B45" s="2" t="s">
        <v>306</v>
      </c>
      <c r="D45" s="2" t="s">
        <v>301</v>
      </c>
      <c r="H45" s="13"/>
      <c r="I45" s="13"/>
      <c r="J45" s="179"/>
      <c r="K45" s="179"/>
      <c r="L45" s="179"/>
      <c r="M45" s="184">
        <f>(M43-M40)/(M41-M38)</f>
        <v>319.32811466559002</v>
      </c>
      <c r="N45" s="179"/>
      <c r="O45" s="83"/>
      <c r="P45" s="83"/>
    </row>
    <row r="46" spans="2:16" x14ac:dyDescent="0.2">
      <c r="H46" s="13"/>
      <c r="I46" s="13"/>
      <c r="J46" s="83"/>
      <c r="K46" s="83"/>
      <c r="L46" s="83"/>
      <c r="M46" s="83"/>
      <c r="N46" s="83"/>
      <c r="O46" s="83"/>
      <c r="P46" s="83"/>
    </row>
    <row r="47" spans="2:16" x14ac:dyDescent="0.2">
      <c r="B47" s="1" t="s">
        <v>396</v>
      </c>
      <c r="H47" s="13"/>
      <c r="I47" s="13"/>
      <c r="J47" s="83"/>
      <c r="K47" s="83"/>
      <c r="L47" s="83"/>
      <c r="M47" s="83"/>
      <c r="N47" s="83"/>
      <c r="O47" s="83"/>
      <c r="P47" s="83"/>
    </row>
    <row r="48" spans="2:16" x14ac:dyDescent="0.2">
      <c r="B48" s="2" t="s">
        <v>397</v>
      </c>
      <c r="D48" s="2" t="s">
        <v>88</v>
      </c>
      <c r="H48" s="13"/>
      <c r="I48" s="13"/>
      <c r="J48" s="151">
        <v>10910300</v>
      </c>
      <c r="K48" s="179"/>
      <c r="L48" s="179"/>
      <c r="M48" s="179"/>
      <c r="N48" s="179"/>
      <c r="O48" s="83"/>
      <c r="P48" s="83" t="s">
        <v>509</v>
      </c>
    </row>
    <row r="49" spans="2:16" x14ac:dyDescent="0.2">
      <c r="B49" s="2" t="s">
        <v>398</v>
      </c>
      <c r="D49" s="2" t="s">
        <v>88</v>
      </c>
      <c r="H49" s="13"/>
      <c r="I49" s="13"/>
      <c r="J49" s="151">
        <v>10100000</v>
      </c>
      <c r="K49" s="179"/>
      <c r="L49" s="179"/>
      <c r="M49" s="179"/>
      <c r="N49" s="179"/>
      <c r="O49" s="83"/>
      <c r="P49" s="83" t="s">
        <v>420</v>
      </c>
    </row>
    <row r="50" spans="2:16" x14ac:dyDescent="0.2">
      <c r="B50" s="2" t="s">
        <v>399</v>
      </c>
      <c r="D50" s="2" t="s">
        <v>88</v>
      </c>
      <c r="H50" s="13"/>
      <c r="I50" s="13"/>
      <c r="J50" s="196">
        <f>J48-J49</f>
        <v>810300</v>
      </c>
      <c r="K50" s="179"/>
      <c r="L50" s="179"/>
      <c r="M50" s="179"/>
      <c r="N50" s="179"/>
      <c r="O50" s="83"/>
      <c r="P50" s="83"/>
    </row>
    <row r="51" spans="2:16" x14ac:dyDescent="0.2">
      <c r="B51" s="2" t="s">
        <v>495</v>
      </c>
      <c r="D51" s="2" t="s">
        <v>73</v>
      </c>
      <c r="H51" s="13"/>
      <c r="I51" s="13"/>
      <c r="J51" s="197">
        <f>Parameters!F31</f>
        <v>8.8900000000000007E-2</v>
      </c>
      <c r="K51" s="179"/>
      <c r="L51" s="179"/>
      <c r="M51" s="179"/>
      <c r="N51" s="179"/>
      <c r="O51" s="83"/>
      <c r="P51" s="83" t="s">
        <v>510</v>
      </c>
    </row>
    <row r="52" spans="2:16" x14ac:dyDescent="0.2">
      <c r="B52" s="2" t="s">
        <v>496</v>
      </c>
      <c r="D52" s="2" t="s">
        <v>88</v>
      </c>
      <c r="H52" s="13"/>
      <c r="I52" s="13"/>
      <c r="J52" s="196">
        <f>J50*J51</f>
        <v>72035.67</v>
      </c>
      <c r="K52" s="179"/>
      <c r="L52" s="179"/>
      <c r="M52" s="179"/>
      <c r="N52" s="179"/>
      <c r="O52" s="83"/>
      <c r="P52" s="83"/>
    </row>
    <row r="53" spans="2:16" x14ac:dyDescent="0.2">
      <c r="B53" s="2" t="s">
        <v>416</v>
      </c>
      <c r="D53" s="2" t="s">
        <v>88</v>
      </c>
      <c r="H53" s="13"/>
      <c r="I53" s="13"/>
      <c r="J53" s="196">
        <f>J50+J52</f>
        <v>882335.67</v>
      </c>
      <c r="K53" s="179"/>
      <c r="L53" s="179"/>
      <c r="M53" s="179"/>
      <c r="N53" s="179"/>
      <c r="O53" s="83"/>
      <c r="P53" s="83"/>
    </row>
    <row r="54" spans="2:16" x14ac:dyDescent="0.2">
      <c r="B54" s="2" t="s">
        <v>400</v>
      </c>
      <c r="H54" s="13"/>
      <c r="I54" s="13"/>
      <c r="J54" s="198">
        <v>46053</v>
      </c>
      <c r="K54" s="179"/>
      <c r="L54" s="179"/>
      <c r="M54" s="179"/>
      <c r="N54" s="179"/>
      <c r="O54" s="83"/>
      <c r="P54" s="83" t="s">
        <v>497</v>
      </c>
    </row>
    <row r="55" spans="2:16" x14ac:dyDescent="0.2">
      <c r="B55" s="2" t="s">
        <v>401</v>
      </c>
      <c r="D55" s="2" t="s">
        <v>73</v>
      </c>
      <c r="H55" s="13"/>
      <c r="I55" s="13"/>
      <c r="J55" s="199">
        <v>7.0000000000000007E-2</v>
      </c>
      <c r="K55" s="179"/>
      <c r="L55" s="179"/>
      <c r="M55" s="179"/>
      <c r="N55" s="179"/>
      <c r="O55" s="83"/>
      <c r="P55" s="83" t="s">
        <v>511</v>
      </c>
    </row>
    <row r="56" spans="2:16" x14ac:dyDescent="0.2">
      <c r="B56" s="2" t="s">
        <v>402</v>
      </c>
      <c r="D56" s="2" t="s">
        <v>88</v>
      </c>
      <c r="H56" s="13"/>
      <c r="I56" s="13"/>
      <c r="J56" s="196">
        <f>J53*J55</f>
        <v>61763.496900000006</v>
      </c>
      <c r="K56" s="179"/>
      <c r="L56" s="179"/>
      <c r="M56" s="179"/>
      <c r="N56" s="179"/>
      <c r="O56" s="83"/>
      <c r="P56" s="83"/>
    </row>
    <row r="57" spans="2:16" x14ac:dyDescent="0.2">
      <c r="B57" s="2" t="s">
        <v>488</v>
      </c>
      <c r="D57" s="2" t="s">
        <v>88</v>
      </c>
      <c r="H57" s="13"/>
      <c r="I57" s="13"/>
      <c r="J57" s="196">
        <f>((DATE(2027,1,1)-J54)/365.25)*J56</f>
        <v>56648.244932238202</v>
      </c>
      <c r="K57" s="179"/>
      <c r="L57" s="179"/>
      <c r="M57" s="179"/>
      <c r="N57" s="179"/>
      <c r="O57" s="83"/>
      <c r="P57" s="83"/>
    </row>
    <row r="58" spans="2:16" x14ac:dyDescent="0.2">
      <c r="B58" s="2" t="s">
        <v>489</v>
      </c>
      <c r="D58" s="2" t="s">
        <v>88</v>
      </c>
      <c r="H58" s="13"/>
      <c r="I58" s="13"/>
      <c r="J58" s="196">
        <f>J53-J57</f>
        <v>825687.4250677618</v>
      </c>
      <c r="K58" s="179"/>
      <c r="L58" s="179"/>
      <c r="M58" s="179"/>
      <c r="N58" s="179"/>
      <c r="O58" s="83"/>
      <c r="P58" s="83"/>
    </row>
    <row r="59" spans="2:16" x14ac:dyDescent="0.2">
      <c r="B59" s="2" t="s">
        <v>490</v>
      </c>
      <c r="D59" s="2" t="s">
        <v>88</v>
      </c>
      <c r="H59" s="13"/>
      <c r="I59" s="13"/>
      <c r="J59" s="184">
        <f>AVERAGE(J53,J58)</f>
        <v>854011.54753388092</v>
      </c>
      <c r="K59" s="179"/>
      <c r="L59" s="179"/>
      <c r="M59" s="179"/>
      <c r="N59" s="179"/>
      <c r="O59" s="83"/>
      <c r="P59" s="83"/>
    </row>
    <row r="60" spans="2:16" x14ac:dyDescent="0.2">
      <c r="B60" s="2" t="s">
        <v>403</v>
      </c>
      <c r="D60" s="2" t="s">
        <v>404</v>
      </c>
      <c r="H60" s="13"/>
      <c r="I60" s="13"/>
      <c r="J60" s="200">
        <f>((DATE(2027,1,1)-J54)/365.25)*12</f>
        <v>11.006160164271048</v>
      </c>
      <c r="K60" s="179"/>
      <c r="L60" s="179"/>
      <c r="M60" s="179"/>
      <c r="N60" s="179"/>
      <c r="O60" s="83"/>
      <c r="P60" s="83"/>
    </row>
    <row r="61" spans="2:16" x14ac:dyDescent="0.2">
      <c r="B61" s="2" t="s">
        <v>491</v>
      </c>
      <c r="D61" s="2" t="s">
        <v>88</v>
      </c>
      <c r="H61" s="13"/>
      <c r="I61" s="13"/>
      <c r="J61" s="196">
        <f>J59*J60/12</f>
        <v>783282.32285790599</v>
      </c>
      <c r="K61" s="179"/>
      <c r="L61" s="179"/>
      <c r="M61" s="179"/>
      <c r="N61" s="179"/>
      <c r="O61" s="83"/>
      <c r="P61" s="83"/>
    </row>
    <row r="62" spans="2:16" x14ac:dyDescent="0.2">
      <c r="J62" s="83"/>
      <c r="K62" s="83"/>
      <c r="L62" s="83"/>
      <c r="M62" s="83"/>
      <c r="N62" s="83"/>
      <c r="O62" s="83"/>
      <c r="P62" s="83"/>
    </row>
    <row r="63" spans="2:16" x14ac:dyDescent="0.2">
      <c r="J63" s="83"/>
      <c r="K63" s="83"/>
      <c r="L63" s="83"/>
      <c r="M63" s="83"/>
      <c r="N63" s="83"/>
      <c r="O63" s="83"/>
      <c r="P63" s="83"/>
    </row>
    <row r="64" spans="2:16" x14ac:dyDescent="0.2">
      <c r="J64" s="201"/>
      <c r="K64" s="83"/>
      <c r="L64" s="83"/>
      <c r="M64" s="83"/>
      <c r="N64" s="83"/>
      <c r="O64" s="83"/>
      <c r="P64" s="83"/>
    </row>
    <row r="65" spans="2:16" x14ac:dyDescent="0.2">
      <c r="J65" s="83"/>
      <c r="K65" s="83"/>
      <c r="L65" s="83"/>
      <c r="M65" s="83"/>
      <c r="N65" s="83"/>
      <c r="O65" s="83"/>
      <c r="P65" s="83"/>
    </row>
    <row r="66" spans="2:16" x14ac:dyDescent="0.2">
      <c r="J66" s="83"/>
      <c r="K66" s="83"/>
      <c r="L66" s="83"/>
      <c r="M66" s="83"/>
      <c r="N66" s="83"/>
      <c r="O66" s="83"/>
      <c r="P66" s="83"/>
    </row>
    <row r="67" spans="2:16" x14ac:dyDescent="0.2">
      <c r="J67" s="83"/>
      <c r="K67" s="83"/>
      <c r="L67" s="83"/>
      <c r="M67" s="83"/>
      <c r="N67" s="83"/>
      <c r="O67" s="83"/>
      <c r="P67" s="83"/>
    </row>
    <row r="73" spans="2:16" x14ac:dyDescent="0.2">
      <c r="B73" s="4" t="s">
        <v>63</v>
      </c>
    </row>
  </sheetData>
  <phoneticPr fontId="31" type="noConversion"/>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4"/>
  </cols>
  <sheetData>
    <row r="2" spans="2:2" x14ac:dyDescent="0.2">
      <c r="B2" s="33" t="s">
        <v>128</v>
      </c>
    </row>
    <row r="3" spans="2:2" x14ac:dyDescent="0.2">
      <c r="B3" s="3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C1CC-6907-46F5-B644-88E933494E51}">
  <sheetPr>
    <tabColor rgb="FFFFFFCC"/>
  </sheetPr>
  <dimension ref="A2:P47"/>
  <sheetViews>
    <sheetView showGridLines="0" zoomScale="85" zoomScaleNormal="85" workbookViewId="0">
      <pane xSplit="4" ySplit="10" topLeftCell="E11" activePane="bottomRight" state="frozen"/>
      <selection activeCell="L52" sqref="L52"/>
      <selection pane="topRight" activeCell="L52" sqref="L52"/>
      <selection pane="bottomLeft" activeCell="L52" sqref="L52"/>
      <selection pane="bottomRight" activeCell="E11" sqref="E11"/>
    </sheetView>
  </sheetViews>
  <sheetFormatPr defaultColWidth="9.140625" defaultRowHeight="12.75" x14ac:dyDescent="0.2"/>
  <cols>
    <col min="1" max="1" width="4.5703125" style="2" customWidth="1"/>
    <col min="2" max="2" width="78.85546875" style="2" customWidth="1"/>
    <col min="3" max="3" width="4.5703125" style="2" customWidth="1"/>
    <col min="4" max="4" width="15.4257812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30.7109375" style="2" customWidth="1"/>
    <col min="17" max="17" width="2.7109375" style="2" customWidth="1"/>
    <col min="18" max="27" width="12.5703125" style="2" customWidth="1"/>
    <col min="28" max="30" width="2.7109375" style="2" customWidth="1"/>
    <col min="31" max="45" width="13.7109375" style="2" customWidth="1"/>
    <col min="46" max="16384" width="9.140625" style="2"/>
  </cols>
  <sheetData>
    <row r="2" spans="1:16" s="12" customFormat="1" ht="18" x14ac:dyDescent="0.2">
      <c r="B2" s="12" t="s">
        <v>610</v>
      </c>
    </row>
    <row r="4" spans="1:16" x14ac:dyDescent="0.2">
      <c r="B4" s="19" t="s">
        <v>79</v>
      </c>
    </row>
    <row r="5" spans="1:16" x14ac:dyDescent="0.2">
      <c r="B5" s="2" t="s">
        <v>611</v>
      </c>
      <c r="F5" s="13"/>
    </row>
    <row r="6" spans="1:16" x14ac:dyDescent="0.2">
      <c r="B6" s="2" t="s">
        <v>612</v>
      </c>
      <c r="F6" s="13"/>
    </row>
    <row r="7" spans="1:16" x14ac:dyDescent="0.2">
      <c r="B7" s="2" t="s">
        <v>433</v>
      </c>
      <c r="F7" s="13"/>
    </row>
    <row r="9" spans="1:16" s="8" customFormat="1" ht="12.75" customHeight="1" x14ac:dyDescent="0.2">
      <c r="B9" s="8" t="s">
        <v>80</v>
      </c>
      <c r="D9" s="8" t="s">
        <v>81</v>
      </c>
      <c r="F9" s="8" t="s">
        <v>37</v>
      </c>
      <c r="H9" s="8" t="s">
        <v>38</v>
      </c>
      <c r="J9" s="8" t="s">
        <v>164</v>
      </c>
      <c r="K9" s="8" t="s">
        <v>69</v>
      </c>
      <c r="L9" s="8" t="s">
        <v>70</v>
      </c>
      <c r="M9" s="8" t="s">
        <v>71</v>
      </c>
      <c r="N9" s="8" t="s">
        <v>72</v>
      </c>
      <c r="P9" s="8" t="s">
        <v>39</v>
      </c>
    </row>
    <row r="12" spans="1:16" s="8" customFormat="1" x14ac:dyDescent="0.2">
      <c r="B12" s="8" t="s">
        <v>171</v>
      </c>
    </row>
    <row r="14" spans="1:16" x14ac:dyDescent="0.2">
      <c r="B14" s="1" t="s">
        <v>167</v>
      </c>
    </row>
    <row r="15" spans="1:16" s="20" customFormat="1" x14ac:dyDescent="0.2">
      <c r="A15" s="2"/>
      <c r="B15" s="20" t="s">
        <v>36</v>
      </c>
      <c r="D15" s="20" t="s">
        <v>92</v>
      </c>
      <c r="J15" s="20" t="s">
        <v>93</v>
      </c>
      <c r="K15" s="20" t="s">
        <v>94</v>
      </c>
      <c r="L15" s="20" t="s">
        <v>95</v>
      </c>
      <c r="M15" s="20" t="s">
        <v>96</v>
      </c>
      <c r="N15" s="20" t="s">
        <v>95</v>
      </c>
    </row>
    <row r="16" spans="1:16" s="20" customFormat="1" x14ac:dyDescent="0.2">
      <c r="A16" s="2"/>
      <c r="B16" s="2" t="s">
        <v>279</v>
      </c>
      <c r="C16" s="2"/>
      <c r="D16" s="20" t="s">
        <v>92</v>
      </c>
      <c r="J16" s="76"/>
      <c r="K16" s="76"/>
      <c r="L16" s="76"/>
      <c r="M16" s="26">
        <f>'Data ACM'!M34</f>
        <v>1036.1666666666667</v>
      </c>
      <c r="N16" s="76"/>
    </row>
    <row r="17" spans="2:14" x14ac:dyDescent="0.2">
      <c r="B17" s="2" t="s">
        <v>454</v>
      </c>
      <c r="D17" s="20" t="s">
        <v>92</v>
      </c>
      <c r="H17" s="20"/>
      <c r="J17" s="60">
        <f>'Historical data'!J17</f>
        <v>17242361.949999999</v>
      </c>
      <c r="K17" s="60">
        <f>'Historical data'!K15</f>
        <v>19062.5075</v>
      </c>
      <c r="L17" s="60">
        <f>'Historical data'!L15</f>
        <v>186919</v>
      </c>
      <c r="M17" s="60">
        <f>'Historical data'!M15</f>
        <v>1178.75</v>
      </c>
      <c r="N17" s="60">
        <f>'Historical data'!N15</f>
        <v>1036.5999999999999</v>
      </c>
    </row>
    <row r="18" spans="2:14" x14ac:dyDescent="0.2">
      <c r="H18" s="20"/>
      <c r="K18"/>
      <c r="M18"/>
      <c r="N18"/>
    </row>
    <row r="19" spans="2:14" x14ac:dyDescent="0.2">
      <c r="B19" s="1" t="s">
        <v>424</v>
      </c>
      <c r="H19" s="20"/>
      <c r="K19"/>
      <c r="M19"/>
      <c r="N19"/>
    </row>
    <row r="20" spans="2:14" x14ac:dyDescent="0.2">
      <c r="B20" s="2" t="s">
        <v>560</v>
      </c>
      <c r="D20" s="2" t="s">
        <v>130</v>
      </c>
      <c r="H20" s="27">
        <f>SUM(J20:N20)</f>
        <v>4326447.031532879</v>
      </c>
      <c r="J20" s="26">
        <f>'Data ACM'!J26</f>
        <v>2397353.4600111921</v>
      </c>
      <c r="K20" s="26">
        <f>'Data ACM'!K26</f>
        <v>489645.4971391334</v>
      </c>
      <c r="L20" s="26">
        <f>'Data ACM'!L26</f>
        <v>755480.47888693179</v>
      </c>
      <c r="M20" s="26">
        <f>'Data ACM'!M26</f>
        <v>674414.50767331733</v>
      </c>
      <c r="N20" s="26">
        <f>'Data ACM'!N26</f>
        <v>9553.0878223043801</v>
      </c>
    </row>
    <row r="21" spans="2:14" x14ac:dyDescent="0.2">
      <c r="B21" s="2" t="s">
        <v>561</v>
      </c>
      <c r="D21" s="2" t="s">
        <v>130</v>
      </c>
      <c r="J21" s="84"/>
      <c r="K21" s="84"/>
      <c r="L21" s="84"/>
      <c r="M21" s="26">
        <f>'Data ACM'!M27</f>
        <v>185029.71464968059</v>
      </c>
      <c r="N21" s="84"/>
    </row>
    <row r="22" spans="2:14" x14ac:dyDescent="0.2">
      <c r="B22" s="2" t="s">
        <v>562</v>
      </c>
      <c r="D22" s="2" t="s">
        <v>563</v>
      </c>
      <c r="J22" s="86">
        <f>'Data ACM'!J28</f>
        <v>2.6161065362456073E-2</v>
      </c>
      <c r="K22" s="26">
        <f>'Data ACM'!K28</f>
        <v>25.310497736553295</v>
      </c>
      <c r="L22" s="86">
        <f>'Data ACM'!L28</f>
        <v>0.4299455916369313</v>
      </c>
      <c r="M22" s="26">
        <f>'Data ACM'!M28</f>
        <v>256.55970581620693</v>
      </c>
      <c r="N22" s="26">
        <f>'Data ACM'!N28</f>
        <v>0.97279191932370968</v>
      </c>
    </row>
    <row r="23" spans="2:14" x14ac:dyDescent="0.2">
      <c r="B23" s="2" t="s">
        <v>564</v>
      </c>
      <c r="D23" s="2" t="s">
        <v>563</v>
      </c>
      <c r="J23" s="84"/>
      <c r="K23" s="84"/>
      <c r="L23" s="84"/>
      <c r="M23" s="26">
        <f>'Data ACM'!M29</f>
        <v>638.40609323957256</v>
      </c>
      <c r="N23" s="84"/>
    </row>
    <row r="25" spans="2:14" x14ac:dyDescent="0.2">
      <c r="B25" s="1" t="s">
        <v>409</v>
      </c>
    </row>
    <row r="26" spans="2:14" x14ac:dyDescent="0.2">
      <c r="B26" s="2" t="s">
        <v>560</v>
      </c>
      <c r="D26" s="2" t="s">
        <v>130</v>
      </c>
      <c r="H26" s="27">
        <f>SUM(J26:N26)</f>
        <v>4506238.3187869452</v>
      </c>
      <c r="J26" s="26">
        <f>'Data ACM'!J18</f>
        <v>2493546.5315789287</v>
      </c>
      <c r="K26" s="26">
        <f>'Data ACM'!K18</f>
        <v>509699.9188410393</v>
      </c>
      <c r="L26" s="26">
        <f>'Data ACM'!L18</f>
        <v>787065.42689036299</v>
      </c>
      <c r="M26" s="26">
        <f>'Data ACM'!M18</f>
        <v>705947.25977256079</v>
      </c>
      <c r="N26" s="26">
        <f>'Data ACM'!N18</f>
        <v>9979.1817040533169</v>
      </c>
    </row>
    <row r="27" spans="2:14" x14ac:dyDescent="0.2">
      <c r="B27" s="2" t="s">
        <v>561</v>
      </c>
      <c r="D27" s="2" t="s">
        <v>130</v>
      </c>
      <c r="J27" s="84"/>
      <c r="K27" s="84"/>
      <c r="L27" s="84"/>
      <c r="M27" s="26">
        <f>'Data ACM'!M19</f>
        <v>211119.35984977329</v>
      </c>
      <c r="N27" s="84"/>
    </row>
    <row r="28" spans="2:14" x14ac:dyDescent="0.2">
      <c r="B28" s="2" t="s">
        <v>562</v>
      </c>
      <c r="D28" s="2" t="s">
        <v>563</v>
      </c>
      <c r="J28" s="86">
        <f>'Data ACM'!J20</f>
        <v>2.6452037778014231E-2</v>
      </c>
      <c r="K28" s="26">
        <f>'Data ACM'!K20</f>
        <v>26.393842632850529</v>
      </c>
      <c r="L28" s="86">
        <f>'Data ACM'!L20</f>
        <v>0.43472759518395482</v>
      </c>
      <c r="M28" s="26">
        <f>'Data ACM'!M20</f>
        <v>259.41325158362685</v>
      </c>
      <c r="N28" s="26">
        <f>'Data ACM'!N20</f>
        <v>1.035642024771027</v>
      </c>
    </row>
    <row r="29" spans="2:14" x14ac:dyDescent="0.2">
      <c r="B29" s="2" t="s">
        <v>564</v>
      </c>
      <c r="D29" s="2" t="s">
        <v>563</v>
      </c>
      <c r="J29" s="84"/>
      <c r="K29" s="84"/>
      <c r="L29" s="84"/>
      <c r="M29" s="26">
        <f>'Data ACM'!M21</f>
        <v>729.3038827968561</v>
      </c>
      <c r="N29" s="84"/>
    </row>
    <row r="31" spans="2:14" s="8" customFormat="1" x14ac:dyDescent="0.2">
      <c r="B31" s="8" t="s">
        <v>23</v>
      </c>
    </row>
    <row r="33" spans="2:14" x14ac:dyDescent="0.2">
      <c r="B33" s="1" t="s">
        <v>410</v>
      </c>
    </row>
    <row r="34" spans="2:14" x14ac:dyDescent="0.2">
      <c r="B34" s="2" t="s">
        <v>613</v>
      </c>
      <c r="D34" s="2" t="s">
        <v>130</v>
      </c>
      <c r="J34" s="27">
        <f>J26-J20</f>
        <v>96193.071567736566</v>
      </c>
      <c r="K34" s="27">
        <f t="shared" ref="K34:N34" si="0">K26-K20</f>
        <v>20054.4217019059</v>
      </c>
      <c r="L34" s="27">
        <f t="shared" si="0"/>
        <v>31584.9480034312</v>
      </c>
      <c r="M34" s="27">
        <f t="shared" si="0"/>
        <v>31532.752099243458</v>
      </c>
      <c r="N34" s="27">
        <f t="shared" si="0"/>
        <v>426.09388174893684</v>
      </c>
    </row>
    <row r="35" spans="2:14" x14ac:dyDescent="0.2">
      <c r="B35" s="2" t="s">
        <v>614</v>
      </c>
      <c r="D35" s="2" t="s">
        <v>130</v>
      </c>
      <c r="J35" s="38"/>
      <c r="K35" s="38"/>
      <c r="L35" s="38"/>
      <c r="M35" s="27">
        <f>M27-M21</f>
        <v>26089.645200092695</v>
      </c>
      <c r="N35" s="38"/>
    </row>
    <row r="36" spans="2:14" x14ac:dyDescent="0.2">
      <c r="B36" s="2" t="s">
        <v>615</v>
      </c>
      <c r="D36" s="2" t="s">
        <v>130</v>
      </c>
      <c r="J36" s="27">
        <f>(J28-J22)*J17</f>
        <v>5017.0517065195672</v>
      </c>
      <c r="K36" s="27">
        <f t="shared" ref="K36:N36" si="1">(K28-K22)*K17</f>
        <v>20651.270210752748</v>
      </c>
      <c r="L36" s="27">
        <f t="shared" si="1"/>
        <v>893.84732100608869</v>
      </c>
      <c r="M36" s="27">
        <f t="shared" si="1"/>
        <v>3363.6170733462268</v>
      </c>
      <c r="N36" s="27">
        <f t="shared" si="1"/>
        <v>65.150419306689088</v>
      </c>
    </row>
    <row r="37" spans="2:14" x14ac:dyDescent="0.2">
      <c r="B37" s="2" t="s">
        <v>616</v>
      </c>
      <c r="D37" s="2" t="s">
        <v>130</v>
      </c>
      <c r="J37" s="38"/>
      <c r="K37" s="38"/>
      <c r="L37" s="38"/>
      <c r="M37" s="27">
        <f>(M29-M23)*(M17-M16)</f>
        <v>12960.509827709338</v>
      </c>
      <c r="N37" s="38"/>
    </row>
    <row r="39" spans="2:14" x14ac:dyDescent="0.2">
      <c r="B39" s="1" t="s">
        <v>411</v>
      </c>
    </row>
    <row r="40" spans="2:14" x14ac:dyDescent="0.2">
      <c r="B40" s="2" t="s">
        <v>610</v>
      </c>
      <c r="D40" s="2" t="s">
        <v>130</v>
      </c>
      <c r="H40" s="27">
        <f>SUM(J40:N40)</f>
        <v>248832.37901279939</v>
      </c>
      <c r="J40" s="21">
        <f>SUM(J34:J37)</f>
        <v>101210.12327425613</v>
      </c>
      <c r="K40" s="21">
        <f t="shared" ref="K40:N40" si="2">SUM(K34:K37)</f>
        <v>40705.691912658644</v>
      </c>
      <c r="L40" s="21">
        <f t="shared" si="2"/>
        <v>32478.795324437287</v>
      </c>
      <c r="M40" s="21">
        <f t="shared" si="2"/>
        <v>73946.524200391723</v>
      </c>
      <c r="N40" s="21">
        <f t="shared" si="2"/>
        <v>491.2443010556259</v>
      </c>
    </row>
    <row r="41" spans="2:14" x14ac:dyDescent="0.2">
      <c r="J41" s="135"/>
      <c r="K41" s="135"/>
      <c r="L41" s="135"/>
      <c r="M41" s="135"/>
      <c r="N41" s="135"/>
    </row>
    <row r="42" spans="2:14" x14ac:dyDescent="0.2">
      <c r="J42" s="135"/>
      <c r="K42" s="135"/>
      <c r="L42" s="135"/>
      <c r="M42" s="135"/>
      <c r="N42" s="135"/>
    </row>
    <row r="43" spans="2:14" x14ac:dyDescent="0.2">
      <c r="B43" s="4" t="s">
        <v>63</v>
      </c>
    </row>
    <row r="47" spans="2:14" x14ac:dyDescent="0.2">
      <c r="J47" s="135"/>
      <c r="K47" s="135"/>
      <c r="L47" s="135"/>
      <c r="M47" s="135"/>
      <c r="N47" s="135"/>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2FAAF-E534-4559-AB39-5CF0F422597A}">
  <sheetPr>
    <tabColor rgb="FFFFFFCC"/>
  </sheetPr>
  <dimension ref="A2:R30"/>
  <sheetViews>
    <sheetView showGridLines="0" zoomScale="85" zoomScaleNormal="85" workbookViewId="0">
      <pane xSplit="6" ySplit="8" topLeftCell="G9" activePane="bottomRight" state="frozen"/>
      <selection activeCell="L52" sqref="L52"/>
      <selection pane="topRight" activeCell="L52" sqref="L52"/>
      <selection pane="bottomLeft" activeCell="L52" sqref="L52"/>
      <selection pane="bottomRight" activeCell="G9" sqref="G9"/>
    </sheetView>
  </sheetViews>
  <sheetFormatPr defaultColWidth="9.140625" defaultRowHeight="12.75" x14ac:dyDescent="0.2"/>
  <cols>
    <col min="1" max="1" width="4.5703125" style="2" customWidth="1"/>
    <col min="2" max="2" width="41.425781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1:18" s="12" customFormat="1" ht="18" x14ac:dyDescent="0.2">
      <c r="B2" s="12" t="s">
        <v>617</v>
      </c>
    </row>
    <row r="4" spans="1:18" x14ac:dyDescent="0.2">
      <c r="B4" s="19" t="s">
        <v>182</v>
      </c>
      <c r="C4" s="1"/>
      <c r="D4" s="1"/>
    </row>
    <row r="5" spans="1:18" x14ac:dyDescent="0.2">
      <c r="B5" s="2" t="s">
        <v>183</v>
      </c>
      <c r="C5" s="3"/>
      <c r="D5" s="3"/>
      <c r="H5" s="13"/>
    </row>
    <row r="7" spans="1:18" s="8" customFormat="1" ht="12.75" customHeight="1" x14ac:dyDescent="0.2">
      <c r="B7" s="8" t="s">
        <v>80</v>
      </c>
      <c r="F7" s="8" t="s">
        <v>81</v>
      </c>
      <c r="H7" s="8" t="s">
        <v>37</v>
      </c>
      <c r="J7" s="8" t="s">
        <v>38</v>
      </c>
      <c r="L7" s="8" t="s">
        <v>164</v>
      </c>
      <c r="M7" s="8" t="s">
        <v>69</v>
      </c>
      <c r="N7" s="8" t="s">
        <v>70</v>
      </c>
      <c r="O7" s="8" t="s">
        <v>71</v>
      </c>
      <c r="P7" s="8" t="s">
        <v>72</v>
      </c>
      <c r="R7" s="8" t="s">
        <v>39</v>
      </c>
    </row>
    <row r="10" spans="1:18" s="8" customFormat="1" x14ac:dyDescent="0.2">
      <c r="B10" s="8" t="s">
        <v>184</v>
      </c>
    </row>
    <row r="11" spans="1:18" x14ac:dyDescent="0.2">
      <c r="H11"/>
      <c r="I11"/>
      <c r="J11"/>
      <c r="K11"/>
    </row>
    <row r="12" spans="1:18" x14ac:dyDescent="0.2">
      <c r="B12" s="19" t="s">
        <v>436</v>
      </c>
      <c r="K12"/>
      <c r="L12"/>
      <c r="M12"/>
      <c r="N12"/>
    </row>
    <row r="13" spans="1:18" x14ac:dyDescent="0.2">
      <c r="B13" s="2" t="s">
        <v>618</v>
      </c>
      <c r="F13" s="2" t="s">
        <v>130</v>
      </c>
      <c r="J13" s="27">
        <f>SUM(L13:P13)</f>
        <v>4326447.031532879</v>
      </c>
      <c r="L13" s="60">
        <f>'Data ACM'!J26</f>
        <v>2397353.4600111921</v>
      </c>
      <c r="M13" s="60">
        <f>'Data ACM'!K26</f>
        <v>489645.4971391334</v>
      </c>
      <c r="N13" s="60">
        <f>'Data ACM'!L26</f>
        <v>755480.47888693179</v>
      </c>
      <c r="O13" s="60">
        <f>'Data ACM'!M26</f>
        <v>674414.50767331733</v>
      </c>
      <c r="P13" s="60">
        <f>'Data ACM'!N26</f>
        <v>9553.0878223043801</v>
      </c>
    </row>
    <row r="14" spans="1:18" x14ac:dyDescent="0.2">
      <c r="M14"/>
      <c r="O14"/>
      <c r="P14"/>
    </row>
    <row r="15" spans="1:18" x14ac:dyDescent="0.2">
      <c r="B15" s="1" t="s">
        <v>167</v>
      </c>
    </row>
    <row r="16" spans="1:18" s="20" customFormat="1" x14ac:dyDescent="0.2">
      <c r="A16" s="2"/>
      <c r="B16" s="20" t="s">
        <v>36</v>
      </c>
      <c r="F16" s="20" t="s">
        <v>92</v>
      </c>
      <c r="L16" s="20" t="s">
        <v>93</v>
      </c>
      <c r="M16" s="20" t="s">
        <v>94</v>
      </c>
      <c r="N16" s="20" t="s">
        <v>95</v>
      </c>
      <c r="O16" s="20" t="s">
        <v>96</v>
      </c>
      <c r="P16" s="20" t="s">
        <v>95</v>
      </c>
    </row>
    <row r="17" spans="2:18" x14ac:dyDescent="0.2">
      <c r="B17" s="2" t="s">
        <v>566</v>
      </c>
      <c r="F17" s="20" t="s">
        <v>92</v>
      </c>
      <c r="J17" s="27">
        <f>SUM(L17:P17)</f>
        <v>16771652.768227758</v>
      </c>
      <c r="L17" s="60">
        <f>'Data ACM'!J33</f>
        <v>16551729.997999959</v>
      </c>
      <c r="M17" s="60">
        <f>'Data ACM'!K33</f>
        <v>18840.837267081202</v>
      </c>
      <c r="N17" s="60">
        <f>'Data ACM'!L33</f>
        <v>197952.55799999996</v>
      </c>
      <c r="O17" s="60">
        <f>'Data ACM'!M33</f>
        <v>1149.8493807187922</v>
      </c>
      <c r="P17" s="60">
        <f>'Data ACM'!N33</f>
        <v>1979.52558</v>
      </c>
    </row>
    <row r="18" spans="2:18" x14ac:dyDescent="0.2">
      <c r="B18" s="2" t="s">
        <v>454</v>
      </c>
      <c r="F18" s="20" t="s">
        <v>92</v>
      </c>
      <c r="J18" s="27">
        <f>SUM(L18:P18)</f>
        <v>17540322.907500003</v>
      </c>
      <c r="L18" s="60">
        <f>'Historical data'!J15</f>
        <v>17332126.050000001</v>
      </c>
      <c r="M18" s="60">
        <f>'Historical data'!K15</f>
        <v>19062.5075</v>
      </c>
      <c r="N18" s="60">
        <f>'Historical data'!L15</f>
        <v>186919</v>
      </c>
      <c r="O18" s="60">
        <f>'Historical data'!M15</f>
        <v>1178.75</v>
      </c>
      <c r="P18" s="60">
        <f>'Historical data'!N15</f>
        <v>1036.5999999999999</v>
      </c>
    </row>
    <row r="19" spans="2:18" x14ac:dyDescent="0.2">
      <c r="M19"/>
      <c r="O19"/>
      <c r="P19"/>
    </row>
    <row r="20" spans="2:18" x14ac:dyDescent="0.2">
      <c r="B20" s="2" t="s">
        <v>619</v>
      </c>
      <c r="F20" s="2" t="s">
        <v>130</v>
      </c>
      <c r="L20" s="38"/>
      <c r="M20" s="60">
        <f>'Data ACM'!K73</f>
        <v>9113.5289719668417</v>
      </c>
      <c r="N20" s="38"/>
      <c r="O20" s="60">
        <f>'Data ACM'!M73</f>
        <v>30286.227099380721</v>
      </c>
      <c r="P20" s="38"/>
    </row>
    <row r="21" spans="2:18" x14ac:dyDescent="0.2">
      <c r="M21"/>
      <c r="O21"/>
      <c r="P21"/>
    </row>
    <row r="22" spans="2:18" s="8" customFormat="1" x14ac:dyDescent="0.2">
      <c r="B22" s="8" t="s">
        <v>185</v>
      </c>
    </row>
    <row r="23" spans="2:18" x14ac:dyDescent="0.2">
      <c r="M23"/>
      <c r="O23"/>
      <c r="P23"/>
    </row>
    <row r="24" spans="2:18" x14ac:dyDescent="0.2">
      <c r="B24" s="19" t="s">
        <v>186</v>
      </c>
      <c r="M24"/>
      <c r="O24"/>
      <c r="P24"/>
    </row>
    <row r="25" spans="2:18" x14ac:dyDescent="0.2">
      <c r="B25" s="2" t="s">
        <v>620</v>
      </c>
      <c r="F25" s="2" t="s">
        <v>130</v>
      </c>
      <c r="J25" s="27">
        <f>SUM(L25:P25)</f>
        <v>4415531.6523427526</v>
      </c>
      <c r="L25" s="36">
        <f>L13/L17*L18</f>
        <v>2510386.0660087187</v>
      </c>
      <c r="M25" s="36">
        <f>M13/M17*M18</f>
        <v>495406.37866790243</v>
      </c>
      <c r="N25" s="36">
        <f>N13/N17*N18</f>
        <v>713371.20904023084</v>
      </c>
      <c r="O25" s="36">
        <f>O13/O17*O18</f>
        <v>691365.42076752242</v>
      </c>
      <c r="P25" s="36">
        <f>P13/P17*P18</f>
        <v>5002.5778583779247</v>
      </c>
    </row>
    <row r="26" spans="2:18" x14ac:dyDescent="0.2">
      <c r="B26" s="32" t="s">
        <v>621</v>
      </c>
      <c r="F26" s="2" t="s">
        <v>130</v>
      </c>
      <c r="J26" s="27">
        <f>SUM(L26:P26)</f>
        <v>-49684.864738525721</v>
      </c>
      <c r="L26" s="21">
        <f>L13-L25</f>
        <v>-113032.60599752655</v>
      </c>
      <c r="M26" s="21">
        <f>M13-M25+M20</f>
        <v>3352.647443197804</v>
      </c>
      <c r="N26" s="21">
        <f>N13-N25</f>
        <v>42109.269846700947</v>
      </c>
      <c r="O26" s="21">
        <f>O13-O25+O20</f>
        <v>13335.314005175638</v>
      </c>
      <c r="P26" s="21">
        <f>P13-P25</f>
        <v>4550.5099639264554</v>
      </c>
      <c r="R26" s="2" t="s">
        <v>195</v>
      </c>
    </row>
    <row r="27" spans="2:18" x14ac:dyDescent="0.2">
      <c r="M27"/>
      <c r="N27"/>
      <c r="O27"/>
      <c r="P27"/>
    </row>
    <row r="30" spans="2:18" x14ac:dyDescent="0.2">
      <c r="B30" s="4" t="s">
        <v>63</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A2:P77"/>
  <sheetViews>
    <sheetView showGridLines="0" zoomScale="85" zoomScaleNormal="85" workbookViewId="0">
      <pane xSplit="4" ySplit="8" topLeftCell="E9" activePane="bottomRight" state="frozen"/>
      <selection activeCell="L52" sqref="L52"/>
      <selection pane="topRight" activeCell="L52" sqref="L52"/>
      <selection pane="bottomLeft" activeCell="L52" sqref="L52"/>
      <selection pane="bottomRight" activeCell="E9" sqref="E9"/>
    </sheetView>
  </sheetViews>
  <sheetFormatPr defaultColWidth="9.140625" defaultRowHeight="12.75" x14ac:dyDescent="0.2"/>
  <cols>
    <col min="1" max="1" width="4.5703125" style="2" customWidth="1"/>
    <col min="2" max="2" width="49.140625" style="2" customWidth="1"/>
    <col min="3" max="3" width="4.5703125" style="2" customWidth="1"/>
    <col min="4" max="4" width="15.4257812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30.7109375" style="2" customWidth="1"/>
    <col min="17" max="17" width="2.7109375" style="2" customWidth="1"/>
    <col min="18" max="27" width="12.5703125" style="2" customWidth="1"/>
    <col min="28" max="30" width="2.7109375" style="2" customWidth="1"/>
    <col min="31" max="45" width="13.7109375" style="2" customWidth="1"/>
    <col min="46" max="16384" width="9.140625" style="2"/>
  </cols>
  <sheetData>
    <row r="2" spans="2:16" s="12" customFormat="1" ht="18" x14ac:dyDescent="0.2">
      <c r="B2" s="12" t="s">
        <v>196</v>
      </c>
    </row>
    <row r="4" spans="2:16" x14ac:dyDescent="0.2">
      <c r="B4" s="19" t="s">
        <v>182</v>
      </c>
    </row>
    <row r="5" spans="2:16" x14ac:dyDescent="0.2">
      <c r="B5" s="2" t="s">
        <v>197</v>
      </c>
      <c r="F5" s="13"/>
    </row>
    <row r="7" spans="2:16" s="8" customFormat="1" ht="12.75" customHeight="1" x14ac:dyDescent="0.2">
      <c r="B7" s="8" t="s">
        <v>80</v>
      </c>
      <c r="D7" s="8" t="s">
        <v>81</v>
      </c>
      <c r="F7" s="8" t="s">
        <v>37</v>
      </c>
      <c r="H7" s="8" t="s">
        <v>38</v>
      </c>
      <c r="J7" s="8" t="s">
        <v>164</v>
      </c>
      <c r="K7" s="8" t="s">
        <v>69</v>
      </c>
      <c r="L7" s="8" t="s">
        <v>70</v>
      </c>
      <c r="M7" s="8" t="s">
        <v>71</v>
      </c>
      <c r="N7" s="8" t="s">
        <v>72</v>
      </c>
      <c r="P7" s="8" t="s">
        <v>39</v>
      </c>
    </row>
    <row r="10" spans="2:16" s="8" customFormat="1" x14ac:dyDescent="0.2">
      <c r="B10" s="8" t="s">
        <v>187</v>
      </c>
    </row>
    <row r="11" spans="2:16" x14ac:dyDescent="0.2">
      <c r="B11" s="19"/>
    </row>
    <row r="12" spans="2:16" x14ac:dyDescent="0.2">
      <c r="B12" s="19" t="s">
        <v>64</v>
      </c>
    </row>
    <row r="13" spans="2:16" x14ac:dyDescent="0.2">
      <c r="B13" s="2" t="s">
        <v>449</v>
      </c>
      <c r="D13" s="2" t="s">
        <v>73</v>
      </c>
      <c r="J13" s="70">
        <f>Parameters!F26</f>
        <v>8.3799999999999999E-2</v>
      </c>
      <c r="K13" s="70">
        <f>Parameters!F27</f>
        <v>7.2800000000000004E-2</v>
      </c>
      <c r="L13" s="70">
        <f>Parameters!F28</f>
        <v>8.2500000000000004E-2</v>
      </c>
      <c r="M13" s="70">
        <f>Parameters!F28</f>
        <v>8.2500000000000004E-2</v>
      </c>
      <c r="N13" s="70">
        <f>Parameters!F28</f>
        <v>8.2500000000000004E-2</v>
      </c>
    </row>
    <row r="14" spans="2:16" x14ac:dyDescent="0.2">
      <c r="B14" s="2" t="s">
        <v>177</v>
      </c>
      <c r="D14" s="2" t="s">
        <v>73</v>
      </c>
      <c r="F14" s="63">
        <f>Parameters!F37</f>
        <v>0.5</v>
      </c>
    </row>
    <row r="16" spans="2:16" x14ac:dyDescent="0.2">
      <c r="B16" s="19" t="s">
        <v>412</v>
      </c>
    </row>
    <row r="17" spans="1:14" x14ac:dyDescent="0.2">
      <c r="B17" s="2" t="s">
        <v>622</v>
      </c>
      <c r="D17" s="2" t="s">
        <v>130</v>
      </c>
      <c r="H17" s="27">
        <f>SUM(J17:N17)</f>
        <v>4506238.3187869452</v>
      </c>
      <c r="J17" s="26">
        <f>'Data ACM'!J18</f>
        <v>2493546.5315789287</v>
      </c>
      <c r="K17" s="26">
        <f>'Data ACM'!K18</f>
        <v>509699.9188410393</v>
      </c>
      <c r="L17" s="26">
        <f>'Data ACM'!L18</f>
        <v>787065.42689036299</v>
      </c>
      <c r="M17" s="26">
        <f>'Data ACM'!M18</f>
        <v>705947.25977256079</v>
      </c>
      <c r="N17" s="26">
        <f>'Data ACM'!N18</f>
        <v>9979.1817040533169</v>
      </c>
    </row>
    <row r="18" spans="1:14" x14ac:dyDescent="0.2">
      <c r="B18" s="2" t="s">
        <v>561</v>
      </c>
      <c r="D18" s="2" t="s">
        <v>130</v>
      </c>
      <c r="J18" s="74"/>
      <c r="K18" s="74"/>
      <c r="L18" s="74"/>
      <c r="M18" s="26">
        <f>'Data ACM'!M19</f>
        <v>211119.35984977329</v>
      </c>
      <c r="N18" s="74"/>
    </row>
    <row r="19" spans="1:14" x14ac:dyDescent="0.2">
      <c r="B19" s="2" t="s">
        <v>623</v>
      </c>
      <c r="D19" s="2" t="s">
        <v>563</v>
      </c>
      <c r="J19" s="66">
        <f>'Data ACM'!J28</f>
        <v>2.6161065362456073E-2</v>
      </c>
      <c r="K19" s="66">
        <f>'Data ACM'!K28</f>
        <v>25.310497736553295</v>
      </c>
      <c r="L19" s="66">
        <f>'Data ACM'!L28</f>
        <v>0.4299455916369313</v>
      </c>
      <c r="M19" s="130">
        <f>'Data ACM'!M20</f>
        <v>259.41325158362685</v>
      </c>
      <c r="N19" s="66">
        <f>'Data ACM'!N28</f>
        <v>0.97279191932370968</v>
      </c>
    </row>
    <row r="20" spans="1:14" x14ac:dyDescent="0.2">
      <c r="B20" s="2" t="s">
        <v>564</v>
      </c>
      <c r="D20" s="2" t="s">
        <v>563</v>
      </c>
      <c r="J20" s="74"/>
      <c r="K20" s="74"/>
      <c r="L20" s="74"/>
      <c r="M20" s="66">
        <f>'Data ACM'!M21</f>
        <v>729.3038827968561</v>
      </c>
      <c r="N20" s="74"/>
    </row>
    <row r="22" spans="1:14" x14ac:dyDescent="0.2">
      <c r="B22" s="19" t="s">
        <v>188</v>
      </c>
    </row>
    <row r="23" spans="1:14" x14ac:dyDescent="0.2">
      <c r="B23" s="2" t="s">
        <v>504</v>
      </c>
      <c r="D23" s="2" t="s">
        <v>88</v>
      </c>
      <c r="H23" s="27">
        <f>SUM(J23:N23)</f>
        <v>10211594.479806215</v>
      </c>
      <c r="J23" s="26">
        <f>'Financial data'!J23</f>
        <v>3498800.5176609857</v>
      </c>
      <c r="K23" s="26">
        <f>'Financial data'!K23</f>
        <v>2018113.325682065</v>
      </c>
      <c r="L23" s="26">
        <f>'Financial data'!L23</f>
        <v>1340233.1679049861</v>
      </c>
      <c r="M23" s="26">
        <f>'Financial data'!M23</f>
        <v>3342484.5729151834</v>
      </c>
      <c r="N23" s="26">
        <f>'Financial data'!N23</f>
        <v>11962.895642993451</v>
      </c>
    </row>
    <row r="24" spans="1:14" x14ac:dyDescent="0.2">
      <c r="B24" s="2" t="s">
        <v>505</v>
      </c>
      <c r="D24" s="2" t="s">
        <v>88</v>
      </c>
      <c r="H24" s="27">
        <f>SUM(J24:N24)</f>
        <v>1071030.3547997535</v>
      </c>
      <c r="J24" s="26">
        <f>'Financial data'!J24</f>
        <v>458415.40787124331</v>
      </c>
      <c r="K24" s="26">
        <f>'Financial data'!K24</f>
        <v>238571.9973477961</v>
      </c>
      <c r="L24" s="26">
        <f>'Financial data'!L24</f>
        <v>137450.84816906904</v>
      </c>
      <c r="M24" s="26">
        <f>'Financial data'!M24</f>
        <v>235420.0517652886</v>
      </c>
      <c r="N24" s="26">
        <f>'Financial data'!N24</f>
        <v>1172.0496463563109</v>
      </c>
    </row>
    <row r="25" spans="1:14" x14ac:dyDescent="0.2">
      <c r="B25" s="2" t="s">
        <v>624</v>
      </c>
      <c r="D25" s="2" t="s">
        <v>130</v>
      </c>
      <c r="H25" s="27">
        <f>SUM(J25:N25)</f>
        <v>5086371.4499999993</v>
      </c>
      <c r="J25" s="26">
        <f>'Financial data'!J19</f>
        <v>2076797.0070999998</v>
      </c>
      <c r="K25" s="26">
        <f>'Financial data'!K19</f>
        <v>1376192.1908999998</v>
      </c>
      <c r="L25" s="26">
        <f>'Financial data'!L19</f>
        <v>898450.34100000001</v>
      </c>
      <c r="M25" s="26">
        <f>'Financial data'!M19</f>
        <v>734931.91099999985</v>
      </c>
      <c r="N25" s="26">
        <f>'Financial data'!N19</f>
        <v>0</v>
      </c>
    </row>
    <row r="26" spans="1:14" x14ac:dyDescent="0.2">
      <c r="B26" s="2" t="s">
        <v>501</v>
      </c>
      <c r="D26" s="2" t="s">
        <v>130</v>
      </c>
      <c r="H26" s="27">
        <f>SUM(J26:N26)</f>
        <v>162360.31999999998</v>
      </c>
      <c r="J26" s="26">
        <f>'Financial data'!J20</f>
        <v>886.94235000000003</v>
      </c>
      <c r="K26" s="26">
        <f>'Financial data'!K20</f>
        <v>128458.43064999998</v>
      </c>
      <c r="L26" s="26">
        <f>'Financial data'!L20</f>
        <v>422.3535</v>
      </c>
      <c r="M26" s="26">
        <f>'Financial data'!M20</f>
        <v>32592.593499999999</v>
      </c>
      <c r="N26" s="26">
        <f>'Financial data'!N20</f>
        <v>0</v>
      </c>
    </row>
    <row r="28" spans="1:14" x14ac:dyDescent="0.2">
      <c r="B28" s="1" t="s">
        <v>91</v>
      </c>
    </row>
    <row r="29" spans="1:14" s="20" customFormat="1" x14ac:dyDescent="0.2">
      <c r="A29" s="2"/>
      <c r="B29" s="20" t="s">
        <v>36</v>
      </c>
      <c r="D29" s="20" t="s">
        <v>92</v>
      </c>
      <c r="J29" s="20" t="s">
        <v>93</v>
      </c>
      <c r="K29" s="20" t="s">
        <v>94</v>
      </c>
      <c r="L29" s="20" t="s">
        <v>95</v>
      </c>
      <c r="M29" s="20" t="s">
        <v>96</v>
      </c>
      <c r="N29" s="20" t="s">
        <v>95</v>
      </c>
    </row>
    <row r="30" spans="1:14" s="20" customFormat="1" x14ac:dyDescent="0.2">
      <c r="A30" s="2"/>
      <c r="B30" s="2" t="s">
        <v>576</v>
      </c>
      <c r="D30" s="2" t="s">
        <v>92</v>
      </c>
      <c r="J30" s="76"/>
      <c r="K30" s="76"/>
      <c r="L30" s="76"/>
      <c r="M30" s="66">
        <f>'Data ACM'!M34</f>
        <v>1036.1666666666667</v>
      </c>
      <c r="N30" s="76"/>
    </row>
    <row r="31" spans="1:14" x14ac:dyDescent="0.2">
      <c r="B31" s="2" t="s">
        <v>454</v>
      </c>
      <c r="D31" s="2" t="s">
        <v>92</v>
      </c>
      <c r="J31" s="60">
        <f>'Historical data'!J17</f>
        <v>17242361.949999999</v>
      </c>
      <c r="K31" s="60">
        <f>'Historical data'!K15</f>
        <v>19062.5075</v>
      </c>
      <c r="L31" s="60">
        <f>'Historical data'!L15</f>
        <v>186919</v>
      </c>
      <c r="M31" s="60">
        <f>'Historical data'!M15</f>
        <v>1178.75</v>
      </c>
      <c r="N31" s="60">
        <f>'Historical data'!N15</f>
        <v>1036.5999999999999</v>
      </c>
    </row>
    <row r="32" spans="1:14" x14ac:dyDescent="0.2">
      <c r="B32" s="2" t="s">
        <v>460</v>
      </c>
      <c r="D32" s="2" t="s">
        <v>73</v>
      </c>
      <c r="F32" s="59">
        <f>'Historical data'!N28</f>
        <v>5.6493409492800245E-3</v>
      </c>
    </row>
    <row r="37" spans="2:16" s="8" customFormat="1" x14ac:dyDescent="0.2">
      <c r="B37" s="8" t="s">
        <v>367</v>
      </c>
    </row>
    <row r="38" spans="2:16" s="131" customFormat="1" x14ac:dyDescent="0.2"/>
    <row r="39" spans="2:16" s="131" customFormat="1" x14ac:dyDescent="0.2">
      <c r="B39" s="132" t="s">
        <v>366</v>
      </c>
      <c r="P39" s="2" t="s">
        <v>365</v>
      </c>
    </row>
    <row r="40" spans="2:16" x14ac:dyDescent="0.2">
      <c r="B40" s="2" t="s">
        <v>504</v>
      </c>
      <c r="D40" s="2" t="s">
        <v>88</v>
      </c>
      <c r="H40" s="27">
        <f t="shared" ref="H40:H42" si="0">SUM(J40:N40)</f>
        <v>10211594.479806213</v>
      </c>
      <c r="J40" s="26">
        <f t="shared" ref="J40:L43" si="1">J23</f>
        <v>3498800.5176609857</v>
      </c>
      <c r="K40" s="26">
        <f t="shared" si="1"/>
        <v>2018113.325682065</v>
      </c>
      <c r="L40" s="26">
        <f t="shared" si="1"/>
        <v>1340233.1679049861</v>
      </c>
      <c r="M40" s="27">
        <f>M23*(1-$F$32)</f>
        <v>3323601.737945077</v>
      </c>
      <c r="N40" s="27">
        <f>M23*$F$32+N23</f>
        <v>30845.73061309995</v>
      </c>
    </row>
    <row r="41" spans="2:16" x14ac:dyDescent="0.2">
      <c r="B41" s="2" t="s">
        <v>505</v>
      </c>
      <c r="D41" s="2" t="s">
        <v>88</v>
      </c>
      <c r="H41" s="27">
        <f t="shared" si="0"/>
        <v>1071030.3547997533</v>
      </c>
      <c r="J41" s="26">
        <f t="shared" si="1"/>
        <v>458415.40787124331</v>
      </c>
      <c r="K41" s="26">
        <f t="shared" si="1"/>
        <v>238571.9973477961</v>
      </c>
      <c r="L41" s="26">
        <f t="shared" si="1"/>
        <v>137450.84816906904</v>
      </c>
      <c r="M41" s="27">
        <f>M24*(1-$F$32)</f>
        <v>234090.08362656934</v>
      </c>
      <c r="N41" s="27">
        <f>M24*$F$32+N24</f>
        <v>2502.017785075579</v>
      </c>
    </row>
    <row r="42" spans="2:16" x14ac:dyDescent="0.2">
      <c r="B42" s="2" t="s">
        <v>624</v>
      </c>
      <c r="D42" s="2" t="s">
        <v>130</v>
      </c>
      <c r="H42" s="27">
        <f t="shared" si="0"/>
        <v>5086371.45</v>
      </c>
      <c r="J42" s="26">
        <f t="shared" si="1"/>
        <v>2076797.0070999998</v>
      </c>
      <c r="K42" s="26">
        <f t="shared" si="1"/>
        <v>1376192.1908999998</v>
      </c>
      <c r="L42" s="26">
        <f t="shared" si="1"/>
        <v>898450.34100000001</v>
      </c>
      <c r="M42" s="27">
        <f>M25*(1-$F$32)</f>
        <v>730780.03006025485</v>
      </c>
      <c r="N42" s="27">
        <f>M25*$F$32+N25</f>
        <v>4151.8809397449213</v>
      </c>
    </row>
    <row r="43" spans="2:16" x14ac:dyDescent="0.2">
      <c r="B43" s="2" t="s">
        <v>501</v>
      </c>
      <c r="D43" s="2" t="s">
        <v>130</v>
      </c>
      <c r="H43" s="27"/>
      <c r="J43" s="26">
        <f t="shared" si="1"/>
        <v>886.94235000000003</v>
      </c>
      <c r="K43" s="26">
        <f t="shared" si="1"/>
        <v>128458.43064999998</v>
      </c>
      <c r="L43" s="26">
        <f t="shared" si="1"/>
        <v>422.3535</v>
      </c>
      <c r="M43" s="27">
        <f>M26*(1-$F$32)</f>
        <v>32408.466826897209</v>
      </c>
      <c r="N43" s="27">
        <f>M26*$F$32+N26</f>
        <v>184.12667310278795</v>
      </c>
    </row>
    <row r="45" spans="2:16" s="8" customFormat="1" x14ac:dyDescent="0.2">
      <c r="B45" s="8" t="s">
        <v>338</v>
      </c>
    </row>
    <row r="47" spans="2:16" x14ac:dyDescent="0.2">
      <c r="B47" s="1" t="s">
        <v>327</v>
      </c>
    </row>
    <row r="48" spans="2:16" x14ac:dyDescent="0.2">
      <c r="B48" s="2" t="s">
        <v>625</v>
      </c>
      <c r="D48" s="2" t="s">
        <v>130</v>
      </c>
      <c r="J48" s="27">
        <f>J40*J13+J41</f>
        <v>751614.89125123387</v>
      </c>
      <c r="K48" s="27">
        <f>K40*K13+K41</f>
        <v>385490.64745745045</v>
      </c>
      <c r="L48" s="27">
        <f>L40*L13+L41</f>
        <v>248020.0845212304</v>
      </c>
      <c r="M48" s="27">
        <f>M40*M13+M41</f>
        <v>508287.22700703819</v>
      </c>
      <c r="N48" s="27">
        <f>N40*N13+N41</f>
        <v>5046.7905606563254</v>
      </c>
    </row>
    <row r="49" spans="2:16" x14ac:dyDescent="0.2">
      <c r="B49" s="2" t="s">
        <v>626</v>
      </c>
      <c r="D49" s="2" t="s">
        <v>130</v>
      </c>
      <c r="J49" s="27">
        <f>J42-J43</f>
        <v>2075910.0647499999</v>
      </c>
      <c r="K49" s="27">
        <f>K42-K43</f>
        <v>1247733.7602499998</v>
      </c>
      <c r="L49" s="27">
        <f>L42-L43</f>
        <v>898027.98750000005</v>
      </c>
      <c r="M49" s="27">
        <f>M42-M43</f>
        <v>698371.56323335762</v>
      </c>
      <c r="N49" s="27">
        <f>N42-N43</f>
        <v>3967.7542666421332</v>
      </c>
    </row>
    <row r="51" spans="2:16" x14ac:dyDescent="0.2">
      <c r="B51" s="1" t="s">
        <v>627</v>
      </c>
    </row>
    <row r="52" spans="2:16" x14ac:dyDescent="0.2">
      <c r="B52" s="2" t="s">
        <v>628</v>
      </c>
      <c r="D52" s="2" t="s">
        <v>130</v>
      </c>
      <c r="H52" s="27">
        <f t="shared" ref="H52" si="2">SUM(J52:N52)</f>
        <v>6142061.1346186465</v>
      </c>
      <c r="J52" s="36">
        <f>J31*J19+J17</f>
        <v>2944625.0895560044</v>
      </c>
      <c r="K52" s="36">
        <f>K31*K19+K17</f>
        <v>992181.47177281952</v>
      </c>
      <c r="L52" s="36">
        <f>L31*L19+L17</f>
        <v>867430.42693354655</v>
      </c>
      <c r="M52" s="27">
        <f>M17+M18+M31*M19+M20*(M31-M30)</f>
        <v>1326836.5685486526</v>
      </c>
      <c r="N52" s="36">
        <f>N31*N19+N17</f>
        <v>10987.577807624275</v>
      </c>
    </row>
    <row r="53" spans="2:16" x14ac:dyDescent="0.2">
      <c r="B53" s="2" t="s">
        <v>629</v>
      </c>
      <c r="D53" s="2" t="s">
        <v>130</v>
      </c>
      <c r="H53" s="27">
        <f>SUM(J53:N53)</f>
        <v>6822470.7707976084</v>
      </c>
      <c r="J53" s="36">
        <f>J48+J49</f>
        <v>2827524.9560012338</v>
      </c>
      <c r="K53" s="36">
        <f t="shared" ref="K53:N53" si="3">K48+K49</f>
        <v>1633224.4077074502</v>
      </c>
      <c r="L53" s="36">
        <f t="shared" si="3"/>
        <v>1146048.0720212304</v>
      </c>
      <c r="M53" s="36">
        <f t="shared" si="3"/>
        <v>1206658.7902403958</v>
      </c>
      <c r="N53" s="36">
        <f t="shared" si="3"/>
        <v>9014.5448272984577</v>
      </c>
    </row>
    <row r="55" spans="2:16" x14ac:dyDescent="0.2">
      <c r="B55" s="1" t="s">
        <v>630</v>
      </c>
    </row>
    <row r="56" spans="2:16" x14ac:dyDescent="0.2">
      <c r="B56" s="2" t="s">
        <v>631</v>
      </c>
      <c r="D56" s="2" t="s">
        <v>130</v>
      </c>
      <c r="H56" s="27">
        <f>SUM(J56:N56)</f>
        <v>-680409.63617896126</v>
      </c>
      <c r="J56" s="36">
        <f>J52-J53</f>
        <v>117100.13355477061</v>
      </c>
      <c r="K56" s="36">
        <f>K52-K53</f>
        <v>-641042.93593463069</v>
      </c>
      <c r="L56" s="36">
        <f>L52-L53</f>
        <v>-278617.64508768381</v>
      </c>
      <c r="M56" s="36">
        <f>M52-M53</f>
        <v>120177.77830825676</v>
      </c>
      <c r="N56" s="36">
        <f>N52-N53</f>
        <v>1973.0329803258173</v>
      </c>
      <c r="P56" s="2" t="s">
        <v>189</v>
      </c>
    </row>
    <row r="57" spans="2:16" x14ac:dyDescent="0.2">
      <c r="B57" s="2" t="s">
        <v>632</v>
      </c>
      <c r="D57" s="2" t="s">
        <v>130</v>
      </c>
      <c r="J57" s="21">
        <f>$F$14*J56*(-1)</f>
        <v>-58550.066777385306</v>
      </c>
      <c r="K57" s="21">
        <f>$F$14*K56*(-1)</f>
        <v>320521.46796731534</v>
      </c>
      <c r="L57" s="21">
        <f>$F$14*L56*(-1)</f>
        <v>139308.8225438419</v>
      </c>
      <c r="M57" s="21">
        <f>$F$14*M56*(-1)</f>
        <v>-60088.889154128381</v>
      </c>
      <c r="N57" s="21">
        <f>$F$14*N56*(-1)</f>
        <v>-986.51649016290867</v>
      </c>
    </row>
    <row r="59" spans="2:16" s="8" customFormat="1" x14ac:dyDescent="0.2">
      <c r="B59" s="8" t="s">
        <v>339</v>
      </c>
    </row>
    <row r="60" spans="2:16" x14ac:dyDescent="0.2">
      <c r="B60" s="1"/>
    </row>
    <row r="61" spans="2:16" x14ac:dyDescent="0.2">
      <c r="B61" s="77" t="s">
        <v>340</v>
      </c>
    </row>
    <row r="62" spans="2:16" x14ac:dyDescent="0.2">
      <c r="B62" s="2" t="s">
        <v>633</v>
      </c>
      <c r="D62" s="2" t="s">
        <v>299</v>
      </c>
      <c r="J62" s="68">
        <f>'Data ACM'!J39</f>
        <v>0.38343581143117444</v>
      </c>
      <c r="K62" s="38"/>
      <c r="L62" s="38"/>
      <c r="M62" s="38"/>
      <c r="N62" s="38"/>
    </row>
    <row r="63" spans="2:16" x14ac:dyDescent="0.2">
      <c r="B63" s="2" t="s">
        <v>634</v>
      </c>
      <c r="D63" s="2" t="s">
        <v>299</v>
      </c>
      <c r="J63" s="68">
        <f>'Data ACM'!J40</f>
        <v>0.35715770033129524</v>
      </c>
      <c r="K63" s="38"/>
      <c r="L63" s="38"/>
      <c r="M63" s="38"/>
      <c r="N63" s="38"/>
    </row>
    <row r="64" spans="2:16" x14ac:dyDescent="0.2">
      <c r="B64" s="2" t="s">
        <v>635</v>
      </c>
      <c r="D64" s="2" t="s">
        <v>299</v>
      </c>
      <c r="J64" s="53">
        <f>(J62+J63)/2</f>
        <v>0.37029675588123484</v>
      </c>
      <c r="K64" s="38"/>
      <c r="L64" s="68">
        <f>'Data ACM'!L41</f>
        <v>5.5023984424735932</v>
      </c>
      <c r="M64" s="38"/>
      <c r="N64" s="38"/>
      <c r="P64" s="2" t="s">
        <v>636</v>
      </c>
    </row>
    <row r="65" spans="2:16" x14ac:dyDescent="0.2">
      <c r="B65" s="2" t="s">
        <v>567</v>
      </c>
      <c r="D65" s="2" t="s">
        <v>73</v>
      </c>
      <c r="J65" s="38"/>
      <c r="K65" s="59">
        <f>'Data ACM'!K36</f>
        <v>0.12</v>
      </c>
      <c r="L65" s="38"/>
      <c r="M65" s="59">
        <f>'Data ACM'!M36</f>
        <v>0.22</v>
      </c>
      <c r="N65" s="38"/>
    </row>
    <row r="66" spans="2:16" x14ac:dyDescent="0.2">
      <c r="B66" s="2" t="s">
        <v>637</v>
      </c>
      <c r="D66" s="2" t="s">
        <v>73</v>
      </c>
      <c r="J66" s="38"/>
      <c r="K66" s="59">
        <f>'Historical data'!K19</f>
        <v>7.6132516822913707E-2</v>
      </c>
      <c r="L66" s="38"/>
      <c r="M66" s="59">
        <f>'Historical data'!M19</f>
        <v>0.33919836934714998</v>
      </c>
      <c r="N66" s="38"/>
    </row>
    <row r="68" spans="2:16" x14ac:dyDescent="0.2">
      <c r="B68" s="1" t="s">
        <v>638</v>
      </c>
    </row>
    <row r="69" spans="2:16" x14ac:dyDescent="0.2">
      <c r="B69" s="2" t="s">
        <v>639</v>
      </c>
      <c r="D69" s="2" t="s">
        <v>130</v>
      </c>
      <c r="J69" s="38"/>
      <c r="K69" s="82">
        <f>J64*J31*K65</f>
        <v>766174.88325780502</v>
      </c>
      <c r="L69" s="38"/>
      <c r="M69" s="82">
        <f>L64*L31*M65</f>
        <v>226270.61918311875</v>
      </c>
      <c r="N69" s="38"/>
    </row>
    <row r="70" spans="2:16" x14ac:dyDescent="0.2">
      <c r="B70" s="2" t="s">
        <v>640</v>
      </c>
      <c r="D70" s="2" t="s">
        <v>130</v>
      </c>
      <c r="J70" s="38"/>
      <c r="K70" s="82">
        <f>J64*J31*K66</f>
        <v>486090.18490765657</v>
      </c>
      <c r="L70" s="38"/>
      <c r="M70" s="82">
        <f>L64*L31*M66</f>
        <v>348866.47753674473</v>
      </c>
      <c r="N70" s="38"/>
    </row>
    <row r="72" spans="2:16" x14ac:dyDescent="0.2">
      <c r="B72" s="1" t="s">
        <v>641</v>
      </c>
    </row>
    <row r="73" spans="2:16" x14ac:dyDescent="0.2">
      <c r="B73" s="2" t="s">
        <v>642</v>
      </c>
      <c r="D73" s="2" t="s">
        <v>130</v>
      </c>
      <c r="J73" s="38"/>
      <c r="K73" s="82">
        <f>K69-K70</f>
        <v>280084.69835014845</v>
      </c>
      <c r="L73" s="38"/>
      <c r="M73" s="82">
        <f>M69-M70</f>
        <v>-122595.85835362598</v>
      </c>
      <c r="N73" s="38"/>
      <c r="P73" s="2" t="s">
        <v>189</v>
      </c>
    </row>
    <row r="74" spans="2:16" x14ac:dyDescent="0.2">
      <c r="B74" s="2" t="s">
        <v>643</v>
      </c>
      <c r="D74" s="2" t="s">
        <v>130</v>
      </c>
      <c r="J74" s="38"/>
      <c r="K74" s="21">
        <f>$F$14*K73*(-1)</f>
        <v>-140042.34917507423</v>
      </c>
      <c r="L74" s="38"/>
      <c r="M74" s="21">
        <f>$F$14*M73*(-1)</f>
        <v>61297.929176812991</v>
      </c>
      <c r="N74" s="38"/>
      <c r="P74" s="2" t="s">
        <v>190</v>
      </c>
    </row>
    <row r="75" spans="2:16" x14ac:dyDescent="0.2">
      <c r="J75" s="78"/>
      <c r="K75" s="48"/>
      <c r="L75" s="78"/>
      <c r="M75" s="48"/>
    </row>
    <row r="77" spans="2:16" x14ac:dyDescent="0.2">
      <c r="B77" s="4" t="s">
        <v>63</v>
      </c>
    </row>
  </sheetData>
  <phoneticPr fontId="31" type="noConversion"/>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3DD41-07E3-4DF5-96C3-B03E91C1BA99}">
  <sheetPr>
    <tabColor rgb="FFFFFFCC"/>
  </sheetPr>
  <dimension ref="B2:R30"/>
  <sheetViews>
    <sheetView showGridLines="0" zoomScale="85" zoomScaleNormal="85" workbookViewId="0">
      <pane xSplit="6" ySplit="11" topLeftCell="G12" activePane="bottomRight" state="frozen"/>
      <selection activeCell="L52" sqref="L52"/>
      <selection pane="topRight" activeCell="L52" sqref="L52"/>
      <selection pane="bottomLeft" activeCell="L52" sqref="L52"/>
      <selection pane="bottomRight" activeCell="G12" sqref="G12"/>
    </sheetView>
  </sheetViews>
  <sheetFormatPr defaultColWidth="9.140625" defaultRowHeight="12.75" x14ac:dyDescent="0.2"/>
  <cols>
    <col min="1" max="1" width="4.5703125" style="2" customWidth="1"/>
    <col min="2" max="2" width="41.425781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191</v>
      </c>
    </row>
    <row r="4" spans="2:18" x14ac:dyDescent="0.2">
      <c r="B4" s="19" t="s">
        <v>79</v>
      </c>
      <c r="C4" s="1"/>
      <c r="D4" s="1"/>
    </row>
    <row r="5" spans="2:18" x14ac:dyDescent="0.2">
      <c r="B5" s="2" t="s">
        <v>216</v>
      </c>
      <c r="C5" s="3"/>
      <c r="D5" s="3"/>
      <c r="H5" s="13"/>
    </row>
    <row r="6" spans="2:18" x14ac:dyDescent="0.2">
      <c r="B6" s="2" t="s">
        <v>192</v>
      </c>
      <c r="C6" s="3"/>
      <c r="D6" s="3"/>
      <c r="H6" s="13"/>
    </row>
    <row r="7" spans="2:18" x14ac:dyDescent="0.2">
      <c r="B7" s="2" t="s">
        <v>193</v>
      </c>
      <c r="C7" s="3"/>
      <c r="D7" s="3"/>
      <c r="H7" s="13"/>
    </row>
    <row r="8" spans="2:18" x14ac:dyDescent="0.2">
      <c r="B8" s="2" t="s">
        <v>644</v>
      </c>
      <c r="C8" s="3"/>
      <c r="D8" s="3"/>
    </row>
    <row r="9" spans="2:18" x14ac:dyDescent="0.2">
      <c r="B9" s="4"/>
      <c r="C9" s="3"/>
      <c r="D9" s="3"/>
    </row>
    <row r="10" spans="2:18" s="8" customFormat="1" ht="12.75" customHeight="1" x14ac:dyDescent="0.2">
      <c r="B10" s="8" t="s">
        <v>80</v>
      </c>
      <c r="F10" s="8" t="s">
        <v>81</v>
      </c>
      <c r="H10" s="8" t="s">
        <v>37</v>
      </c>
      <c r="J10" s="8" t="s">
        <v>38</v>
      </c>
      <c r="L10" s="8" t="s">
        <v>164</v>
      </c>
      <c r="M10" s="8" t="s">
        <v>69</v>
      </c>
      <c r="N10" s="8" t="s">
        <v>70</v>
      </c>
      <c r="O10" s="8" t="s">
        <v>71</v>
      </c>
      <c r="P10" s="8" t="s">
        <v>72</v>
      </c>
      <c r="R10" s="8" t="s">
        <v>39</v>
      </c>
    </row>
    <row r="13" spans="2:18" s="8" customFormat="1" x14ac:dyDescent="0.2">
      <c r="B13" s="8" t="s">
        <v>180</v>
      </c>
    </row>
    <row r="15" spans="2:18" x14ac:dyDescent="0.2">
      <c r="B15" s="1" t="s">
        <v>181</v>
      </c>
    </row>
    <row r="16" spans="2:18" x14ac:dyDescent="0.2">
      <c r="B16" s="2" t="s">
        <v>645</v>
      </c>
      <c r="F16" s="2" t="s">
        <v>95</v>
      </c>
      <c r="L16" s="10"/>
      <c r="M16" s="10"/>
      <c r="N16" s="60">
        <f>'Data ACM'!L48</f>
        <v>201600</v>
      </c>
      <c r="O16" s="10"/>
      <c r="P16" s="10"/>
    </row>
    <row r="17" spans="2:16" x14ac:dyDescent="0.2">
      <c r="B17" s="2" t="s">
        <v>551</v>
      </c>
      <c r="F17" s="2" t="s">
        <v>646</v>
      </c>
      <c r="L17" s="10"/>
      <c r="M17" s="10"/>
      <c r="N17" s="68">
        <f>'Data ACM'!L49</f>
        <v>0.29609999999999997</v>
      </c>
      <c r="O17" s="10"/>
      <c r="P17" s="10"/>
    </row>
    <row r="18" spans="2:16" x14ac:dyDescent="0.2">
      <c r="B18" s="2" t="s">
        <v>553</v>
      </c>
      <c r="F18" s="2" t="s">
        <v>646</v>
      </c>
      <c r="L18" s="10"/>
      <c r="M18" s="10"/>
      <c r="N18" s="68">
        <f>'Data ACM'!L50</f>
        <v>0.27649987622458405</v>
      </c>
      <c r="O18" s="10"/>
      <c r="P18" s="10"/>
    </row>
    <row r="19" spans="2:16" x14ac:dyDescent="0.2">
      <c r="B19" s="2" t="s">
        <v>647</v>
      </c>
      <c r="F19" s="2" t="s">
        <v>105</v>
      </c>
      <c r="L19" s="10"/>
      <c r="M19" s="10"/>
      <c r="N19" s="66">
        <f>'Data ACM'!L51</f>
        <v>4.5758463390315596</v>
      </c>
      <c r="O19" s="10"/>
      <c r="P19" s="10"/>
    </row>
    <row r="20" spans="2:16" x14ac:dyDescent="0.2">
      <c r="B20" s="2" t="s">
        <v>648</v>
      </c>
      <c r="F20" s="2" t="s">
        <v>73</v>
      </c>
      <c r="L20" s="10"/>
      <c r="M20" s="10"/>
      <c r="N20" s="66">
        <f>'Data ACM'!L52</f>
        <v>0.5</v>
      </c>
      <c r="O20" s="10"/>
      <c r="P20" s="10"/>
    </row>
    <row r="21" spans="2:16" x14ac:dyDescent="0.2">
      <c r="N21" s="22"/>
    </row>
    <row r="22" spans="2:16" s="8" customFormat="1" x14ac:dyDescent="0.2">
      <c r="B22" s="8" t="s">
        <v>194</v>
      </c>
    </row>
    <row r="23" spans="2:16" x14ac:dyDescent="0.2">
      <c r="N23" s="22"/>
    </row>
    <row r="24" spans="2:16" x14ac:dyDescent="0.2">
      <c r="B24" s="2" t="s">
        <v>649</v>
      </c>
      <c r="F24" s="2" t="s">
        <v>646</v>
      </c>
      <c r="L24" s="10"/>
      <c r="M24" s="10"/>
      <c r="N24" s="79">
        <f>N18-N17</f>
        <v>-1.9600123775415923E-2</v>
      </c>
      <c r="O24" s="10"/>
      <c r="P24" s="10"/>
    </row>
    <row r="25" spans="2:16" x14ac:dyDescent="0.2">
      <c r="B25" s="2" t="s">
        <v>650</v>
      </c>
      <c r="F25" s="2" t="s">
        <v>93</v>
      </c>
      <c r="L25" s="10"/>
      <c r="M25" s="10"/>
      <c r="N25" s="80">
        <f>N16*N20*N19</f>
        <v>461245.31097438122</v>
      </c>
      <c r="O25" s="10"/>
      <c r="P25" s="10"/>
    </row>
    <row r="26" spans="2:16" x14ac:dyDescent="0.2">
      <c r="N26" s="22"/>
    </row>
    <row r="27" spans="2:16" x14ac:dyDescent="0.2">
      <c r="B27" s="2" t="s">
        <v>651</v>
      </c>
      <c r="F27" s="2" t="s">
        <v>289</v>
      </c>
      <c r="L27" s="10"/>
      <c r="M27" s="10"/>
      <c r="N27" s="21">
        <f>N25*N24</f>
        <v>-9040.4651859280802</v>
      </c>
      <c r="O27" s="10"/>
      <c r="P27" s="10"/>
    </row>
    <row r="30" spans="2:16" x14ac:dyDescent="0.2">
      <c r="B30" s="4" t="s">
        <v>63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9B2FB-5F0B-4E4C-AC54-3EE17F70B400}">
  <sheetPr>
    <tabColor rgb="FFFFFFCC"/>
  </sheetPr>
  <dimension ref="B2:P57"/>
  <sheetViews>
    <sheetView showGridLines="0" zoomScale="85" zoomScaleNormal="85" workbookViewId="0">
      <pane xSplit="4" ySplit="8" topLeftCell="E9" activePane="bottomRight" state="frozen"/>
      <selection activeCell="L52" sqref="L52"/>
      <selection pane="topRight" activeCell="L52" sqref="L52"/>
      <selection pane="bottomLeft" activeCell="L52" sqref="L52"/>
      <selection pane="bottomRight" activeCell="E9" sqref="E9"/>
    </sheetView>
  </sheetViews>
  <sheetFormatPr defaultColWidth="9.140625" defaultRowHeight="12.75" x14ac:dyDescent="0.2"/>
  <cols>
    <col min="1" max="1" width="4.5703125" style="2" customWidth="1"/>
    <col min="2" max="2" width="50" style="2" customWidth="1"/>
    <col min="3" max="3" width="4.5703125" style="2" customWidth="1"/>
    <col min="4" max="4" width="15.4257812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30.7109375" style="2" customWidth="1"/>
    <col min="17" max="17" width="2.7109375" style="2" customWidth="1"/>
    <col min="18" max="27" width="12.5703125" style="2" customWidth="1"/>
    <col min="28" max="30" width="2.7109375" style="2" customWidth="1"/>
    <col min="31" max="45" width="13.7109375" style="2" customWidth="1"/>
    <col min="46" max="16384" width="9.140625" style="2"/>
  </cols>
  <sheetData>
    <row r="2" spans="2:16" s="12" customFormat="1" ht="18" x14ac:dyDescent="0.2">
      <c r="B2" s="12" t="s">
        <v>310</v>
      </c>
    </row>
    <row r="4" spans="2:16" x14ac:dyDescent="0.2">
      <c r="B4" s="19" t="s">
        <v>12</v>
      </c>
    </row>
    <row r="5" spans="2:16" x14ac:dyDescent="0.2">
      <c r="B5" s="2" t="s">
        <v>652</v>
      </c>
      <c r="F5" s="13"/>
    </row>
    <row r="6" spans="2:16" x14ac:dyDescent="0.2">
      <c r="F6" s="13"/>
    </row>
    <row r="7" spans="2:16" s="8" customFormat="1" ht="12.75" customHeight="1" x14ac:dyDescent="0.2">
      <c r="B7" s="8" t="s">
        <v>80</v>
      </c>
      <c r="D7" s="8" t="s">
        <v>81</v>
      </c>
      <c r="F7" s="8" t="s">
        <v>37</v>
      </c>
      <c r="H7" s="8" t="s">
        <v>38</v>
      </c>
      <c r="J7" s="8" t="s">
        <v>164</v>
      </c>
      <c r="K7" s="8" t="s">
        <v>69</v>
      </c>
      <c r="L7" s="8" t="s">
        <v>70</v>
      </c>
      <c r="M7" s="8" t="s">
        <v>71</v>
      </c>
      <c r="N7" s="8" t="s">
        <v>72</v>
      </c>
      <c r="P7" s="8" t="s">
        <v>39</v>
      </c>
    </row>
    <row r="10" spans="2:16" s="8" customFormat="1" x14ac:dyDescent="0.2">
      <c r="B10" s="8" t="s">
        <v>171</v>
      </c>
    </row>
    <row r="12" spans="2:16" x14ac:dyDescent="0.2">
      <c r="B12" s="19" t="s">
        <v>64</v>
      </c>
    </row>
    <row r="13" spans="2:16" x14ac:dyDescent="0.2">
      <c r="B13" s="2" t="s">
        <v>658</v>
      </c>
      <c r="D13" s="2" t="s">
        <v>73</v>
      </c>
      <c r="F13" s="70">
        <f>Parameters!F20</f>
        <v>0.03</v>
      </c>
    </row>
    <row r="14" spans="2:16" x14ac:dyDescent="0.2">
      <c r="B14" s="2" t="s">
        <v>438</v>
      </c>
      <c r="D14" s="2" t="s">
        <v>73</v>
      </c>
      <c r="F14" s="70">
        <f>Parameters!F21</f>
        <v>6.0899999999999954E-2</v>
      </c>
    </row>
    <row r="16" spans="2:16" x14ac:dyDescent="0.2">
      <c r="B16" s="1" t="s">
        <v>313</v>
      </c>
    </row>
    <row r="17" spans="2:14" x14ac:dyDescent="0.2">
      <c r="B17" s="2" t="s">
        <v>463</v>
      </c>
      <c r="D17" s="2" t="s">
        <v>130</v>
      </c>
      <c r="J17" s="26">
        <f>'Historical data'!J42</f>
        <v>476086.88579034316</v>
      </c>
      <c r="K17" s="38"/>
      <c r="L17" s="38"/>
      <c r="M17" s="38"/>
      <c r="N17" s="38"/>
    </row>
    <row r="18" spans="2:14" x14ac:dyDescent="0.2">
      <c r="B18" s="2" t="s">
        <v>763</v>
      </c>
      <c r="D18" s="2" t="s">
        <v>289</v>
      </c>
      <c r="J18" s="26">
        <f>'Historical data'!J43</f>
        <v>138730.18272042111</v>
      </c>
      <c r="K18" s="38"/>
      <c r="L18" s="38"/>
      <c r="M18" s="38"/>
      <c r="N18" s="38"/>
    </row>
    <row r="19" spans="2:14" x14ac:dyDescent="0.2">
      <c r="B19" s="2" t="s">
        <v>451</v>
      </c>
      <c r="D19" s="2" t="s">
        <v>289</v>
      </c>
      <c r="J19" s="38"/>
      <c r="K19" s="26">
        <f>'Historical data'!K44</f>
        <v>34244.222059169144</v>
      </c>
      <c r="L19" s="38"/>
      <c r="M19" s="38"/>
      <c r="N19" s="38"/>
    </row>
    <row r="21" spans="2:14" x14ac:dyDescent="0.2">
      <c r="B21" s="1" t="s">
        <v>312</v>
      </c>
    </row>
    <row r="22" spans="2:14" x14ac:dyDescent="0.2">
      <c r="B22" s="32" t="s">
        <v>621</v>
      </c>
      <c r="D22" s="2" t="s">
        <v>130</v>
      </c>
      <c r="J22" s="26">
        <f>'Volume-effect 2024'!L26</f>
        <v>-113032.60599752655</v>
      </c>
      <c r="K22" s="26">
        <f>'Volume-effect 2024'!M26</f>
        <v>3352.647443197804</v>
      </c>
      <c r="L22" s="26">
        <f>'Volume-effect 2024'!N26</f>
        <v>42109.269846700947</v>
      </c>
      <c r="M22" s="26">
        <f>'Volume-effect 2024'!O26</f>
        <v>13335.314005175638</v>
      </c>
      <c r="N22" s="26">
        <f>'Volume-effect 2024'!P26</f>
        <v>4550.5099639264554</v>
      </c>
    </row>
    <row r="23" spans="2:14" x14ac:dyDescent="0.2">
      <c r="B23" s="2" t="s">
        <v>660</v>
      </c>
      <c r="D23" s="2" t="s">
        <v>130</v>
      </c>
      <c r="J23" s="26">
        <f>'Profit Sharing 2024'!J57</f>
        <v>-58550.066777385306</v>
      </c>
      <c r="K23" s="26">
        <f>'Profit Sharing 2024'!K57</f>
        <v>320521.46796731534</v>
      </c>
      <c r="L23" s="26">
        <f>'Profit Sharing 2024'!L57</f>
        <v>139308.8225438419</v>
      </c>
      <c r="M23" s="26">
        <f>'Profit Sharing 2024'!M57</f>
        <v>-60088.889154128381</v>
      </c>
      <c r="N23" s="26">
        <f>'Profit Sharing 2024'!N57</f>
        <v>-986.51649016290867</v>
      </c>
    </row>
    <row r="24" spans="2:14" x14ac:dyDescent="0.2">
      <c r="B24" s="2" t="s">
        <v>661</v>
      </c>
      <c r="D24" s="2" t="s">
        <v>130</v>
      </c>
      <c r="J24" s="38"/>
      <c r="K24" s="26">
        <f>'Profit Sharing 2024'!K74</f>
        <v>-140042.34917507423</v>
      </c>
      <c r="L24" s="38"/>
      <c r="M24" s="26">
        <f>'Profit Sharing 2024'!M74</f>
        <v>61297.929176812991</v>
      </c>
      <c r="N24" s="38"/>
    </row>
    <row r="25" spans="2:14" x14ac:dyDescent="0.2">
      <c r="B25" s="2" t="s">
        <v>610</v>
      </c>
      <c r="D25" s="2" t="s">
        <v>130</v>
      </c>
      <c r="J25" s="26">
        <f>'WACC correction 2024'!J40</f>
        <v>101210.12327425613</v>
      </c>
      <c r="K25" s="26">
        <f>'WACC correction 2024'!K40</f>
        <v>40705.691912658644</v>
      </c>
      <c r="L25" s="26">
        <f>'WACC correction 2024'!L40</f>
        <v>32478.795324437287</v>
      </c>
      <c r="M25" s="26">
        <f>'WACC correction 2024'!M40</f>
        <v>73946.524200391723</v>
      </c>
      <c r="N25" s="26">
        <f>'WACC correction 2024'!N40</f>
        <v>491.2443010556259</v>
      </c>
    </row>
    <row r="26" spans="2:14" x14ac:dyDescent="0.2">
      <c r="B26" s="2" t="s">
        <v>651</v>
      </c>
      <c r="D26" s="2" t="s">
        <v>289</v>
      </c>
      <c r="J26" s="38"/>
      <c r="K26" s="38"/>
      <c r="L26" s="26">
        <f>'Energy cost correction 2025'!N27</f>
        <v>-9040.4651859280802</v>
      </c>
      <c r="M26" s="38"/>
      <c r="N26" s="38"/>
    </row>
    <row r="27" spans="2:14" x14ac:dyDescent="0.2">
      <c r="B27" s="2" t="s">
        <v>662</v>
      </c>
      <c r="D27" s="2" t="s">
        <v>130</v>
      </c>
      <c r="J27" s="26">
        <f>'Financial data'!J35</f>
        <v>50981.919999999998</v>
      </c>
      <c r="K27" s="84"/>
      <c r="L27" s="84"/>
      <c r="M27" s="84"/>
      <c r="N27" s="84"/>
    </row>
    <row r="29" spans="2:14" x14ac:dyDescent="0.2">
      <c r="B29" s="1" t="s">
        <v>759</v>
      </c>
    </row>
    <row r="30" spans="2:14" x14ac:dyDescent="0.2">
      <c r="B30" s="2" t="s">
        <v>601</v>
      </c>
      <c r="J30" s="189">
        <f>'Data ACM'!J43</f>
        <v>81078.496044311585</v>
      </c>
      <c r="K30" s="179"/>
      <c r="L30" s="179"/>
      <c r="M30" s="179"/>
      <c r="N30" s="179"/>
    </row>
    <row r="32" spans="2:14" x14ac:dyDescent="0.2">
      <c r="B32" s="1" t="s">
        <v>176</v>
      </c>
    </row>
    <row r="33" spans="2:14" x14ac:dyDescent="0.2">
      <c r="B33" s="20" t="s">
        <v>36</v>
      </c>
      <c r="D33" s="20" t="s">
        <v>92</v>
      </c>
      <c r="J33" s="20" t="s">
        <v>93</v>
      </c>
      <c r="K33" s="20"/>
      <c r="L33" s="20" t="s">
        <v>95</v>
      </c>
      <c r="M33" s="20"/>
      <c r="N33" s="20" t="s">
        <v>95</v>
      </c>
    </row>
    <row r="34" spans="2:14" x14ac:dyDescent="0.2">
      <c r="B34" s="2" t="s">
        <v>528</v>
      </c>
      <c r="J34" s="26">
        <f>Estimates!J71</f>
        <v>17885720.400000002</v>
      </c>
      <c r="K34" s="84"/>
      <c r="L34" s="26">
        <f>Estimates!L71</f>
        <v>229530</v>
      </c>
      <c r="M34" s="84"/>
      <c r="N34" s="26">
        <f>Estimates!N71</f>
        <v>2530</v>
      </c>
    </row>
    <row r="35" spans="2:14" x14ac:dyDescent="0.2">
      <c r="B35" s="2" t="s">
        <v>653</v>
      </c>
      <c r="D35" s="2" t="s">
        <v>93</v>
      </c>
      <c r="J35" s="26">
        <f>Estimates!J23</f>
        <v>8406288.2699999996</v>
      </c>
      <c r="K35" s="84"/>
      <c r="L35" s="84"/>
      <c r="M35" s="84"/>
      <c r="N35" s="84"/>
    </row>
    <row r="37" spans="2:14" s="8" customFormat="1" x14ac:dyDescent="0.2">
      <c r="B37" s="8" t="s">
        <v>654</v>
      </c>
    </row>
    <row r="39" spans="2:14" x14ac:dyDescent="0.2">
      <c r="B39" s="19" t="s">
        <v>205</v>
      </c>
    </row>
    <row r="40" spans="2:14" x14ac:dyDescent="0.2">
      <c r="B40" s="2" t="s">
        <v>764</v>
      </c>
      <c r="D40" s="2" t="s">
        <v>655</v>
      </c>
      <c r="H40" s="36">
        <f t="shared" ref="H40:H46" si="0">SUM(J40:N40)</f>
        <v>647972.66533700877</v>
      </c>
      <c r="J40" s="27">
        <f>J17*(1+$F$14)+J18*(1+F13)</f>
        <v>647972.66533700877</v>
      </c>
      <c r="K40" s="38"/>
      <c r="L40" s="38"/>
      <c r="M40" s="38"/>
      <c r="N40" s="38"/>
    </row>
    <row r="41" spans="2:14" x14ac:dyDescent="0.2">
      <c r="B41" s="32" t="s">
        <v>621</v>
      </c>
      <c r="D41" s="2" t="s">
        <v>655</v>
      </c>
      <c r="H41" s="36">
        <f t="shared" si="0"/>
        <v>-52710.67300110191</v>
      </c>
      <c r="J41" s="27">
        <f t="shared" ref="J41:N42" si="1">J22*(1+$F$14)</f>
        <v>-119916.29170277591</v>
      </c>
      <c r="K41" s="27">
        <f t="shared" si="1"/>
        <v>3556.8236724885501</v>
      </c>
      <c r="L41" s="27">
        <f t="shared" si="1"/>
        <v>44673.724380365034</v>
      </c>
      <c r="M41" s="27">
        <f t="shared" si="1"/>
        <v>14147.434628090834</v>
      </c>
      <c r="N41" s="27">
        <f t="shared" si="1"/>
        <v>4827.6360207295766</v>
      </c>
    </row>
    <row r="42" spans="2:14" x14ac:dyDescent="0.2">
      <c r="B42" s="2" t="s">
        <v>660</v>
      </c>
      <c r="D42" s="2" t="s">
        <v>655</v>
      </c>
      <c r="H42" s="36">
        <f t="shared" si="0"/>
        <v>360923.29151113</v>
      </c>
      <c r="J42" s="27">
        <f t="shared" si="1"/>
        <v>-62115.765844128066</v>
      </c>
      <c r="K42" s="27">
        <f t="shared" si="1"/>
        <v>340041.22536652483</v>
      </c>
      <c r="L42" s="27">
        <f t="shared" si="1"/>
        <v>147792.72983676186</v>
      </c>
      <c r="M42" s="27">
        <f t="shared" si="1"/>
        <v>-63748.302503614796</v>
      </c>
      <c r="N42" s="27">
        <f t="shared" si="1"/>
        <v>-1046.5953444138297</v>
      </c>
    </row>
    <row r="43" spans="2:14" x14ac:dyDescent="0.2">
      <c r="B43" s="2" t="s">
        <v>610</v>
      </c>
      <c r="D43" s="2" t="s">
        <v>655</v>
      </c>
      <c r="H43" s="36">
        <f t="shared" si="0"/>
        <v>263986.27089467889</v>
      </c>
      <c r="J43" s="27">
        <f>J25*(1+$F$14)</f>
        <v>107373.81978165831</v>
      </c>
      <c r="K43" s="27">
        <f t="shared" ref="K43:N43" si="2">K25*(1+$F$14)</f>
        <v>43184.668550139555</v>
      </c>
      <c r="L43" s="27">
        <f t="shared" si="2"/>
        <v>34456.753959695518</v>
      </c>
      <c r="M43" s="27">
        <f t="shared" si="2"/>
        <v>78449.867524195579</v>
      </c>
      <c r="N43" s="27">
        <f t="shared" si="2"/>
        <v>521.16107898991345</v>
      </c>
    </row>
    <row r="44" spans="2:14" x14ac:dyDescent="0.2">
      <c r="B44" s="2" t="s">
        <v>651</v>
      </c>
      <c r="D44" s="2" t="s">
        <v>655</v>
      </c>
      <c r="H44" s="36">
        <f t="shared" si="0"/>
        <v>-9311.6791415059233</v>
      </c>
      <c r="J44" s="38"/>
      <c r="K44" s="38"/>
      <c r="L44" s="27">
        <f>L26*(1+$F$13)</f>
        <v>-9311.6791415059233</v>
      </c>
      <c r="M44" s="38"/>
      <c r="N44" s="38"/>
    </row>
    <row r="45" spans="2:14" x14ac:dyDescent="0.2">
      <c r="B45" s="2" t="s">
        <v>662</v>
      </c>
      <c r="D45" s="2" t="s">
        <v>655</v>
      </c>
      <c r="H45" s="36">
        <f t="shared" si="0"/>
        <v>54086.718927999995</v>
      </c>
      <c r="J45" s="35">
        <f>J27*(1+F14)</f>
        <v>54086.718927999995</v>
      </c>
      <c r="K45" s="38"/>
      <c r="L45" s="38"/>
      <c r="M45" s="38"/>
      <c r="N45" s="38"/>
    </row>
    <row r="46" spans="2:14" x14ac:dyDescent="0.2">
      <c r="B46" s="2" t="s">
        <v>601</v>
      </c>
      <c r="D46" s="2" t="s">
        <v>655</v>
      </c>
      <c r="H46" s="36">
        <f t="shared" si="0"/>
        <v>-86016.176453410153</v>
      </c>
      <c r="J46" s="35">
        <f>-J30*(1+F14)</f>
        <v>-86016.176453410153</v>
      </c>
      <c r="K46" s="38"/>
      <c r="L46" s="38"/>
      <c r="M46" s="38"/>
      <c r="N46" s="38"/>
    </row>
    <row r="48" spans="2:14" x14ac:dyDescent="0.2">
      <c r="B48" s="1" t="s">
        <v>311</v>
      </c>
    </row>
    <row r="49" spans="2:16" x14ac:dyDescent="0.2">
      <c r="B49" s="2" t="s">
        <v>451</v>
      </c>
      <c r="D49" s="2" t="s">
        <v>655</v>
      </c>
      <c r="H49" s="36">
        <f>SUM(J49:N49)</f>
        <v>35271.548720944222</v>
      </c>
      <c r="J49" s="38"/>
      <c r="K49" s="27">
        <f>K19*(1+$F$13)</f>
        <v>35271.548720944222</v>
      </c>
      <c r="L49" s="38"/>
      <c r="M49" s="38"/>
      <c r="N49" s="38"/>
    </row>
    <row r="50" spans="2:16" x14ac:dyDescent="0.2">
      <c r="B50" s="2" t="s">
        <v>661</v>
      </c>
      <c r="D50" s="2" t="s">
        <v>655</v>
      </c>
      <c r="H50" s="36">
        <f>SUM(J50:N50)</f>
        <v>-83539.955176155345</v>
      </c>
      <c r="J50" s="38"/>
      <c r="K50" s="27">
        <f>K24*(1+$F$14)</f>
        <v>-148570.92823983624</v>
      </c>
      <c r="L50" s="38"/>
      <c r="M50" s="27">
        <f>M24*(1+$F$14)</f>
        <v>65030.973063680896</v>
      </c>
      <c r="N50" s="38"/>
    </row>
    <row r="52" spans="2:16" x14ac:dyDescent="0.2">
      <c r="B52" s="1" t="s">
        <v>328</v>
      </c>
    </row>
    <row r="53" spans="2:16" x14ac:dyDescent="0.2">
      <c r="B53" s="2" t="s">
        <v>659</v>
      </c>
      <c r="D53" s="2" t="s">
        <v>656</v>
      </c>
      <c r="J53" s="38"/>
      <c r="K53" s="85">
        <f>K49/J35</f>
        <v>4.1958528649106422E-3</v>
      </c>
      <c r="L53" s="38"/>
      <c r="M53" s="38"/>
      <c r="N53" s="38"/>
      <c r="P53" s="2" t="s">
        <v>335</v>
      </c>
    </row>
    <row r="54" spans="2:16" x14ac:dyDescent="0.2">
      <c r="B54" s="2" t="s">
        <v>663</v>
      </c>
      <c r="D54" s="2" t="s">
        <v>657</v>
      </c>
      <c r="J54" s="38"/>
      <c r="K54" s="85">
        <f>K50/J34</f>
        <v>-8.3066784517014051E-3</v>
      </c>
      <c r="L54" s="38"/>
      <c r="M54" s="85">
        <f>M50/(L34-N34)</f>
        <v>0.28648005754925504</v>
      </c>
      <c r="N54" s="38"/>
    </row>
    <row r="57" spans="2:16" x14ac:dyDescent="0.2">
      <c r="B57" s="4" t="s">
        <v>63</v>
      </c>
    </row>
  </sheetData>
  <phoneticPr fontId="3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3C7A6-D0CD-4E9A-8AC4-964CA220C839}">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4"/>
  </cols>
  <sheetData>
    <row r="2" spans="2:2" x14ac:dyDescent="0.2">
      <c r="B2" s="33" t="s">
        <v>128</v>
      </c>
    </row>
    <row r="3" spans="2:2" x14ac:dyDescent="0.2">
      <c r="B3" s="33"/>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6FDE-B20B-464F-A124-A312451D0D3D}">
  <sheetPr>
    <tabColor rgb="FFFFFFCC"/>
  </sheetPr>
  <dimension ref="A2:P68"/>
  <sheetViews>
    <sheetView showGridLines="0" zoomScale="85" zoomScaleNormal="85" workbookViewId="0">
      <pane xSplit="4" ySplit="9" topLeftCell="E10" activePane="bottomRight" state="frozen"/>
      <selection pane="topRight" activeCell="G1" sqref="G1"/>
      <selection pane="bottomLeft" activeCell="A10" sqref="A10"/>
      <selection pane="bottomRight" activeCell="E10" sqref="E10"/>
    </sheetView>
  </sheetViews>
  <sheetFormatPr defaultColWidth="9.140625" defaultRowHeight="12.75" x14ac:dyDescent="0.2"/>
  <cols>
    <col min="1" max="1" width="4.5703125" style="2" customWidth="1"/>
    <col min="2" max="2" width="41.42578125" style="2" customWidth="1"/>
    <col min="3" max="3" width="4.5703125" style="2" customWidth="1"/>
    <col min="4" max="4" width="15.4257812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30.7109375" style="2" customWidth="1"/>
    <col min="17" max="17" width="2.7109375" style="2" customWidth="1"/>
    <col min="18" max="27" width="12.5703125" style="2" customWidth="1"/>
    <col min="28" max="30" width="2.7109375" style="2" customWidth="1"/>
    <col min="31" max="45" width="13.7109375" style="2" customWidth="1"/>
    <col min="46" max="16384" width="9.140625" style="2"/>
  </cols>
  <sheetData>
    <row r="2" spans="2:16" s="12" customFormat="1" ht="18" x14ac:dyDescent="0.2">
      <c r="B2" s="12" t="s">
        <v>664</v>
      </c>
    </row>
    <row r="4" spans="2:16" x14ac:dyDescent="0.2">
      <c r="B4" s="19" t="s">
        <v>182</v>
      </c>
    </row>
    <row r="5" spans="2:16" x14ac:dyDescent="0.2">
      <c r="B5" s="2" t="s">
        <v>360</v>
      </c>
      <c r="F5" s="13"/>
    </row>
    <row r="6" spans="2:16" x14ac:dyDescent="0.2">
      <c r="B6" s="2" t="s">
        <v>742</v>
      </c>
      <c r="F6" s="13"/>
    </row>
    <row r="7" spans="2:16" x14ac:dyDescent="0.2">
      <c r="F7" s="13"/>
    </row>
    <row r="8" spans="2:16" s="8" customFormat="1" ht="12.75" customHeight="1" x14ac:dyDescent="0.2">
      <c r="B8" s="8" t="s">
        <v>80</v>
      </c>
      <c r="D8" s="8" t="s">
        <v>81</v>
      </c>
      <c r="F8" s="8" t="s">
        <v>37</v>
      </c>
      <c r="H8" s="8" t="s">
        <v>38</v>
      </c>
      <c r="J8" s="8" t="s">
        <v>164</v>
      </c>
      <c r="K8" s="8" t="s">
        <v>69</v>
      </c>
      <c r="L8" s="8" t="s">
        <v>70</v>
      </c>
      <c r="M8" s="8" t="s">
        <v>71</v>
      </c>
      <c r="N8" s="8" t="s">
        <v>72</v>
      </c>
      <c r="P8" s="8" t="s">
        <v>39</v>
      </c>
    </row>
    <row r="11" spans="2:16" s="8" customFormat="1" ht="12.75" customHeight="1" x14ac:dyDescent="0.2">
      <c r="B11" s="8" t="s">
        <v>165</v>
      </c>
    </row>
    <row r="12" spans="2:16" ht="12.75" customHeight="1" x14ac:dyDescent="0.2"/>
    <row r="13" spans="2:16" ht="12.75" customHeight="1" x14ac:dyDescent="0.2">
      <c r="B13" s="19" t="s">
        <v>64</v>
      </c>
    </row>
    <row r="14" spans="2:16" ht="12.75" customHeight="1" x14ac:dyDescent="0.2">
      <c r="B14" s="2" t="s">
        <v>74</v>
      </c>
      <c r="D14" s="2" t="s">
        <v>73</v>
      </c>
      <c r="F14" s="58">
        <f>Parameters!F16</f>
        <v>3.2000000000000001E-2</v>
      </c>
    </row>
    <row r="15" spans="2:16" ht="12.75" customHeight="1" x14ac:dyDescent="0.2">
      <c r="B15" s="2" t="s">
        <v>437</v>
      </c>
      <c r="D15" s="2" t="s">
        <v>73</v>
      </c>
      <c r="F15" s="58">
        <f>Parameters!F17</f>
        <v>1.9E-2</v>
      </c>
    </row>
    <row r="16" spans="2:16" ht="12.75" customHeight="1" x14ac:dyDescent="0.2">
      <c r="B16" s="2" t="s">
        <v>443</v>
      </c>
      <c r="D16" s="2" t="s">
        <v>73</v>
      </c>
      <c r="J16" s="70">
        <f>Parameters!F31</f>
        <v>8.8900000000000007E-2</v>
      </c>
      <c r="K16" s="70">
        <f>Parameters!F32</f>
        <v>8.0799999999999997E-2</v>
      </c>
      <c r="L16" s="70">
        <f>Parameters!F33</f>
        <v>7.1300000000000002E-2</v>
      </c>
      <c r="M16" s="70">
        <f>Parameters!F33</f>
        <v>7.1300000000000002E-2</v>
      </c>
      <c r="N16" s="70">
        <f>Parameters!F33</f>
        <v>7.1300000000000002E-2</v>
      </c>
    </row>
    <row r="17" spans="1:14" ht="12.75" customHeight="1" x14ac:dyDescent="0.2">
      <c r="B17" s="2" t="s">
        <v>665</v>
      </c>
      <c r="D17" s="2" t="s">
        <v>73</v>
      </c>
      <c r="F17" s="59">
        <f>Estimates!N28</f>
        <v>1.1022524288763996E-2</v>
      </c>
    </row>
    <row r="18" spans="1:14" ht="12.75" customHeight="1" x14ac:dyDescent="0.2"/>
    <row r="19" spans="1:14" ht="12.75" customHeight="1" x14ac:dyDescent="0.2">
      <c r="B19" s="1" t="s">
        <v>167</v>
      </c>
    </row>
    <row r="20" spans="1:14" s="20" customFormat="1" ht="12.75" customHeight="1" x14ac:dyDescent="0.2">
      <c r="A20" s="2"/>
      <c r="B20" s="20" t="s">
        <v>36</v>
      </c>
      <c r="C20" s="2"/>
      <c r="D20" s="20" t="s">
        <v>92</v>
      </c>
      <c r="J20" s="20" t="s">
        <v>93</v>
      </c>
      <c r="K20" s="20" t="s">
        <v>94</v>
      </c>
      <c r="L20" s="20" t="s">
        <v>95</v>
      </c>
      <c r="M20" s="20" t="s">
        <v>96</v>
      </c>
      <c r="N20" s="20" t="s">
        <v>95</v>
      </c>
    </row>
    <row r="21" spans="1:14" ht="12.75" customHeight="1" x14ac:dyDescent="0.2">
      <c r="B21" s="2" t="s">
        <v>454</v>
      </c>
      <c r="D21" s="2" t="s">
        <v>92</v>
      </c>
      <c r="J21" s="60">
        <f>'Historical data'!J17</f>
        <v>17242361.949999999</v>
      </c>
      <c r="K21" s="60">
        <f>'Historical data'!K15</f>
        <v>19062.5075</v>
      </c>
      <c r="L21" s="60">
        <f>'Historical data'!L15</f>
        <v>186919</v>
      </c>
      <c r="M21" s="60">
        <f>'Historical data'!M15</f>
        <v>1178.75</v>
      </c>
      <c r="N21" s="60">
        <f>'Historical data'!N15</f>
        <v>1036.5999999999999</v>
      </c>
    </row>
    <row r="22" spans="1:14" ht="12.75" customHeight="1" x14ac:dyDescent="0.2"/>
    <row r="23" spans="1:14" ht="12.75" customHeight="1" x14ac:dyDescent="0.2">
      <c r="B23" s="1" t="s">
        <v>359</v>
      </c>
    </row>
    <row r="24" spans="1:14" ht="12.75" customHeight="1" x14ac:dyDescent="0.2">
      <c r="B24" s="2" t="s">
        <v>743</v>
      </c>
      <c r="D24" s="2" t="s">
        <v>130</v>
      </c>
      <c r="H24" s="36">
        <f>SUM(J24:N24)</f>
        <v>5086371.4499999993</v>
      </c>
      <c r="J24" s="60">
        <f>'Financial data'!J16</f>
        <v>2076797.0070999998</v>
      </c>
      <c r="K24" s="60">
        <f>'Financial data'!K16</f>
        <v>1376192.1908999998</v>
      </c>
      <c r="L24" s="60">
        <f>'Financial data'!L16</f>
        <v>898450.34100000001</v>
      </c>
      <c r="M24" s="60">
        <f>'Financial data'!M16</f>
        <v>734931.91099999985</v>
      </c>
      <c r="N24" s="57"/>
    </row>
    <row r="25" spans="1:14" ht="12.75" customHeight="1" x14ac:dyDescent="0.2">
      <c r="B25" s="2" t="s">
        <v>744</v>
      </c>
      <c r="D25" s="2" t="s">
        <v>130</v>
      </c>
      <c r="H25" s="36">
        <f>SUM(J25:N25)</f>
        <v>162360.31999999998</v>
      </c>
      <c r="J25" s="60">
        <f>'Financial data'!J17</f>
        <v>886.94235000000003</v>
      </c>
      <c r="K25" s="60">
        <f>'Financial data'!K17</f>
        <v>128458.43064999998</v>
      </c>
      <c r="L25" s="60">
        <f>'Financial data'!L17</f>
        <v>422.3535</v>
      </c>
      <c r="M25" s="60">
        <f>'Financial data'!M17</f>
        <v>32592.593499999999</v>
      </c>
      <c r="N25" s="57"/>
    </row>
    <row r="26" spans="1:14" ht="12.75" customHeight="1" x14ac:dyDescent="0.2">
      <c r="B26" s="2" t="s">
        <v>504</v>
      </c>
      <c r="D26" s="2" t="s">
        <v>88</v>
      </c>
      <c r="H26" s="36">
        <f>SUM(J26:N26)</f>
        <v>10211594.479806215</v>
      </c>
      <c r="J26" s="60">
        <f>'Financial data'!J23</f>
        <v>3498800.5176609857</v>
      </c>
      <c r="K26" s="60">
        <f>'Financial data'!K23</f>
        <v>2018113.325682065</v>
      </c>
      <c r="L26" s="60">
        <f>'Financial data'!L23</f>
        <v>1340233.1679049861</v>
      </c>
      <c r="M26" s="60">
        <f>'Financial data'!M23</f>
        <v>3342484.5729151834</v>
      </c>
      <c r="N26" s="60">
        <f>'Financial data'!N23</f>
        <v>11962.895642993451</v>
      </c>
    </row>
    <row r="27" spans="1:14" ht="12.75" customHeight="1" x14ac:dyDescent="0.2">
      <c r="B27" s="2" t="s">
        <v>745</v>
      </c>
      <c r="D27" s="2" t="s">
        <v>88</v>
      </c>
      <c r="H27" s="36">
        <f>SUM(J27:N27)</f>
        <v>1071030.3547997535</v>
      </c>
      <c r="J27" s="60">
        <f>'Financial data'!J24</f>
        <v>458415.40787124331</v>
      </c>
      <c r="K27" s="60">
        <f>'Financial data'!K24</f>
        <v>238571.9973477961</v>
      </c>
      <c r="L27" s="60">
        <f>'Financial data'!L24</f>
        <v>137450.84816906904</v>
      </c>
      <c r="M27" s="60">
        <f>'Financial data'!M24</f>
        <v>235420.0517652886</v>
      </c>
      <c r="N27" s="60">
        <f>'Financial data'!N24</f>
        <v>1172.0496463563109</v>
      </c>
    </row>
    <row r="28" spans="1:14" ht="12.75" customHeight="1" x14ac:dyDescent="0.2">
      <c r="B28" s="2" t="s">
        <v>166</v>
      </c>
      <c r="D28" s="2" t="s">
        <v>130</v>
      </c>
      <c r="H28" s="36">
        <f>SUM(J28:N28)</f>
        <v>39576.33453334104</v>
      </c>
      <c r="J28" s="61"/>
      <c r="K28" s="61"/>
      <c r="L28" s="61"/>
      <c r="M28" s="60">
        <f>'Historical data'!M24</f>
        <v>39576.33453334104</v>
      </c>
      <c r="N28" s="57"/>
    </row>
    <row r="29" spans="1:14" ht="12.75" customHeight="1" x14ac:dyDescent="0.2">
      <c r="B29" s="2" t="s">
        <v>296</v>
      </c>
      <c r="D29" s="2" t="s">
        <v>73</v>
      </c>
      <c r="J29" s="63">
        <f>'Financial data'!J27</f>
        <v>0.19410125059831115</v>
      </c>
      <c r="K29" s="63">
        <f>'Financial data'!K27</f>
        <v>0.27580884597893079</v>
      </c>
      <c r="L29" s="63">
        <f>'Financial data'!L27</f>
        <v>0.12889013723645187</v>
      </c>
      <c r="M29" s="63">
        <f>'Financial data'!M27</f>
        <v>0.30232576550308171</v>
      </c>
      <c r="N29" s="63">
        <f>'Financial data'!N27</f>
        <v>0.30232576550308171</v>
      </c>
    </row>
    <row r="30" spans="1:14" ht="12.75" customHeight="1" x14ac:dyDescent="0.2">
      <c r="B30" s="2" t="s">
        <v>388</v>
      </c>
      <c r="D30" s="2" t="s">
        <v>73</v>
      </c>
      <c r="J30" s="63">
        <f>'Financial data'!J28</f>
        <v>0.80589874940168882</v>
      </c>
      <c r="K30" s="63">
        <f>'Financial data'!K28</f>
        <v>0.72419115402106926</v>
      </c>
      <c r="L30" s="63">
        <f>'Financial data'!L28</f>
        <v>0.87110986276354807</v>
      </c>
      <c r="M30" s="63">
        <f>'Financial data'!M28</f>
        <v>0.69767423449691823</v>
      </c>
      <c r="N30" s="63">
        <f>'Financial data'!N28</f>
        <v>0.69767423449691823</v>
      </c>
    </row>
    <row r="31" spans="1:14" ht="12.75" customHeight="1" x14ac:dyDescent="0.2">
      <c r="B31" s="2" t="s">
        <v>78</v>
      </c>
      <c r="D31" s="2" t="s">
        <v>73</v>
      </c>
      <c r="J31" s="63">
        <f>'Financial data'!J29</f>
        <v>0</v>
      </c>
      <c r="K31" s="63">
        <f>'Financial data'!K29</f>
        <v>0.5</v>
      </c>
      <c r="L31" s="63">
        <f>'Financial data'!L29</f>
        <v>0</v>
      </c>
      <c r="M31" s="63">
        <f>'Financial data'!M29</f>
        <v>0</v>
      </c>
      <c r="N31" s="63">
        <f>'Financial data'!N29</f>
        <v>0.5</v>
      </c>
    </row>
    <row r="32" spans="1:14" ht="12.75" customHeight="1" x14ac:dyDescent="0.2">
      <c r="B32" s="2" t="s">
        <v>389</v>
      </c>
      <c r="D32" s="2" t="s">
        <v>73</v>
      </c>
      <c r="J32" s="63">
        <f>'Financial data'!J30</f>
        <v>1</v>
      </c>
      <c r="K32" s="63">
        <f>'Financial data'!K30</f>
        <v>0.5</v>
      </c>
      <c r="L32" s="63">
        <f>'Financial data'!L30</f>
        <v>1</v>
      </c>
      <c r="M32" s="63">
        <f>'Financial data'!M30</f>
        <v>1</v>
      </c>
      <c r="N32" s="63">
        <f>'Financial data'!N30</f>
        <v>0.5</v>
      </c>
    </row>
    <row r="34" spans="1:16" ht="12.75" customHeight="1" x14ac:dyDescent="0.2">
      <c r="B34" s="1" t="s">
        <v>304</v>
      </c>
    </row>
    <row r="35" spans="1:16" ht="12.75" customHeight="1" x14ac:dyDescent="0.2">
      <c r="B35" s="2" t="s">
        <v>292</v>
      </c>
      <c r="D35" s="2" t="s">
        <v>291</v>
      </c>
      <c r="J35" s="10"/>
      <c r="K35" s="10"/>
      <c r="L35" s="10"/>
      <c r="M35" s="60">
        <f>'Financial data'!M44</f>
        <v>4592.7167202651281</v>
      </c>
      <c r="N35" s="10"/>
    </row>
    <row r="36" spans="1:16" ht="12.75" customHeight="1" x14ac:dyDescent="0.2">
      <c r="B36" s="2" t="s">
        <v>293</v>
      </c>
      <c r="D36" s="2" t="s">
        <v>291</v>
      </c>
      <c r="J36" s="10"/>
      <c r="K36" s="10"/>
      <c r="L36" s="10"/>
      <c r="M36" s="60">
        <f>'Financial data'!M45</f>
        <v>319.32811466559002</v>
      </c>
      <c r="N36" s="10"/>
    </row>
    <row r="37" spans="1:16" ht="12.75" customHeight="1" x14ac:dyDescent="0.2">
      <c r="B37" s="2" t="s">
        <v>405</v>
      </c>
      <c r="D37" s="2" t="s">
        <v>88</v>
      </c>
      <c r="J37" s="26">
        <f>'Financial data'!J61</f>
        <v>783282.32285790599</v>
      </c>
      <c r="K37" s="10"/>
      <c r="L37" s="10"/>
      <c r="M37" s="10"/>
      <c r="N37" s="10"/>
    </row>
    <row r="38" spans="1:16" ht="12.75" customHeight="1" x14ac:dyDescent="0.2">
      <c r="B38" s="2" t="s">
        <v>406</v>
      </c>
      <c r="D38" s="2" t="s">
        <v>88</v>
      </c>
      <c r="J38" s="26">
        <f>'Financial data'!J57</f>
        <v>56648.244932238202</v>
      </c>
      <c r="K38" s="10"/>
      <c r="L38" s="10"/>
      <c r="M38" s="10"/>
      <c r="N38" s="10"/>
    </row>
    <row r="39" spans="1:16" ht="12.75" customHeight="1" x14ac:dyDescent="0.2">
      <c r="B39" s="2" t="s">
        <v>407</v>
      </c>
      <c r="D39" s="2" t="s">
        <v>88</v>
      </c>
      <c r="J39" s="27">
        <f>J37*J16+J38</f>
        <v>126282.04343430605</v>
      </c>
      <c r="K39" s="50"/>
      <c r="L39" s="50"/>
      <c r="M39" s="50"/>
      <c r="N39" s="50"/>
    </row>
    <row r="40" spans="1:16" ht="12.75" customHeight="1" x14ac:dyDescent="0.2">
      <c r="A40" s="67"/>
    </row>
    <row r="41" spans="1:16" s="8" customFormat="1" ht="12.75" customHeight="1" x14ac:dyDescent="0.2">
      <c r="B41" s="8" t="s">
        <v>295</v>
      </c>
    </row>
    <row r="42" spans="1:16" ht="12.75" customHeight="1" x14ac:dyDescent="0.2">
      <c r="A42" s="67"/>
    </row>
    <row r="43" spans="1:16" ht="12.75" customHeight="1" x14ac:dyDescent="0.2">
      <c r="B43" s="1" t="s">
        <v>297</v>
      </c>
      <c r="P43" s="2" t="s">
        <v>364</v>
      </c>
    </row>
    <row r="44" spans="1:16" ht="12.75" customHeight="1" x14ac:dyDescent="0.2">
      <c r="B44" s="2" t="s">
        <v>746</v>
      </c>
      <c r="D44" s="2" t="s">
        <v>130</v>
      </c>
      <c r="H44" s="36">
        <f>SUM(J44:N44)</f>
        <v>5086371.4499999993</v>
      </c>
      <c r="J44" s="60">
        <f t="shared" ref="J44:L47" si="0">J24</f>
        <v>2076797.0070999998</v>
      </c>
      <c r="K44" s="60">
        <f t="shared" si="0"/>
        <v>1376192.1908999998</v>
      </c>
      <c r="L44" s="60">
        <f t="shared" si="0"/>
        <v>898450.34100000001</v>
      </c>
      <c r="M44" s="62">
        <f>M24*(1-$F$17)</f>
        <v>726831.10616041452</v>
      </c>
      <c r="N44" s="62">
        <f>M24*$F$17</f>
        <v>8100.8048395852375</v>
      </c>
    </row>
    <row r="45" spans="1:16" ht="12.75" customHeight="1" x14ac:dyDescent="0.2">
      <c r="B45" s="2" t="s">
        <v>744</v>
      </c>
      <c r="D45" s="2" t="s">
        <v>130</v>
      </c>
      <c r="H45" s="36">
        <f>SUM(J45:N45)</f>
        <v>162360.31999999995</v>
      </c>
      <c r="J45" s="60">
        <f t="shared" si="0"/>
        <v>886.94235000000003</v>
      </c>
      <c r="K45" s="60">
        <f t="shared" si="0"/>
        <v>128458.43064999998</v>
      </c>
      <c r="L45" s="60">
        <f t="shared" si="0"/>
        <v>422.3535</v>
      </c>
      <c r="M45" s="62">
        <f>M25*(1-$F$17)</f>
        <v>32233.340846512438</v>
      </c>
      <c r="N45" s="62">
        <f>M25*$F$17</f>
        <v>359.25265348756153</v>
      </c>
    </row>
    <row r="46" spans="1:16" ht="12.75" customHeight="1" x14ac:dyDescent="0.2">
      <c r="B46" s="2" t="s">
        <v>504</v>
      </c>
      <c r="D46" s="2" t="s">
        <v>88</v>
      </c>
      <c r="H46" s="36">
        <f>SUM(J46:N46)</f>
        <v>10211594.479806213</v>
      </c>
      <c r="J46" s="60">
        <f t="shared" si="0"/>
        <v>3498800.5176609857</v>
      </c>
      <c r="K46" s="60">
        <f t="shared" si="0"/>
        <v>2018113.325682065</v>
      </c>
      <c r="L46" s="60">
        <f t="shared" si="0"/>
        <v>1340233.1679049861</v>
      </c>
      <c r="M46" s="62">
        <f>M26*(1-$F$17)</f>
        <v>3305641.9555254066</v>
      </c>
      <c r="N46" s="62">
        <f>M26*$F$17+N26</f>
        <v>48805.513032770017</v>
      </c>
    </row>
    <row r="47" spans="1:16" ht="12.75" customHeight="1" x14ac:dyDescent="0.2">
      <c r="B47" s="2" t="s">
        <v>745</v>
      </c>
      <c r="D47" s="2" t="s">
        <v>88</v>
      </c>
      <c r="H47" s="36">
        <f>SUM(J47:N47)</f>
        <v>1071030.3547997533</v>
      </c>
      <c r="J47" s="60">
        <f t="shared" si="0"/>
        <v>458415.40787124331</v>
      </c>
      <c r="K47" s="60">
        <f t="shared" si="0"/>
        <v>238571.9973477961</v>
      </c>
      <c r="L47" s="60">
        <f t="shared" si="0"/>
        <v>137450.84816906904</v>
      </c>
      <c r="M47" s="62">
        <f>M27*(1-$F$17)</f>
        <v>232825.12852664362</v>
      </c>
      <c r="N47" s="62">
        <f>M27*$F$17+N27</f>
        <v>3766.9728850012816</v>
      </c>
    </row>
    <row r="48" spans="1:16" ht="12.75" customHeight="1" x14ac:dyDescent="0.2"/>
    <row r="49" spans="2:16" s="8" customFormat="1" ht="12.75" customHeight="1" x14ac:dyDescent="0.2">
      <c r="B49" s="8" t="s">
        <v>666</v>
      </c>
    </row>
    <row r="50" spans="2:16" ht="12.75" customHeight="1" x14ac:dyDescent="0.25">
      <c r="K50" s="64"/>
      <c r="L50" s="64"/>
      <c r="M50" s="64"/>
      <c r="N50" s="64"/>
    </row>
    <row r="51" spans="2:16" ht="12.75" customHeight="1" x14ac:dyDescent="0.25">
      <c r="B51" s="1" t="s">
        <v>168</v>
      </c>
      <c r="K51" s="64"/>
      <c r="L51" s="64"/>
      <c r="M51" s="64"/>
      <c r="N51" s="64"/>
    </row>
    <row r="52" spans="2:16" ht="12.75" customHeight="1" x14ac:dyDescent="0.2">
      <c r="B52" s="2" t="s">
        <v>667</v>
      </c>
      <c r="D52" s="2" t="s">
        <v>130</v>
      </c>
      <c r="H52" s="36">
        <f>SUM(J52:N52)</f>
        <v>3763769.6787950289</v>
      </c>
      <c r="J52" s="36">
        <f>J44*J30-J45</f>
        <v>1672801.1684330602</v>
      </c>
      <c r="K52" s="36">
        <f>K44*K30-K45</f>
        <v>868167.78023265454</v>
      </c>
      <c r="L52" s="36">
        <f>L44*L30-L45</f>
        <v>782226.59974837303</v>
      </c>
      <c r="M52" s="23">
        <f>M44*M30-M45-M28</f>
        <v>435281.66021916206</v>
      </c>
      <c r="N52" s="36">
        <f>N44*N30-N45</f>
        <v>5292.4701617789997</v>
      </c>
      <c r="P52" s="2" t="s">
        <v>198</v>
      </c>
    </row>
    <row r="53" spans="2:16" ht="12.75" customHeight="1" x14ac:dyDescent="0.2">
      <c r="B53" s="2" t="s">
        <v>668</v>
      </c>
      <c r="D53" s="2" t="s">
        <v>130</v>
      </c>
      <c r="H53" s="36">
        <f>SUM(J53:N53)</f>
        <v>1120665.1166716297</v>
      </c>
      <c r="J53" s="36">
        <f>J44*J29</f>
        <v>403108.89631693967</v>
      </c>
      <c r="K53" s="36">
        <f>K44*K29</f>
        <v>379565.9800173454</v>
      </c>
      <c r="L53" s="36">
        <f>L44*L29</f>
        <v>115801.38775162699</v>
      </c>
      <c r="M53" s="36">
        <f>M44*M29</f>
        <v>219739.77056139897</v>
      </c>
      <c r="N53" s="36">
        <f>N44*N29</f>
        <v>2449.0820243186758</v>
      </c>
    </row>
    <row r="54" spans="2:16" ht="12.75" customHeight="1" x14ac:dyDescent="0.2">
      <c r="B54" s="2" t="s">
        <v>669</v>
      </c>
      <c r="D54" s="2" t="s">
        <v>563</v>
      </c>
      <c r="J54" s="53">
        <f>J53/J21</f>
        <v>2.3378983545635387E-2</v>
      </c>
      <c r="K54" s="35">
        <f>K53/K21</f>
        <v>19.911650134031181</v>
      </c>
      <c r="L54" s="35">
        <f>L53/L21</f>
        <v>0.61952710934483379</v>
      </c>
      <c r="M54" s="35">
        <f>M53/M21</f>
        <v>186.41762083681778</v>
      </c>
      <c r="N54" s="35">
        <f>N53/N21</f>
        <v>2.3626104807241712</v>
      </c>
    </row>
    <row r="55" spans="2:16" ht="12.75" customHeight="1" x14ac:dyDescent="0.25">
      <c r="K55" s="64"/>
      <c r="L55" s="64"/>
      <c r="M55" s="64"/>
      <c r="N55" s="64"/>
    </row>
    <row r="56" spans="2:16" ht="12.75" customHeight="1" x14ac:dyDescent="0.25">
      <c r="B56" s="1" t="s">
        <v>169</v>
      </c>
      <c r="K56" s="64"/>
      <c r="L56" s="65"/>
      <c r="M56" s="64"/>
      <c r="N56" s="64"/>
    </row>
    <row r="57" spans="2:16" ht="12.75" customHeight="1" x14ac:dyDescent="0.2">
      <c r="B57" s="2" t="s">
        <v>290</v>
      </c>
      <c r="D57" s="2" t="s">
        <v>88</v>
      </c>
      <c r="H57" s="36">
        <f>SUM(J57:N57)</f>
        <v>1879868.0069147495</v>
      </c>
      <c r="J57" s="23">
        <f>J16*J46+J47</f>
        <v>769458.77389130497</v>
      </c>
      <c r="K57" s="36">
        <f>K16*K46+K47</f>
        <v>401635.55406290694</v>
      </c>
      <c r="L57" s="36">
        <f>L16*L46+L47</f>
        <v>233009.47304069455</v>
      </c>
      <c r="M57" s="36">
        <f>M16*M46+M47</f>
        <v>468517.39995560516</v>
      </c>
      <c r="N57" s="36">
        <f>N16*N46+N47</f>
        <v>7246.8059642377839</v>
      </c>
    </row>
    <row r="58" spans="2:16" ht="12.75" customHeight="1" x14ac:dyDescent="0.2">
      <c r="B58" s="2" t="s">
        <v>670</v>
      </c>
      <c r="D58" s="2" t="s">
        <v>88</v>
      </c>
      <c r="H58" s="36">
        <f>SUM(J58:N58)</f>
        <v>1801708.8703354832</v>
      </c>
      <c r="J58" s="36">
        <f>J57*J32+J39</f>
        <v>895740.81732561102</v>
      </c>
      <c r="K58" s="36">
        <f>K57*K32</f>
        <v>200817.77703145347</v>
      </c>
      <c r="L58" s="36">
        <f>L57*L32</f>
        <v>233009.47304069455</v>
      </c>
      <c r="M58" s="36">
        <f>M57*M32</f>
        <v>468517.39995560516</v>
      </c>
      <c r="N58" s="36">
        <f>N57*N32</f>
        <v>3623.4029821188919</v>
      </c>
      <c r="P58" s="18"/>
    </row>
    <row r="59" spans="2:16" ht="12.75" customHeight="1" x14ac:dyDescent="0.2">
      <c r="B59" s="2" t="s">
        <v>671</v>
      </c>
      <c r="D59" s="2" t="s">
        <v>88</v>
      </c>
      <c r="H59" s="36">
        <f>SUM(J59:N59)</f>
        <v>204441.18001357236</v>
      </c>
      <c r="J59" s="36">
        <f>J57*J31</f>
        <v>0</v>
      </c>
      <c r="K59" s="36">
        <f>K57*K31</f>
        <v>200817.77703145347</v>
      </c>
      <c r="L59" s="36">
        <f>L57*L31</f>
        <v>0</v>
      </c>
      <c r="M59" s="36">
        <f>M57*M31</f>
        <v>0</v>
      </c>
      <c r="N59" s="36">
        <f>N57*N31</f>
        <v>3623.4029821188919</v>
      </c>
    </row>
    <row r="60" spans="2:16" ht="12.75" customHeight="1" x14ac:dyDescent="0.2">
      <c r="B60" s="2" t="s">
        <v>672</v>
      </c>
      <c r="D60" s="2" t="s">
        <v>170</v>
      </c>
      <c r="J60" s="35">
        <f>J59/J21</f>
        <v>0</v>
      </c>
      <c r="K60" s="35">
        <f>K59/K21</f>
        <v>10.534698912588151</v>
      </c>
      <c r="L60" s="35">
        <f>L59/L21</f>
        <v>0</v>
      </c>
      <c r="M60" s="35">
        <f>M59/M21</f>
        <v>0</v>
      </c>
      <c r="N60" s="35">
        <f>N59/N21</f>
        <v>3.4954688231901332</v>
      </c>
    </row>
    <row r="61" spans="2:16" ht="12.75" customHeight="1" x14ac:dyDescent="0.2"/>
    <row r="62" spans="2:16" ht="12.75" customHeight="1" x14ac:dyDescent="0.25">
      <c r="B62" s="1" t="s">
        <v>294</v>
      </c>
      <c r="K62" s="64"/>
      <c r="L62" s="64"/>
      <c r="M62" s="64"/>
      <c r="N62" s="64"/>
    </row>
    <row r="63" spans="2:16" ht="12.75" customHeight="1" x14ac:dyDescent="0.2">
      <c r="B63" s="2" t="s">
        <v>673</v>
      </c>
      <c r="D63" s="2" t="s">
        <v>655</v>
      </c>
      <c r="H63" s="36">
        <f>SUM(J63:N63)</f>
        <v>5759719.1747137653</v>
      </c>
      <c r="J63" s="21">
        <f>J52*(1+$F$14)*(1+$F$15)+J58</f>
        <v>2654871.9084591647</v>
      </c>
      <c r="K63" s="21">
        <f>K52*(1+$F$14)*(1+$F$15)+K58</f>
        <v>1113789.9600663548</v>
      </c>
      <c r="L63" s="21">
        <f>L52*(1+$F$14)*(1+$F$15)+L58</f>
        <v>1055605.2231488815</v>
      </c>
      <c r="M63" s="21">
        <f>M52*(1+$F$14)*(1+$F$15)+M58</f>
        <v>926263.07609535777</v>
      </c>
      <c r="N63" s="21">
        <f>N52*(1+$F$14)*(1+$F$15)+N58</f>
        <v>9189.0069440069819</v>
      </c>
    </row>
    <row r="64" spans="2:16" ht="12.75" customHeight="1" x14ac:dyDescent="0.2">
      <c r="B64" s="2" t="s">
        <v>674</v>
      </c>
      <c r="D64" s="2" t="s">
        <v>657</v>
      </c>
      <c r="J64" s="72">
        <f>J54*(1+$F$14)*(1+$F$15)+J60</f>
        <v>2.4585526128458539E-2</v>
      </c>
      <c r="K64" s="72">
        <f>K54*(1+$F$14)*(1+$F$15)+K60</f>
        <v>31.473949486736412</v>
      </c>
      <c r="L64" s="72">
        <f>L54*(1+$F$14)*(1+$F$15)+L60</f>
        <v>0.65149966440390195</v>
      </c>
      <c r="M64" s="72">
        <f>M54*(1+$F$14)*(1+$F$15)+M60</f>
        <v>196.03826141296426</v>
      </c>
      <c r="N64" s="72">
        <f>N54*(1+$F$14)*(1+$F$15)+N60</f>
        <v>5.9800089056035173</v>
      </c>
    </row>
    <row r="65" spans="2:14" ht="12.75" customHeight="1" x14ac:dyDescent="0.2">
      <c r="B65" s="2" t="s">
        <v>305</v>
      </c>
      <c r="D65" s="2" t="s">
        <v>302</v>
      </c>
      <c r="J65" s="84"/>
      <c r="K65" s="38"/>
      <c r="L65" s="38"/>
      <c r="M65" s="130">
        <f>M36+M35*M16</f>
        <v>646.78881682049359</v>
      </c>
      <c r="N65" s="38"/>
    </row>
    <row r="66" spans="2:14" ht="12.75" customHeight="1" x14ac:dyDescent="0.2"/>
    <row r="68" spans="2:14" x14ac:dyDescent="0.2">
      <c r="B68" s="4" t="s">
        <v>63</v>
      </c>
    </row>
  </sheetData>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0C7C-27E7-4904-A897-12A386B7322B}">
  <sheetPr>
    <tabColor rgb="FFFFFFCC"/>
  </sheetPr>
  <dimension ref="B2:P39"/>
  <sheetViews>
    <sheetView showGridLines="0" zoomScale="85" zoomScaleNormal="85" workbookViewId="0">
      <pane xSplit="4" ySplit="9" topLeftCell="E10" activePane="bottomRight" state="frozen"/>
      <selection activeCell="H13" sqref="H13"/>
      <selection pane="topRight" activeCell="H13" sqref="H13"/>
      <selection pane="bottomLeft" activeCell="H13" sqref="H13"/>
      <selection pane="bottomRight" activeCell="E10" sqref="E10"/>
    </sheetView>
  </sheetViews>
  <sheetFormatPr defaultColWidth="9.140625" defaultRowHeight="12.75" x14ac:dyDescent="0.2"/>
  <cols>
    <col min="1" max="1" width="4.5703125" style="2" customWidth="1"/>
    <col min="2" max="2" width="41.42578125" style="2" customWidth="1"/>
    <col min="3" max="3" width="4.5703125" style="2" customWidth="1"/>
    <col min="4" max="4" width="15.4257812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30.7109375" style="2" customWidth="1"/>
    <col min="17" max="17" width="2.7109375" style="2" customWidth="1"/>
    <col min="18" max="27" width="12.5703125" style="2" customWidth="1"/>
    <col min="28" max="30" width="2.7109375" style="2" customWidth="1"/>
    <col min="31" max="45" width="13.7109375" style="2" customWidth="1"/>
    <col min="46" max="16384" width="9.140625" style="2"/>
  </cols>
  <sheetData>
    <row r="2" spans="2:16" s="12" customFormat="1" ht="18" x14ac:dyDescent="0.2">
      <c r="B2" s="12" t="s">
        <v>675</v>
      </c>
    </row>
    <row r="4" spans="2:16" x14ac:dyDescent="0.2">
      <c r="B4" s="1" t="s">
        <v>182</v>
      </c>
    </row>
    <row r="5" spans="2:16" x14ac:dyDescent="0.2">
      <c r="B5" s="2" t="s">
        <v>676</v>
      </c>
      <c r="F5" s="13"/>
    </row>
    <row r="6" spans="2:16" x14ac:dyDescent="0.2">
      <c r="B6" s="2" t="s">
        <v>677</v>
      </c>
      <c r="F6" s="13"/>
    </row>
    <row r="7" spans="2:16" x14ac:dyDescent="0.2">
      <c r="F7" s="13"/>
    </row>
    <row r="8" spans="2:16" s="8" customFormat="1" ht="12.75" customHeight="1" x14ac:dyDescent="0.2">
      <c r="B8" s="8" t="s">
        <v>80</v>
      </c>
      <c r="D8" s="8" t="s">
        <v>81</v>
      </c>
      <c r="F8" s="8" t="s">
        <v>37</v>
      </c>
      <c r="H8" s="8" t="s">
        <v>38</v>
      </c>
      <c r="J8" s="8" t="s">
        <v>164</v>
      </c>
      <c r="K8" s="8" t="s">
        <v>69</v>
      </c>
      <c r="L8" s="8" t="s">
        <v>70</v>
      </c>
      <c r="M8" s="8" t="s">
        <v>71</v>
      </c>
      <c r="N8" s="8" t="s">
        <v>72</v>
      </c>
      <c r="P8" s="8" t="s">
        <v>39</v>
      </c>
    </row>
    <row r="11" spans="2:16" s="8" customFormat="1" x14ac:dyDescent="0.2">
      <c r="B11" s="8" t="s">
        <v>171</v>
      </c>
    </row>
    <row r="13" spans="2:16" x14ac:dyDescent="0.2">
      <c r="B13" s="1" t="s">
        <v>176</v>
      </c>
    </row>
    <row r="14" spans="2:16" x14ac:dyDescent="0.2">
      <c r="B14" s="20" t="s">
        <v>36</v>
      </c>
      <c r="D14" s="20" t="s">
        <v>92</v>
      </c>
      <c r="E14" s="20"/>
      <c r="F14" s="20"/>
      <c r="G14" s="20"/>
      <c r="H14" s="20"/>
      <c r="I14" s="20"/>
      <c r="J14" s="20" t="s">
        <v>93</v>
      </c>
      <c r="K14" s="20" t="s">
        <v>94</v>
      </c>
      <c r="L14" s="20" t="s">
        <v>95</v>
      </c>
      <c r="M14" s="20" t="s">
        <v>96</v>
      </c>
      <c r="N14" s="20" t="s">
        <v>95</v>
      </c>
    </row>
    <row r="15" spans="2:16" x14ac:dyDescent="0.2">
      <c r="B15" s="2" t="s">
        <v>528</v>
      </c>
      <c r="J15" s="26">
        <f>Estimates!J71</f>
        <v>17885720.400000002</v>
      </c>
      <c r="K15" s="26">
        <f>Estimates!K71</f>
        <v>19445.231167159676</v>
      </c>
      <c r="L15" s="26">
        <f>Estimates!L71</f>
        <v>229530</v>
      </c>
      <c r="M15" s="26">
        <f>Estimates!M71</f>
        <v>1292.073872976589</v>
      </c>
      <c r="N15" s="26">
        <f>Estimates!N71</f>
        <v>2530</v>
      </c>
    </row>
    <row r="16" spans="2:16" x14ac:dyDescent="0.2">
      <c r="B16" s="2" t="s">
        <v>454</v>
      </c>
      <c r="J16" s="84"/>
      <c r="K16" s="84"/>
      <c r="L16" s="84"/>
      <c r="M16" s="26">
        <f>'Fixed-variable costs'!M21</f>
        <v>1178.75</v>
      </c>
      <c r="N16" s="84"/>
    </row>
    <row r="18" spans="2:14" x14ac:dyDescent="0.2">
      <c r="B18" s="1" t="s">
        <v>308</v>
      </c>
    </row>
    <row r="19" spans="2:14" x14ac:dyDescent="0.2">
      <c r="B19" s="2" t="s">
        <v>673</v>
      </c>
      <c r="D19" s="2" t="s">
        <v>655</v>
      </c>
      <c r="J19" s="26">
        <f>'Fixed-variable costs'!J63</f>
        <v>2654871.9084591647</v>
      </c>
      <c r="K19" s="26">
        <f>'Fixed-variable costs'!K63</f>
        <v>1113789.9600663548</v>
      </c>
      <c r="L19" s="26">
        <f>'Fixed-variable costs'!L63</f>
        <v>1055605.2231488815</v>
      </c>
      <c r="M19" s="26">
        <f>'Fixed-variable costs'!M63</f>
        <v>926263.07609535777</v>
      </c>
      <c r="N19" s="26">
        <f>'Fixed-variable costs'!N63</f>
        <v>9189.0069440069819</v>
      </c>
    </row>
    <row r="20" spans="2:14" x14ac:dyDescent="0.2">
      <c r="B20" s="2" t="s">
        <v>674</v>
      </c>
      <c r="D20" s="2" t="s">
        <v>657</v>
      </c>
      <c r="J20" s="71">
        <f>'Fixed-variable costs'!J64</f>
        <v>2.4585526128458539E-2</v>
      </c>
      <c r="K20" s="71">
        <f>'Fixed-variable costs'!K64</f>
        <v>31.473949486736412</v>
      </c>
      <c r="L20" s="71">
        <f>'Fixed-variable costs'!L64</f>
        <v>0.65149966440390195</v>
      </c>
      <c r="M20" s="71">
        <f>'Fixed-variable costs'!M64</f>
        <v>196.03826141296426</v>
      </c>
      <c r="N20" s="71">
        <f>'Fixed-variable costs'!N64</f>
        <v>5.9800089056035173</v>
      </c>
    </row>
    <row r="21" spans="2:14" x14ac:dyDescent="0.2">
      <c r="B21" s="2" t="s">
        <v>305</v>
      </c>
      <c r="D21" s="2" t="s">
        <v>302</v>
      </c>
      <c r="J21" s="38"/>
      <c r="K21" s="38"/>
      <c r="L21" s="38"/>
      <c r="M21" s="71">
        <f>'Fixed-variable costs'!M65</f>
        <v>646.78881682049359</v>
      </c>
      <c r="N21" s="38"/>
    </row>
    <row r="23" spans="2:14" x14ac:dyDescent="0.2">
      <c r="B23" s="19" t="s">
        <v>205</v>
      </c>
    </row>
    <row r="24" spans="2:14" x14ac:dyDescent="0.2">
      <c r="B24" s="2" t="s">
        <v>463</v>
      </c>
      <c r="D24" s="2" t="s">
        <v>655</v>
      </c>
      <c r="H24" s="27">
        <f>SUM(J24:N24)</f>
        <v>647972.66533700877</v>
      </c>
      <c r="J24" s="26">
        <f>'Overview corrections'!J40</f>
        <v>647972.66533700877</v>
      </c>
      <c r="K24" s="38"/>
      <c r="L24" s="38"/>
      <c r="M24" s="38"/>
      <c r="N24" s="38"/>
    </row>
    <row r="25" spans="2:14" x14ac:dyDescent="0.2">
      <c r="B25" s="32" t="s">
        <v>621</v>
      </c>
      <c r="D25" s="2" t="s">
        <v>655</v>
      </c>
      <c r="H25" s="27">
        <f t="shared" ref="H25:H30" si="0">SUM(J25:N25)</f>
        <v>-52710.67300110191</v>
      </c>
      <c r="J25" s="26">
        <f>'Overview corrections'!J41</f>
        <v>-119916.29170277591</v>
      </c>
      <c r="K25" s="26">
        <f>'Overview corrections'!K41</f>
        <v>3556.8236724885501</v>
      </c>
      <c r="L25" s="26">
        <f>'Overview corrections'!L41</f>
        <v>44673.724380365034</v>
      </c>
      <c r="M25" s="26">
        <f>'Overview corrections'!M41</f>
        <v>14147.434628090834</v>
      </c>
      <c r="N25" s="26">
        <f>'Overview corrections'!N41</f>
        <v>4827.6360207295766</v>
      </c>
    </row>
    <row r="26" spans="2:14" x14ac:dyDescent="0.2">
      <c r="B26" s="2" t="s">
        <v>747</v>
      </c>
      <c r="D26" s="2" t="s">
        <v>655</v>
      </c>
      <c r="H26" s="27">
        <f t="shared" si="0"/>
        <v>360923.29151113</v>
      </c>
      <c r="J26" s="26">
        <f>'Overview corrections'!J42</f>
        <v>-62115.765844128066</v>
      </c>
      <c r="K26" s="26">
        <f>'Overview corrections'!K42</f>
        <v>340041.22536652483</v>
      </c>
      <c r="L26" s="26">
        <f>'Overview corrections'!L42</f>
        <v>147792.72983676186</v>
      </c>
      <c r="M26" s="26">
        <f>'Overview corrections'!M42</f>
        <v>-63748.302503614796</v>
      </c>
      <c r="N26" s="26">
        <f>'Overview corrections'!N42</f>
        <v>-1046.5953444138297</v>
      </c>
    </row>
    <row r="27" spans="2:14" x14ac:dyDescent="0.2">
      <c r="B27" s="2" t="s">
        <v>678</v>
      </c>
      <c r="D27" s="2" t="s">
        <v>655</v>
      </c>
      <c r="H27" s="27">
        <f t="shared" si="0"/>
        <v>263986.27089467889</v>
      </c>
      <c r="J27" s="26">
        <f>'Overview corrections'!J43</f>
        <v>107373.81978165831</v>
      </c>
      <c r="K27" s="26">
        <f>'Overview corrections'!K43</f>
        <v>43184.668550139555</v>
      </c>
      <c r="L27" s="26">
        <f>'Overview corrections'!L43</f>
        <v>34456.753959695518</v>
      </c>
      <c r="M27" s="26">
        <f>'Overview corrections'!M43</f>
        <v>78449.867524195579</v>
      </c>
      <c r="N27" s="26">
        <f>'Overview corrections'!N43</f>
        <v>521.16107898991345</v>
      </c>
    </row>
    <row r="28" spans="2:14" x14ac:dyDescent="0.2">
      <c r="B28" s="2" t="s">
        <v>298</v>
      </c>
      <c r="D28" s="2" t="s">
        <v>655</v>
      </c>
      <c r="H28" s="27">
        <f t="shared" si="0"/>
        <v>-9311.6791415059233</v>
      </c>
      <c r="J28" s="38"/>
      <c r="K28" s="38"/>
      <c r="L28" s="26">
        <f>'Overview corrections'!L44</f>
        <v>-9311.6791415059233</v>
      </c>
      <c r="M28" s="38"/>
      <c r="N28" s="38"/>
    </row>
    <row r="29" spans="2:14" x14ac:dyDescent="0.2">
      <c r="B29" s="2" t="s">
        <v>662</v>
      </c>
      <c r="D29" s="2" t="s">
        <v>655</v>
      </c>
      <c r="H29" s="27">
        <f t="shared" si="0"/>
        <v>54086.718927999995</v>
      </c>
      <c r="J29" s="26">
        <f>'Overview corrections'!J45</f>
        <v>54086.718927999995</v>
      </c>
      <c r="K29" s="38"/>
      <c r="L29" s="38"/>
      <c r="M29" s="38"/>
      <c r="N29" s="38"/>
    </row>
    <row r="30" spans="2:14" x14ac:dyDescent="0.2">
      <c r="B30" s="2" t="s">
        <v>601</v>
      </c>
      <c r="D30" s="2" t="s">
        <v>655</v>
      </c>
      <c r="H30" s="27">
        <f t="shared" si="0"/>
        <v>-86016.176453410153</v>
      </c>
      <c r="J30" s="26">
        <f>'Overview corrections'!J46</f>
        <v>-86016.176453410153</v>
      </c>
      <c r="K30" s="38"/>
      <c r="L30" s="38"/>
      <c r="M30" s="38"/>
      <c r="N30" s="38"/>
    </row>
    <row r="32" spans="2:14" s="8" customFormat="1" x14ac:dyDescent="0.2">
      <c r="B32" s="8" t="s">
        <v>309</v>
      </c>
    </row>
    <row r="34" spans="2:16" x14ac:dyDescent="0.2">
      <c r="B34" s="1" t="s">
        <v>172</v>
      </c>
    </row>
    <row r="35" spans="2:16" x14ac:dyDescent="0.2">
      <c r="B35" s="83" t="s">
        <v>329</v>
      </c>
      <c r="D35" s="2" t="s">
        <v>655</v>
      </c>
      <c r="J35" s="27">
        <f>J19+J20*J15</f>
        <v>3094601.7546796687</v>
      </c>
      <c r="K35" s="27">
        <f>K19+K20*K15</f>
        <v>1725808.1835794509</v>
      </c>
      <c r="L35" s="27">
        <f>L19+L20*L15</f>
        <v>1205143.9411195091</v>
      </c>
      <c r="M35" s="23">
        <f>M19+M20*M15+M21*(M15-M16)</f>
        <v>1252855.6054908473</v>
      </c>
      <c r="N35" s="27">
        <f>N19+N20*N15</f>
        <v>24318.429475183882</v>
      </c>
      <c r="P35" s="2" t="s">
        <v>336</v>
      </c>
    </row>
    <row r="36" spans="2:16" x14ac:dyDescent="0.2">
      <c r="B36" s="2" t="s">
        <v>330</v>
      </c>
      <c r="D36" s="2" t="s">
        <v>655</v>
      </c>
      <c r="J36" s="21">
        <f>J35+SUM(J24:J30)</f>
        <v>3635986.7247260218</v>
      </c>
      <c r="K36" s="21">
        <f t="shared" ref="K36:N36" si="1">K35+SUM(K24:K30)</f>
        <v>2112590.9011686039</v>
      </c>
      <c r="L36" s="21">
        <f t="shared" si="1"/>
        <v>1422755.4701548256</v>
      </c>
      <c r="M36" s="21">
        <f t="shared" si="1"/>
        <v>1281704.6051395189</v>
      </c>
      <c r="N36" s="21">
        <f t="shared" si="1"/>
        <v>28620.631230489544</v>
      </c>
    </row>
    <row r="39" spans="2:16" x14ac:dyDescent="0.2">
      <c r="B39" s="4" t="s">
        <v>63</v>
      </c>
    </row>
  </sheetData>
  <phoneticPr fontId="31"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H43"/>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27.85546875" style="2" customWidth="1"/>
    <col min="3" max="3" width="7.14062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7" customFormat="1" ht="18" x14ac:dyDescent="0.2">
      <c r="B2" s="7" t="s">
        <v>46</v>
      </c>
    </row>
    <row r="3" spans="2:8" x14ac:dyDescent="0.2">
      <c r="B3" s="29"/>
    </row>
    <row r="4" spans="2:8" x14ac:dyDescent="0.2">
      <c r="B4" s="29"/>
    </row>
    <row r="5" spans="2:8" s="8" customFormat="1" x14ac:dyDescent="0.2">
      <c r="B5" s="8" t="s">
        <v>47</v>
      </c>
    </row>
    <row r="7" spans="2:8" x14ac:dyDescent="0.2">
      <c r="B7" s="2" t="s">
        <v>271</v>
      </c>
    </row>
    <row r="8" spans="2:8" x14ac:dyDescent="0.2">
      <c r="B8" s="2" t="s">
        <v>272</v>
      </c>
    </row>
    <row r="9" spans="2:8" x14ac:dyDescent="0.2">
      <c r="B9" s="2" t="s">
        <v>213</v>
      </c>
    </row>
    <row r="10" spans="2:8" x14ac:dyDescent="0.2">
      <c r="H10" s="22"/>
    </row>
    <row r="11" spans="2:8" s="8" customFormat="1" x14ac:dyDescent="0.2">
      <c r="B11" s="8" t="s">
        <v>48</v>
      </c>
    </row>
    <row r="13" spans="2:8" x14ac:dyDescent="0.2">
      <c r="B13" s="19" t="s">
        <v>11</v>
      </c>
      <c r="D13" s="19" t="s">
        <v>12</v>
      </c>
      <c r="F13" s="5"/>
    </row>
    <row r="15" spans="2:8" x14ac:dyDescent="0.2">
      <c r="B15" s="25">
        <v>123</v>
      </c>
      <c r="D15" s="2" t="s">
        <v>13</v>
      </c>
    </row>
    <row r="16" spans="2:8" x14ac:dyDescent="0.2">
      <c r="B16" s="26">
        <f>B15</f>
        <v>123</v>
      </c>
      <c r="D16" s="2" t="s">
        <v>49</v>
      </c>
    </row>
    <row r="17" spans="2:6" x14ac:dyDescent="0.2">
      <c r="B17" s="27">
        <f>B16+B15</f>
        <v>246</v>
      </c>
      <c r="D17" s="2" t="s">
        <v>14</v>
      </c>
    </row>
    <row r="18" spans="2:6" x14ac:dyDescent="0.2">
      <c r="B18" s="21">
        <f>B16+B17</f>
        <v>369</v>
      </c>
      <c r="D18" s="2" t="s">
        <v>50</v>
      </c>
      <c r="E18" s="5"/>
      <c r="F18" s="5"/>
    </row>
    <row r="19" spans="2:6" x14ac:dyDescent="0.2">
      <c r="B19" s="10"/>
      <c r="D19" s="2" t="s">
        <v>15</v>
      </c>
      <c r="E19" s="5"/>
    </row>
    <row r="21" spans="2:6" x14ac:dyDescent="0.2">
      <c r="B21" s="20" t="s">
        <v>26</v>
      </c>
    </row>
    <row r="22" spans="2:6" x14ac:dyDescent="0.2">
      <c r="B22" s="23">
        <f>B18+16</f>
        <v>385</v>
      </c>
      <c r="D22" s="2" t="s">
        <v>16</v>
      </c>
    </row>
    <row r="23" spans="2:6" x14ac:dyDescent="0.2">
      <c r="B23" s="24">
        <f>B16*PI()</f>
        <v>386.41589639154455</v>
      </c>
      <c r="C23" s="11"/>
      <c r="D23" s="2" t="s">
        <v>51</v>
      </c>
    </row>
    <row r="24" spans="2:6" x14ac:dyDescent="0.2">
      <c r="B24" s="11"/>
      <c r="C24" s="11"/>
    </row>
    <row r="25" spans="2:6" x14ac:dyDescent="0.2">
      <c r="B25" s="19" t="s">
        <v>17</v>
      </c>
    </row>
    <row r="26" spans="2:6" x14ac:dyDescent="0.2">
      <c r="B26" s="1"/>
    </row>
    <row r="27" spans="2:6" x14ac:dyDescent="0.2">
      <c r="B27" s="20" t="s">
        <v>21</v>
      </c>
    </row>
    <row r="28" spans="2:6" x14ac:dyDescent="0.2">
      <c r="B28" s="21" t="s">
        <v>22</v>
      </c>
      <c r="D28" s="2" t="s">
        <v>18</v>
      </c>
    </row>
    <row r="29" spans="2:6" x14ac:dyDescent="0.2">
      <c r="B29" s="25" t="s">
        <v>1</v>
      </c>
      <c r="D29" s="2" t="s">
        <v>19</v>
      </c>
    </row>
    <row r="30" spans="2:6" x14ac:dyDescent="0.2">
      <c r="B30" s="27" t="s">
        <v>23</v>
      </c>
      <c r="D30" s="2" t="s">
        <v>20</v>
      </c>
    </row>
    <row r="31" spans="2:6" x14ac:dyDescent="0.2">
      <c r="B31" s="24" t="s">
        <v>23</v>
      </c>
      <c r="D31" s="2" t="s">
        <v>52</v>
      </c>
    </row>
    <row r="32" spans="2:6" x14ac:dyDescent="0.2">
      <c r="D32" s="3"/>
    </row>
    <row r="33" spans="2:4" x14ac:dyDescent="0.2">
      <c r="B33" s="20" t="s">
        <v>24</v>
      </c>
      <c r="D33" s="3"/>
    </row>
    <row r="34" spans="2:4" x14ac:dyDescent="0.2">
      <c r="B34" s="14" t="s">
        <v>2</v>
      </c>
      <c r="D34" s="2" t="s">
        <v>53</v>
      </c>
    </row>
    <row r="35" spans="2:4" x14ac:dyDescent="0.2">
      <c r="B35" s="30" t="s">
        <v>25</v>
      </c>
      <c r="D35" s="2" t="s">
        <v>122</v>
      </c>
    </row>
    <row r="43" spans="2:4" x14ac:dyDescent="0.2">
      <c r="B43" s="4" t="s">
        <v>63</v>
      </c>
    </row>
  </sheetData>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AC79-5CF7-4E35-BCF7-D63E74A0003E}">
  <sheetPr>
    <tabColor rgb="FFFFFFCC"/>
  </sheetPr>
  <dimension ref="B2:H44"/>
  <sheetViews>
    <sheetView showGridLines="0" zoomScale="85" zoomScaleNormal="85" workbookViewId="0">
      <pane xSplit="4" ySplit="10" topLeftCell="E11" activePane="bottomRight" state="frozen"/>
      <selection activeCell="H13" sqref="H13"/>
      <selection pane="topRight" activeCell="H13" sqref="H13"/>
      <selection pane="bottomLeft" activeCell="H13" sqref="H13"/>
      <selection pane="bottomRight" activeCell="E11" sqref="E11"/>
    </sheetView>
  </sheetViews>
  <sheetFormatPr defaultColWidth="9.140625" defaultRowHeight="12.75" x14ac:dyDescent="0.2"/>
  <cols>
    <col min="1" max="1" width="4.5703125" style="2" customWidth="1"/>
    <col min="2" max="2" width="41.42578125" style="2" customWidth="1"/>
    <col min="3" max="3" width="4.5703125" style="2" customWidth="1"/>
    <col min="4" max="4" width="21.7109375" style="2" customWidth="1"/>
    <col min="5" max="5" width="2.7109375" style="2" customWidth="1"/>
    <col min="6" max="6" width="21.7109375" style="2" customWidth="1"/>
    <col min="7" max="7" width="2.7109375" style="2" customWidth="1"/>
    <col min="8" max="8" width="30.7109375" style="2" customWidth="1"/>
    <col min="9" max="9" width="2.7109375" style="2" customWidth="1"/>
    <col min="10" max="19" width="12.5703125" style="2" customWidth="1"/>
    <col min="20" max="22" width="2.7109375" style="2" customWidth="1"/>
    <col min="23" max="37" width="13.7109375" style="2" customWidth="1"/>
    <col min="38" max="16384" width="9.140625" style="2"/>
  </cols>
  <sheetData>
    <row r="2" spans="2:8" s="12" customFormat="1" ht="18" x14ac:dyDescent="0.2">
      <c r="B2" s="12" t="s">
        <v>426</v>
      </c>
    </row>
    <row r="4" spans="2:8" x14ac:dyDescent="0.2">
      <c r="B4" s="19" t="s">
        <v>12</v>
      </c>
    </row>
    <row r="5" spans="2:8" x14ac:dyDescent="0.2">
      <c r="B5" s="2" t="s">
        <v>370</v>
      </c>
      <c r="F5" s="13"/>
    </row>
    <row r="6" spans="2:8" x14ac:dyDescent="0.2">
      <c r="B6" s="2" t="s">
        <v>387</v>
      </c>
      <c r="F6" s="13"/>
    </row>
    <row r="7" spans="2:8" x14ac:dyDescent="0.2">
      <c r="B7" s="2" t="s">
        <v>355</v>
      </c>
      <c r="F7" s="13"/>
    </row>
    <row r="8" spans="2:8" x14ac:dyDescent="0.2">
      <c r="F8" s="13"/>
    </row>
    <row r="9" spans="2:8" s="8" customFormat="1" ht="12.75" customHeight="1" x14ac:dyDescent="0.2">
      <c r="B9" s="8" t="s">
        <v>80</v>
      </c>
      <c r="D9" s="8" t="s">
        <v>81</v>
      </c>
      <c r="F9" s="8" t="s">
        <v>37</v>
      </c>
      <c r="H9" s="8" t="s">
        <v>39</v>
      </c>
    </row>
    <row r="12" spans="2:8" s="8" customFormat="1" x14ac:dyDescent="0.2">
      <c r="B12" s="8" t="s">
        <v>341</v>
      </c>
    </row>
    <row r="14" spans="2:8" x14ac:dyDescent="0.2">
      <c r="B14" s="19" t="s">
        <v>368</v>
      </c>
    </row>
    <row r="15" spans="2:8" x14ac:dyDescent="0.2">
      <c r="B15" s="2" t="s">
        <v>679</v>
      </c>
      <c r="D15" s="2" t="s">
        <v>655</v>
      </c>
      <c r="F15" s="26">
        <f>'Income level'!J36</f>
        <v>3635986.7247260218</v>
      </c>
    </row>
    <row r="16" spans="2:8" x14ac:dyDescent="0.2">
      <c r="B16" s="2" t="s">
        <v>680</v>
      </c>
      <c r="D16" s="2" t="s">
        <v>93</v>
      </c>
      <c r="F16" s="26">
        <f>Estimates!J71</f>
        <v>17885720.400000002</v>
      </c>
    </row>
    <row r="17" spans="2:8" ht="12.75" customHeight="1" x14ac:dyDescent="0.2">
      <c r="B17" s="2" t="s">
        <v>681</v>
      </c>
      <c r="D17" s="2" t="s">
        <v>682</v>
      </c>
      <c r="F17" s="85">
        <f>F15/F16</f>
        <v>0.20328992310122557</v>
      </c>
      <c r="H17" s="2" t="s">
        <v>369</v>
      </c>
    </row>
    <row r="18" spans="2:8" ht="12.75" customHeight="1" x14ac:dyDescent="0.2">
      <c r="B18" s="2" t="s">
        <v>683</v>
      </c>
      <c r="D18" s="2" t="s">
        <v>682</v>
      </c>
      <c r="F18" s="52">
        <f>ROUND(F17,4)</f>
        <v>0.20330000000000001</v>
      </c>
      <c r="H18" s="2" t="s">
        <v>414</v>
      </c>
    </row>
    <row r="20" spans="2:8" x14ac:dyDescent="0.2">
      <c r="B20" s="19" t="s">
        <v>173</v>
      </c>
    </row>
    <row r="21" spans="2:8" ht="12.75" customHeight="1" x14ac:dyDescent="0.2">
      <c r="B21" s="2" t="s">
        <v>524</v>
      </c>
      <c r="D21" s="2" t="s">
        <v>100</v>
      </c>
      <c r="F21" s="68">
        <f>Estimates!J35</f>
        <v>0.262156735518915</v>
      </c>
    </row>
    <row r="22" spans="2:8" ht="12.75" customHeight="1" x14ac:dyDescent="0.2">
      <c r="B22" s="2" t="s">
        <v>684</v>
      </c>
      <c r="D22" s="2" t="s">
        <v>73</v>
      </c>
      <c r="F22" s="63">
        <f>Estimates!J24</f>
        <v>0.46275577471288221</v>
      </c>
    </row>
    <row r="23" spans="2:8" ht="12.75" customHeight="1" x14ac:dyDescent="0.2">
      <c r="B23" s="2" t="s">
        <v>101</v>
      </c>
      <c r="D23" s="2" t="s">
        <v>102</v>
      </c>
      <c r="F23" s="68">
        <f>'Historical data'!F49</f>
        <v>0.78389534243249115</v>
      </c>
    </row>
    <row r="24" spans="2:8" ht="12.75" customHeight="1" x14ac:dyDescent="0.2">
      <c r="B24" s="2" t="s">
        <v>685</v>
      </c>
      <c r="D24" s="2" t="s">
        <v>682</v>
      </c>
      <c r="F24" s="87">
        <f>F21*F22*F23</f>
        <v>9.5097905416145379E-2</v>
      </c>
      <c r="H24" s="2" t="s">
        <v>373</v>
      </c>
    </row>
    <row r="26" spans="2:8" ht="12.75" customHeight="1" x14ac:dyDescent="0.2">
      <c r="B26" s="1" t="s">
        <v>374</v>
      </c>
    </row>
    <row r="27" spans="2:8" ht="12.75" customHeight="1" x14ac:dyDescent="0.2">
      <c r="B27" s="2" t="s">
        <v>686</v>
      </c>
      <c r="D27" s="2" t="s">
        <v>682</v>
      </c>
      <c r="F27" s="85">
        <f>F17+F24</f>
        <v>0.29838782851737095</v>
      </c>
    </row>
    <row r="28" spans="2:8" ht="12.75" customHeight="1" x14ac:dyDescent="0.2">
      <c r="B28" s="2" t="s">
        <v>687</v>
      </c>
      <c r="D28" s="2" t="s">
        <v>682</v>
      </c>
      <c r="F28" s="52">
        <f>ROUND(F27,4)</f>
        <v>0.2984</v>
      </c>
      <c r="H28" s="2" t="s">
        <v>414</v>
      </c>
    </row>
    <row r="29" spans="2:8" ht="12.75" customHeight="1" x14ac:dyDescent="0.2"/>
    <row r="30" spans="2:8" s="8" customFormat="1" x14ac:dyDescent="0.2">
      <c r="B30" s="8" t="s">
        <v>223</v>
      </c>
    </row>
    <row r="32" spans="2:8" x14ac:dyDescent="0.2">
      <c r="B32" s="1" t="s">
        <v>333</v>
      </c>
    </row>
    <row r="33" spans="2:8" x14ac:dyDescent="0.2">
      <c r="B33" s="2" t="s">
        <v>315</v>
      </c>
      <c r="D33" s="2" t="s">
        <v>682</v>
      </c>
      <c r="F33" s="86">
        <f>'Overview corrections'!K53</f>
        <v>4.1958528649106422E-3</v>
      </c>
    </row>
    <row r="34" spans="2:8" x14ac:dyDescent="0.2">
      <c r="B34" s="2" t="s">
        <v>331</v>
      </c>
      <c r="D34" s="2" t="s">
        <v>682</v>
      </c>
      <c r="F34" s="86">
        <f>'Overview corrections'!K54</f>
        <v>-8.3066784517014051E-3</v>
      </c>
    </row>
    <row r="36" spans="2:8" x14ac:dyDescent="0.2">
      <c r="B36" s="1" t="s">
        <v>332</v>
      </c>
    </row>
    <row r="37" spans="2:8" x14ac:dyDescent="0.2">
      <c r="B37" s="83" t="s">
        <v>688</v>
      </c>
      <c r="D37" s="2" t="s">
        <v>73</v>
      </c>
      <c r="F37" s="70">
        <f>Estimates!K17</f>
        <v>9.5000000000000001E-2</v>
      </c>
    </row>
    <row r="39" spans="2:8" x14ac:dyDescent="0.2">
      <c r="B39" s="1" t="s">
        <v>342</v>
      </c>
    </row>
    <row r="40" spans="2:8" x14ac:dyDescent="0.2">
      <c r="B40" s="2" t="s">
        <v>689</v>
      </c>
      <c r="D40" s="2" t="s">
        <v>682</v>
      </c>
      <c r="F40" s="85">
        <f>(F27+F33+F34)/(1-F37)</f>
        <v>0.32516795903931511</v>
      </c>
      <c r="H40" s="2" t="s">
        <v>357</v>
      </c>
    </row>
    <row r="41" spans="2:8" x14ac:dyDescent="0.2">
      <c r="B41" s="2" t="s">
        <v>689</v>
      </c>
      <c r="D41" s="2" t="s">
        <v>682</v>
      </c>
      <c r="F41" s="52">
        <f>ROUND(F40,4)</f>
        <v>0.32519999999999999</v>
      </c>
      <c r="H41" s="2" t="s">
        <v>414</v>
      </c>
    </row>
    <row r="44" spans="2:8" x14ac:dyDescent="0.2">
      <c r="B44" s="4" t="s">
        <v>63</v>
      </c>
    </row>
  </sheetData>
  <phoneticPr fontId="31"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A523-2628-47FE-AE24-E135BD4ABB65}">
  <sheetPr>
    <tabColor rgb="FFFFFFCC"/>
  </sheetPr>
  <dimension ref="B2:H59"/>
  <sheetViews>
    <sheetView showGridLines="0" zoomScale="85" zoomScaleNormal="85" workbookViewId="0">
      <pane xSplit="4" ySplit="10" topLeftCell="E11" activePane="bottomRight" state="frozen"/>
      <selection activeCell="H13" sqref="H13"/>
      <selection pane="topRight" activeCell="H13" sqref="H13"/>
      <selection pane="bottomLeft" activeCell="H13" sqref="H13"/>
      <selection pane="bottomRight" activeCell="E11" sqref="E11"/>
    </sheetView>
  </sheetViews>
  <sheetFormatPr defaultColWidth="9.140625" defaultRowHeight="12.75" x14ac:dyDescent="0.2"/>
  <cols>
    <col min="1" max="1" width="4.5703125" style="2" customWidth="1"/>
    <col min="2" max="2" width="55.5703125" style="2" customWidth="1"/>
    <col min="3" max="3" width="4.5703125" style="2" customWidth="1"/>
    <col min="4" max="4" width="25.7109375" style="2" customWidth="1"/>
    <col min="5" max="5" width="2.7109375" style="2" customWidth="1"/>
    <col min="6" max="6" width="21.7109375" style="2" customWidth="1"/>
    <col min="7" max="7" width="2.7109375" style="2" customWidth="1"/>
    <col min="8" max="8" width="30.7109375" style="2" customWidth="1"/>
    <col min="9" max="9" width="2.7109375" style="2" customWidth="1"/>
    <col min="10" max="19" width="12.5703125" style="2" customWidth="1"/>
    <col min="20" max="22" width="2.7109375" style="2" customWidth="1"/>
    <col min="23" max="37" width="13.7109375" style="2" customWidth="1"/>
    <col min="38" max="16384" width="9.140625" style="2"/>
  </cols>
  <sheetData>
    <row r="2" spans="2:8" s="12" customFormat="1" ht="18" x14ac:dyDescent="0.2">
      <c r="B2" s="12" t="s">
        <v>427</v>
      </c>
    </row>
    <row r="4" spans="2:8" x14ac:dyDescent="0.2">
      <c r="B4" s="19" t="s">
        <v>12</v>
      </c>
    </row>
    <row r="5" spans="2:8" x14ac:dyDescent="0.2">
      <c r="B5" s="2" t="s">
        <v>425</v>
      </c>
      <c r="F5" s="13"/>
    </row>
    <row r="6" spans="2:8" x14ac:dyDescent="0.2">
      <c r="B6" s="2" t="s">
        <v>386</v>
      </c>
      <c r="F6" s="13"/>
    </row>
    <row r="7" spans="2:8" x14ac:dyDescent="0.2">
      <c r="B7" s="2" t="s">
        <v>355</v>
      </c>
      <c r="F7" s="13"/>
    </row>
    <row r="8" spans="2:8" x14ac:dyDescent="0.2">
      <c r="F8" s="13"/>
    </row>
    <row r="9" spans="2:8" s="8" customFormat="1" ht="12.75" customHeight="1" x14ac:dyDescent="0.2">
      <c r="B9" s="8" t="s">
        <v>80</v>
      </c>
      <c r="D9" s="8" t="s">
        <v>81</v>
      </c>
      <c r="F9" s="8" t="s">
        <v>37</v>
      </c>
      <c r="H9" s="8" t="s">
        <v>39</v>
      </c>
    </row>
    <row r="12" spans="2:8" s="8" customFormat="1" x14ac:dyDescent="0.2">
      <c r="B12" s="8" t="s">
        <v>344</v>
      </c>
    </row>
    <row r="14" spans="2:8" x14ac:dyDescent="0.2">
      <c r="B14" s="1" t="s">
        <v>175</v>
      </c>
    </row>
    <row r="15" spans="2:8" x14ac:dyDescent="0.2">
      <c r="B15" s="2" t="s">
        <v>690</v>
      </c>
      <c r="D15" s="2" t="s">
        <v>655</v>
      </c>
      <c r="F15" s="26">
        <f>'Income level'!K36</f>
        <v>2112590.9011686039</v>
      </c>
    </row>
    <row r="16" spans="2:8" x14ac:dyDescent="0.2">
      <c r="B16" s="2" t="s">
        <v>691</v>
      </c>
      <c r="D16" s="2" t="s">
        <v>94</v>
      </c>
      <c r="F16" s="26">
        <f>Estimates!K71</f>
        <v>19445.231167159676</v>
      </c>
    </row>
    <row r="17" spans="2:8" x14ac:dyDescent="0.2">
      <c r="B17" s="2" t="s">
        <v>692</v>
      </c>
      <c r="D17" s="2" t="s">
        <v>693</v>
      </c>
      <c r="F17" s="72">
        <f>F15/F16/12</f>
        <v>9.0535946963373366</v>
      </c>
      <c r="H17" s="2" t="s">
        <v>351</v>
      </c>
    </row>
    <row r="19" spans="2:8" x14ac:dyDescent="0.2">
      <c r="B19" s="1" t="s">
        <v>314</v>
      </c>
      <c r="H19" s="2" t="s">
        <v>358</v>
      </c>
    </row>
    <row r="20" spans="2:8" x14ac:dyDescent="0.2">
      <c r="B20" s="69">
        <f>Estimates!B45</f>
        <v>3.2</v>
      </c>
      <c r="D20" s="2" t="s">
        <v>694</v>
      </c>
      <c r="F20" s="72">
        <f t="shared" ref="F20:F36" si="0">F$17*B20</f>
        <v>28.971503028279479</v>
      </c>
    </row>
    <row r="21" spans="2:8" x14ac:dyDescent="0.2">
      <c r="B21" s="69">
        <f>Estimates!B46</f>
        <v>7.7</v>
      </c>
      <c r="D21" s="2" t="s">
        <v>694</v>
      </c>
      <c r="F21" s="72">
        <f t="shared" si="0"/>
        <v>69.712679161797496</v>
      </c>
    </row>
    <row r="22" spans="2:8" x14ac:dyDescent="0.2">
      <c r="B22" s="69">
        <f>Estimates!B47</f>
        <v>11</v>
      </c>
      <c r="D22" s="2" t="s">
        <v>694</v>
      </c>
      <c r="F22" s="72">
        <f t="shared" si="0"/>
        <v>99.589541659710704</v>
      </c>
    </row>
    <row r="23" spans="2:8" x14ac:dyDescent="0.2">
      <c r="B23" s="69">
        <f>Estimates!B48</f>
        <v>13.86</v>
      </c>
      <c r="D23" s="2" t="s">
        <v>694</v>
      </c>
      <c r="F23" s="72">
        <f t="shared" si="0"/>
        <v>125.48282249123548</v>
      </c>
    </row>
    <row r="24" spans="2:8" x14ac:dyDescent="0.2">
      <c r="B24" s="69">
        <f>Estimates!B49</f>
        <v>13.3</v>
      </c>
      <c r="D24" s="2" t="s">
        <v>694</v>
      </c>
      <c r="F24" s="72">
        <f t="shared" si="0"/>
        <v>120.41280946128659</v>
      </c>
    </row>
    <row r="25" spans="2:8" x14ac:dyDescent="0.2">
      <c r="B25" s="69">
        <f>Estimates!B50</f>
        <v>19</v>
      </c>
      <c r="D25" s="2" t="s">
        <v>694</v>
      </c>
      <c r="F25" s="72">
        <f t="shared" si="0"/>
        <v>172.01829923040938</v>
      </c>
    </row>
    <row r="26" spans="2:8" x14ac:dyDescent="0.2">
      <c r="B26" s="69">
        <f>Estimates!B51</f>
        <v>23.94</v>
      </c>
      <c r="D26" s="2" t="s">
        <v>694</v>
      </c>
      <c r="F26" s="72">
        <f t="shared" si="0"/>
        <v>216.74305703031584</v>
      </c>
    </row>
    <row r="27" spans="2:8" x14ac:dyDescent="0.2">
      <c r="B27" s="69">
        <f>Estimates!B52</f>
        <v>30.4</v>
      </c>
      <c r="D27" s="2" t="s">
        <v>694</v>
      </c>
      <c r="F27" s="72">
        <f t="shared" si="0"/>
        <v>275.22927876865504</v>
      </c>
    </row>
    <row r="28" spans="2:8" x14ac:dyDescent="0.2">
      <c r="B28" s="69">
        <f>Estimates!B53</f>
        <v>38</v>
      </c>
      <c r="D28" s="2" t="s">
        <v>694</v>
      </c>
      <c r="F28" s="72">
        <f t="shared" si="0"/>
        <v>344.03659846081877</v>
      </c>
    </row>
    <row r="29" spans="2:8" x14ac:dyDescent="0.2">
      <c r="B29" s="69">
        <f>Estimates!B54</f>
        <v>47.5</v>
      </c>
      <c r="D29" s="2" t="s">
        <v>694</v>
      </c>
      <c r="F29" s="72">
        <f t="shared" si="0"/>
        <v>430.04574807602347</v>
      </c>
    </row>
    <row r="30" spans="2:8" x14ac:dyDescent="0.2">
      <c r="B30" s="69">
        <f>Estimates!B55</f>
        <v>60.8</v>
      </c>
      <c r="D30" s="2" t="s">
        <v>694</v>
      </c>
      <c r="F30" s="72">
        <f t="shared" si="0"/>
        <v>550.45855753731007</v>
      </c>
    </row>
    <row r="31" spans="2:8" x14ac:dyDescent="0.2">
      <c r="B31" s="69">
        <f>Estimates!B56</f>
        <v>76</v>
      </c>
      <c r="D31" s="2" t="s">
        <v>694</v>
      </c>
      <c r="F31" s="72">
        <f t="shared" si="0"/>
        <v>688.07319692163753</v>
      </c>
    </row>
    <row r="32" spans="2:8" x14ac:dyDescent="0.2">
      <c r="B32" s="69">
        <f>Estimates!B57</f>
        <v>85.5</v>
      </c>
      <c r="D32" s="2" t="s">
        <v>694</v>
      </c>
      <c r="F32" s="72">
        <f t="shared" si="0"/>
        <v>774.08234653684224</v>
      </c>
    </row>
    <row r="33" spans="2:6" x14ac:dyDescent="0.2">
      <c r="B33" s="69">
        <f>Estimates!B58</f>
        <v>95</v>
      </c>
      <c r="D33" s="2" t="s">
        <v>694</v>
      </c>
      <c r="F33" s="72">
        <f t="shared" si="0"/>
        <v>860.09149615204694</v>
      </c>
    </row>
    <row r="34" spans="2:6" x14ac:dyDescent="0.2">
      <c r="B34" s="69">
        <f>Estimates!B59</f>
        <v>119.7</v>
      </c>
      <c r="D34" s="2" t="s">
        <v>694</v>
      </c>
      <c r="F34" s="72">
        <f t="shared" si="0"/>
        <v>1083.7152851515791</v>
      </c>
    </row>
    <row r="35" spans="2:6" x14ac:dyDescent="0.2">
      <c r="B35" s="69">
        <f>Estimates!B60</f>
        <v>175</v>
      </c>
      <c r="D35" s="2" t="s">
        <v>694</v>
      </c>
      <c r="F35" s="72">
        <f t="shared" si="0"/>
        <v>1584.379071859034</v>
      </c>
    </row>
    <row r="36" spans="2:6" x14ac:dyDescent="0.2">
      <c r="B36" s="69">
        <f>Estimates!B61</f>
        <v>200</v>
      </c>
      <c r="D36" s="2" t="s">
        <v>694</v>
      </c>
      <c r="F36" s="72">
        <f t="shared" si="0"/>
        <v>1810.7189392674672</v>
      </c>
    </row>
    <row r="38" spans="2:6" s="8" customFormat="1" x14ac:dyDescent="0.2">
      <c r="B38" s="8" t="s">
        <v>371</v>
      </c>
    </row>
    <row r="40" spans="2:6" x14ac:dyDescent="0.2">
      <c r="B40" s="1" t="s">
        <v>64</v>
      </c>
    </row>
    <row r="41" spans="2:6" x14ac:dyDescent="0.2">
      <c r="B41" s="2" t="s">
        <v>437</v>
      </c>
      <c r="D41" s="2" t="s">
        <v>73</v>
      </c>
      <c r="F41" s="59">
        <f>Parameters!F17</f>
        <v>1.9E-2</v>
      </c>
    </row>
    <row r="43" spans="2:6" x14ac:dyDescent="0.2">
      <c r="B43" s="1" t="s">
        <v>372</v>
      </c>
    </row>
    <row r="44" spans="2:6" x14ac:dyDescent="0.2">
      <c r="B44" s="2" t="s">
        <v>383</v>
      </c>
      <c r="D44" s="2" t="s">
        <v>289</v>
      </c>
      <c r="F44" s="71">
        <f>'Data ACM'!K62</f>
        <v>40</v>
      </c>
    </row>
    <row r="45" spans="2:6" x14ac:dyDescent="0.2">
      <c r="B45" s="2" t="s">
        <v>108</v>
      </c>
      <c r="D45" s="2" t="s">
        <v>289</v>
      </c>
      <c r="F45" s="71">
        <f>'Data ACM'!K58</f>
        <v>305.43662127586322</v>
      </c>
    </row>
    <row r="47" spans="2:6" x14ac:dyDescent="0.2">
      <c r="B47" s="2" t="s">
        <v>109</v>
      </c>
      <c r="D47" s="2" t="s">
        <v>289</v>
      </c>
      <c r="F47" s="71">
        <f>'Data ACM'!K59</f>
        <v>189.55349078801981</v>
      </c>
    </row>
    <row r="48" spans="2:6" x14ac:dyDescent="0.2">
      <c r="B48" s="2" t="s">
        <v>110</v>
      </c>
      <c r="D48" s="2" t="s">
        <v>289</v>
      </c>
      <c r="F48" s="71">
        <f>'Data ACM'!K60</f>
        <v>205.78594305755018</v>
      </c>
    </row>
    <row r="50" spans="2:8" x14ac:dyDescent="0.2">
      <c r="B50" s="1" t="s">
        <v>695</v>
      </c>
    </row>
    <row r="51" spans="2:8" x14ac:dyDescent="0.2">
      <c r="B51" s="2" t="s">
        <v>696</v>
      </c>
      <c r="D51" s="2" t="s">
        <v>655</v>
      </c>
      <c r="F51" s="72">
        <f>F44</f>
        <v>40</v>
      </c>
      <c r="H51" s="2" t="s">
        <v>354</v>
      </c>
    </row>
    <row r="52" spans="2:8" x14ac:dyDescent="0.2">
      <c r="B52" s="2" t="s">
        <v>697</v>
      </c>
      <c r="D52" s="2" t="s">
        <v>655</v>
      </c>
      <c r="F52" s="72">
        <f>F45*(1+$F$41)</f>
        <v>311.23991708010459</v>
      </c>
    </row>
    <row r="54" spans="2:8" x14ac:dyDescent="0.2">
      <c r="B54" s="2" t="s">
        <v>698</v>
      </c>
      <c r="D54" s="2" t="s">
        <v>655</v>
      </c>
      <c r="F54" s="72">
        <f>F47*(1+$F$41)</f>
        <v>193.15500711299217</v>
      </c>
    </row>
    <row r="55" spans="2:8" x14ac:dyDescent="0.2">
      <c r="B55" s="2" t="s">
        <v>699</v>
      </c>
      <c r="D55" s="2" t="s">
        <v>655</v>
      </c>
      <c r="F55" s="72">
        <f>F48*(1+$F$41)</f>
        <v>209.69587597564362</v>
      </c>
    </row>
    <row r="59" spans="2:8" x14ac:dyDescent="0.2">
      <c r="B59" s="4" t="s">
        <v>63</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22EE-A6D3-47C7-9085-5594E8BBDA3A}">
  <sheetPr>
    <tabColor rgb="FFFFFFCC"/>
  </sheetPr>
  <dimension ref="B2:H51"/>
  <sheetViews>
    <sheetView showGridLines="0" zoomScale="85" zoomScaleNormal="85" workbookViewId="0">
      <pane xSplit="4" ySplit="9" topLeftCell="E10" activePane="bottomRight" state="frozen"/>
      <selection activeCell="H13" sqref="H13"/>
      <selection pane="topRight" activeCell="H13" sqref="H13"/>
      <selection pane="bottomLeft" activeCell="H13" sqref="H13"/>
      <selection pane="bottomRight" activeCell="E10" sqref="E10"/>
    </sheetView>
  </sheetViews>
  <sheetFormatPr defaultColWidth="9.140625" defaultRowHeight="12.75" x14ac:dyDescent="0.2"/>
  <cols>
    <col min="1" max="1" width="4.5703125" style="2" customWidth="1"/>
    <col min="2" max="2" width="52.42578125" style="2" customWidth="1"/>
    <col min="3" max="3" width="4.5703125" style="2" customWidth="1"/>
    <col min="4" max="4" width="21.7109375" style="2" customWidth="1"/>
    <col min="5" max="5" width="2.7109375" style="2" customWidth="1"/>
    <col min="6" max="6" width="14.28515625" style="2" customWidth="1"/>
    <col min="7" max="7" width="2.7109375" style="2" customWidth="1"/>
    <col min="8" max="8" width="30.7109375" style="2" customWidth="1"/>
    <col min="9" max="9" width="2.7109375" style="2" customWidth="1"/>
    <col min="10" max="19" width="12.5703125" style="2" customWidth="1"/>
    <col min="20" max="22" width="2.7109375" style="2" customWidth="1"/>
    <col min="23" max="37" width="13.7109375" style="2" customWidth="1"/>
    <col min="38" max="16384" width="9.140625" style="2"/>
  </cols>
  <sheetData>
    <row r="2" spans="2:8" s="12" customFormat="1" ht="18" x14ac:dyDescent="0.2">
      <c r="B2" s="12" t="s">
        <v>428</v>
      </c>
    </row>
    <row r="4" spans="2:8" x14ac:dyDescent="0.2">
      <c r="B4" s="19" t="s">
        <v>12</v>
      </c>
    </row>
    <row r="5" spans="2:8" x14ac:dyDescent="0.2">
      <c r="B5" s="2" t="s">
        <v>430</v>
      </c>
      <c r="F5" s="13"/>
    </row>
    <row r="6" spans="2:8" x14ac:dyDescent="0.2">
      <c r="B6" s="2" t="s">
        <v>355</v>
      </c>
      <c r="F6" s="13"/>
    </row>
    <row r="8" spans="2:8" s="8" customFormat="1" ht="12.75" customHeight="1" x14ac:dyDescent="0.2">
      <c r="B8" s="8" t="s">
        <v>80</v>
      </c>
      <c r="D8" s="8" t="s">
        <v>81</v>
      </c>
      <c r="F8" s="8" t="s">
        <v>37</v>
      </c>
      <c r="H8" s="8" t="s">
        <v>39</v>
      </c>
    </row>
    <row r="11" spans="2:8" s="8" customFormat="1" x14ac:dyDescent="0.2">
      <c r="B11" s="8" t="s">
        <v>255</v>
      </c>
    </row>
    <row r="12" spans="2:8" s="131" customFormat="1" x14ac:dyDescent="0.2"/>
    <row r="13" spans="2:8" x14ac:dyDescent="0.2">
      <c r="B13" s="1" t="s">
        <v>378</v>
      </c>
    </row>
    <row r="14" spans="2:8" x14ac:dyDescent="0.2">
      <c r="B14" s="83" t="s">
        <v>700</v>
      </c>
      <c r="D14" s="2" t="s">
        <v>655</v>
      </c>
      <c r="F14" s="26">
        <f>'Income level'!L36</f>
        <v>1422755.4701548256</v>
      </c>
    </row>
    <row r="15" spans="2:8" x14ac:dyDescent="0.2">
      <c r="B15" s="83" t="s">
        <v>701</v>
      </c>
      <c r="D15" s="2" t="s">
        <v>95</v>
      </c>
      <c r="F15" s="26">
        <f>Estimates!L71</f>
        <v>229530</v>
      </c>
    </row>
    <row r="16" spans="2:8" x14ac:dyDescent="0.2">
      <c r="B16" s="2" t="s">
        <v>702</v>
      </c>
      <c r="D16" s="2" t="s">
        <v>703</v>
      </c>
      <c r="F16" s="134">
        <f>F14/F15</f>
        <v>6.198559971048776</v>
      </c>
      <c r="H16" s="2" t="s">
        <v>384</v>
      </c>
    </row>
    <row r="17" spans="2:8" x14ac:dyDescent="0.2">
      <c r="B17" s="83"/>
    </row>
    <row r="18" spans="2:8" x14ac:dyDescent="0.2">
      <c r="B18" s="1" t="s">
        <v>375</v>
      </c>
    </row>
    <row r="19" spans="2:8" x14ac:dyDescent="0.2">
      <c r="B19" s="2" t="s">
        <v>689</v>
      </c>
      <c r="D19" s="2" t="s">
        <v>682</v>
      </c>
      <c r="F19" s="86">
        <f>'Variable tariffs electricity'!F40</f>
        <v>0.32516795903931511</v>
      </c>
    </row>
    <row r="20" spans="2:8" x14ac:dyDescent="0.2">
      <c r="B20" s="2" t="s">
        <v>323</v>
      </c>
      <c r="D20" s="2" t="s">
        <v>694</v>
      </c>
      <c r="F20" s="26">
        <f>'Fixed tariffs electricity'!F32</f>
        <v>774.08234653684224</v>
      </c>
    </row>
    <row r="21" spans="2:8" x14ac:dyDescent="0.2">
      <c r="B21" s="2" t="s">
        <v>104</v>
      </c>
      <c r="D21" s="2" t="s">
        <v>105</v>
      </c>
      <c r="F21" s="71">
        <f>Estimates!L40</f>
        <v>5.1956194929354425</v>
      </c>
    </row>
    <row r="22" spans="2:8" x14ac:dyDescent="0.2">
      <c r="B22" s="2" t="s">
        <v>431</v>
      </c>
      <c r="D22" s="2" t="s">
        <v>655</v>
      </c>
      <c r="F22" s="144">
        <f>F20*12</f>
        <v>9288.9881584421073</v>
      </c>
      <c r="H22" s="2" t="s">
        <v>376</v>
      </c>
    </row>
    <row r="23" spans="2:8" x14ac:dyDescent="0.2">
      <c r="B23" s="2" t="s">
        <v>379</v>
      </c>
      <c r="D23" s="2" t="s">
        <v>703</v>
      </c>
      <c r="F23" s="144">
        <f>F19*F21</f>
        <v>1.6894489864626991</v>
      </c>
    </row>
    <row r="24" spans="2:8" x14ac:dyDescent="0.2">
      <c r="B24" s="2" t="s">
        <v>385</v>
      </c>
      <c r="D24" s="2" t="s">
        <v>703</v>
      </c>
      <c r="F24" s="144">
        <f>F23+F22/F15</f>
        <v>1.7299185902549794</v>
      </c>
    </row>
    <row r="26" spans="2:8" x14ac:dyDescent="0.2">
      <c r="B26" s="1" t="s">
        <v>377</v>
      </c>
    </row>
    <row r="27" spans="2:8" x14ac:dyDescent="0.2">
      <c r="B27" s="2" t="s">
        <v>704</v>
      </c>
      <c r="D27" s="2" t="s">
        <v>703</v>
      </c>
      <c r="F27" s="134">
        <f>F16+F24</f>
        <v>7.9284785613037556</v>
      </c>
    </row>
    <row r="28" spans="2:8" x14ac:dyDescent="0.2">
      <c r="B28" s="2" t="s">
        <v>705</v>
      </c>
      <c r="D28" s="2" t="s">
        <v>703</v>
      </c>
      <c r="F28" s="138">
        <f>ROUND(F27,3)</f>
        <v>7.9279999999999999</v>
      </c>
      <c r="H28" s="2" t="s">
        <v>415</v>
      </c>
    </row>
    <row r="30" spans="2:8" s="8" customFormat="1" x14ac:dyDescent="0.2">
      <c r="B30" s="8" t="s">
        <v>345</v>
      </c>
    </row>
    <row r="32" spans="2:8" x14ac:dyDescent="0.2">
      <c r="B32" s="1" t="s">
        <v>343</v>
      </c>
    </row>
    <row r="33" spans="2:8" x14ac:dyDescent="0.2">
      <c r="B33" s="2" t="s">
        <v>316</v>
      </c>
      <c r="D33" s="2" t="s">
        <v>703</v>
      </c>
      <c r="F33" s="133">
        <f>'Overview corrections'!M54</f>
        <v>0.28648005754925504</v>
      </c>
    </row>
    <row r="35" spans="2:8" x14ac:dyDescent="0.2">
      <c r="B35" s="1" t="s">
        <v>317</v>
      </c>
    </row>
    <row r="36" spans="2:8" x14ac:dyDescent="0.2">
      <c r="B36" s="2" t="s">
        <v>515</v>
      </c>
      <c r="D36" s="2" t="s">
        <v>73</v>
      </c>
      <c r="F36" s="70">
        <f>Estimates!M17</f>
        <v>0.45</v>
      </c>
    </row>
    <row r="38" spans="2:8" x14ac:dyDescent="0.2">
      <c r="B38" s="1" t="s">
        <v>346</v>
      </c>
    </row>
    <row r="39" spans="2:8" x14ac:dyDescent="0.2">
      <c r="B39" s="2" t="s">
        <v>706</v>
      </c>
      <c r="D39" s="2" t="s">
        <v>703</v>
      </c>
      <c r="F39" s="134">
        <f>(F27+F33)/(1-F36)</f>
        <v>14.936288397914565</v>
      </c>
      <c r="H39" s="2" t="s">
        <v>356</v>
      </c>
    </row>
    <row r="40" spans="2:8" x14ac:dyDescent="0.2">
      <c r="B40" s="2" t="s">
        <v>707</v>
      </c>
      <c r="D40" s="2" t="s">
        <v>703</v>
      </c>
      <c r="F40" s="138">
        <f>ROUND(F39,3)</f>
        <v>14.936</v>
      </c>
      <c r="H40" s="2" t="s">
        <v>415</v>
      </c>
    </row>
    <row r="42" spans="2:8" s="8" customFormat="1" x14ac:dyDescent="0.2">
      <c r="B42" s="8" t="s">
        <v>349</v>
      </c>
    </row>
    <row r="44" spans="2:8" x14ac:dyDescent="0.2">
      <c r="B44" s="1" t="s">
        <v>350</v>
      </c>
    </row>
    <row r="45" spans="2:8" x14ac:dyDescent="0.2">
      <c r="B45" s="2" t="s">
        <v>380</v>
      </c>
      <c r="D45" s="2" t="s">
        <v>655</v>
      </c>
      <c r="F45" s="26">
        <f>'Income level'!N36</f>
        <v>28620.631230489544</v>
      </c>
    </row>
    <row r="46" spans="2:8" x14ac:dyDescent="0.2">
      <c r="B46" s="2" t="s">
        <v>708</v>
      </c>
      <c r="D46" s="2" t="s">
        <v>95</v>
      </c>
      <c r="F46" s="26">
        <f>Estimates!N71</f>
        <v>2530</v>
      </c>
    </row>
    <row r="47" spans="2:8" x14ac:dyDescent="0.2">
      <c r="B47" s="2" t="s">
        <v>709</v>
      </c>
      <c r="D47" s="2" t="s">
        <v>703</v>
      </c>
      <c r="F47" s="134">
        <f>F27+F45/F46</f>
        <v>19.240981023947846</v>
      </c>
      <c r="H47" s="2" t="s">
        <v>353</v>
      </c>
    </row>
    <row r="48" spans="2:8" x14ac:dyDescent="0.2">
      <c r="B48" s="2" t="s">
        <v>710</v>
      </c>
      <c r="D48" s="2" t="s">
        <v>703</v>
      </c>
      <c r="F48" s="138">
        <f>ROUND(F47,3)</f>
        <v>19.241</v>
      </c>
      <c r="H48" s="2" t="s">
        <v>415</v>
      </c>
    </row>
    <row r="51" spans="2:2" x14ac:dyDescent="0.2">
      <c r="B51" s="4" t="s">
        <v>63</v>
      </c>
    </row>
  </sheetData>
  <phoneticPr fontId="31"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949D-46A2-4629-BE28-7F6D7D163838}">
  <sheetPr>
    <tabColor rgb="FFFFFFCC"/>
  </sheetPr>
  <dimension ref="B2:H34"/>
  <sheetViews>
    <sheetView showGridLines="0" zoomScale="85" zoomScaleNormal="85" workbookViewId="0">
      <pane xSplit="4" ySplit="9" topLeftCell="E10" activePane="bottomRight" state="frozen"/>
      <selection activeCell="H13" sqref="H13"/>
      <selection pane="topRight" activeCell="H13" sqref="H13"/>
      <selection pane="bottomLeft" activeCell="H13" sqref="H13"/>
      <selection pane="bottomRight" activeCell="E10" sqref="E10"/>
    </sheetView>
  </sheetViews>
  <sheetFormatPr defaultColWidth="9.140625" defaultRowHeight="12.75" x14ac:dyDescent="0.2"/>
  <cols>
    <col min="1" max="1" width="4.5703125" style="2" customWidth="1"/>
    <col min="2" max="2" width="63.28515625" style="2" customWidth="1"/>
    <col min="3" max="3" width="4.5703125" style="2" customWidth="1"/>
    <col min="4" max="4" width="21.7109375" style="2" customWidth="1"/>
    <col min="5" max="5" width="2.7109375" style="2" customWidth="1"/>
    <col min="6" max="6" width="21.7109375" style="2" customWidth="1"/>
    <col min="7" max="7" width="2.7109375" style="2" customWidth="1"/>
    <col min="8" max="8" width="30.7109375" style="2" customWidth="1"/>
    <col min="9" max="9" width="2.7109375" style="2" customWidth="1"/>
    <col min="10" max="19" width="12.5703125" style="2" customWidth="1"/>
    <col min="20" max="22" width="2.7109375" style="2" customWidth="1"/>
    <col min="23" max="37" width="13.7109375" style="2" customWidth="1"/>
    <col min="38" max="16384" width="9.140625" style="2"/>
  </cols>
  <sheetData>
    <row r="2" spans="2:8" s="12" customFormat="1" ht="18" x14ac:dyDescent="0.2">
      <c r="B2" s="12" t="s">
        <v>429</v>
      </c>
    </row>
    <row r="4" spans="2:8" x14ac:dyDescent="0.2">
      <c r="B4" s="19" t="s">
        <v>12</v>
      </c>
    </row>
    <row r="5" spans="2:8" x14ac:dyDescent="0.2">
      <c r="B5" s="2" t="s">
        <v>432</v>
      </c>
      <c r="F5" s="13"/>
    </row>
    <row r="6" spans="2:8" x14ac:dyDescent="0.2">
      <c r="B6" s="2" t="s">
        <v>355</v>
      </c>
      <c r="F6" s="13"/>
    </row>
    <row r="8" spans="2:8" s="8" customFormat="1" ht="12.75" customHeight="1" x14ac:dyDescent="0.2">
      <c r="B8" s="8" t="s">
        <v>80</v>
      </c>
      <c r="D8" s="8" t="s">
        <v>81</v>
      </c>
      <c r="F8" s="8" t="s">
        <v>37</v>
      </c>
      <c r="H8" s="8" t="s">
        <v>39</v>
      </c>
    </row>
    <row r="11" spans="2:8" s="8" customFormat="1" x14ac:dyDescent="0.2">
      <c r="B11" s="8" t="s">
        <v>347</v>
      </c>
    </row>
    <row r="13" spans="2:8" x14ac:dyDescent="0.2">
      <c r="B13" s="1" t="s">
        <v>348</v>
      </c>
    </row>
    <row r="14" spans="2:8" x14ac:dyDescent="0.2">
      <c r="B14" s="83" t="s">
        <v>711</v>
      </c>
      <c r="D14" s="2" t="s">
        <v>712</v>
      </c>
      <c r="F14" s="26">
        <f>'Income level'!M36</f>
        <v>1281704.6051395189</v>
      </c>
    </row>
    <row r="15" spans="2:8" x14ac:dyDescent="0.2">
      <c r="B15" s="83" t="s">
        <v>713</v>
      </c>
      <c r="D15" s="2" t="s">
        <v>95</v>
      </c>
      <c r="F15" s="26">
        <f>Estimates!M71</f>
        <v>1292.073872976589</v>
      </c>
    </row>
    <row r="16" spans="2:8" x14ac:dyDescent="0.2">
      <c r="B16" s="2" t="s">
        <v>714</v>
      </c>
      <c r="D16" s="2" t="s">
        <v>694</v>
      </c>
      <c r="F16" s="72">
        <f>F14/F15/12</f>
        <v>82.664559146994819</v>
      </c>
      <c r="H16" s="2" t="s">
        <v>352</v>
      </c>
    </row>
    <row r="18" spans="2:8" s="8" customFormat="1" x14ac:dyDescent="0.2">
      <c r="B18" s="8" t="s">
        <v>371</v>
      </c>
    </row>
    <row r="20" spans="2:8" x14ac:dyDescent="0.2">
      <c r="B20" s="1" t="s">
        <v>64</v>
      </c>
    </row>
    <row r="21" spans="2:8" x14ac:dyDescent="0.2">
      <c r="B21" s="2" t="s">
        <v>437</v>
      </c>
      <c r="D21" s="2" t="s">
        <v>73</v>
      </c>
      <c r="F21" s="59">
        <f>Parameters!F17</f>
        <v>1.9E-2</v>
      </c>
    </row>
    <row r="22" spans="2:8" x14ac:dyDescent="0.2">
      <c r="B22" s="4"/>
    </row>
    <row r="23" spans="2:8" x14ac:dyDescent="0.2">
      <c r="B23" s="19" t="s">
        <v>382</v>
      </c>
    </row>
    <row r="24" spans="2:8" x14ac:dyDescent="0.2">
      <c r="B24" s="2" t="s">
        <v>111</v>
      </c>
      <c r="D24" s="2" t="s">
        <v>289</v>
      </c>
      <c r="F24" s="71">
        <f>'Data ACM'!M62</f>
        <v>40</v>
      </c>
    </row>
    <row r="25" spans="2:8" x14ac:dyDescent="0.2">
      <c r="B25" s="2" t="s">
        <v>281</v>
      </c>
      <c r="D25" s="2" t="s">
        <v>289</v>
      </c>
      <c r="F25" s="71">
        <f>'Data ACM'!M55</f>
        <v>281.40138554396282</v>
      </c>
    </row>
    <row r="26" spans="2:8" x14ac:dyDescent="0.2">
      <c r="B26" s="2" t="s">
        <v>381</v>
      </c>
      <c r="D26" s="2" t="s">
        <v>289</v>
      </c>
      <c r="F26" s="71">
        <f>'Data ACM'!M56</f>
        <v>195.4296490024484</v>
      </c>
    </row>
    <row r="28" spans="2:8" x14ac:dyDescent="0.2">
      <c r="B28" s="19" t="s">
        <v>715</v>
      </c>
    </row>
    <row r="29" spans="2:8" x14ac:dyDescent="0.2">
      <c r="B29" s="2" t="s">
        <v>111</v>
      </c>
      <c r="D29" s="2" t="s">
        <v>655</v>
      </c>
      <c r="F29" s="72">
        <f>F24</f>
        <v>40</v>
      </c>
      <c r="H29" s="2" t="s">
        <v>354</v>
      </c>
    </row>
    <row r="30" spans="2:8" x14ac:dyDescent="0.2">
      <c r="B30" s="2" t="s">
        <v>716</v>
      </c>
      <c r="D30" s="2" t="s">
        <v>655</v>
      </c>
      <c r="F30" s="72">
        <f>F25*(1+$F$21)</f>
        <v>286.74801186929807</v>
      </c>
    </row>
    <row r="31" spans="2:8" x14ac:dyDescent="0.2">
      <c r="B31" s="2" t="s">
        <v>717</v>
      </c>
      <c r="D31" s="2" t="s">
        <v>655</v>
      </c>
      <c r="F31" s="72">
        <f>F26*(1+$F$21)</f>
        <v>199.1428123334949</v>
      </c>
    </row>
    <row r="32" spans="2:8" x14ac:dyDescent="0.2">
      <c r="B32" s="1"/>
    </row>
    <row r="34" spans="2:2" x14ac:dyDescent="0.2">
      <c r="B34" s="4" t="s">
        <v>63</v>
      </c>
    </row>
  </sheetData>
  <phoneticPr fontId="31"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33AD3-F2E6-405E-97AE-10DC7D5C3661}">
  <sheetPr>
    <tabColor rgb="FFCCFFFF"/>
  </sheetPr>
  <dimension ref="B2:AB95"/>
  <sheetViews>
    <sheetView showGridLines="0" zoomScale="85" zoomScaleNormal="85" workbookViewId="0"/>
  </sheetViews>
  <sheetFormatPr defaultColWidth="9.140625" defaultRowHeight="12.75" x14ac:dyDescent="0.2"/>
  <cols>
    <col min="1" max="1" width="9.140625" style="47"/>
    <col min="2" max="2" width="4.5703125" style="47" customWidth="1"/>
    <col min="3" max="3" width="52.5703125" style="47" customWidth="1"/>
    <col min="4" max="4" width="19.7109375" style="47" customWidth="1"/>
    <col min="5" max="6" width="14" style="47" customWidth="1"/>
    <col min="7" max="7" width="5.5703125" style="47" customWidth="1"/>
    <col min="8" max="8" width="20.140625" style="47" customWidth="1"/>
    <col min="9" max="9" width="4.5703125" style="47" customWidth="1"/>
    <col min="10" max="10" width="9.140625" style="47"/>
    <col min="11" max="11" width="10.28515625" style="47" bestFit="1" customWidth="1"/>
    <col min="12" max="16384" width="9.140625" style="47"/>
  </cols>
  <sheetData>
    <row r="2" spans="2:7" s="7" customFormat="1" ht="18" x14ac:dyDescent="0.2">
      <c r="C2" s="7" t="s">
        <v>220</v>
      </c>
    </row>
    <row r="3" spans="2:7" x14ac:dyDescent="0.2">
      <c r="B3" s="2"/>
      <c r="C3" s="2"/>
      <c r="D3" s="2"/>
      <c r="E3" s="2"/>
      <c r="F3" s="2"/>
      <c r="G3" s="2"/>
    </row>
    <row r="4" spans="2:7" x14ac:dyDescent="0.2">
      <c r="B4" s="2"/>
      <c r="C4" s="19" t="s">
        <v>80</v>
      </c>
      <c r="D4" s="2"/>
      <c r="E4" s="2"/>
      <c r="F4" s="2"/>
      <c r="G4" s="2"/>
    </row>
    <row r="5" spans="2:7" x14ac:dyDescent="0.2">
      <c r="B5" s="2"/>
      <c r="C5" s="2" t="s">
        <v>718</v>
      </c>
      <c r="D5" s="2"/>
      <c r="E5" s="13"/>
      <c r="F5" s="2"/>
      <c r="G5" s="2"/>
    </row>
    <row r="6" spans="2:7" x14ac:dyDescent="0.2">
      <c r="B6" s="2"/>
      <c r="C6" s="2"/>
      <c r="D6" s="2"/>
      <c r="E6" s="2"/>
      <c r="F6" s="2"/>
      <c r="G6" s="2"/>
    </row>
    <row r="7" spans="2:7" s="8" customFormat="1" x14ac:dyDescent="0.2">
      <c r="C7" s="8" t="s">
        <v>221</v>
      </c>
      <c r="D7" s="8" t="s">
        <v>36</v>
      </c>
    </row>
    <row r="9" spans="2:7" x14ac:dyDescent="0.2">
      <c r="C9" s="1" t="s">
        <v>222</v>
      </c>
      <c r="D9" s="47" t="s">
        <v>656</v>
      </c>
      <c r="E9" s="90">
        <f>Result!F14</f>
        <v>0.20330000000000001</v>
      </c>
    </row>
    <row r="10" spans="2:7" x14ac:dyDescent="0.2">
      <c r="C10" s="1"/>
    </row>
    <row r="11" spans="2:7" x14ac:dyDescent="0.2">
      <c r="B11" s="91"/>
      <c r="C11" s="92"/>
      <c r="D11" s="92"/>
      <c r="E11" s="92"/>
      <c r="F11" s="93"/>
    </row>
    <row r="12" spans="2:7" s="8" customFormat="1" x14ac:dyDescent="0.2">
      <c r="B12" s="94"/>
      <c r="C12" s="8" t="s">
        <v>719</v>
      </c>
      <c r="D12" s="8" t="s">
        <v>36</v>
      </c>
      <c r="F12" s="95"/>
    </row>
    <row r="13" spans="2:7" x14ac:dyDescent="0.2">
      <c r="B13" s="96"/>
      <c r="F13" s="97"/>
    </row>
    <row r="14" spans="2:7" x14ac:dyDescent="0.2">
      <c r="B14" s="96"/>
      <c r="C14" s="1" t="s">
        <v>223</v>
      </c>
      <c r="D14" s="47" t="s">
        <v>656</v>
      </c>
      <c r="E14" s="90">
        <f>Result!F19</f>
        <v>0.32519999999999999</v>
      </c>
      <c r="F14" s="97"/>
    </row>
    <row r="15" spans="2:7" x14ac:dyDescent="0.2">
      <c r="B15" s="96"/>
      <c r="F15" s="97"/>
    </row>
    <row r="16" spans="2:7" x14ac:dyDescent="0.2">
      <c r="B16" s="96"/>
      <c r="C16" s="1" t="s">
        <v>224</v>
      </c>
      <c r="F16" s="97"/>
    </row>
    <row r="17" spans="2:28" x14ac:dyDescent="0.2">
      <c r="B17" s="96"/>
      <c r="C17" s="2" t="s">
        <v>225</v>
      </c>
      <c r="D17" s="2" t="s">
        <v>720</v>
      </c>
      <c r="E17" s="98">
        <f>'Fixed tariffs electricity'!F17</f>
        <v>9.0535946963373366</v>
      </c>
      <c r="F17" s="97"/>
    </row>
    <row r="18" spans="2:28" x14ac:dyDescent="0.2">
      <c r="B18" s="96"/>
      <c r="C18" s="2" t="s">
        <v>226</v>
      </c>
      <c r="F18" s="97"/>
    </row>
    <row r="19" spans="2:28" x14ac:dyDescent="0.2">
      <c r="B19" s="96"/>
      <c r="C19" s="2" t="s">
        <v>227</v>
      </c>
      <c r="D19" s="2" t="s">
        <v>720</v>
      </c>
      <c r="E19" s="99">
        <f>Result!F24</f>
        <v>28.971503028279479</v>
      </c>
      <c r="F19" s="100"/>
      <c r="G19" s="2"/>
      <c r="I19" s="2"/>
      <c r="J19" s="2"/>
      <c r="K19" s="2"/>
      <c r="L19" s="2"/>
      <c r="M19" s="2"/>
      <c r="N19" s="2"/>
      <c r="O19" s="2"/>
      <c r="P19" s="2"/>
      <c r="Q19" s="2"/>
      <c r="R19" s="2"/>
      <c r="S19" s="2"/>
      <c r="T19" s="2"/>
      <c r="U19" s="2"/>
      <c r="V19" s="2"/>
      <c r="W19" s="2"/>
      <c r="X19" s="2"/>
      <c r="Y19" s="2"/>
      <c r="Z19" s="2"/>
      <c r="AA19" s="2"/>
      <c r="AB19" s="2"/>
    </row>
    <row r="20" spans="2:28" x14ac:dyDescent="0.2">
      <c r="B20" s="96"/>
      <c r="C20" s="2" t="s">
        <v>228</v>
      </c>
      <c r="D20" s="2" t="s">
        <v>720</v>
      </c>
      <c r="E20" s="99">
        <f>Result!F25</f>
        <v>69.712679161797496</v>
      </c>
      <c r="F20" s="100"/>
      <c r="G20" s="2"/>
      <c r="I20" s="2"/>
      <c r="J20" s="2"/>
      <c r="K20" s="2"/>
      <c r="L20" s="2"/>
      <c r="M20" s="2"/>
      <c r="N20" s="2"/>
      <c r="O20" s="2"/>
      <c r="P20" s="2"/>
      <c r="Q20" s="2"/>
      <c r="R20" s="2"/>
      <c r="S20" s="2"/>
      <c r="T20" s="2"/>
      <c r="U20" s="2"/>
      <c r="V20" s="2"/>
      <c r="W20" s="2"/>
      <c r="X20" s="2"/>
      <c r="Y20" s="2"/>
      <c r="Z20" s="2"/>
      <c r="AA20" s="2"/>
      <c r="AB20" s="2"/>
    </row>
    <row r="21" spans="2:28" x14ac:dyDescent="0.2">
      <c r="B21" s="96"/>
      <c r="C21" s="2" t="s">
        <v>229</v>
      </c>
      <c r="D21" s="2" t="s">
        <v>720</v>
      </c>
      <c r="E21" s="99">
        <f>Result!F26</f>
        <v>99.589541659710704</v>
      </c>
      <c r="F21" s="100"/>
      <c r="G21" s="2"/>
      <c r="I21" s="2"/>
      <c r="J21" s="2"/>
      <c r="K21" s="2"/>
      <c r="L21" s="2"/>
      <c r="M21" s="2"/>
      <c r="N21" s="2"/>
      <c r="O21" s="2"/>
      <c r="P21" s="2"/>
      <c r="Q21" s="2"/>
      <c r="R21" s="2"/>
      <c r="S21" s="2"/>
      <c r="T21" s="2"/>
      <c r="U21" s="2"/>
      <c r="V21" s="2"/>
      <c r="W21" s="2"/>
      <c r="X21" s="2"/>
      <c r="Y21" s="2"/>
      <c r="Z21" s="2"/>
      <c r="AA21" s="2"/>
      <c r="AB21" s="2"/>
    </row>
    <row r="22" spans="2:28" x14ac:dyDescent="0.2">
      <c r="B22" s="96"/>
      <c r="C22" s="2" t="s">
        <v>230</v>
      </c>
      <c r="D22" s="2" t="s">
        <v>720</v>
      </c>
      <c r="E22" s="99">
        <f>Result!F27</f>
        <v>125.48282249123548</v>
      </c>
      <c r="F22" s="100"/>
      <c r="G22" s="2"/>
      <c r="I22" s="2"/>
      <c r="J22" s="2"/>
      <c r="K22" s="2"/>
      <c r="L22" s="2"/>
      <c r="M22" s="2"/>
      <c r="N22" s="2"/>
      <c r="O22" s="2"/>
      <c r="P22" s="2"/>
      <c r="Q22" s="2"/>
      <c r="R22" s="2"/>
      <c r="S22" s="2"/>
      <c r="T22" s="2"/>
      <c r="U22" s="2"/>
      <c r="V22" s="2"/>
      <c r="W22" s="2"/>
      <c r="X22" s="2"/>
      <c r="Y22" s="2"/>
      <c r="Z22" s="2"/>
      <c r="AA22" s="2"/>
      <c r="AB22" s="2"/>
    </row>
    <row r="23" spans="2:28" x14ac:dyDescent="0.2">
      <c r="B23" s="96"/>
      <c r="C23" s="2" t="s">
        <v>231</v>
      </c>
      <c r="D23" s="2" t="s">
        <v>720</v>
      </c>
      <c r="E23" s="99">
        <f>Result!F28</f>
        <v>120.41280946128659</v>
      </c>
      <c r="F23" s="100"/>
      <c r="G23" s="2"/>
      <c r="I23" s="2"/>
      <c r="J23" s="2"/>
      <c r="K23" s="2"/>
      <c r="L23" s="2"/>
      <c r="M23" s="2"/>
      <c r="N23" s="2"/>
      <c r="O23" s="2"/>
      <c r="P23" s="2"/>
      <c r="Q23" s="2"/>
      <c r="R23" s="2"/>
      <c r="S23" s="2"/>
      <c r="T23" s="2"/>
      <c r="U23" s="2"/>
      <c r="V23" s="2"/>
      <c r="W23" s="2"/>
      <c r="X23" s="2"/>
      <c r="Y23" s="2"/>
      <c r="Z23" s="2"/>
      <c r="AA23" s="2"/>
      <c r="AB23" s="2"/>
    </row>
    <row r="24" spans="2:28" x14ac:dyDescent="0.2">
      <c r="B24" s="96"/>
      <c r="C24" s="2" t="s">
        <v>232</v>
      </c>
      <c r="D24" s="2" t="s">
        <v>720</v>
      </c>
      <c r="E24" s="99">
        <f>Result!F29</f>
        <v>172.01829923040938</v>
      </c>
      <c r="F24" s="100"/>
      <c r="G24" s="2"/>
      <c r="I24" s="2"/>
      <c r="J24" s="2"/>
      <c r="K24" s="2"/>
      <c r="L24" s="2"/>
      <c r="M24" s="2"/>
      <c r="N24" s="2"/>
      <c r="O24" s="2"/>
      <c r="P24" s="2"/>
      <c r="Q24" s="2"/>
      <c r="R24" s="2"/>
      <c r="S24" s="2"/>
      <c r="T24" s="2"/>
      <c r="U24" s="2"/>
      <c r="V24" s="2"/>
      <c r="W24" s="2"/>
      <c r="X24" s="2"/>
      <c r="Y24" s="2"/>
      <c r="Z24" s="2"/>
      <c r="AA24" s="2"/>
      <c r="AB24" s="2"/>
    </row>
    <row r="25" spans="2:28" x14ac:dyDescent="0.2">
      <c r="B25" s="96"/>
      <c r="C25" s="2" t="s">
        <v>233</v>
      </c>
      <c r="D25" s="2" t="s">
        <v>720</v>
      </c>
      <c r="E25" s="99">
        <f>Result!F30</f>
        <v>216.74305703031584</v>
      </c>
      <c r="F25" s="100"/>
      <c r="G25" s="2"/>
      <c r="I25" s="2"/>
      <c r="J25" s="2"/>
      <c r="K25" s="2"/>
      <c r="L25" s="2"/>
      <c r="M25" s="2"/>
      <c r="N25" s="2"/>
      <c r="O25" s="2"/>
      <c r="P25" s="2"/>
      <c r="Q25" s="2"/>
      <c r="R25" s="2"/>
      <c r="S25" s="2"/>
      <c r="T25" s="2"/>
      <c r="U25" s="2"/>
      <c r="V25" s="2"/>
      <c r="W25" s="2"/>
      <c r="X25" s="2"/>
      <c r="Y25" s="2"/>
      <c r="Z25" s="2"/>
      <c r="AA25" s="2"/>
      <c r="AB25" s="2"/>
    </row>
    <row r="26" spans="2:28" x14ac:dyDescent="0.2">
      <c r="B26" s="96"/>
      <c r="C26" s="2" t="s">
        <v>234</v>
      </c>
      <c r="D26" s="2" t="s">
        <v>720</v>
      </c>
      <c r="E26" s="99">
        <f>Result!F31</f>
        <v>275.22927876865504</v>
      </c>
      <c r="F26" s="100"/>
      <c r="G26" s="2"/>
      <c r="I26" s="2"/>
      <c r="J26" s="2"/>
      <c r="K26" s="2"/>
      <c r="L26" s="2"/>
      <c r="M26" s="2"/>
      <c r="N26" s="2"/>
      <c r="O26" s="2"/>
      <c r="P26" s="2"/>
      <c r="Q26" s="2"/>
      <c r="R26" s="2"/>
      <c r="S26" s="2"/>
      <c r="T26" s="2"/>
      <c r="U26" s="2"/>
      <c r="V26" s="2"/>
      <c r="W26" s="2"/>
      <c r="X26" s="2"/>
      <c r="Y26" s="2"/>
      <c r="Z26" s="2"/>
      <c r="AA26" s="2"/>
      <c r="AB26" s="2"/>
    </row>
    <row r="27" spans="2:28" x14ac:dyDescent="0.2">
      <c r="B27" s="96"/>
      <c r="C27" s="2" t="s">
        <v>235</v>
      </c>
      <c r="D27" s="2" t="s">
        <v>720</v>
      </c>
      <c r="E27" s="99">
        <f>Result!F32</f>
        <v>344.03659846081877</v>
      </c>
      <c r="F27" s="100"/>
      <c r="G27" s="2"/>
      <c r="I27" s="2"/>
      <c r="J27" s="2"/>
      <c r="K27" s="2"/>
      <c r="L27" s="2"/>
      <c r="M27" s="2"/>
      <c r="N27" s="2"/>
      <c r="O27" s="2"/>
      <c r="P27" s="2"/>
      <c r="Q27" s="2"/>
      <c r="R27" s="2"/>
      <c r="S27" s="2"/>
      <c r="T27" s="2"/>
      <c r="U27" s="2"/>
      <c r="V27" s="2"/>
      <c r="W27" s="2"/>
      <c r="X27" s="2"/>
      <c r="Y27" s="2"/>
      <c r="Z27" s="2"/>
      <c r="AA27" s="2"/>
      <c r="AB27" s="2"/>
    </row>
    <row r="28" spans="2:28" x14ac:dyDescent="0.2">
      <c r="B28" s="96"/>
      <c r="C28" s="2" t="s">
        <v>236</v>
      </c>
      <c r="D28" s="2" t="s">
        <v>720</v>
      </c>
      <c r="E28" s="99">
        <f>Result!F33</f>
        <v>430.04574807602347</v>
      </c>
      <c r="F28" s="100"/>
      <c r="G28" s="2"/>
      <c r="I28" s="2"/>
      <c r="J28" s="2"/>
      <c r="K28" s="2"/>
      <c r="L28" s="2"/>
      <c r="M28" s="2"/>
      <c r="N28" s="2"/>
      <c r="O28" s="2"/>
      <c r="P28" s="2"/>
      <c r="Q28" s="2"/>
      <c r="R28" s="2"/>
      <c r="S28" s="2"/>
      <c r="T28" s="2"/>
      <c r="U28" s="2"/>
      <c r="V28" s="2"/>
      <c r="W28" s="2"/>
      <c r="X28" s="2"/>
      <c r="Y28" s="2"/>
      <c r="Z28" s="2"/>
      <c r="AA28" s="2"/>
      <c r="AB28" s="2"/>
    </row>
    <row r="29" spans="2:28" x14ac:dyDescent="0.2">
      <c r="B29" s="96"/>
      <c r="C29" s="2" t="s">
        <v>237</v>
      </c>
      <c r="D29" s="2" t="s">
        <v>720</v>
      </c>
      <c r="E29" s="99">
        <f>Result!F34</f>
        <v>550.45855753731007</v>
      </c>
      <c r="F29" s="100"/>
      <c r="G29" s="2"/>
      <c r="I29" s="2"/>
      <c r="J29" s="2"/>
      <c r="K29" s="2"/>
      <c r="L29" s="2"/>
      <c r="M29" s="2"/>
      <c r="N29" s="2"/>
      <c r="O29" s="2"/>
      <c r="P29" s="2"/>
      <c r="Q29" s="2"/>
      <c r="R29" s="2"/>
      <c r="S29" s="2"/>
      <c r="T29" s="2"/>
      <c r="U29" s="2"/>
      <c r="V29" s="2"/>
      <c r="W29" s="2"/>
      <c r="X29" s="2"/>
      <c r="Y29" s="2"/>
      <c r="Z29" s="2"/>
      <c r="AA29" s="2"/>
      <c r="AB29" s="2"/>
    </row>
    <row r="30" spans="2:28" x14ac:dyDescent="0.2">
      <c r="B30" s="96"/>
      <c r="C30" s="2" t="s">
        <v>238</v>
      </c>
      <c r="D30" s="2" t="s">
        <v>720</v>
      </c>
      <c r="E30" s="99">
        <f>Result!F35</f>
        <v>688.07319692163753</v>
      </c>
      <c r="F30" s="100"/>
      <c r="G30" s="2"/>
      <c r="I30" s="2"/>
      <c r="J30" s="2"/>
      <c r="K30" s="2"/>
      <c r="L30" s="2"/>
      <c r="M30" s="2"/>
      <c r="N30" s="2"/>
      <c r="O30" s="2"/>
      <c r="P30" s="2"/>
      <c r="Q30" s="2"/>
      <c r="R30" s="2"/>
      <c r="S30" s="2"/>
      <c r="T30" s="2"/>
      <c r="U30" s="2"/>
      <c r="V30" s="2"/>
      <c r="W30" s="2"/>
      <c r="X30" s="2"/>
      <c r="Y30" s="2"/>
      <c r="Z30" s="2"/>
      <c r="AA30" s="2"/>
      <c r="AB30" s="2"/>
    </row>
    <row r="31" spans="2:28" x14ac:dyDescent="0.2">
      <c r="B31" s="96"/>
      <c r="C31" s="2" t="s">
        <v>239</v>
      </c>
      <c r="D31" s="2" t="s">
        <v>720</v>
      </c>
      <c r="E31" s="99">
        <f>Result!F36</f>
        <v>774.08234653684224</v>
      </c>
      <c r="F31" s="100"/>
      <c r="G31" s="2"/>
      <c r="I31" s="2"/>
      <c r="J31" s="2"/>
      <c r="K31" s="2"/>
      <c r="L31" s="2"/>
      <c r="M31" s="2"/>
      <c r="N31" s="2"/>
      <c r="O31" s="2"/>
      <c r="P31" s="2"/>
      <c r="Q31" s="2"/>
      <c r="R31" s="2"/>
      <c r="S31" s="2"/>
      <c r="T31" s="2"/>
      <c r="U31" s="2"/>
      <c r="V31" s="2"/>
      <c r="W31" s="2"/>
      <c r="X31" s="2"/>
      <c r="Y31" s="2"/>
      <c r="Z31" s="2"/>
      <c r="AA31" s="2"/>
      <c r="AB31" s="2"/>
    </row>
    <row r="32" spans="2:28" x14ac:dyDescent="0.2">
      <c r="B32" s="96"/>
      <c r="C32" s="2" t="s">
        <v>240</v>
      </c>
      <c r="D32" s="2" t="s">
        <v>720</v>
      </c>
      <c r="E32" s="99">
        <f>Result!F37</f>
        <v>860.09149615204694</v>
      </c>
      <c r="F32" s="100"/>
      <c r="G32" s="2"/>
      <c r="I32" s="2"/>
      <c r="J32" s="2"/>
      <c r="K32" s="2"/>
      <c r="L32" s="2"/>
      <c r="M32" s="2"/>
      <c r="N32" s="2"/>
      <c r="O32" s="2"/>
      <c r="P32" s="2"/>
      <c r="Q32" s="2"/>
      <c r="R32" s="2"/>
      <c r="S32" s="2"/>
      <c r="T32" s="2"/>
      <c r="U32" s="2"/>
      <c r="V32" s="2"/>
      <c r="W32" s="2"/>
      <c r="X32" s="2"/>
      <c r="Y32" s="2"/>
      <c r="Z32" s="2"/>
      <c r="AA32" s="2"/>
      <c r="AB32" s="2"/>
    </row>
    <row r="33" spans="2:28" x14ac:dyDescent="0.2">
      <c r="B33" s="96"/>
      <c r="C33" s="2" t="s">
        <v>241</v>
      </c>
      <c r="D33" s="2" t="s">
        <v>720</v>
      </c>
      <c r="E33" s="99">
        <f>Result!F38</f>
        <v>1083.7152851515791</v>
      </c>
      <c r="F33" s="100"/>
      <c r="G33" s="2"/>
      <c r="I33" s="2"/>
      <c r="J33" s="2"/>
      <c r="K33" s="2"/>
      <c r="L33" s="2"/>
      <c r="M33" s="2"/>
      <c r="N33" s="2"/>
      <c r="O33" s="2"/>
      <c r="P33" s="2"/>
      <c r="Q33" s="2"/>
      <c r="R33" s="2"/>
      <c r="S33" s="2"/>
      <c r="T33" s="2"/>
      <c r="U33" s="2"/>
      <c r="V33" s="2"/>
      <c r="W33" s="2"/>
      <c r="X33" s="2"/>
      <c r="Y33" s="2"/>
      <c r="Z33" s="2"/>
      <c r="AA33" s="2"/>
      <c r="AB33" s="2"/>
    </row>
    <row r="34" spans="2:28" x14ac:dyDescent="0.2">
      <c r="B34" s="96"/>
      <c r="C34" s="2" t="s">
        <v>242</v>
      </c>
      <c r="D34" s="2" t="s">
        <v>720</v>
      </c>
      <c r="E34" s="99">
        <f>Result!F39</f>
        <v>1584.379071859034</v>
      </c>
      <c r="F34" s="100"/>
      <c r="G34" s="2"/>
      <c r="I34" s="2"/>
      <c r="J34" s="2"/>
      <c r="K34" s="2"/>
      <c r="L34" s="2"/>
      <c r="M34" s="2"/>
      <c r="N34" s="2"/>
      <c r="O34" s="2"/>
      <c r="P34" s="2"/>
      <c r="Q34" s="2"/>
      <c r="R34" s="2"/>
      <c r="S34" s="2"/>
      <c r="T34" s="2"/>
      <c r="U34" s="2"/>
      <c r="V34" s="2"/>
      <c r="W34" s="2"/>
      <c r="X34" s="2"/>
      <c r="Y34" s="2"/>
      <c r="Z34" s="2"/>
      <c r="AA34" s="2"/>
      <c r="AB34" s="2"/>
    </row>
    <row r="35" spans="2:28" x14ac:dyDescent="0.2">
      <c r="B35" s="96"/>
      <c r="C35" s="2" t="s">
        <v>269</v>
      </c>
      <c r="D35" s="2" t="s">
        <v>720</v>
      </c>
      <c r="E35" s="99">
        <f>Result!F40</f>
        <v>1810.7189392674672</v>
      </c>
      <c r="F35" s="100"/>
      <c r="G35" s="2"/>
      <c r="I35" s="2"/>
      <c r="J35" s="2"/>
      <c r="K35" s="2"/>
      <c r="L35" s="2"/>
      <c r="M35" s="2"/>
      <c r="N35" s="2"/>
      <c r="O35" s="2"/>
      <c r="P35" s="2"/>
      <c r="Q35" s="2"/>
      <c r="R35" s="2"/>
      <c r="S35" s="2"/>
      <c r="T35" s="2"/>
      <c r="U35" s="2"/>
      <c r="V35" s="2"/>
      <c r="W35" s="2"/>
      <c r="X35" s="2"/>
      <c r="Y35" s="2"/>
      <c r="Z35" s="2"/>
      <c r="AA35" s="2"/>
      <c r="AB35" s="2"/>
    </row>
    <row r="36" spans="2:28" x14ac:dyDescent="0.2">
      <c r="B36" s="96"/>
      <c r="C36" s="2"/>
      <c r="D36" s="2"/>
      <c r="E36" s="2"/>
      <c r="F36" s="100"/>
      <c r="G36" s="2"/>
      <c r="I36" s="2"/>
      <c r="J36" s="2"/>
      <c r="K36" s="2"/>
      <c r="L36" s="2"/>
      <c r="M36" s="2"/>
      <c r="N36" s="2"/>
      <c r="O36" s="2"/>
      <c r="P36" s="2"/>
      <c r="Q36" s="2"/>
      <c r="R36" s="2"/>
      <c r="S36" s="2"/>
      <c r="T36" s="2"/>
      <c r="U36" s="2"/>
      <c r="V36" s="2"/>
      <c r="W36" s="2"/>
      <c r="X36" s="2"/>
      <c r="Y36" s="2"/>
      <c r="Z36" s="2"/>
      <c r="AA36" s="2"/>
      <c r="AB36" s="2"/>
    </row>
    <row r="37" spans="2:28" x14ac:dyDescent="0.2">
      <c r="B37" s="96"/>
      <c r="C37" s="1" t="s">
        <v>243</v>
      </c>
      <c r="D37" s="2"/>
      <c r="E37" s="2"/>
      <c r="F37" s="100"/>
      <c r="G37" s="2"/>
      <c r="I37" s="2"/>
      <c r="J37" s="2"/>
      <c r="K37" s="2"/>
      <c r="L37" s="2"/>
      <c r="M37" s="2"/>
      <c r="N37" s="2"/>
      <c r="O37" s="2"/>
      <c r="P37" s="2"/>
      <c r="Q37" s="2"/>
      <c r="R37" s="2"/>
      <c r="S37" s="2"/>
      <c r="T37" s="2"/>
      <c r="U37" s="2"/>
      <c r="V37" s="2"/>
      <c r="W37" s="2"/>
      <c r="X37" s="2"/>
      <c r="Y37" s="2"/>
      <c r="Z37" s="2"/>
      <c r="AA37" s="2"/>
      <c r="AB37" s="2"/>
    </row>
    <row r="38" spans="2:28" x14ac:dyDescent="0.2">
      <c r="B38" s="96"/>
      <c r="C38" s="2" t="s">
        <v>151</v>
      </c>
      <c r="D38" s="2" t="s">
        <v>655</v>
      </c>
      <c r="E38" s="99">
        <f>Result!F43</f>
        <v>40</v>
      </c>
      <c r="F38" s="100"/>
      <c r="G38" s="2"/>
      <c r="I38" s="2"/>
      <c r="J38" s="2"/>
      <c r="K38" s="2"/>
      <c r="L38" s="2"/>
      <c r="M38" s="2"/>
      <c r="N38" s="2"/>
      <c r="O38" s="2"/>
      <c r="P38" s="2"/>
      <c r="Q38" s="2"/>
      <c r="R38" s="2"/>
      <c r="S38" s="2"/>
      <c r="T38" s="2"/>
      <c r="U38" s="2"/>
      <c r="V38" s="2"/>
      <c r="W38" s="2"/>
      <c r="X38" s="2"/>
      <c r="Y38" s="2"/>
      <c r="Z38" s="2"/>
      <c r="AA38" s="2"/>
      <c r="AB38" s="2"/>
    </row>
    <row r="39" spans="2:28" x14ac:dyDescent="0.2">
      <c r="B39" s="96"/>
      <c r="C39" s="2" t="s">
        <v>153</v>
      </c>
      <c r="D39" s="2" t="s">
        <v>655</v>
      </c>
      <c r="E39" s="99">
        <f>Result!F46</f>
        <v>311.23991708010459</v>
      </c>
      <c r="F39" s="100"/>
      <c r="G39" s="2"/>
      <c r="I39" s="2"/>
      <c r="J39" s="2"/>
      <c r="K39" s="2"/>
      <c r="L39" s="2"/>
      <c r="M39" s="2"/>
      <c r="N39" s="2"/>
      <c r="O39" s="2"/>
      <c r="P39" s="2"/>
      <c r="Q39" s="2"/>
      <c r="R39" s="2"/>
      <c r="S39" s="2"/>
      <c r="T39" s="2"/>
      <c r="U39" s="2"/>
      <c r="V39" s="2"/>
      <c r="W39" s="2"/>
      <c r="X39" s="2"/>
      <c r="Y39" s="2"/>
      <c r="Z39" s="2"/>
      <c r="AA39" s="2"/>
      <c r="AB39" s="2"/>
    </row>
    <row r="40" spans="2:28" x14ac:dyDescent="0.2">
      <c r="B40" s="96"/>
      <c r="C40" s="2"/>
      <c r="D40" s="2"/>
      <c r="E40" s="2"/>
      <c r="F40" s="100"/>
      <c r="G40" s="2"/>
      <c r="I40" s="2"/>
      <c r="J40" s="2"/>
      <c r="K40" s="2"/>
      <c r="L40" s="2"/>
      <c r="M40" s="2"/>
      <c r="N40" s="2"/>
      <c r="O40" s="2"/>
      <c r="P40" s="2"/>
      <c r="Q40" s="2"/>
      <c r="R40" s="2"/>
      <c r="S40" s="2"/>
      <c r="T40" s="2"/>
      <c r="U40" s="2"/>
      <c r="V40" s="2"/>
      <c r="W40" s="2"/>
      <c r="X40" s="2"/>
      <c r="Y40" s="2"/>
      <c r="Z40" s="2"/>
      <c r="AA40" s="2"/>
      <c r="AB40" s="2"/>
    </row>
    <row r="41" spans="2:28" s="2" customFormat="1" x14ac:dyDescent="0.2">
      <c r="B41" s="101"/>
      <c r="C41" s="1" t="s">
        <v>244</v>
      </c>
      <c r="F41" s="100"/>
    </row>
    <row r="42" spans="2:28" x14ac:dyDescent="0.2">
      <c r="B42" s="96"/>
      <c r="C42" s="2" t="s">
        <v>109</v>
      </c>
      <c r="D42" s="2" t="s">
        <v>655</v>
      </c>
      <c r="E42" s="99">
        <f>Result!F47</f>
        <v>193.15500711299217</v>
      </c>
      <c r="F42" s="100"/>
      <c r="G42" s="2"/>
      <c r="I42" s="2"/>
      <c r="J42" s="2"/>
      <c r="K42" s="2"/>
      <c r="L42" s="2"/>
      <c r="M42" s="2"/>
      <c r="N42" s="2"/>
      <c r="O42" s="2"/>
      <c r="P42" s="2"/>
      <c r="Q42" s="2"/>
      <c r="R42" s="2"/>
      <c r="S42" s="2"/>
      <c r="T42" s="2"/>
      <c r="U42" s="2"/>
      <c r="V42" s="2"/>
      <c r="W42" s="2"/>
      <c r="X42" s="2"/>
      <c r="Y42" s="2"/>
      <c r="Z42" s="2"/>
      <c r="AA42" s="2"/>
      <c r="AB42" s="2"/>
    </row>
    <row r="43" spans="2:28" x14ac:dyDescent="0.2">
      <c r="B43" s="96"/>
      <c r="C43" s="2" t="s">
        <v>110</v>
      </c>
      <c r="D43" s="2" t="s">
        <v>655</v>
      </c>
      <c r="E43" s="99">
        <f>Result!F48</f>
        <v>209.69587597564362</v>
      </c>
      <c r="F43" s="100"/>
      <c r="G43" s="2"/>
      <c r="I43" s="2"/>
      <c r="J43" s="2"/>
      <c r="K43" s="2"/>
      <c r="L43" s="2"/>
      <c r="M43" s="2"/>
      <c r="N43" s="2"/>
      <c r="O43" s="2"/>
      <c r="P43" s="2"/>
      <c r="Q43" s="2"/>
      <c r="R43" s="2"/>
      <c r="S43" s="2"/>
      <c r="T43" s="2"/>
      <c r="U43" s="2"/>
      <c r="V43" s="2"/>
      <c r="W43" s="2"/>
      <c r="X43" s="2"/>
      <c r="Y43" s="2"/>
      <c r="Z43" s="2"/>
      <c r="AA43" s="2"/>
      <c r="AB43" s="2"/>
    </row>
    <row r="44" spans="2:28" x14ac:dyDescent="0.2">
      <c r="B44" s="102"/>
      <c r="C44" s="103"/>
      <c r="D44" s="103"/>
      <c r="E44" s="103"/>
      <c r="F44" s="104"/>
      <c r="G44" s="2"/>
      <c r="I44" s="2"/>
      <c r="J44" s="2"/>
      <c r="K44" s="2"/>
      <c r="L44" s="2"/>
      <c r="M44" s="2"/>
      <c r="N44" s="2"/>
      <c r="O44" s="2"/>
      <c r="P44" s="2"/>
      <c r="Q44" s="2"/>
      <c r="R44" s="2"/>
      <c r="S44" s="2"/>
      <c r="T44" s="2"/>
      <c r="U44" s="2"/>
      <c r="V44" s="2"/>
      <c r="W44" s="2"/>
      <c r="X44" s="2"/>
      <c r="Y44" s="2"/>
      <c r="Z44" s="2"/>
      <c r="AA44" s="2"/>
      <c r="AB44" s="2"/>
    </row>
    <row r="45" spans="2:28" x14ac:dyDescent="0.2">
      <c r="C45" s="2"/>
      <c r="D45" s="2"/>
      <c r="E45" s="2"/>
      <c r="F45" s="2"/>
      <c r="G45" s="2"/>
      <c r="I45" s="2"/>
      <c r="J45" s="2"/>
      <c r="K45" s="2"/>
      <c r="L45" s="2"/>
      <c r="M45" s="2"/>
      <c r="N45" s="2"/>
      <c r="O45" s="2"/>
      <c r="P45" s="2"/>
      <c r="Q45" s="2"/>
      <c r="R45" s="2"/>
      <c r="S45" s="2"/>
      <c r="T45" s="2"/>
      <c r="U45" s="2"/>
      <c r="V45" s="2"/>
      <c r="W45" s="2"/>
      <c r="X45" s="2"/>
      <c r="Y45" s="2"/>
      <c r="Z45" s="2"/>
      <c r="AA45" s="2"/>
      <c r="AB45" s="2"/>
    </row>
    <row r="46" spans="2:28" x14ac:dyDescent="0.2">
      <c r="B46" s="91"/>
      <c r="C46" s="105"/>
      <c r="D46" s="105"/>
      <c r="E46" s="105"/>
      <c r="F46" s="105"/>
      <c r="G46" s="106"/>
      <c r="I46" s="2"/>
      <c r="J46" s="2"/>
      <c r="K46" s="2"/>
      <c r="L46" s="2"/>
      <c r="M46" s="2"/>
      <c r="N46" s="2"/>
      <c r="O46" s="2"/>
      <c r="P46" s="2"/>
      <c r="Q46" s="2"/>
      <c r="R46" s="2"/>
      <c r="S46" s="2"/>
      <c r="T46" s="2"/>
      <c r="U46" s="2"/>
      <c r="V46" s="2"/>
      <c r="W46" s="2"/>
      <c r="X46" s="2"/>
      <c r="Y46" s="2"/>
      <c r="Z46" s="2"/>
      <c r="AA46" s="2"/>
      <c r="AB46" s="2"/>
    </row>
    <row r="47" spans="2:28" s="8" customFormat="1" x14ac:dyDescent="0.2">
      <c r="B47" s="94"/>
      <c r="C47" s="8" t="s">
        <v>721</v>
      </c>
      <c r="D47" s="8" t="s">
        <v>36</v>
      </c>
      <c r="G47" s="95"/>
    </row>
    <row r="48" spans="2:28" s="2" customFormat="1" x14ac:dyDescent="0.2">
      <c r="B48" s="101"/>
      <c r="G48" s="100"/>
    </row>
    <row r="49" spans="2:28" x14ac:dyDescent="0.2">
      <c r="B49" s="96"/>
      <c r="C49" s="1" t="s">
        <v>64</v>
      </c>
      <c r="D49" s="2"/>
      <c r="E49" s="2"/>
      <c r="F49" s="2"/>
      <c r="G49" s="100"/>
      <c r="I49" s="2"/>
      <c r="J49" s="2"/>
      <c r="K49" s="2"/>
      <c r="L49" s="2"/>
      <c r="M49" s="2"/>
      <c r="N49" s="2"/>
      <c r="O49" s="2"/>
      <c r="P49" s="2"/>
      <c r="Q49" s="2"/>
      <c r="R49" s="2"/>
      <c r="S49" s="2"/>
      <c r="T49" s="2"/>
      <c r="U49" s="2"/>
      <c r="V49" s="2"/>
      <c r="W49" s="2"/>
      <c r="X49" s="2"/>
      <c r="Y49" s="2"/>
      <c r="Z49" s="2"/>
      <c r="AA49" s="2"/>
      <c r="AB49" s="2"/>
    </row>
    <row r="50" spans="2:28" x14ac:dyDescent="0.2">
      <c r="B50" s="96"/>
      <c r="C50" s="83" t="s">
        <v>748</v>
      </c>
      <c r="D50" s="2" t="s">
        <v>73</v>
      </c>
      <c r="E50" s="107">
        <f>Parameters!F26</f>
        <v>8.3799999999999999E-2</v>
      </c>
      <c r="F50" s="2"/>
      <c r="G50" s="100"/>
      <c r="I50" s="2"/>
      <c r="J50" s="2"/>
      <c r="K50" s="2"/>
      <c r="L50" s="2"/>
      <c r="M50" s="2"/>
      <c r="N50" s="2"/>
      <c r="O50" s="2"/>
      <c r="P50" s="2"/>
      <c r="Q50" s="2"/>
      <c r="R50" s="2"/>
      <c r="S50" s="2"/>
      <c r="T50" s="2"/>
      <c r="U50" s="2"/>
      <c r="V50" s="2"/>
      <c r="W50" s="2"/>
      <c r="X50" s="2"/>
      <c r="Y50" s="2"/>
      <c r="Z50" s="2"/>
      <c r="AA50" s="2"/>
      <c r="AB50" s="2"/>
    </row>
    <row r="51" spans="2:28" x14ac:dyDescent="0.2">
      <c r="B51" s="96"/>
      <c r="C51" s="83" t="s">
        <v>749</v>
      </c>
      <c r="D51" s="2" t="s">
        <v>73</v>
      </c>
      <c r="E51" s="107">
        <f>Parameters!F27</f>
        <v>7.2800000000000004E-2</v>
      </c>
      <c r="F51" s="2"/>
      <c r="G51" s="100"/>
      <c r="I51" s="2"/>
      <c r="J51" s="2"/>
      <c r="K51" s="2"/>
      <c r="L51" s="2"/>
      <c r="M51" s="2"/>
      <c r="N51" s="2"/>
      <c r="O51" s="2"/>
      <c r="P51" s="2"/>
      <c r="Q51" s="2"/>
      <c r="R51" s="2"/>
      <c r="S51" s="2"/>
      <c r="T51" s="2"/>
      <c r="U51" s="2"/>
      <c r="V51" s="2"/>
      <c r="W51" s="2"/>
      <c r="X51" s="2"/>
      <c r="Y51" s="2"/>
      <c r="Z51" s="2"/>
      <c r="AA51" s="2"/>
      <c r="AB51" s="2"/>
    </row>
    <row r="52" spans="2:28" x14ac:dyDescent="0.2">
      <c r="B52" s="96"/>
      <c r="C52" s="2" t="s">
        <v>722</v>
      </c>
      <c r="D52" s="2" t="s">
        <v>73</v>
      </c>
      <c r="E52" s="107">
        <f>Parameters!F31</f>
        <v>8.8900000000000007E-2</v>
      </c>
      <c r="F52" s="2"/>
      <c r="G52" s="100"/>
      <c r="I52" s="2"/>
      <c r="J52" s="2"/>
      <c r="K52" s="2"/>
      <c r="L52" s="2"/>
      <c r="M52" s="2"/>
      <c r="N52" s="2"/>
      <c r="O52" s="2"/>
      <c r="P52" s="2"/>
      <c r="Q52" s="2"/>
      <c r="R52" s="2"/>
      <c r="S52" s="2"/>
      <c r="T52" s="2"/>
      <c r="U52" s="2"/>
      <c r="V52" s="2"/>
      <c r="W52" s="2"/>
      <c r="X52" s="2"/>
      <c r="Y52" s="2"/>
      <c r="Z52" s="2"/>
      <c r="AA52" s="2"/>
      <c r="AB52" s="2"/>
    </row>
    <row r="53" spans="2:28" x14ac:dyDescent="0.2">
      <c r="B53" s="96"/>
      <c r="C53" s="2" t="s">
        <v>723</v>
      </c>
      <c r="D53" s="2" t="s">
        <v>73</v>
      </c>
      <c r="E53" s="107">
        <f>Parameters!F32</f>
        <v>8.0799999999999997E-2</v>
      </c>
      <c r="F53" s="2"/>
      <c r="G53" s="100"/>
      <c r="I53" s="2"/>
      <c r="J53" s="2"/>
      <c r="K53" s="2"/>
      <c r="L53" s="2"/>
      <c r="M53" s="2"/>
      <c r="N53" s="2"/>
      <c r="O53" s="2"/>
      <c r="P53" s="2"/>
      <c r="Q53" s="2"/>
      <c r="R53" s="2"/>
      <c r="S53" s="2"/>
      <c r="T53" s="2"/>
      <c r="U53" s="2"/>
      <c r="V53" s="2"/>
      <c r="W53" s="2"/>
      <c r="X53" s="2"/>
      <c r="Y53" s="2"/>
      <c r="Z53" s="2"/>
      <c r="AA53" s="2"/>
      <c r="AB53" s="2"/>
    </row>
    <row r="54" spans="2:28" x14ac:dyDescent="0.2">
      <c r="B54" s="96"/>
      <c r="C54" s="2" t="s">
        <v>74</v>
      </c>
      <c r="D54" s="2" t="s">
        <v>73</v>
      </c>
      <c r="E54" s="107">
        <f>Parameters!F16</f>
        <v>3.2000000000000001E-2</v>
      </c>
      <c r="F54" s="2"/>
      <c r="G54" s="100"/>
      <c r="I54" s="2"/>
      <c r="J54" s="2"/>
      <c r="K54" s="2"/>
      <c r="L54" s="2"/>
      <c r="M54" s="2"/>
      <c r="N54" s="2"/>
      <c r="O54" s="2"/>
      <c r="P54" s="2"/>
      <c r="Q54" s="2"/>
      <c r="R54" s="2"/>
      <c r="S54" s="2"/>
      <c r="T54" s="2"/>
      <c r="U54" s="2"/>
      <c r="V54" s="2"/>
      <c r="W54" s="2"/>
      <c r="X54" s="2"/>
      <c r="Y54" s="2"/>
      <c r="Z54" s="2"/>
      <c r="AA54" s="2"/>
      <c r="AB54" s="2"/>
    </row>
    <row r="55" spans="2:28" x14ac:dyDescent="0.2">
      <c r="B55" s="96"/>
      <c r="C55" s="2" t="s">
        <v>437</v>
      </c>
      <c r="D55" s="2" t="s">
        <v>73</v>
      </c>
      <c r="E55" s="107">
        <f>Parameters!F17</f>
        <v>1.9E-2</v>
      </c>
      <c r="F55" s="2"/>
      <c r="G55" s="100"/>
      <c r="I55" s="2"/>
      <c r="J55" s="2"/>
      <c r="K55" s="2"/>
      <c r="L55" s="2"/>
      <c r="M55" s="2"/>
      <c r="N55" s="2"/>
      <c r="O55" s="2"/>
      <c r="P55" s="2"/>
      <c r="Q55" s="2"/>
      <c r="R55" s="2"/>
      <c r="S55" s="2"/>
      <c r="T55" s="2"/>
      <c r="U55" s="2"/>
      <c r="V55" s="2"/>
      <c r="W55" s="2"/>
      <c r="X55" s="2"/>
      <c r="Y55" s="2"/>
      <c r="Z55" s="2"/>
      <c r="AA55" s="2"/>
      <c r="AB55" s="2"/>
    </row>
    <row r="56" spans="2:28" x14ac:dyDescent="0.2">
      <c r="B56" s="96"/>
      <c r="C56" s="2" t="s">
        <v>245</v>
      </c>
      <c r="D56" s="2" t="s">
        <v>73</v>
      </c>
      <c r="E56" s="107">
        <f>Parameters!F37</f>
        <v>0.5</v>
      </c>
      <c r="F56" s="2"/>
      <c r="G56" s="100"/>
      <c r="I56" s="2"/>
      <c r="J56" s="2"/>
      <c r="K56" s="2"/>
      <c r="L56" s="2"/>
      <c r="M56" s="2"/>
      <c r="N56" s="2"/>
      <c r="O56" s="2"/>
      <c r="P56" s="2"/>
      <c r="Q56" s="2"/>
      <c r="R56" s="2"/>
      <c r="S56" s="2"/>
      <c r="T56" s="2"/>
      <c r="U56" s="2"/>
      <c r="V56" s="2"/>
      <c r="W56" s="2"/>
      <c r="X56" s="2"/>
      <c r="Y56" s="2"/>
      <c r="Z56" s="2"/>
      <c r="AA56" s="2"/>
      <c r="AB56" s="2"/>
    </row>
    <row r="57" spans="2:28" x14ac:dyDescent="0.2">
      <c r="B57" s="96"/>
      <c r="C57" s="2" t="s">
        <v>76</v>
      </c>
      <c r="D57" s="2" t="s">
        <v>73</v>
      </c>
      <c r="E57" s="107">
        <f>Parameters!F20</f>
        <v>0.03</v>
      </c>
      <c r="F57" s="2"/>
      <c r="G57" s="100"/>
      <c r="I57" s="2"/>
      <c r="J57" s="2"/>
      <c r="K57" s="2"/>
      <c r="L57" s="2"/>
      <c r="M57" s="2"/>
      <c r="N57" s="2"/>
      <c r="O57" s="2"/>
      <c r="P57" s="2"/>
      <c r="Q57" s="2"/>
      <c r="R57" s="2"/>
      <c r="S57" s="2"/>
      <c r="T57" s="2"/>
      <c r="U57" s="2"/>
      <c r="V57" s="2"/>
      <c r="W57" s="2"/>
      <c r="X57" s="2"/>
      <c r="Y57" s="2"/>
      <c r="Z57" s="2"/>
      <c r="AA57" s="2"/>
      <c r="AB57" s="2"/>
    </row>
    <row r="58" spans="2:28" ht="12" customHeight="1" x14ac:dyDescent="0.2">
      <c r="B58" s="96"/>
      <c r="D58" s="2"/>
      <c r="G58" s="100"/>
      <c r="I58" s="2"/>
      <c r="J58" s="2"/>
      <c r="K58" s="2"/>
      <c r="L58" s="2"/>
      <c r="M58" s="2"/>
      <c r="N58" s="2"/>
      <c r="O58" s="2"/>
      <c r="P58" s="2"/>
      <c r="Q58" s="2"/>
      <c r="R58" s="2"/>
      <c r="S58" s="2"/>
      <c r="T58" s="2"/>
      <c r="U58" s="2"/>
      <c r="V58" s="2"/>
      <c r="W58" s="2"/>
      <c r="X58" s="2"/>
      <c r="Y58" s="2"/>
      <c r="Z58" s="2"/>
      <c r="AA58" s="2"/>
      <c r="AB58" s="2"/>
    </row>
    <row r="59" spans="2:28" ht="25.5" x14ac:dyDescent="0.2">
      <c r="B59" s="96"/>
      <c r="C59" s="1" t="s">
        <v>750</v>
      </c>
      <c r="D59" s="108"/>
      <c r="E59" s="109" t="s">
        <v>164</v>
      </c>
      <c r="F59" s="109" t="s">
        <v>69</v>
      </c>
      <c r="G59" s="100"/>
      <c r="I59" s="2"/>
      <c r="J59" s="2"/>
      <c r="K59" s="2"/>
      <c r="L59" s="2"/>
      <c r="M59" s="2"/>
      <c r="N59" s="2"/>
      <c r="O59" s="2"/>
      <c r="P59" s="2"/>
      <c r="Q59" s="2"/>
      <c r="R59" s="2"/>
      <c r="S59" s="2"/>
      <c r="T59" s="2"/>
      <c r="U59" s="2"/>
      <c r="V59" s="2"/>
      <c r="W59" s="2"/>
      <c r="X59" s="2"/>
      <c r="Y59" s="2"/>
      <c r="Z59" s="2"/>
      <c r="AA59" s="2"/>
      <c r="AB59" s="2"/>
    </row>
    <row r="60" spans="2:28" x14ac:dyDescent="0.2">
      <c r="B60" s="96"/>
      <c r="C60" s="2" t="s">
        <v>624</v>
      </c>
      <c r="D60" s="2" t="s">
        <v>130</v>
      </c>
      <c r="E60" s="110">
        <f>'Financial data'!J16</f>
        <v>2076797.0070999998</v>
      </c>
      <c r="F60" s="110">
        <f>'Financial data'!K16</f>
        <v>1376192.1908999998</v>
      </c>
      <c r="G60" s="100"/>
      <c r="I60" s="2"/>
      <c r="J60" s="2"/>
      <c r="K60" s="2"/>
      <c r="L60" s="2"/>
      <c r="M60" s="2"/>
      <c r="N60" s="2"/>
      <c r="O60" s="2"/>
      <c r="P60" s="2"/>
      <c r="Q60" s="2"/>
      <c r="R60" s="2"/>
      <c r="S60" s="2"/>
      <c r="T60" s="2"/>
      <c r="U60" s="2"/>
      <c r="V60" s="2"/>
      <c r="W60" s="2"/>
      <c r="X60" s="2"/>
      <c r="Y60" s="2"/>
      <c r="Z60" s="2"/>
      <c r="AA60" s="2"/>
      <c r="AB60" s="2"/>
    </row>
    <row r="61" spans="2:28" x14ac:dyDescent="0.2">
      <c r="B61" s="96"/>
      <c r="C61" s="2" t="s">
        <v>501</v>
      </c>
      <c r="D61" s="2" t="s">
        <v>130</v>
      </c>
      <c r="E61" s="110">
        <f>'Financial data'!J17</f>
        <v>886.94235000000003</v>
      </c>
      <c r="F61" s="110">
        <f>'Financial data'!K17</f>
        <v>128458.43064999998</v>
      </c>
      <c r="G61" s="100"/>
      <c r="I61" s="2"/>
      <c r="J61" s="2"/>
      <c r="K61" s="2"/>
      <c r="L61" s="2"/>
      <c r="M61" s="2"/>
      <c r="N61" s="2"/>
      <c r="O61" s="2"/>
      <c r="P61" s="2"/>
      <c r="Q61" s="2"/>
      <c r="R61" s="2"/>
      <c r="S61" s="2"/>
      <c r="T61" s="2"/>
      <c r="U61" s="2"/>
      <c r="V61" s="2"/>
      <c r="W61" s="2"/>
      <c r="X61" s="2"/>
      <c r="Y61" s="2"/>
      <c r="Z61" s="2"/>
      <c r="AA61" s="2"/>
      <c r="AB61" s="2"/>
    </row>
    <row r="62" spans="2:28" x14ac:dyDescent="0.2">
      <c r="B62" s="96"/>
      <c r="C62" s="2" t="s">
        <v>751</v>
      </c>
      <c r="D62" s="2" t="s">
        <v>88</v>
      </c>
      <c r="E62" s="110">
        <f>'Financial data'!J23</f>
        <v>3498800.5176609857</v>
      </c>
      <c r="F62" s="110">
        <f>'Financial data'!K23</f>
        <v>2018113.325682065</v>
      </c>
      <c r="G62" s="100"/>
      <c r="I62" s="2"/>
      <c r="J62" s="2"/>
      <c r="K62" s="2"/>
      <c r="L62" s="2"/>
      <c r="M62" s="2"/>
      <c r="N62" s="2"/>
      <c r="O62" s="2"/>
      <c r="P62" s="2"/>
      <c r="Q62" s="2"/>
      <c r="R62" s="2"/>
      <c r="S62" s="2"/>
      <c r="T62" s="2"/>
      <c r="U62" s="2"/>
      <c r="V62" s="2"/>
      <c r="W62" s="2"/>
      <c r="X62" s="2"/>
      <c r="Y62" s="2"/>
      <c r="Z62" s="2"/>
      <c r="AA62" s="2"/>
      <c r="AB62" s="2"/>
    </row>
    <row r="63" spans="2:28" x14ac:dyDescent="0.2">
      <c r="B63" s="96"/>
      <c r="C63" s="2" t="s">
        <v>752</v>
      </c>
      <c r="D63" s="2" t="s">
        <v>88</v>
      </c>
      <c r="E63" s="110">
        <f>'Financial data'!J24</f>
        <v>458415.40787124331</v>
      </c>
      <c r="F63" s="110">
        <f>'Financial data'!K24</f>
        <v>238571.9973477961</v>
      </c>
      <c r="G63" s="100"/>
      <c r="I63" s="2"/>
      <c r="J63" s="2"/>
      <c r="K63" s="2"/>
      <c r="L63" s="2"/>
      <c r="M63" s="2"/>
      <c r="N63" s="2"/>
      <c r="O63" s="2"/>
      <c r="P63" s="2"/>
      <c r="Q63" s="2"/>
      <c r="R63" s="2"/>
      <c r="S63" s="2"/>
      <c r="T63" s="2"/>
      <c r="U63" s="2"/>
      <c r="V63" s="2"/>
      <c r="W63" s="2"/>
      <c r="X63" s="2"/>
      <c r="Y63" s="2"/>
      <c r="Z63" s="2"/>
      <c r="AA63" s="2"/>
      <c r="AB63" s="2"/>
    </row>
    <row r="64" spans="2:28" x14ac:dyDescent="0.2">
      <c r="B64" s="96"/>
      <c r="C64" s="2"/>
      <c r="D64" s="2"/>
      <c r="E64" s="2"/>
      <c r="F64" s="2"/>
      <c r="G64" s="100"/>
      <c r="I64" s="2"/>
      <c r="J64" s="2"/>
      <c r="K64" s="2"/>
      <c r="L64" s="2"/>
      <c r="M64" s="2"/>
      <c r="N64" s="2"/>
      <c r="O64" s="2"/>
      <c r="P64" s="2"/>
      <c r="Q64" s="2"/>
      <c r="R64" s="2"/>
      <c r="S64" s="2"/>
      <c r="T64" s="2"/>
      <c r="U64" s="2"/>
      <c r="V64" s="2"/>
      <c r="W64" s="2"/>
      <c r="X64" s="2"/>
      <c r="Y64" s="2"/>
      <c r="Z64" s="2"/>
      <c r="AA64" s="2"/>
      <c r="AB64" s="2"/>
    </row>
    <row r="65" spans="2:28" x14ac:dyDescent="0.2">
      <c r="B65" s="96"/>
      <c r="C65" s="1" t="s">
        <v>263</v>
      </c>
      <c r="D65" s="2"/>
      <c r="E65" s="2"/>
      <c r="F65" s="2"/>
      <c r="G65" s="100"/>
      <c r="I65" s="2"/>
      <c r="J65" s="2"/>
      <c r="K65" s="2"/>
      <c r="L65" s="2"/>
      <c r="M65" s="2"/>
      <c r="N65" s="2"/>
      <c r="O65" s="2"/>
      <c r="P65" s="2"/>
      <c r="Q65" s="2"/>
      <c r="R65" s="2"/>
      <c r="S65" s="2"/>
      <c r="T65" s="2"/>
      <c r="U65" s="2"/>
      <c r="V65" s="2"/>
      <c r="W65" s="2"/>
      <c r="X65" s="2"/>
      <c r="Y65" s="2"/>
      <c r="Z65" s="2"/>
      <c r="AA65" s="2"/>
      <c r="AB65" s="2"/>
    </row>
    <row r="66" spans="2:28" x14ac:dyDescent="0.2">
      <c r="B66" s="96"/>
      <c r="C66" s="47" t="s">
        <v>724</v>
      </c>
      <c r="D66" s="2" t="s">
        <v>88</v>
      </c>
      <c r="E66" s="110">
        <f>'Fixed-variable costs'!J39</f>
        <v>126282.04343430605</v>
      </c>
      <c r="F66" s="2"/>
      <c r="G66" s="100"/>
      <c r="I66" s="2"/>
      <c r="J66" s="2"/>
      <c r="K66" s="2"/>
      <c r="L66" s="2"/>
      <c r="M66" s="2"/>
      <c r="N66" s="2"/>
      <c r="O66" s="2"/>
      <c r="P66" s="2"/>
      <c r="Q66" s="2"/>
      <c r="R66" s="2"/>
      <c r="S66" s="2"/>
      <c r="T66" s="2"/>
      <c r="U66" s="2"/>
      <c r="V66" s="2"/>
      <c r="W66" s="2"/>
      <c r="X66" s="2"/>
      <c r="Y66" s="2"/>
      <c r="Z66" s="2"/>
      <c r="AA66" s="2"/>
      <c r="AB66" s="2"/>
    </row>
    <row r="67" spans="2:28" x14ac:dyDescent="0.2">
      <c r="B67" s="96"/>
      <c r="C67" s="2"/>
      <c r="D67" s="2"/>
      <c r="E67" s="2"/>
      <c r="F67" s="2"/>
      <c r="G67" s="100"/>
      <c r="I67" s="2"/>
      <c r="J67" s="2"/>
      <c r="K67" s="2"/>
      <c r="L67" s="2"/>
      <c r="M67" s="2"/>
      <c r="N67" s="2"/>
      <c r="O67" s="2"/>
      <c r="P67" s="2"/>
      <c r="Q67" s="2"/>
      <c r="R67" s="2"/>
      <c r="S67" s="2"/>
      <c r="T67" s="2"/>
      <c r="U67" s="2"/>
      <c r="V67" s="2"/>
      <c r="W67" s="2"/>
      <c r="X67" s="2"/>
      <c r="Y67" s="2"/>
      <c r="Z67" s="2"/>
      <c r="AA67" s="2"/>
      <c r="AB67" s="2"/>
    </row>
    <row r="68" spans="2:28" x14ac:dyDescent="0.2">
      <c r="B68" s="96"/>
      <c r="C68" s="1" t="s">
        <v>129</v>
      </c>
      <c r="D68" s="2"/>
      <c r="G68" s="97"/>
      <c r="K68" s="111"/>
    </row>
    <row r="69" spans="2:28" x14ac:dyDescent="0.2">
      <c r="B69" s="96"/>
      <c r="C69" s="83" t="s">
        <v>610</v>
      </c>
      <c r="D69" s="2" t="s">
        <v>655</v>
      </c>
      <c r="E69" s="110">
        <f>'Overview corrections'!J43</f>
        <v>107373.81978165831</v>
      </c>
      <c r="F69" s="110">
        <f>'Overview corrections'!K43</f>
        <v>43184.668550139555</v>
      </c>
      <c r="G69" s="97"/>
      <c r="K69" s="111"/>
    </row>
    <row r="70" spans="2:28" x14ac:dyDescent="0.2">
      <c r="B70" s="96"/>
      <c r="C70" s="2" t="s">
        <v>753</v>
      </c>
      <c r="D70" s="2" t="s">
        <v>655</v>
      </c>
      <c r="E70" s="110">
        <f>'Overview corrections'!J41</f>
        <v>-119916.29170277591</v>
      </c>
      <c r="F70" s="110">
        <f>'Overview corrections'!K41</f>
        <v>3556.8236724885501</v>
      </c>
      <c r="G70" s="97"/>
    </row>
    <row r="71" spans="2:28" x14ac:dyDescent="0.2">
      <c r="B71" s="96"/>
      <c r="C71" s="2" t="s">
        <v>754</v>
      </c>
      <c r="D71" s="2" t="s">
        <v>655</v>
      </c>
      <c r="E71" s="110">
        <f>'Overview corrections'!J42</f>
        <v>-62115.765844128066</v>
      </c>
      <c r="F71" s="110">
        <f>'Overview corrections'!K42</f>
        <v>340041.22536652483</v>
      </c>
      <c r="G71" s="97"/>
    </row>
    <row r="72" spans="2:28" x14ac:dyDescent="0.2">
      <c r="B72" s="96"/>
      <c r="C72" s="2" t="s">
        <v>755</v>
      </c>
      <c r="D72" s="2" t="s">
        <v>655</v>
      </c>
      <c r="F72" s="110">
        <f>'Overview corrections'!K50</f>
        <v>-148570.92823983624</v>
      </c>
      <c r="G72" s="97"/>
    </row>
    <row r="73" spans="2:28" x14ac:dyDescent="0.2">
      <c r="B73" s="96"/>
      <c r="C73" s="2" t="s">
        <v>463</v>
      </c>
      <c r="D73" s="2" t="s">
        <v>655</v>
      </c>
      <c r="E73" s="110">
        <f>'Overview corrections'!J40</f>
        <v>647972.66533700877</v>
      </c>
      <c r="G73" s="97"/>
    </row>
    <row r="74" spans="2:28" x14ac:dyDescent="0.2">
      <c r="B74" s="96"/>
      <c r="C74" s="2" t="s">
        <v>320</v>
      </c>
      <c r="D74" s="2" t="s">
        <v>655</v>
      </c>
      <c r="F74" s="110">
        <f>'Overview corrections'!K49</f>
        <v>35271.548720944222</v>
      </c>
      <c r="G74" s="97"/>
    </row>
    <row r="75" spans="2:28" x14ac:dyDescent="0.2">
      <c r="B75" s="96"/>
      <c r="C75" s="83" t="s">
        <v>756</v>
      </c>
      <c r="D75" s="2" t="s">
        <v>655</v>
      </c>
      <c r="E75" s="110">
        <f>'Overview corrections'!J45</f>
        <v>54086.718927999995</v>
      </c>
      <c r="G75" s="97"/>
    </row>
    <row r="76" spans="2:28" x14ac:dyDescent="0.2">
      <c r="B76" s="96"/>
      <c r="C76" s="1"/>
      <c r="D76" s="2"/>
      <c r="E76" s="2"/>
      <c r="F76" s="2"/>
      <c r="G76" s="100"/>
    </row>
    <row r="77" spans="2:28" x14ac:dyDescent="0.2">
      <c r="B77" s="96"/>
      <c r="C77" s="1" t="s">
        <v>725</v>
      </c>
      <c r="D77" s="2"/>
      <c r="E77" s="2"/>
      <c r="F77" s="2"/>
      <c r="G77" s="100"/>
      <c r="I77" s="2"/>
      <c r="J77" s="2"/>
    </row>
    <row r="78" spans="2:28" x14ac:dyDescent="0.2">
      <c r="B78" s="96"/>
      <c r="C78" s="47" t="s">
        <v>726</v>
      </c>
      <c r="D78" s="2" t="s">
        <v>655</v>
      </c>
      <c r="E78" s="110">
        <f>'Income level'!J35</f>
        <v>3094601.7546796687</v>
      </c>
      <c r="F78" s="110">
        <f>'Income level'!K35</f>
        <v>1725808.1835794509</v>
      </c>
      <c r="G78" s="97"/>
    </row>
    <row r="79" spans="2:28" x14ac:dyDescent="0.2">
      <c r="B79" s="96"/>
      <c r="C79" s="47" t="s">
        <v>246</v>
      </c>
      <c r="D79" s="2" t="s">
        <v>657</v>
      </c>
      <c r="E79" s="112">
        <f>'Fixed-variable costs'!J64</f>
        <v>2.4585526128458539E-2</v>
      </c>
      <c r="F79" s="112">
        <f>'Fixed-variable costs'!K64</f>
        <v>31.473949486736412</v>
      </c>
      <c r="G79" s="97"/>
      <c r="J79" s="2"/>
    </row>
    <row r="80" spans="2:28" x14ac:dyDescent="0.2">
      <c r="B80" s="96"/>
      <c r="C80" s="47" t="s">
        <v>727</v>
      </c>
      <c r="D80" s="2" t="s">
        <v>655</v>
      </c>
      <c r="E80" s="110">
        <f>'Income level'!J36</f>
        <v>3635986.7247260218</v>
      </c>
      <c r="F80" s="110">
        <f>'Income level'!K36</f>
        <v>2112590.9011686039</v>
      </c>
      <c r="G80" s="97"/>
    </row>
    <row r="81" spans="2:7" x14ac:dyDescent="0.2">
      <c r="B81" s="96"/>
      <c r="G81" s="97"/>
    </row>
    <row r="82" spans="2:7" x14ac:dyDescent="0.2">
      <c r="B82" s="96"/>
      <c r="C82" s="113" t="s">
        <v>728</v>
      </c>
      <c r="G82" s="97"/>
    </row>
    <row r="83" spans="2:7" x14ac:dyDescent="0.2">
      <c r="B83" s="96"/>
      <c r="C83" s="2" t="s">
        <v>247</v>
      </c>
      <c r="D83" s="2" t="s">
        <v>93</v>
      </c>
      <c r="E83" s="110">
        <f>Estimates!J22</f>
        <v>17885720.400000002</v>
      </c>
      <c r="G83" s="97"/>
    </row>
    <row r="84" spans="2:7" x14ac:dyDescent="0.2">
      <c r="B84" s="96"/>
      <c r="C84" s="2" t="s">
        <v>248</v>
      </c>
      <c r="D84" s="2" t="s">
        <v>93</v>
      </c>
      <c r="E84" s="110">
        <f>Estimates!J20</f>
        <v>9609000</v>
      </c>
      <c r="G84" s="97"/>
    </row>
    <row r="85" spans="2:7" x14ac:dyDescent="0.2">
      <c r="B85" s="96"/>
      <c r="C85" s="2" t="s">
        <v>249</v>
      </c>
      <c r="D85" s="2" t="s">
        <v>93</v>
      </c>
      <c r="E85" s="110">
        <f>Estimates!J21</f>
        <v>8276720.4000000022</v>
      </c>
      <c r="G85" s="97"/>
    </row>
    <row r="86" spans="2:7" x14ac:dyDescent="0.2">
      <c r="B86" s="96"/>
      <c r="C86" s="2" t="s">
        <v>250</v>
      </c>
      <c r="D86" s="2" t="s">
        <v>251</v>
      </c>
      <c r="E86" s="112">
        <f>Estimates!J35</f>
        <v>0.262156735518915</v>
      </c>
      <c r="G86" s="97"/>
    </row>
    <row r="87" spans="2:7" x14ac:dyDescent="0.2">
      <c r="B87" s="96"/>
      <c r="C87" s="2" t="s">
        <v>252</v>
      </c>
      <c r="D87" s="2" t="s">
        <v>102</v>
      </c>
      <c r="E87" s="114">
        <f>'Historical data'!F49</f>
        <v>0.78389534243249115</v>
      </c>
      <c r="G87" s="97"/>
    </row>
    <row r="88" spans="2:7" x14ac:dyDescent="0.2">
      <c r="B88" s="96"/>
      <c r="C88" s="2"/>
      <c r="D88" s="2"/>
      <c r="E88" s="115"/>
      <c r="G88" s="97"/>
    </row>
    <row r="89" spans="2:7" x14ac:dyDescent="0.2">
      <c r="B89" s="96"/>
      <c r="C89" s="2" t="s">
        <v>729</v>
      </c>
      <c r="D89" s="2" t="s">
        <v>73</v>
      </c>
      <c r="F89" s="116">
        <f>Estimates!K17</f>
        <v>9.5000000000000001E-2</v>
      </c>
      <c r="G89" s="97"/>
    </row>
    <row r="90" spans="2:7" x14ac:dyDescent="0.2">
      <c r="B90" s="96"/>
      <c r="C90" s="2" t="s">
        <v>730</v>
      </c>
      <c r="D90" s="2" t="s">
        <v>94</v>
      </c>
      <c r="F90" s="110">
        <f>Estimates!K63</f>
        <v>19445.231167159676</v>
      </c>
      <c r="G90" s="97"/>
    </row>
    <row r="91" spans="2:7" x14ac:dyDescent="0.2">
      <c r="B91" s="96"/>
      <c r="G91" s="97"/>
    </row>
    <row r="92" spans="2:7" x14ac:dyDescent="0.2">
      <c r="B92" s="96"/>
      <c r="G92" s="97"/>
    </row>
    <row r="93" spans="2:7" x14ac:dyDescent="0.2">
      <c r="B93" s="96"/>
      <c r="C93" s="47" t="s">
        <v>253</v>
      </c>
      <c r="G93" s="97"/>
    </row>
    <row r="94" spans="2:7" x14ac:dyDescent="0.2">
      <c r="B94" s="96"/>
      <c r="G94" s="97"/>
    </row>
    <row r="95" spans="2:7" x14ac:dyDescent="0.2">
      <c r="B95" s="102"/>
      <c r="C95" s="117"/>
      <c r="D95" s="117"/>
      <c r="E95" s="117"/>
      <c r="F95" s="117"/>
      <c r="G95" s="118"/>
    </row>
  </sheetData>
  <phoneticPr fontId="31"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468C9-1105-4652-A659-6B0449E3C922}">
  <sheetPr>
    <tabColor rgb="FFCCFFFF"/>
  </sheetPr>
  <dimension ref="B2:AB75"/>
  <sheetViews>
    <sheetView showGridLines="0" zoomScale="85" zoomScaleNormal="85" workbookViewId="0"/>
  </sheetViews>
  <sheetFormatPr defaultColWidth="9.140625" defaultRowHeight="12.75" x14ac:dyDescent="0.2"/>
  <cols>
    <col min="1" max="1" width="9.140625" style="47"/>
    <col min="2" max="2" width="4.85546875" style="47" customWidth="1"/>
    <col min="3" max="3" width="59.140625" style="47" customWidth="1"/>
    <col min="4" max="4" width="20.140625" style="47" customWidth="1"/>
    <col min="5" max="7" width="14.42578125" style="47" customWidth="1"/>
    <col min="8" max="8" width="5" style="47" customWidth="1"/>
    <col min="9" max="16384" width="9.140625" style="47"/>
  </cols>
  <sheetData>
    <row r="2" spans="2:8" s="7" customFormat="1" ht="18" x14ac:dyDescent="0.2">
      <c r="C2" s="7" t="s">
        <v>254</v>
      </c>
    </row>
    <row r="3" spans="2:8" x14ac:dyDescent="0.2">
      <c r="B3" s="2"/>
      <c r="C3" s="2"/>
      <c r="D3" s="2"/>
      <c r="E3" s="2"/>
      <c r="F3" s="2"/>
      <c r="G3" s="2"/>
    </row>
    <row r="4" spans="2:8" x14ac:dyDescent="0.2">
      <c r="C4" s="19" t="s">
        <v>80</v>
      </c>
      <c r="D4" s="2"/>
      <c r="E4" s="2"/>
      <c r="F4" s="2"/>
      <c r="G4" s="2"/>
      <c r="H4" s="2"/>
    </row>
    <row r="5" spans="2:8" x14ac:dyDescent="0.2">
      <c r="C5" s="2" t="s">
        <v>718</v>
      </c>
      <c r="D5" s="2"/>
      <c r="E5" s="13"/>
      <c r="F5" s="2"/>
      <c r="G5" s="2"/>
      <c r="H5" s="2"/>
    </row>
    <row r="6" spans="2:8" x14ac:dyDescent="0.2">
      <c r="B6" s="2"/>
      <c r="C6" s="2"/>
      <c r="D6" s="2"/>
      <c r="E6" s="2"/>
      <c r="F6" s="2"/>
      <c r="G6" s="2"/>
      <c r="H6" s="2"/>
    </row>
    <row r="7" spans="2:8" s="8" customFormat="1" x14ac:dyDescent="0.2">
      <c r="C7" s="8" t="s">
        <v>221</v>
      </c>
      <c r="D7" s="8" t="s">
        <v>36</v>
      </c>
    </row>
    <row r="9" spans="2:8" x14ac:dyDescent="0.2">
      <c r="C9" s="1" t="s">
        <v>255</v>
      </c>
      <c r="D9" s="47" t="s">
        <v>731</v>
      </c>
      <c r="E9" s="139">
        <f>Result!F53</f>
        <v>7.9279999999999999</v>
      </c>
    </row>
    <row r="10" spans="2:8" x14ac:dyDescent="0.2">
      <c r="C10" s="1"/>
    </row>
    <row r="11" spans="2:8" x14ac:dyDescent="0.2">
      <c r="B11" s="91"/>
      <c r="C11" s="92"/>
      <c r="D11" s="92"/>
      <c r="E11" s="92"/>
      <c r="F11" s="93"/>
    </row>
    <row r="12" spans="2:8" s="8" customFormat="1" x14ac:dyDescent="0.2">
      <c r="B12" s="94"/>
      <c r="C12" s="8" t="s">
        <v>719</v>
      </c>
      <c r="D12" s="8" t="s">
        <v>36</v>
      </c>
      <c r="F12" s="95"/>
    </row>
    <row r="13" spans="2:8" x14ac:dyDescent="0.2">
      <c r="B13" s="96"/>
      <c r="F13" s="97"/>
    </row>
    <row r="14" spans="2:8" x14ac:dyDescent="0.2">
      <c r="B14" s="96"/>
      <c r="C14" s="1" t="s">
        <v>256</v>
      </c>
      <c r="D14" s="47" t="s">
        <v>731</v>
      </c>
      <c r="E14" s="139">
        <f>Result!F56</f>
        <v>14.936</v>
      </c>
      <c r="F14" s="97"/>
    </row>
    <row r="15" spans="2:8" x14ac:dyDescent="0.2">
      <c r="B15" s="96"/>
      <c r="F15" s="97"/>
    </row>
    <row r="16" spans="2:8" x14ac:dyDescent="0.2">
      <c r="B16" s="96"/>
      <c r="C16" s="1" t="s">
        <v>257</v>
      </c>
      <c r="D16" s="47" t="s">
        <v>732</v>
      </c>
      <c r="E16" s="98">
        <f>Result!F59</f>
        <v>82.664559146994819</v>
      </c>
      <c r="F16" s="97"/>
    </row>
    <row r="17" spans="2:10" x14ac:dyDescent="0.2">
      <c r="B17" s="96"/>
      <c r="C17" s="2"/>
      <c r="D17" s="2"/>
      <c r="E17" s="2"/>
      <c r="F17" s="100"/>
      <c r="G17" s="2"/>
      <c r="H17" s="2"/>
      <c r="I17" s="2"/>
      <c r="J17" s="2"/>
    </row>
    <row r="18" spans="2:10" x14ac:dyDescent="0.2">
      <c r="B18" s="96"/>
      <c r="C18" s="1" t="s">
        <v>258</v>
      </c>
      <c r="D18" s="2"/>
      <c r="E18" s="2"/>
      <c r="F18" s="100"/>
      <c r="G18" s="2"/>
      <c r="H18" s="2"/>
      <c r="I18" s="2"/>
      <c r="J18" s="2"/>
    </row>
    <row r="19" spans="2:10" x14ac:dyDescent="0.2">
      <c r="B19" s="96"/>
      <c r="C19" s="2" t="s">
        <v>151</v>
      </c>
      <c r="D19" s="2" t="s">
        <v>655</v>
      </c>
      <c r="E19" s="99">
        <f>Result!F62</f>
        <v>40</v>
      </c>
      <c r="F19" s="100"/>
      <c r="G19" s="2"/>
      <c r="H19" s="2"/>
      <c r="I19" s="2"/>
      <c r="J19" s="2"/>
    </row>
    <row r="20" spans="2:10" x14ac:dyDescent="0.2">
      <c r="B20" s="96"/>
      <c r="C20" s="2" t="s">
        <v>160</v>
      </c>
      <c r="D20" s="2" t="s">
        <v>655</v>
      </c>
      <c r="E20" s="99">
        <f>Result!F65</f>
        <v>286.74801186929807</v>
      </c>
      <c r="F20" s="100"/>
      <c r="G20" s="2"/>
      <c r="H20" s="2"/>
      <c r="I20" s="2"/>
      <c r="J20" s="2"/>
    </row>
    <row r="21" spans="2:10" x14ac:dyDescent="0.2">
      <c r="B21" s="96"/>
      <c r="C21" s="2" t="s">
        <v>161</v>
      </c>
      <c r="D21" s="2" t="s">
        <v>655</v>
      </c>
      <c r="E21" s="99">
        <f>Result!F66</f>
        <v>199.1428123334949</v>
      </c>
      <c r="F21" s="100"/>
      <c r="G21" s="2"/>
      <c r="H21" s="2"/>
      <c r="I21" s="2"/>
      <c r="J21" s="2"/>
    </row>
    <row r="22" spans="2:10" x14ac:dyDescent="0.2">
      <c r="B22" s="101"/>
      <c r="C22" s="2"/>
      <c r="D22" s="2"/>
      <c r="E22" s="2"/>
      <c r="F22" s="100"/>
      <c r="G22" s="2"/>
      <c r="H22" s="2"/>
      <c r="I22" s="2"/>
      <c r="J22" s="2"/>
    </row>
    <row r="23" spans="2:10" x14ac:dyDescent="0.2">
      <c r="B23" s="96"/>
      <c r="C23" s="1" t="s">
        <v>162</v>
      </c>
      <c r="D23" s="2"/>
      <c r="E23" s="2"/>
      <c r="F23" s="100"/>
      <c r="G23" s="2"/>
      <c r="H23" s="2"/>
      <c r="I23" s="2"/>
      <c r="J23" s="2"/>
    </row>
    <row r="24" spans="2:10" x14ac:dyDescent="0.2">
      <c r="B24" s="96"/>
      <c r="C24" s="2" t="s">
        <v>259</v>
      </c>
      <c r="D24" s="47" t="s">
        <v>731</v>
      </c>
      <c r="E24" s="140">
        <f>Result!F69</f>
        <v>19.241</v>
      </c>
      <c r="F24" s="100"/>
      <c r="G24" s="2"/>
      <c r="H24" s="2"/>
      <c r="I24" s="2"/>
      <c r="J24" s="2"/>
    </row>
    <row r="25" spans="2:10" x14ac:dyDescent="0.2">
      <c r="B25" s="102"/>
      <c r="C25" s="103"/>
      <c r="D25" s="103"/>
      <c r="E25" s="103"/>
      <c r="F25" s="104"/>
      <c r="G25" s="2"/>
      <c r="H25" s="2"/>
      <c r="I25" s="2"/>
      <c r="J25" s="2"/>
    </row>
    <row r="26" spans="2:10" x14ac:dyDescent="0.2">
      <c r="C26" s="2"/>
      <c r="D26" s="2"/>
      <c r="E26" s="2"/>
      <c r="F26" s="2"/>
      <c r="G26" s="2"/>
      <c r="H26" s="2"/>
      <c r="I26" s="2"/>
      <c r="J26" s="2"/>
    </row>
    <row r="27" spans="2:10" x14ac:dyDescent="0.2">
      <c r="B27" s="91"/>
      <c r="C27" s="105"/>
      <c r="D27" s="105"/>
      <c r="E27" s="105"/>
      <c r="F27" s="105"/>
      <c r="G27" s="105"/>
      <c r="H27" s="106"/>
      <c r="I27" s="2"/>
      <c r="J27" s="2"/>
    </row>
    <row r="28" spans="2:10" s="8" customFormat="1" x14ac:dyDescent="0.2">
      <c r="B28" s="94"/>
      <c r="C28" s="8" t="s">
        <v>733</v>
      </c>
      <c r="D28" s="8" t="s">
        <v>36</v>
      </c>
      <c r="H28" s="95"/>
    </row>
    <row r="29" spans="2:10" x14ac:dyDescent="0.2">
      <c r="B29" s="101"/>
      <c r="C29" s="2"/>
      <c r="D29" s="2"/>
      <c r="E29" s="2"/>
      <c r="F29" s="2"/>
      <c r="G29" s="2"/>
      <c r="H29" s="100"/>
      <c r="I29" s="2"/>
      <c r="J29" s="2"/>
    </row>
    <row r="30" spans="2:10" x14ac:dyDescent="0.2">
      <c r="B30" s="96"/>
      <c r="C30" s="1" t="s">
        <v>64</v>
      </c>
      <c r="D30" s="2"/>
      <c r="E30" s="2"/>
      <c r="F30" s="2"/>
      <c r="G30" s="2"/>
      <c r="H30" s="100"/>
      <c r="I30" s="2"/>
      <c r="J30" s="2"/>
    </row>
    <row r="31" spans="2:10" x14ac:dyDescent="0.2">
      <c r="B31" s="96"/>
      <c r="C31" s="2" t="s">
        <v>757</v>
      </c>
      <c r="D31" s="2" t="s">
        <v>73</v>
      </c>
      <c r="E31" s="107">
        <f>Parameters!F28</f>
        <v>8.2500000000000004E-2</v>
      </c>
      <c r="F31" s="2"/>
      <c r="G31" s="2"/>
      <c r="H31" s="100"/>
      <c r="I31" s="2"/>
      <c r="J31" s="2"/>
    </row>
    <row r="32" spans="2:10" x14ac:dyDescent="0.2">
      <c r="B32" s="96"/>
      <c r="C32" s="2" t="s">
        <v>734</v>
      </c>
      <c r="D32" s="2" t="s">
        <v>73</v>
      </c>
      <c r="E32" s="107">
        <f>Parameters!F33</f>
        <v>7.1300000000000002E-2</v>
      </c>
      <c r="F32" s="2"/>
      <c r="G32" s="2"/>
      <c r="H32" s="100"/>
      <c r="I32" s="2"/>
      <c r="J32" s="2"/>
    </row>
    <row r="33" spans="2:28" x14ac:dyDescent="0.2">
      <c r="B33" s="96"/>
      <c r="C33" s="2" t="s">
        <v>74</v>
      </c>
      <c r="D33" s="2" t="s">
        <v>73</v>
      </c>
      <c r="E33" s="107">
        <f>Parameters!F16</f>
        <v>3.2000000000000001E-2</v>
      </c>
      <c r="F33" s="2"/>
      <c r="G33" s="2"/>
      <c r="H33" s="100"/>
      <c r="I33" s="2"/>
      <c r="J33" s="2"/>
    </row>
    <row r="34" spans="2:28" x14ac:dyDescent="0.2">
      <c r="B34" s="96"/>
      <c r="C34" s="2" t="s">
        <v>437</v>
      </c>
      <c r="D34" s="2" t="s">
        <v>73</v>
      </c>
      <c r="E34" s="107">
        <f>Parameters!F17</f>
        <v>1.9E-2</v>
      </c>
      <c r="F34" s="2"/>
      <c r="G34" s="2"/>
      <c r="H34" s="100"/>
      <c r="I34" s="2"/>
      <c r="J34" s="2"/>
    </row>
    <row r="35" spans="2:28" x14ac:dyDescent="0.2">
      <c r="B35" s="96"/>
      <c r="C35" s="2" t="s">
        <v>76</v>
      </c>
      <c r="D35" s="2" t="s">
        <v>73</v>
      </c>
      <c r="E35" s="107">
        <f>Parameters!F20</f>
        <v>0.03</v>
      </c>
      <c r="F35" s="2"/>
      <c r="G35" s="2"/>
      <c r="H35" s="100"/>
      <c r="I35" s="2"/>
      <c r="J35" s="2"/>
    </row>
    <row r="36" spans="2:28" x14ac:dyDescent="0.2">
      <c r="B36" s="96"/>
      <c r="C36" s="2" t="s">
        <v>735</v>
      </c>
      <c r="D36" s="2" t="s">
        <v>73</v>
      </c>
      <c r="E36" s="107">
        <f>Estimates!N28</f>
        <v>1.1022524288763996E-2</v>
      </c>
      <c r="F36" s="2"/>
      <c r="G36" s="2"/>
      <c r="H36" s="100"/>
      <c r="I36" s="2"/>
      <c r="J36" s="2"/>
    </row>
    <row r="37" spans="2:28" x14ac:dyDescent="0.2">
      <c r="B37" s="96"/>
      <c r="C37" s="2" t="s">
        <v>260</v>
      </c>
      <c r="D37" s="2" t="s">
        <v>73</v>
      </c>
      <c r="E37" s="107">
        <f>Parameters!F37</f>
        <v>0.5</v>
      </c>
      <c r="F37" s="2"/>
      <c r="H37" s="100"/>
      <c r="I37" s="2"/>
      <c r="J37" s="2"/>
      <c r="K37" s="2"/>
      <c r="L37" s="2"/>
      <c r="M37" s="2"/>
      <c r="N37" s="2"/>
      <c r="O37" s="2"/>
      <c r="P37" s="2"/>
      <c r="Q37" s="2"/>
      <c r="R37" s="2"/>
      <c r="S37" s="2"/>
      <c r="T37" s="2"/>
      <c r="U37" s="2"/>
      <c r="V37" s="2"/>
      <c r="W37" s="2"/>
      <c r="X37" s="2"/>
      <c r="Y37" s="2"/>
      <c r="Z37" s="2"/>
      <c r="AA37" s="2"/>
      <c r="AB37" s="2"/>
    </row>
    <row r="38" spans="2:28" x14ac:dyDescent="0.2">
      <c r="B38" s="96"/>
      <c r="D38" s="2"/>
      <c r="H38" s="100"/>
      <c r="I38" s="2"/>
      <c r="J38" s="2"/>
    </row>
    <row r="39" spans="2:28" ht="25.5" customHeight="1" x14ac:dyDescent="0.2">
      <c r="B39" s="96"/>
      <c r="C39" s="1" t="s">
        <v>750</v>
      </c>
      <c r="D39" s="108"/>
      <c r="E39" s="109" t="s">
        <v>261</v>
      </c>
      <c r="F39" s="109" t="s">
        <v>262</v>
      </c>
      <c r="G39" s="109" t="s">
        <v>72</v>
      </c>
      <c r="H39" s="100"/>
      <c r="I39" s="2"/>
      <c r="J39" s="2"/>
    </row>
    <row r="40" spans="2:28" x14ac:dyDescent="0.2">
      <c r="B40" s="96"/>
      <c r="C40" s="2" t="s">
        <v>624</v>
      </c>
      <c r="D40" s="2" t="s">
        <v>130</v>
      </c>
      <c r="E40" s="110">
        <f>'Fixed-variable costs'!L44</f>
        <v>898450.34100000001</v>
      </c>
      <c r="F40" s="110">
        <f>'Fixed-variable costs'!M44</f>
        <v>726831.10616041452</v>
      </c>
      <c r="G40" s="110">
        <f>'Fixed-variable costs'!N44</f>
        <v>8100.8048395852375</v>
      </c>
      <c r="H40" s="100"/>
      <c r="I40" s="2"/>
      <c r="J40" s="2"/>
    </row>
    <row r="41" spans="2:28" x14ac:dyDescent="0.2">
      <c r="B41" s="96"/>
      <c r="C41" s="2" t="s">
        <v>501</v>
      </c>
      <c r="D41" s="2" t="s">
        <v>130</v>
      </c>
      <c r="E41" s="110">
        <f>'Fixed-variable costs'!L45</f>
        <v>422.3535</v>
      </c>
      <c r="F41" s="110">
        <f>'Fixed-variable costs'!M45</f>
        <v>32233.340846512438</v>
      </c>
      <c r="G41" s="110">
        <f>'Fixed-variable costs'!N45</f>
        <v>359.25265348756153</v>
      </c>
      <c r="H41" s="100"/>
      <c r="I41" s="2"/>
      <c r="J41" s="2"/>
    </row>
    <row r="42" spans="2:28" x14ac:dyDescent="0.2">
      <c r="B42" s="96"/>
      <c r="C42" s="2" t="s">
        <v>751</v>
      </c>
      <c r="D42" s="2" t="s">
        <v>88</v>
      </c>
      <c r="E42" s="110">
        <f>'Fixed-variable costs'!L46</f>
        <v>1340233.1679049861</v>
      </c>
      <c r="F42" s="110">
        <f>'Fixed-variable costs'!M46</f>
        <v>3305641.9555254066</v>
      </c>
      <c r="G42" s="110">
        <f>'Fixed-variable costs'!N46</f>
        <v>48805.513032770017</v>
      </c>
      <c r="H42" s="100"/>
      <c r="I42" s="2"/>
      <c r="J42" s="2"/>
    </row>
    <row r="43" spans="2:28" x14ac:dyDescent="0.2">
      <c r="B43" s="96"/>
      <c r="C43" s="2" t="s">
        <v>752</v>
      </c>
      <c r="D43" s="2" t="s">
        <v>88</v>
      </c>
      <c r="E43" s="110">
        <f>'Fixed-variable costs'!L47</f>
        <v>137450.84816906904</v>
      </c>
      <c r="F43" s="110">
        <f>'Fixed-variable costs'!M47</f>
        <v>232825.12852664362</v>
      </c>
      <c r="G43" s="110">
        <f>'Fixed-variable costs'!N47</f>
        <v>3766.9728850012816</v>
      </c>
      <c r="H43" s="100"/>
      <c r="I43" s="2"/>
      <c r="J43" s="2"/>
    </row>
    <row r="44" spans="2:28" x14ac:dyDescent="0.2">
      <c r="B44" s="96"/>
      <c r="C44" s="2"/>
      <c r="D44" s="2"/>
      <c r="E44" s="2"/>
      <c r="F44" s="2"/>
      <c r="G44" s="2"/>
      <c r="H44" s="100"/>
      <c r="I44" s="2"/>
      <c r="J44" s="2"/>
    </row>
    <row r="45" spans="2:28" x14ac:dyDescent="0.2">
      <c r="B45" s="96"/>
      <c r="C45" s="1" t="s">
        <v>263</v>
      </c>
      <c r="D45" s="2"/>
      <c r="E45" s="2"/>
      <c r="F45" s="2"/>
      <c r="H45" s="100"/>
      <c r="I45" s="2"/>
      <c r="J45" s="2"/>
    </row>
    <row r="46" spans="2:28" x14ac:dyDescent="0.2">
      <c r="B46" s="96"/>
      <c r="C46" s="47" t="s">
        <v>736</v>
      </c>
      <c r="D46" s="47" t="s">
        <v>737</v>
      </c>
      <c r="E46" s="2"/>
      <c r="F46" s="110">
        <f>'Financial data'!M44</f>
        <v>4592.7167202651281</v>
      </c>
      <c r="H46" s="100"/>
      <c r="I46" s="2"/>
      <c r="J46" s="2"/>
    </row>
    <row r="47" spans="2:28" x14ac:dyDescent="0.2">
      <c r="B47" s="96"/>
      <c r="C47" s="47" t="s">
        <v>738</v>
      </c>
      <c r="D47" s="47" t="s">
        <v>737</v>
      </c>
      <c r="E47" s="2"/>
      <c r="F47" s="110">
        <f>'Financial data'!M45</f>
        <v>319.32811466559002</v>
      </c>
      <c r="H47" s="100"/>
      <c r="I47" s="2"/>
      <c r="J47" s="2"/>
    </row>
    <row r="48" spans="2:28" x14ac:dyDescent="0.2">
      <c r="B48" s="96"/>
      <c r="H48" s="100"/>
      <c r="I48" s="2"/>
      <c r="J48" s="2"/>
    </row>
    <row r="49" spans="2:10" x14ac:dyDescent="0.2">
      <c r="B49" s="96"/>
      <c r="C49" s="1" t="s">
        <v>129</v>
      </c>
      <c r="D49" s="2"/>
      <c r="H49" s="97"/>
    </row>
    <row r="50" spans="2:10" x14ac:dyDescent="0.2">
      <c r="B50" s="96"/>
      <c r="C50" s="83" t="s">
        <v>610</v>
      </c>
      <c r="D50" s="47" t="s">
        <v>655</v>
      </c>
      <c r="E50" s="110">
        <f>'Overview corrections'!L43</f>
        <v>34456.753959695518</v>
      </c>
      <c r="F50" s="110">
        <f>'Overview corrections'!M43</f>
        <v>78449.867524195579</v>
      </c>
      <c r="G50" s="110">
        <f>'Overview corrections'!N43</f>
        <v>521.16107898991345</v>
      </c>
      <c r="H50" s="97"/>
    </row>
    <row r="51" spans="2:10" x14ac:dyDescent="0.2">
      <c r="B51" s="96"/>
      <c r="C51" s="2" t="s">
        <v>753</v>
      </c>
      <c r="D51" s="47" t="s">
        <v>655</v>
      </c>
      <c r="E51" s="110">
        <f>'Overview corrections'!L41</f>
        <v>44673.724380365034</v>
      </c>
      <c r="F51" s="110">
        <f>'Overview corrections'!M41</f>
        <v>14147.434628090834</v>
      </c>
      <c r="G51" s="110">
        <f>'Overview corrections'!N41</f>
        <v>4827.6360207295766</v>
      </c>
      <c r="H51" s="97"/>
    </row>
    <row r="52" spans="2:10" x14ac:dyDescent="0.2">
      <c r="B52" s="96"/>
      <c r="C52" s="2" t="s">
        <v>754</v>
      </c>
      <c r="D52" s="47" t="s">
        <v>655</v>
      </c>
      <c r="E52" s="110">
        <f>'Overview corrections'!L42</f>
        <v>147792.72983676186</v>
      </c>
      <c r="F52" s="110">
        <f>'Overview corrections'!M42</f>
        <v>-63748.302503614796</v>
      </c>
      <c r="G52" s="110">
        <f>'Overview corrections'!N42</f>
        <v>-1046.5953444138297</v>
      </c>
      <c r="H52" s="97"/>
    </row>
    <row r="53" spans="2:10" x14ac:dyDescent="0.2">
      <c r="B53" s="96"/>
      <c r="C53" s="2" t="s">
        <v>755</v>
      </c>
      <c r="D53" s="47" t="s">
        <v>655</v>
      </c>
      <c r="F53" s="110">
        <f>'Overview corrections'!M50</f>
        <v>65030.973063680896</v>
      </c>
      <c r="H53" s="97"/>
    </row>
    <row r="54" spans="2:10" x14ac:dyDescent="0.2">
      <c r="B54" s="96"/>
      <c r="C54" s="2" t="s">
        <v>319</v>
      </c>
      <c r="D54" s="47" t="s">
        <v>655</v>
      </c>
      <c r="E54" s="110">
        <f>'Overview corrections'!L44</f>
        <v>-9311.6791415059233</v>
      </c>
      <c r="H54" s="97"/>
    </row>
    <row r="55" spans="2:10" x14ac:dyDescent="0.2">
      <c r="B55" s="96"/>
      <c r="H55" s="97"/>
    </row>
    <row r="56" spans="2:10" x14ac:dyDescent="0.2">
      <c r="B56" s="96"/>
      <c r="C56" s="1" t="s">
        <v>725</v>
      </c>
      <c r="D56" s="2"/>
      <c r="E56" s="2"/>
      <c r="F56" s="2"/>
      <c r="H56" s="100"/>
      <c r="J56" s="2"/>
    </row>
    <row r="57" spans="2:10" x14ac:dyDescent="0.2">
      <c r="B57" s="96"/>
      <c r="C57" s="47" t="s">
        <v>726</v>
      </c>
      <c r="D57" s="2" t="s">
        <v>655</v>
      </c>
      <c r="E57" s="110">
        <f>'Income level'!L35</f>
        <v>1205143.9411195091</v>
      </c>
      <c r="F57" s="110">
        <f>'Income level'!M35</f>
        <v>1252855.6054908473</v>
      </c>
      <c r="G57" s="110">
        <f>'Income level'!N35</f>
        <v>24318.429475183882</v>
      </c>
      <c r="H57" s="97"/>
    </row>
    <row r="58" spans="2:10" x14ac:dyDescent="0.2">
      <c r="B58" s="96"/>
      <c r="C58" s="47" t="s">
        <v>246</v>
      </c>
      <c r="D58" s="2" t="s">
        <v>657</v>
      </c>
      <c r="E58" s="125">
        <f>'Fixed-variable costs'!L64</f>
        <v>0.65149966440390195</v>
      </c>
      <c r="F58" s="125">
        <f>'Fixed-variable costs'!M64</f>
        <v>196.03826141296426</v>
      </c>
      <c r="G58" s="125">
        <f>'Fixed-variable costs'!N64</f>
        <v>5.9800089056035173</v>
      </c>
      <c r="H58" s="97"/>
      <c r="J58" s="2"/>
    </row>
    <row r="59" spans="2:10" x14ac:dyDescent="0.2">
      <c r="B59" s="96"/>
      <c r="C59" s="47" t="s">
        <v>264</v>
      </c>
      <c r="D59" s="2" t="s">
        <v>657</v>
      </c>
      <c r="F59" s="125">
        <f>'Fixed-variable costs'!M65</f>
        <v>646.78881682049359</v>
      </c>
      <c r="H59" s="97"/>
    </row>
    <row r="60" spans="2:10" x14ac:dyDescent="0.2">
      <c r="B60" s="96"/>
      <c r="C60" s="47" t="s">
        <v>727</v>
      </c>
      <c r="D60" s="2" t="s">
        <v>655</v>
      </c>
      <c r="E60" s="110">
        <f>'Income level'!L36</f>
        <v>1422755.4701548256</v>
      </c>
      <c r="F60" s="110">
        <f>'Income level'!M36</f>
        <v>1281704.6051395189</v>
      </c>
      <c r="G60" s="110">
        <f>'Income level'!N36</f>
        <v>28620.631230489544</v>
      </c>
      <c r="H60" s="97"/>
    </row>
    <row r="61" spans="2:10" x14ac:dyDescent="0.2">
      <c r="B61" s="96"/>
      <c r="C61" s="2" t="s">
        <v>265</v>
      </c>
      <c r="D61" s="2" t="s">
        <v>655</v>
      </c>
      <c r="E61" s="112">
        <f>'Variable tariffs water'!F24</f>
        <v>1.7299185902549794</v>
      </c>
      <c r="F61" s="2"/>
      <c r="G61" s="2"/>
      <c r="H61" s="100"/>
    </row>
    <row r="62" spans="2:10" x14ac:dyDescent="0.2">
      <c r="B62" s="96"/>
      <c r="H62" s="97"/>
    </row>
    <row r="63" spans="2:10" x14ac:dyDescent="0.2">
      <c r="B63" s="96"/>
      <c r="C63" s="113" t="s">
        <v>739</v>
      </c>
      <c r="H63" s="97"/>
    </row>
    <row r="64" spans="2:10" x14ac:dyDescent="0.2">
      <c r="B64" s="96"/>
      <c r="C64" s="2" t="s">
        <v>247</v>
      </c>
      <c r="D64" s="2" t="s">
        <v>95</v>
      </c>
      <c r="E64" s="110">
        <f>Estimates!L14</f>
        <v>229530</v>
      </c>
      <c r="H64" s="97"/>
    </row>
    <row r="65" spans="2:8" x14ac:dyDescent="0.2">
      <c r="B65" s="96"/>
      <c r="C65" s="2" t="s">
        <v>266</v>
      </c>
      <c r="D65" s="2" t="s">
        <v>95</v>
      </c>
      <c r="E65" s="119"/>
      <c r="G65" s="110">
        <f>Estimates!N27</f>
        <v>2530</v>
      </c>
      <c r="H65" s="97"/>
    </row>
    <row r="66" spans="2:8" x14ac:dyDescent="0.2">
      <c r="B66" s="96"/>
      <c r="C66" s="2" t="s">
        <v>267</v>
      </c>
      <c r="D66" s="2" t="s">
        <v>105</v>
      </c>
      <c r="E66" s="112">
        <f>Estimates!L40</f>
        <v>5.1956194929354425</v>
      </c>
      <c r="G66" s="119"/>
      <c r="H66" s="97"/>
    </row>
    <row r="67" spans="2:8" x14ac:dyDescent="0.2">
      <c r="B67" s="96"/>
      <c r="C67" s="2" t="s">
        <v>268</v>
      </c>
      <c r="D67" s="2" t="s">
        <v>94</v>
      </c>
      <c r="E67" s="120">
        <f>Estimates!B57</f>
        <v>85.5</v>
      </c>
      <c r="G67" s="119"/>
      <c r="H67" s="97"/>
    </row>
    <row r="68" spans="2:8" s="123" customFormat="1" x14ac:dyDescent="0.2">
      <c r="B68" s="121"/>
      <c r="C68" s="67"/>
      <c r="D68" s="67"/>
      <c r="E68" s="122"/>
      <c r="G68" s="119"/>
      <c r="H68" s="124"/>
    </row>
    <row r="69" spans="2:8" x14ac:dyDescent="0.2">
      <c r="B69" s="96"/>
      <c r="C69" s="2" t="s">
        <v>740</v>
      </c>
      <c r="D69" s="2" t="s">
        <v>73</v>
      </c>
      <c r="F69" s="116">
        <f>Estimates!M17</f>
        <v>0.45</v>
      </c>
      <c r="H69" s="97"/>
    </row>
    <row r="70" spans="2:8" x14ac:dyDescent="0.2">
      <c r="B70" s="96"/>
      <c r="C70" s="2" t="s">
        <v>741</v>
      </c>
      <c r="D70" s="2" t="s">
        <v>113</v>
      </c>
      <c r="F70" s="110">
        <f>Estimates!M66</f>
        <v>1292.073872976589</v>
      </c>
      <c r="H70" s="97"/>
    </row>
    <row r="71" spans="2:8" x14ac:dyDescent="0.2">
      <c r="B71" s="96"/>
      <c r="C71" s="2"/>
      <c r="D71" s="2"/>
      <c r="H71" s="97"/>
    </row>
    <row r="72" spans="2:8" x14ac:dyDescent="0.2">
      <c r="B72" s="96"/>
      <c r="H72" s="97"/>
    </row>
    <row r="73" spans="2:8" x14ac:dyDescent="0.2">
      <c r="B73" s="96"/>
      <c r="C73" s="47" t="s">
        <v>253</v>
      </c>
      <c r="H73" s="97"/>
    </row>
    <row r="74" spans="2:8" x14ac:dyDescent="0.2">
      <c r="B74" s="96"/>
      <c r="H74" s="97"/>
    </row>
    <row r="75" spans="2:8" x14ac:dyDescent="0.2">
      <c r="B75" s="102"/>
      <c r="C75" s="117"/>
      <c r="D75" s="117"/>
      <c r="E75" s="117"/>
      <c r="F75" s="117"/>
      <c r="G75" s="117"/>
      <c r="H75" s="11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H58"/>
  <sheetViews>
    <sheetView showGridLines="0" zoomScale="115" zoomScaleNormal="11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7.5703125" style="2" customWidth="1"/>
    <col min="3" max="3" width="35.140625" style="2" customWidth="1"/>
    <col min="4" max="4" width="110.42578125" style="2" customWidth="1"/>
    <col min="5" max="5" width="39" style="2" customWidth="1"/>
    <col min="6" max="6" width="34.140625" style="2" customWidth="1"/>
    <col min="7" max="7" width="11.85546875" style="2" customWidth="1"/>
    <col min="8" max="8" width="28.7109375" style="2" customWidth="1"/>
    <col min="9" max="9" width="18.42578125" style="2" customWidth="1"/>
    <col min="10" max="11" width="58.42578125" style="2" customWidth="1"/>
    <col min="12" max="16384" width="9.140625" style="2"/>
  </cols>
  <sheetData>
    <row r="2" spans="2:8" s="7" customFormat="1" ht="18" x14ac:dyDescent="0.2">
      <c r="B2" s="7" t="s">
        <v>27</v>
      </c>
    </row>
    <row r="5" spans="2:8" s="8" customFormat="1" x14ac:dyDescent="0.2">
      <c r="B5" s="8" t="s">
        <v>28</v>
      </c>
    </row>
    <row r="7" spans="2:8" x14ac:dyDescent="0.2">
      <c r="B7" s="4" t="s">
        <v>57</v>
      </c>
    </row>
    <row r="8" spans="2:8" x14ac:dyDescent="0.2">
      <c r="B8" s="4" t="s">
        <v>29</v>
      </c>
    </row>
    <row r="9" spans="2:8" x14ac:dyDescent="0.2">
      <c r="B9" s="4"/>
    </row>
    <row r="10" spans="2:8" x14ac:dyDescent="0.2">
      <c r="B10" s="31" t="s">
        <v>30</v>
      </c>
      <c r="C10" s="31" t="s">
        <v>31</v>
      </c>
      <c r="D10" s="31" t="s">
        <v>32</v>
      </c>
      <c r="E10" s="31" t="s">
        <v>54</v>
      </c>
      <c r="F10" s="31" t="s">
        <v>7</v>
      </c>
      <c r="H10" s="18"/>
    </row>
    <row r="11" spans="2:8" x14ac:dyDescent="0.2">
      <c r="B11" s="15"/>
      <c r="C11" s="15" t="s">
        <v>33</v>
      </c>
      <c r="D11" s="15" t="s">
        <v>34</v>
      </c>
      <c r="E11" s="15" t="s">
        <v>35</v>
      </c>
      <c r="F11" s="15"/>
    </row>
    <row r="12" spans="2:8" x14ac:dyDescent="0.2">
      <c r="B12" s="6">
        <v>1</v>
      </c>
      <c r="C12" s="6" t="s">
        <v>123</v>
      </c>
      <c r="D12" s="6"/>
      <c r="E12" s="49" t="s">
        <v>124</v>
      </c>
      <c r="F12" s="6"/>
    </row>
    <row r="13" spans="2:8" x14ac:dyDescent="0.2">
      <c r="B13" s="6">
        <v>2</v>
      </c>
      <c r="C13" s="6" t="s">
        <v>77</v>
      </c>
      <c r="D13" s="6"/>
      <c r="E13" s="49" t="s">
        <v>125</v>
      </c>
      <c r="F13" s="6"/>
    </row>
    <row r="14" spans="2:8" x14ac:dyDescent="0.2">
      <c r="B14" s="6">
        <v>3</v>
      </c>
      <c r="C14" s="6" t="s">
        <v>447</v>
      </c>
      <c r="D14" s="6" t="s">
        <v>126</v>
      </c>
      <c r="E14" s="49" t="s">
        <v>127</v>
      </c>
      <c r="F14" s="6"/>
    </row>
    <row r="15" spans="2:8" x14ac:dyDescent="0.2">
      <c r="B15" s="6">
        <v>4</v>
      </c>
      <c r="C15" s="6" t="s">
        <v>450</v>
      </c>
      <c r="D15" s="6" t="s">
        <v>218</v>
      </c>
      <c r="E15" s="88" t="s">
        <v>217</v>
      </c>
      <c r="F15" s="6"/>
    </row>
    <row r="16" spans="2:8" x14ac:dyDescent="0.2">
      <c r="B16" s="6">
        <v>5</v>
      </c>
      <c r="C16" s="6" t="s">
        <v>464</v>
      </c>
      <c r="D16" s="6" t="s">
        <v>465</v>
      </c>
      <c r="E16" s="88"/>
      <c r="F16" s="6"/>
    </row>
    <row r="17" spans="2:6" x14ac:dyDescent="0.2">
      <c r="B17" s="6">
        <v>6</v>
      </c>
      <c r="C17" s="6" t="s">
        <v>467</v>
      </c>
      <c r="D17" s="6" t="s">
        <v>466</v>
      </c>
      <c r="E17" s="49"/>
      <c r="F17" s="6"/>
    </row>
    <row r="18" spans="2:6" x14ac:dyDescent="0.2">
      <c r="B18" s="6">
        <v>7</v>
      </c>
      <c r="C18" s="6" t="s">
        <v>70</v>
      </c>
      <c r="D18" s="6" t="s">
        <v>468</v>
      </c>
      <c r="E18" s="49"/>
      <c r="F18" s="6"/>
    </row>
    <row r="19" spans="2:6" x14ac:dyDescent="0.2">
      <c r="B19" s="6">
        <v>8</v>
      </c>
      <c r="C19" s="6" t="s">
        <v>470</v>
      </c>
      <c r="D19" s="6" t="s">
        <v>469</v>
      </c>
      <c r="E19" s="49"/>
      <c r="F19" s="6"/>
    </row>
    <row r="20" spans="2:6" x14ac:dyDescent="0.2">
      <c r="B20" s="6">
        <v>9</v>
      </c>
      <c r="C20" s="6" t="s">
        <v>472</v>
      </c>
      <c r="D20" s="6" t="s">
        <v>471</v>
      </c>
      <c r="E20" s="88"/>
      <c r="F20" s="6"/>
    </row>
    <row r="21" spans="2:6" x14ac:dyDescent="0.2">
      <c r="B21" s="6">
        <v>10</v>
      </c>
      <c r="C21" s="6" t="s">
        <v>475</v>
      </c>
      <c r="D21" s="6" t="s">
        <v>473</v>
      </c>
      <c r="E21" s="6"/>
      <c r="F21" s="6"/>
    </row>
    <row r="22" spans="2:6" x14ac:dyDescent="0.2">
      <c r="B22" s="6">
        <v>11</v>
      </c>
      <c r="C22" s="6" t="s">
        <v>476</v>
      </c>
      <c r="D22" s="6" t="s">
        <v>474</v>
      </c>
      <c r="E22" s="6"/>
      <c r="F22" s="6"/>
    </row>
    <row r="23" spans="2:6" x14ac:dyDescent="0.2">
      <c r="B23" s="6">
        <v>12</v>
      </c>
      <c r="C23" s="6" t="s">
        <v>479</v>
      </c>
      <c r="D23" s="9" t="s">
        <v>478</v>
      </c>
      <c r="E23" s="6"/>
      <c r="F23" s="6"/>
    </row>
    <row r="24" spans="2:6" x14ac:dyDescent="0.2">
      <c r="B24" s="6">
        <v>13</v>
      </c>
      <c r="C24" s="6" t="s">
        <v>486</v>
      </c>
      <c r="D24" s="6" t="s">
        <v>485</v>
      </c>
      <c r="E24" s="6"/>
      <c r="F24" s="6"/>
    </row>
    <row r="25" spans="2:6" x14ac:dyDescent="0.2">
      <c r="B25" s="6">
        <v>14</v>
      </c>
      <c r="C25" s="6" t="s">
        <v>534</v>
      </c>
      <c r="D25" s="6" t="s">
        <v>539</v>
      </c>
      <c r="E25" s="6"/>
      <c r="F25" s="6"/>
    </row>
    <row r="26" spans="2:6" x14ac:dyDescent="0.2">
      <c r="B26" s="6">
        <v>15</v>
      </c>
      <c r="C26" s="6" t="s">
        <v>535</v>
      </c>
      <c r="D26" s="6" t="s">
        <v>530</v>
      </c>
      <c r="E26" s="6"/>
      <c r="F26" s="6"/>
    </row>
    <row r="27" spans="2:6" x14ac:dyDescent="0.2">
      <c r="B27" s="6">
        <v>16</v>
      </c>
      <c r="C27" s="6" t="s">
        <v>536</v>
      </c>
      <c r="D27" s="9" t="s">
        <v>417</v>
      </c>
      <c r="E27" s="6"/>
      <c r="F27" s="6"/>
    </row>
    <row r="28" spans="2:6" x14ac:dyDescent="0.2">
      <c r="B28" s="6">
        <v>17</v>
      </c>
      <c r="C28" s="6" t="s">
        <v>537</v>
      </c>
      <c r="D28" s="9" t="s">
        <v>538</v>
      </c>
      <c r="E28" s="6"/>
      <c r="F28" s="6"/>
    </row>
    <row r="29" spans="2:6" x14ac:dyDescent="0.2">
      <c r="B29" s="6">
        <v>18</v>
      </c>
      <c r="C29" s="6" t="s">
        <v>542</v>
      </c>
      <c r="D29" s="9" t="s">
        <v>543</v>
      </c>
      <c r="F29" s="6"/>
    </row>
    <row r="30" spans="2:6" x14ac:dyDescent="0.2">
      <c r="B30" s="6">
        <v>19</v>
      </c>
      <c r="C30" s="6" t="s">
        <v>545</v>
      </c>
      <c r="D30" s="141" t="s">
        <v>546</v>
      </c>
      <c r="E30" s="6"/>
      <c r="F30" s="6"/>
    </row>
    <row r="31" spans="2:6" x14ac:dyDescent="0.2">
      <c r="B31" s="6">
        <v>20</v>
      </c>
      <c r="C31" s="6" t="s">
        <v>574</v>
      </c>
      <c r="D31" s="141" t="s">
        <v>575</v>
      </c>
      <c r="E31" s="6"/>
      <c r="F31" s="6"/>
    </row>
    <row r="32" spans="2:6" x14ac:dyDescent="0.2">
      <c r="B32" s="6">
        <v>21</v>
      </c>
      <c r="C32" s="6" t="s">
        <v>578</v>
      </c>
      <c r="D32" s="141" t="s">
        <v>577</v>
      </c>
      <c r="E32" s="6"/>
      <c r="F32" s="6"/>
    </row>
    <row r="33" spans="2:6" x14ac:dyDescent="0.2">
      <c r="B33" s="6">
        <v>22</v>
      </c>
      <c r="C33" s="6" t="s">
        <v>586</v>
      </c>
      <c r="D33" s="142" t="s">
        <v>587</v>
      </c>
      <c r="E33" s="6"/>
      <c r="F33" s="6"/>
    </row>
    <row r="34" spans="2:6" x14ac:dyDescent="0.2">
      <c r="B34" s="6">
        <v>23</v>
      </c>
      <c r="C34" s="6" t="s">
        <v>596</v>
      </c>
      <c r="D34" s="9" t="s">
        <v>597</v>
      </c>
      <c r="E34" s="6"/>
      <c r="F34" s="6"/>
    </row>
    <row r="35" spans="2:6" x14ac:dyDescent="0.2">
      <c r="B35" s="6">
        <v>24</v>
      </c>
      <c r="C35" s="6"/>
      <c r="D35" s="141"/>
      <c r="E35" s="6"/>
      <c r="F35" s="6"/>
    </row>
    <row r="36" spans="2:6" x14ac:dyDescent="0.2">
      <c r="B36" s="6">
        <v>25</v>
      </c>
      <c r="C36" s="6"/>
      <c r="D36" s="141"/>
      <c r="E36" s="6"/>
      <c r="F36" s="6"/>
    </row>
    <row r="37" spans="2:6" x14ac:dyDescent="0.2">
      <c r="B37" s="6">
        <v>26</v>
      </c>
      <c r="C37" s="6"/>
      <c r="D37" s="141"/>
      <c r="E37" s="6"/>
      <c r="F37" s="6"/>
    </row>
    <row r="38" spans="2:6" x14ac:dyDescent="0.2">
      <c r="B38" s="6">
        <v>27</v>
      </c>
      <c r="C38" s="6"/>
      <c r="D38" s="142"/>
      <c r="E38" s="6"/>
      <c r="F38" s="6"/>
    </row>
    <row r="39" spans="2:6" x14ac:dyDescent="0.2">
      <c r="B39" s="6">
        <v>28</v>
      </c>
      <c r="C39" s="6"/>
      <c r="D39" s="142"/>
      <c r="E39" s="6"/>
      <c r="F39" s="6"/>
    </row>
    <row r="40" spans="2:6" x14ac:dyDescent="0.2">
      <c r="B40" s="6">
        <v>29</v>
      </c>
      <c r="C40" s="6"/>
      <c r="D40" s="142"/>
      <c r="E40" s="6"/>
      <c r="F40" s="6"/>
    </row>
    <row r="41" spans="2:6" x14ac:dyDescent="0.2">
      <c r="B41" s="6">
        <v>30</v>
      </c>
      <c r="C41" s="6"/>
      <c r="D41" s="142"/>
      <c r="E41" s="6"/>
      <c r="F41" s="6"/>
    </row>
    <row r="42" spans="2:6" x14ac:dyDescent="0.2">
      <c r="B42" s="6">
        <v>31</v>
      </c>
      <c r="C42" s="6"/>
      <c r="D42" s="142"/>
      <c r="E42" s="6"/>
      <c r="F42" s="6"/>
    </row>
    <row r="43" spans="2:6" x14ac:dyDescent="0.2">
      <c r="B43" s="6">
        <v>32</v>
      </c>
      <c r="C43" s="6"/>
      <c r="D43" s="141"/>
      <c r="E43" s="6"/>
      <c r="F43" s="6"/>
    </row>
    <row r="44" spans="2:6" x14ac:dyDescent="0.2">
      <c r="B44" s="6">
        <v>33</v>
      </c>
      <c r="C44" s="6"/>
      <c r="D44" s="142"/>
      <c r="E44" s="6"/>
      <c r="F44" s="6"/>
    </row>
    <row r="45" spans="2:6" x14ac:dyDescent="0.2">
      <c r="B45" s="6">
        <v>34</v>
      </c>
      <c r="D45" s="142"/>
      <c r="E45" s="6"/>
      <c r="F45" s="6"/>
    </row>
    <row r="46" spans="2:6" x14ac:dyDescent="0.2">
      <c r="B46" s="6">
        <v>35</v>
      </c>
      <c r="C46" s="6"/>
      <c r="D46" s="142"/>
      <c r="E46" s="6"/>
      <c r="F46" s="6"/>
    </row>
    <row r="49" spans="2:2" s="8" customFormat="1" x14ac:dyDescent="0.2">
      <c r="B49" s="8" t="s">
        <v>58</v>
      </c>
    </row>
    <row r="51" spans="2:2" x14ac:dyDescent="0.2">
      <c r="B51" s="20" t="s">
        <v>59</v>
      </c>
    </row>
    <row r="52" spans="2:2" x14ac:dyDescent="0.2">
      <c r="B52" s="20" t="s">
        <v>55</v>
      </c>
    </row>
    <row r="53" spans="2:2" x14ac:dyDescent="0.2">
      <c r="B53" s="20"/>
    </row>
    <row r="58" spans="2:2" x14ac:dyDescent="0.2">
      <c r="B58" s="4" t="s">
        <v>63</v>
      </c>
    </row>
  </sheetData>
  <hyperlinks>
    <hyperlink ref="E12" r:id="rId1" location="/CBS/nl/dataset/84046NED/table" xr:uid="{B6E013E3-D49D-4230-9F8E-B05E3BE70F5A}"/>
    <hyperlink ref="E13" r:id="rId2" xr:uid="{AC37700C-DD87-479B-BA84-D36F077F5901}"/>
    <hyperlink ref="E14" r:id="rId3" xr:uid="{86A29317-2A05-42E0-8CB5-07FC063BC221}"/>
    <hyperlink ref="E15" r:id="rId4" display="https://www.acm.nl/nl/publicaties/methodebesluit-elektriciteit-en-drinkwater-caribisch-nederland-2020-2025" xr:uid="{DA3071CA-E4D4-41E0-BA34-903F74FDC40D}"/>
  </hyperlinks>
  <pageMargins left="0.75" right="0.75" top="1" bottom="1" header="0.5" footer="0.5"/>
  <pageSetup paperSize="9"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J69"/>
  <sheetViews>
    <sheetView showGridLines="0" zoomScale="85" zoomScaleNormal="85" workbookViewId="0">
      <pane xSplit="4" ySplit="9" topLeftCell="E10" activePane="bottomRight" state="frozen"/>
      <selection activeCell="O39" sqref="O39"/>
      <selection pane="topRight" activeCell="O39" sqref="O39"/>
      <selection pane="bottomLeft" activeCell="O39" sqref="O39"/>
      <selection pane="bottomRight" activeCell="E10" sqref="E10"/>
    </sheetView>
  </sheetViews>
  <sheetFormatPr defaultColWidth="9.140625" defaultRowHeight="12.75" x14ac:dyDescent="0.2"/>
  <cols>
    <col min="1" max="1" width="5.7109375" style="2" customWidth="1"/>
    <col min="2" max="2" width="37.140625" style="2" customWidth="1"/>
    <col min="3" max="3" width="5.7109375" style="2" customWidth="1"/>
    <col min="4" max="4" width="24.28515625" style="2" customWidth="1"/>
    <col min="5" max="5" width="2.7109375" style="2" customWidth="1"/>
    <col min="6" max="6" width="15.5703125" style="2" customWidth="1"/>
    <col min="7" max="7" width="2.7109375" style="2" customWidth="1"/>
    <col min="8" max="8" width="28.7109375" style="2" customWidth="1"/>
    <col min="9" max="9" width="2.7109375" style="2" customWidth="1"/>
    <col min="10" max="10" width="51.28515625" style="2" customWidth="1"/>
    <col min="11" max="19" width="12.5703125" style="2" customWidth="1"/>
    <col min="20" max="22" width="2.7109375" style="2" customWidth="1"/>
    <col min="23" max="23" width="30.85546875" style="2" customWidth="1"/>
    <col min="24" max="37" width="13.7109375" style="2" customWidth="1"/>
    <col min="38" max="16384" width="9.140625" style="2"/>
  </cols>
  <sheetData>
    <row r="1" spans="1:10" x14ac:dyDescent="0.2">
      <c r="A1" s="145"/>
      <c r="B1" s="145"/>
    </row>
    <row r="2" spans="1:10" s="12" customFormat="1" ht="18" x14ac:dyDescent="0.2">
      <c r="A2" s="146"/>
      <c r="B2" s="7" t="s">
        <v>22</v>
      </c>
    </row>
    <row r="3" spans="1:10" x14ac:dyDescent="0.2">
      <c r="A3" s="145"/>
      <c r="B3" s="145"/>
    </row>
    <row r="4" spans="1:10" x14ac:dyDescent="0.2">
      <c r="A4" s="145"/>
      <c r="B4" s="147" t="s">
        <v>12</v>
      </c>
    </row>
    <row r="5" spans="1:10" x14ac:dyDescent="0.2">
      <c r="B5" s="2" t="s">
        <v>219</v>
      </c>
      <c r="F5" s="13"/>
    </row>
    <row r="6" spans="1:10" x14ac:dyDescent="0.2">
      <c r="F6" s="13"/>
    </row>
    <row r="8" spans="1:10" s="8" customFormat="1" x14ac:dyDescent="0.2">
      <c r="B8" s="8" t="s">
        <v>12</v>
      </c>
      <c r="D8" s="8" t="s">
        <v>36</v>
      </c>
      <c r="F8" s="8" t="s">
        <v>37</v>
      </c>
      <c r="H8" s="8" t="s">
        <v>132</v>
      </c>
      <c r="J8" s="8" t="s">
        <v>39</v>
      </c>
    </row>
    <row r="11" spans="1:10" s="8" customFormat="1" x14ac:dyDescent="0.2">
      <c r="B11" s="8" t="s">
        <v>769</v>
      </c>
    </row>
    <row r="13" spans="1:10" ht="12.75" customHeight="1" x14ac:dyDescent="0.2">
      <c r="B13" s="1" t="s">
        <v>133</v>
      </c>
    </row>
    <row r="14" spans="1:10" ht="12.75" customHeight="1" x14ac:dyDescent="0.2">
      <c r="B14" s="2" t="s">
        <v>134</v>
      </c>
      <c r="D14" s="2" t="s">
        <v>682</v>
      </c>
      <c r="F14" s="52">
        <f>'Variable tariffs electricity'!F18</f>
        <v>0.20330000000000001</v>
      </c>
      <c r="H14" s="2" t="s">
        <v>766</v>
      </c>
    </row>
    <row r="15" spans="1:10" ht="12.75" customHeight="1" x14ac:dyDescent="0.2">
      <c r="B15" s="2" t="s">
        <v>334</v>
      </c>
      <c r="D15" s="2" t="s">
        <v>682</v>
      </c>
      <c r="F15" s="52">
        <f>'Variable tariffs electricity'!F24</f>
        <v>9.5097905416145379E-2</v>
      </c>
      <c r="H15" s="2" t="s">
        <v>767</v>
      </c>
    </row>
    <row r="16" spans="1:10" ht="12.75" customHeight="1" x14ac:dyDescent="0.2">
      <c r="B16" s="2" t="s">
        <v>135</v>
      </c>
      <c r="D16" s="2" t="s">
        <v>682</v>
      </c>
      <c r="F16" s="52">
        <f>'Variable tariffs electricity'!F28</f>
        <v>0.2984</v>
      </c>
      <c r="H16" s="2" t="s">
        <v>766</v>
      </c>
    </row>
    <row r="18" spans="2:8" x14ac:dyDescent="0.2">
      <c r="B18" s="1" t="s">
        <v>136</v>
      </c>
    </row>
    <row r="19" spans="2:8" ht="12.75" customHeight="1" x14ac:dyDescent="0.2">
      <c r="B19" s="2" t="s">
        <v>136</v>
      </c>
      <c r="D19" s="2" t="s">
        <v>682</v>
      </c>
      <c r="F19" s="52">
        <f>'Variable tariffs electricity'!F41</f>
        <v>0.32519999999999999</v>
      </c>
      <c r="H19" s="2" t="s">
        <v>768</v>
      </c>
    </row>
    <row r="20" spans="2:8" x14ac:dyDescent="0.2">
      <c r="B20" s="5"/>
    </row>
    <row r="21" spans="2:8" x14ac:dyDescent="0.2">
      <c r="B21" s="19" t="s">
        <v>137</v>
      </c>
    </row>
    <row r="22" spans="2:8" x14ac:dyDescent="0.2">
      <c r="B22" s="32" t="s">
        <v>413</v>
      </c>
      <c r="F22" s="72">
        <f>'Fixed tariffs electricity'!F17</f>
        <v>9.0535946963373366</v>
      </c>
    </row>
    <row r="23" spans="2:8" x14ac:dyDescent="0.2">
      <c r="B23" s="19"/>
    </row>
    <row r="24" spans="2:8" x14ac:dyDescent="0.2">
      <c r="B24" s="16" t="s">
        <v>138</v>
      </c>
      <c r="D24" s="2" t="s">
        <v>694</v>
      </c>
      <c r="F24" s="54">
        <f>'Fixed tariffs electricity'!F20</f>
        <v>28.971503028279479</v>
      </c>
      <c r="H24" s="2" t="s">
        <v>766</v>
      </c>
    </row>
    <row r="25" spans="2:8" x14ac:dyDescent="0.2">
      <c r="B25" s="16" t="s">
        <v>139</v>
      </c>
      <c r="D25" s="2" t="s">
        <v>694</v>
      </c>
      <c r="F25" s="54">
        <f>'Fixed tariffs electricity'!F21</f>
        <v>69.712679161797496</v>
      </c>
      <c r="H25" s="2" t="s">
        <v>766</v>
      </c>
    </row>
    <row r="26" spans="2:8" x14ac:dyDescent="0.2">
      <c r="B26" s="16" t="s">
        <v>143</v>
      </c>
      <c r="D26" s="2" t="s">
        <v>694</v>
      </c>
      <c r="F26" s="54">
        <f>'Fixed tariffs electricity'!F22</f>
        <v>99.589541659710704</v>
      </c>
      <c r="H26" s="2" t="s">
        <v>766</v>
      </c>
    </row>
    <row r="27" spans="2:8" x14ac:dyDescent="0.2">
      <c r="B27" s="16" t="s">
        <v>146</v>
      </c>
      <c r="D27" s="2" t="s">
        <v>694</v>
      </c>
      <c r="F27" s="54">
        <f>'Fixed tariffs electricity'!F23</f>
        <v>125.48282249123548</v>
      </c>
      <c r="H27" s="2" t="s">
        <v>766</v>
      </c>
    </row>
    <row r="28" spans="2:8" x14ac:dyDescent="0.2">
      <c r="B28" s="16" t="s">
        <v>140</v>
      </c>
      <c r="D28" s="2" t="s">
        <v>694</v>
      </c>
      <c r="F28" s="54">
        <f>'Fixed tariffs electricity'!F24</f>
        <v>120.41280946128659</v>
      </c>
      <c r="H28" s="2" t="s">
        <v>766</v>
      </c>
    </row>
    <row r="29" spans="2:8" x14ac:dyDescent="0.2">
      <c r="B29" s="16" t="s">
        <v>144</v>
      </c>
      <c r="D29" s="2" t="s">
        <v>694</v>
      </c>
      <c r="F29" s="54">
        <f>'Fixed tariffs electricity'!F25</f>
        <v>172.01829923040938</v>
      </c>
      <c r="H29" s="2" t="s">
        <v>766</v>
      </c>
    </row>
    <row r="30" spans="2:8" x14ac:dyDescent="0.2">
      <c r="B30" s="16" t="s">
        <v>147</v>
      </c>
      <c r="D30" s="2" t="s">
        <v>694</v>
      </c>
      <c r="F30" s="54">
        <f>'Fixed tariffs electricity'!F26</f>
        <v>216.74305703031584</v>
      </c>
      <c r="H30" s="2" t="s">
        <v>766</v>
      </c>
    </row>
    <row r="31" spans="2:8" x14ac:dyDescent="0.2">
      <c r="B31" s="16" t="s">
        <v>141</v>
      </c>
      <c r="D31" s="2" t="s">
        <v>694</v>
      </c>
      <c r="F31" s="54">
        <f>'Fixed tariffs electricity'!F27</f>
        <v>275.22927876865504</v>
      </c>
      <c r="H31" s="2" t="s">
        <v>766</v>
      </c>
    </row>
    <row r="32" spans="2:8" x14ac:dyDescent="0.2">
      <c r="B32" s="16" t="s">
        <v>142</v>
      </c>
      <c r="D32" s="2" t="s">
        <v>694</v>
      </c>
      <c r="F32" s="54">
        <f>'Fixed tariffs electricity'!F28</f>
        <v>344.03659846081877</v>
      </c>
      <c r="H32" s="2" t="s">
        <v>766</v>
      </c>
    </row>
    <row r="33" spans="2:10" x14ac:dyDescent="0.2">
      <c r="B33" s="16" t="s">
        <v>145</v>
      </c>
      <c r="D33" s="2" t="s">
        <v>694</v>
      </c>
      <c r="F33" s="54">
        <f>'Fixed tariffs electricity'!F29</f>
        <v>430.04574807602347</v>
      </c>
      <c r="H33" s="2" t="s">
        <v>766</v>
      </c>
    </row>
    <row r="34" spans="2:10" x14ac:dyDescent="0.2">
      <c r="B34" s="55" t="s">
        <v>148</v>
      </c>
      <c r="D34" s="2" t="s">
        <v>694</v>
      </c>
      <c r="F34" s="54">
        <f>'Fixed tariffs electricity'!F30</f>
        <v>550.45855753731007</v>
      </c>
      <c r="H34" s="2" t="s">
        <v>766</v>
      </c>
    </row>
    <row r="35" spans="2:10" x14ac:dyDescent="0.2">
      <c r="B35" s="55" t="s">
        <v>157</v>
      </c>
      <c r="D35" s="2" t="s">
        <v>694</v>
      </c>
      <c r="F35" s="54">
        <f>'Fixed tariffs electricity'!F31</f>
        <v>688.07319692163753</v>
      </c>
      <c r="H35" s="2" t="s">
        <v>766</v>
      </c>
    </row>
    <row r="36" spans="2:10" x14ac:dyDescent="0.2">
      <c r="B36" s="55" t="s">
        <v>149</v>
      </c>
      <c r="D36" s="2" t="s">
        <v>694</v>
      </c>
      <c r="F36" s="54">
        <f>'Fixed tariffs electricity'!F32</f>
        <v>774.08234653684224</v>
      </c>
      <c r="H36" s="2" t="s">
        <v>766</v>
      </c>
    </row>
    <row r="37" spans="2:10" x14ac:dyDescent="0.2">
      <c r="B37" s="55" t="s">
        <v>156</v>
      </c>
      <c r="D37" s="2" t="s">
        <v>694</v>
      </c>
      <c r="F37" s="54">
        <f>'Fixed tariffs electricity'!F33</f>
        <v>860.09149615204694</v>
      </c>
      <c r="H37" s="2" t="s">
        <v>766</v>
      </c>
    </row>
    <row r="38" spans="2:10" x14ac:dyDescent="0.2">
      <c r="B38" s="55" t="s">
        <v>150</v>
      </c>
      <c r="D38" s="2" t="s">
        <v>694</v>
      </c>
      <c r="F38" s="54">
        <f>'Fixed tariffs electricity'!F34</f>
        <v>1083.7152851515791</v>
      </c>
      <c r="H38" s="2" t="s">
        <v>766</v>
      </c>
    </row>
    <row r="39" spans="2:10" x14ac:dyDescent="0.2">
      <c r="B39" s="55" t="s">
        <v>155</v>
      </c>
      <c r="D39" s="2" t="s">
        <v>694</v>
      </c>
      <c r="F39" s="54">
        <f>'Fixed tariffs electricity'!F35</f>
        <v>1584.379071859034</v>
      </c>
      <c r="H39" s="2" t="s">
        <v>766</v>
      </c>
    </row>
    <row r="40" spans="2:10" x14ac:dyDescent="0.2">
      <c r="B40" s="55" t="s">
        <v>434</v>
      </c>
      <c r="D40" s="2" t="s">
        <v>694</v>
      </c>
      <c r="F40" s="54">
        <f>'Fixed tariffs electricity'!F36</f>
        <v>1810.7189392674672</v>
      </c>
      <c r="H40" s="2" t="s">
        <v>766</v>
      </c>
    </row>
    <row r="42" spans="2:10" x14ac:dyDescent="0.2">
      <c r="B42" s="19" t="s">
        <v>151</v>
      </c>
    </row>
    <row r="43" spans="2:10" x14ac:dyDescent="0.2">
      <c r="B43" s="2" t="s">
        <v>151</v>
      </c>
      <c r="D43" s="2" t="s">
        <v>655</v>
      </c>
      <c r="F43" s="54">
        <f>'Fixed tariffs electricity'!F51</f>
        <v>40</v>
      </c>
      <c r="H43" s="2" t="s">
        <v>766</v>
      </c>
      <c r="J43" s="2" t="s">
        <v>154</v>
      </c>
    </row>
    <row r="45" spans="2:10" x14ac:dyDescent="0.2">
      <c r="B45" s="1" t="s">
        <v>152</v>
      </c>
    </row>
    <row r="46" spans="2:10" x14ac:dyDescent="0.2">
      <c r="B46" s="2" t="s">
        <v>153</v>
      </c>
      <c r="D46" s="2" t="s">
        <v>655</v>
      </c>
      <c r="F46" s="54">
        <f>'Fixed tariffs electricity'!F52</f>
        <v>311.23991708010459</v>
      </c>
      <c r="H46" s="2" t="s">
        <v>766</v>
      </c>
    </row>
    <row r="47" spans="2:10" x14ac:dyDescent="0.2">
      <c r="B47" s="2" t="s">
        <v>109</v>
      </c>
      <c r="D47" s="2" t="s">
        <v>655</v>
      </c>
      <c r="F47" s="54">
        <f>'Fixed tariffs electricity'!F54</f>
        <v>193.15500711299217</v>
      </c>
      <c r="H47" s="2" t="s">
        <v>766</v>
      </c>
    </row>
    <row r="48" spans="2:10" x14ac:dyDescent="0.2">
      <c r="B48" s="2" t="s">
        <v>110</v>
      </c>
      <c r="D48" s="2" t="s">
        <v>655</v>
      </c>
      <c r="F48" s="54">
        <f>'Fixed tariffs electricity'!F55</f>
        <v>209.69587597564362</v>
      </c>
      <c r="H48" s="2" t="s">
        <v>766</v>
      </c>
    </row>
    <row r="50" spans="2:10" s="8" customFormat="1" x14ac:dyDescent="0.2">
      <c r="B50" s="8" t="s">
        <v>770</v>
      </c>
    </row>
    <row r="52" spans="2:10" x14ac:dyDescent="0.2">
      <c r="B52" s="1" t="s">
        <v>133</v>
      </c>
    </row>
    <row r="53" spans="2:10" x14ac:dyDescent="0.2">
      <c r="B53" s="2" t="s">
        <v>158</v>
      </c>
      <c r="D53" s="2" t="s">
        <v>703</v>
      </c>
      <c r="F53" s="143">
        <f>'Variable tariffs water'!F28</f>
        <v>7.9279999999999999</v>
      </c>
      <c r="H53" s="2" t="s">
        <v>766</v>
      </c>
    </row>
    <row r="55" spans="2:10" x14ac:dyDescent="0.2">
      <c r="B55" s="1" t="s">
        <v>136</v>
      </c>
    </row>
    <row r="56" spans="2:10" x14ac:dyDescent="0.2">
      <c r="B56" s="2" t="s">
        <v>361</v>
      </c>
      <c r="D56" s="2" t="s">
        <v>703</v>
      </c>
      <c r="F56" s="137">
        <f>'Variable tariffs water'!F40</f>
        <v>14.936</v>
      </c>
      <c r="H56" s="2" t="s">
        <v>766</v>
      </c>
    </row>
    <row r="58" spans="2:10" x14ac:dyDescent="0.2">
      <c r="B58" s="1" t="s">
        <v>159</v>
      </c>
    </row>
    <row r="59" spans="2:10" x14ac:dyDescent="0.2">
      <c r="B59" s="2" t="s">
        <v>159</v>
      </c>
      <c r="D59" s="2" t="s">
        <v>694</v>
      </c>
      <c r="F59" s="136">
        <f>'Fixed tariffs water'!F16</f>
        <v>82.664559146994819</v>
      </c>
      <c r="H59" s="2" t="s">
        <v>766</v>
      </c>
    </row>
    <row r="61" spans="2:10" x14ac:dyDescent="0.2">
      <c r="B61" s="1" t="s">
        <v>362</v>
      </c>
    </row>
    <row r="62" spans="2:10" x14ac:dyDescent="0.2">
      <c r="B62" s="2" t="s">
        <v>151</v>
      </c>
      <c r="D62" s="2" t="s">
        <v>655</v>
      </c>
      <c r="F62" s="56">
        <f>'Fixed tariffs water'!F29</f>
        <v>40</v>
      </c>
      <c r="H62" s="2" t="s">
        <v>766</v>
      </c>
      <c r="J62" s="2" t="s">
        <v>154</v>
      </c>
    </row>
    <row r="64" spans="2:10" x14ac:dyDescent="0.2">
      <c r="B64" s="1" t="s">
        <v>363</v>
      </c>
    </row>
    <row r="65" spans="2:8" x14ac:dyDescent="0.2">
      <c r="B65" s="2" t="s">
        <v>160</v>
      </c>
      <c r="D65" s="2" t="s">
        <v>655</v>
      </c>
      <c r="F65" s="56">
        <f>'Fixed tariffs water'!F30</f>
        <v>286.74801186929807</v>
      </c>
      <c r="H65" s="2" t="s">
        <v>766</v>
      </c>
    </row>
    <row r="66" spans="2:8" x14ac:dyDescent="0.2">
      <c r="B66" s="2" t="s">
        <v>161</v>
      </c>
      <c r="D66" s="2" t="s">
        <v>655</v>
      </c>
      <c r="F66" s="56">
        <f>'Fixed tariffs water'!F31</f>
        <v>199.1428123334949</v>
      </c>
      <c r="H66" s="2" t="s">
        <v>766</v>
      </c>
    </row>
    <row r="68" spans="2:8" x14ac:dyDescent="0.2">
      <c r="B68" s="1" t="s">
        <v>162</v>
      </c>
    </row>
    <row r="69" spans="2:8" x14ac:dyDescent="0.2">
      <c r="B69" s="2" t="s">
        <v>163</v>
      </c>
      <c r="D69" s="2" t="s">
        <v>703</v>
      </c>
      <c r="F69" s="89">
        <f>'Variable tariffs water'!F48</f>
        <v>19.241</v>
      </c>
      <c r="H69" s="2" t="s">
        <v>766</v>
      </c>
    </row>
  </sheetData>
  <phoneticPr fontId="31" type="noConversion"/>
  <pageMargins left="0.7" right="0.7" top="0.75" bottom="0.75" header="0.3" footer="0.3"/>
  <pageSetup paperSize="9" orientation="portrait" r:id="rId1"/>
  <ignoredErrors>
    <ignoredError sqref="B24:B33 B36 B38 B34 B35 B39 B3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B2:B8"/>
  <sheetViews>
    <sheetView showGridLines="0" zoomScale="85" zoomScaleNormal="85" workbookViewId="0"/>
  </sheetViews>
  <sheetFormatPr defaultColWidth="9.140625" defaultRowHeight="12.75" x14ac:dyDescent="0.2"/>
  <cols>
    <col min="1" max="16384" width="9.140625" style="14"/>
  </cols>
  <sheetData>
    <row r="2" spans="2:2" x14ac:dyDescent="0.2">
      <c r="B2" s="33" t="s">
        <v>128</v>
      </c>
    </row>
    <row r="3" spans="2:2" x14ac:dyDescent="0.2">
      <c r="B3" s="33"/>
    </row>
    <row r="7" spans="2:2" x14ac:dyDescent="0.2">
      <c r="B7" s="33"/>
    </row>
    <row r="8" spans="2:2" x14ac:dyDescent="0.2">
      <c r="B8" s="3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L40"/>
  <sheetViews>
    <sheetView showGridLines="0" zoomScale="115" zoomScaleNormal="11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ColWidth="9.140625" defaultRowHeight="12.75" x14ac:dyDescent="0.2"/>
  <cols>
    <col min="1" max="1" width="4" style="2" customWidth="1"/>
    <col min="2" max="2" width="53.28515625" style="2" customWidth="1"/>
    <col min="3" max="3" width="4.570312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0" width="59.42578125" style="2" customWidth="1"/>
    <col min="11" max="11" width="2.7109375" style="2" customWidth="1"/>
    <col min="12" max="12" width="47" style="2" customWidth="1"/>
    <col min="13" max="13" width="2.7109375" style="2" customWidth="1"/>
    <col min="14" max="28" width="13.7109375" style="2" customWidth="1"/>
    <col min="29" max="16384" width="9.140625" style="2"/>
  </cols>
  <sheetData>
    <row r="2" spans="2:12" s="12" customFormat="1" ht="18" x14ac:dyDescent="0.2">
      <c r="B2" s="12" t="s">
        <v>64</v>
      </c>
    </row>
    <row r="4" spans="2:12" x14ac:dyDescent="0.2">
      <c r="B4" s="19" t="s">
        <v>65</v>
      </c>
    </row>
    <row r="5" spans="2:12" x14ac:dyDescent="0.2">
      <c r="B5" s="2" t="s">
        <v>277</v>
      </c>
      <c r="F5" s="13"/>
    </row>
    <row r="6" spans="2:12" x14ac:dyDescent="0.2">
      <c r="F6" s="13"/>
    </row>
    <row r="7" spans="2:12" x14ac:dyDescent="0.2">
      <c r="B7" s="20" t="s">
        <v>66</v>
      </c>
      <c r="F7" s="13"/>
    </row>
    <row r="8" spans="2:12" x14ac:dyDescent="0.2">
      <c r="B8" s="2" t="s">
        <v>67</v>
      </c>
    </row>
    <row r="10" spans="2:12" s="8" customFormat="1" x14ac:dyDescent="0.2">
      <c r="B10" s="8" t="s">
        <v>12</v>
      </c>
      <c r="D10" s="8" t="s">
        <v>36</v>
      </c>
      <c r="F10" s="8" t="s">
        <v>37</v>
      </c>
      <c r="H10" s="8" t="s">
        <v>38</v>
      </c>
      <c r="J10" s="8" t="s">
        <v>40</v>
      </c>
      <c r="L10" s="8" t="s">
        <v>39</v>
      </c>
    </row>
    <row r="13" spans="2:12" s="8" customFormat="1" x14ac:dyDescent="0.2">
      <c r="B13" s="8" t="s">
        <v>337</v>
      </c>
    </row>
    <row r="15" spans="2:12" x14ac:dyDescent="0.2">
      <c r="B15" s="1" t="s">
        <v>274</v>
      </c>
    </row>
    <row r="16" spans="2:12" x14ac:dyDescent="0.2">
      <c r="B16" s="2" t="s">
        <v>273</v>
      </c>
      <c r="D16" s="2" t="s">
        <v>73</v>
      </c>
      <c r="F16" s="148">
        <v>3.2000000000000001E-2</v>
      </c>
      <c r="J16" s="2" t="s">
        <v>123</v>
      </c>
      <c r="L16" s="131"/>
    </row>
    <row r="17" spans="2:12" x14ac:dyDescent="0.2">
      <c r="B17" s="2" t="s">
        <v>437</v>
      </c>
      <c r="D17" s="2" t="s">
        <v>73</v>
      </c>
      <c r="F17" s="148">
        <v>1.9E-2</v>
      </c>
      <c r="J17" s="2" t="s">
        <v>123</v>
      </c>
    </row>
    <row r="18" spans="2:12" x14ac:dyDescent="0.2">
      <c r="F18" s="13"/>
    </row>
    <row r="19" spans="2:12" x14ac:dyDescent="0.2">
      <c r="B19" s="1" t="s">
        <v>275</v>
      </c>
      <c r="F19" s="13"/>
    </row>
    <row r="20" spans="2:12" x14ac:dyDescent="0.2">
      <c r="B20" s="2" t="s">
        <v>76</v>
      </c>
      <c r="D20" s="2" t="s">
        <v>73</v>
      </c>
      <c r="F20" s="148">
        <v>0.03</v>
      </c>
      <c r="J20" s="2" t="s">
        <v>77</v>
      </c>
    </row>
    <row r="21" spans="2:12" x14ac:dyDescent="0.2">
      <c r="B21" s="2" t="s">
        <v>438</v>
      </c>
      <c r="D21" s="2" t="s">
        <v>73</v>
      </c>
      <c r="F21" s="149">
        <f>((1+$F$20)^2)-1</f>
        <v>6.0899999999999954E-2</v>
      </c>
    </row>
    <row r="22" spans="2:12" x14ac:dyDescent="0.2">
      <c r="F22" s="13"/>
    </row>
    <row r="23" spans="2:12" s="8" customFormat="1" x14ac:dyDescent="0.2">
      <c r="B23" s="8" t="s">
        <v>75</v>
      </c>
      <c r="F23" s="42"/>
    </row>
    <row r="24" spans="2:12" x14ac:dyDescent="0.2">
      <c r="F24" s="13"/>
    </row>
    <row r="25" spans="2:12" x14ac:dyDescent="0.2">
      <c r="B25" s="1" t="s">
        <v>449</v>
      </c>
      <c r="F25" s="13"/>
      <c r="L25" s="2" t="s">
        <v>408</v>
      </c>
    </row>
    <row r="26" spans="2:12" x14ac:dyDescent="0.2">
      <c r="B26" s="2" t="s">
        <v>439</v>
      </c>
      <c r="F26" s="148">
        <v>8.3799999999999999E-2</v>
      </c>
      <c r="J26" s="2" t="s">
        <v>442</v>
      </c>
    </row>
    <row r="27" spans="2:12" x14ac:dyDescent="0.2">
      <c r="B27" s="2" t="s">
        <v>440</v>
      </c>
      <c r="F27" s="148">
        <v>7.2800000000000004E-2</v>
      </c>
      <c r="J27" s="2" t="s">
        <v>442</v>
      </c>
    </row>
    <row r="28" spans="2:12" x14ac:dyDescent="0.2">
      <c r="B28" s="2" t="s">
        <v>441</v>
      </c>
      <c r="F28" s="148">
        <v>8.2500000000000004E-2</v>
      </c>
      <c r="J28" s="2" t="s">
        <v>442</v>
      </c>
    </row>
    <row r="29" spans="2:12" x14ac:dyDescent="0.2">
      <c r="F29" s="13"/>
    </row>
    <row r="30" spans="2:12" x14ac:dyDescent="0.2">
      <c r="B30" s="1" t="s">
        <v>443</v>
      </c>
      <c r="F30" s="13"/>
      <c r="L30" s="2" t="s">
        <v>324</v>
      </c>
    </row>
    <row r="31" spans="2:12" x14ac:dyDescent="0.2">
      <c r="B31" s="2" t="s">
        <v>444</v>
      </c>
      <c r="D31" s="2" t="s">
        <v>73</v>
      </c>
      <c r="F31" s="148">
        <v>8.8900000000000007E-2</v>
      </c>
      <c r="H31" s="73"/>
      <c r="J31" s="2" t="s">
        <v>447</v>
      </c>
    </row>
    <row r="32" spans="2:12" x14ac:dyDescent="0.2">
      <c r="B32" s="2" t="s">
        <v>445</v>
      </c>
      <c r="D32" s="2" t="s">
        <v>73</v>
      </c>
      <c r="F32" s="148">
        <v>8.0799999999999997E-2</v>
      </c>
      <c r="H32" s="73"/>
      <c r="J32" s="2" t="s">
        <v>447</v>
      </c>
    </row>
    <row r="33" spans="2:12" x14ac:dyDescent="0.2">
      <c r="B33" s="2" t="s">
        <v>446</v>
      </c>
      <c r="D33" s="2" t="s">
        <v>73</v>
      </c>
      <c r="F33" s="148">
        <v>7.1300000000000002E-2</v>
      </c>
      <c r="H33" s="73"/>
      <c r="J33" s="2" t="s">
        <v>447</v>
      </c>
    </row>
    <row r="35" spans="2:12" s="8" customFormat="1" x14ac:dyDescent="0.2">
      <c r="B35" s="8" t="s">
        <v>208</v>
      </c>
    </row>
    <row r="37" spans="2:12" x14ac:dyDescent="0.2">
      <c r="B37" s="2" t="s">
        <v>208</v>
      </c>
      <c r="D37" s="2" t="s">
        <v>73</v>
      </c>
      <c r="F37" s="126">
        <v>0.5</v>
      </c>
      <c r="J37" s="2" t="s">
        <v>448</v>
      </c>
      <c r="L37" s="18"/>
    </row>
    <row r="40" spans="2:12" x14ac:dyDescent="0.2">
      <c r="B40" s="4" t="s">
        <v>63</v>
      </c>
    </row>
  </sheetData>
  <phoneticPr fontId="3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E7D0-41A9-48CA-B566-7241761DC35D}">
  <sheetPr>
    <tabColor rgb="FFE1FFE1"/>
  </sheetPr>
  <dimension ref="A2:R52"/>
  <sheetViews>
    <sheetView showGridLines="0" zoomScale="85" zoomScaleNormal="85" workbookViewId="0">
      <pane xSplit="4" ySplit="9" topLeftCell="E10" activePane="bottomRight" state="frozen"/>
      <selection activeCell="R6" sqref="R6"/>
      <selection pane="topRight" activeCell="R6" sqref="R6"/>
      <selection pane="bottomLeft" activeCell="R6" sqref="R6"/>
      <selection pane="bottomRight" activeCell="E10" sqref="E10"/>
    </sheetView>
  </sheetViews>
  <sheetFormatPr defaultColWidth="9.140625" defaultRowHeight="12.75" x14ac:dyDescent="0.2"/>
  <cols>
    <col min="1" max="1" width="4" style="2" customWidth="1"/>
    <col min="2" max="2" width="61.42578125" style="2" customWidth="1"/>
    <col min="3" max="3" width="4.570312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40.140625" style="2" customWidth="1"/>
    <col min="17" max="17" width="5.5703125" style="2" customWidth="1"/>
    <col min="18" max="18" width="13.7109375" style="2" customWidth="1"/>
    <col min="19" max="19" width="2.7109375" style="2" customWidth="1"/>
    <col min="20" max="34" width="13.7109375" style="2" customWidth="1"/>
    <col min="35" max="16384" width="9.140625" style="2"/>
  </cols>
  <sheetData>
    <row r="2" spans="1:18" s="12" customFormat="1" ht="18" x14ac:dyDescent="0.2">
      <c r="B2" s="12" t="s">
        <v>200</v>
      </c>
    </row>
    <row r="4" spans="1:18" x14ac:dyDescent="0.2">
      <c r="B4" s="1" t="s">
        <v>79</v>
      </c>
    </row>
    <row r="5" spans="1:18" x14ac:dyDescent="0.2">
      <c r="B5" s="2" t="s">
        <v>452</v>
      </c>
      <c r="F5" s="13"/>
    </row>
    <row r="6" spans="1:18" x14ac:dyDescent="0.2">
      <c r="F6" s="13"/>
    </row>
    <row r="8" spans="1:18" s="8" customFormat="1" x14ac:dyDescent="0.2">
      <c r="B8" s="8" t="s">
        <v>80</v>
      </c>
      <c r="D8" s="8" t="s">
        <v>81</v>
      </c>
      <c r="F8" s="8" t="s">
        <v>82</v>
      </c>
      <c r="H8" s="8" t="s">
        <v>83</v>
      </c>
      <c r="J8" s="8" t="s">
        <v>68</v>
      </c>
      <c r="K8" s="8" t="s">
        <v>69</v>
      </c>
      <c r="L8" s="8" t="s">
        <v>70</v>
      </c>
      <c r="M8" s="8" t="s">
        <v>71</v>
      </c>
      <c r="N8" s="8" t="s">
        <v>72</v>
      </c>
      <c r="P8" s="8" t="s">
        <v>40</v>
      </c>
      <c r="R8" s="8" t="s">
        <v>39</v>
      </c>
    </row>
    <row r="11" spans="1:18" s="8" customFormat="1" ht="12.75" customHeight="1" x14ac:dyDescent="0.2">
      <c r="B11" s="8" t="s">
        <v>453</v>
      </c>
    </row>
    <row r="12" spans="1:18" ht="12.75" customHeight="1" x14ac:dyDescent="0.2"/>
    <row r="13" spans="1:18" ht="12.75" customHeight="1" x14ac:dyDescent="0.2">
      <c r="B13" s="19" t="s">
        <v>91</v>
      </c>
    </row>
    <row r="14" spans="1:18" s="20" customFormat="1" ht="12.75" customHeight="1" x14ac:dyDescent="0.2">
      <c r="A14" s="2"/>
      <c r="B14" s="20" t="s">
        <v>36</v>
      </c>
      <c r="D14" s="20" t="s">
        <v>92</v>
      </c>
      <c r="J14" s="20" t="s">
        <v>93</v>
      </c>
      <c r="K14" s="20" t="s">
        <v>94</v>
      </c>
      <c r="L14" s="20" t="s">
        <v>95</v>
      </c>
      <c r="M14" s="20" t="s">
        <v>96</v>
      </c>
      <c r="N14" s="20" t="s">
        <v>95</v>
      </c>
      <c r="P14" s="128"/>
    </row>
    <row r="15" spans="1:18" ht="12.75" customHeight="1" x14ac:dyDescent="0.2">
      <c r="B15" s="2" t="s">
        <v>454</v>
      </c>
      <c r="D15" s="2" t="s">
        <v>92</v>
      </c>
      <c r="F15" s="13"/>
      <c r="G15" s="13"/>
      <c r="H15" s="13"/>
      <c r="I15" s="13"/>
      <c r="J15" s="151">
        <v>17332126.050000001</v>
      </c>
      <c r="K15" s="151">
        <v>19062.5075</v>
      </c>
      <c r="L15" s="151">
        <v>186919</v>
      </c>
      <c r="M15" s="151">
        <v>1178.75</v>
      </c>
      <c r="N15" s="151">
        <v>1036.5999999999999</v>
      </c>
      <c r="P15" s="83" t="s">
        <v>765</v>
      </c>
    </row>
    <row r="16" spans="1:18" ht="12.75" customHeight="1" x14ac:dyDescent="0.2">
      <c r="B16" s="2" t="s">
        <v>392</v>
      </c>
      <c r="D16" s="2" t="s">
        <v>93</v>
      </c>
      <c r="F16" s="13"/>
      <c r="G16" s="13"/>
      <c r="H16" s="13"/>
      <c r="I16" s="13"/>
      <c r="J16" s="151">
        <v>89764.1</v>
      </c>
      <c r="K16" s="43"/>
      <c r="L16" s="43"/>
      <c r="M16" s="43"/>
      <c r="N16" s="43"/>
      <c r="P16" s="83" t="s">
        <v>579</v>
      </c>
    </row>
    <row r="17" spans="2:18" ht="12.75" customHeight="1" x14ac:dyDescent="0.2">
      <c r="B17" s="2" t="s">
        <v>393</v>
      </c>
      <c r="D17" s="2" t="s">
        <v>93</v>
      </c>
      <c r="F17" s="13"/>
      <c r="G17" s="13"/>
      <c r="H17" s="13"/>
      <c r="I17" s="13"/>
      <c r="J17" s="152">
        <f>J15-J16</f>
        <v>17242361.949999999</v>
      </c>
      <c r="K17" s="43"/>
      <c r="L17" s="43"/>
      <c r="M17" s="43"/>
      <c r="N17" s="43"/>
      <c r="P17" s="13"/>
      <c r="R17" s="2" t="s">
        <v>318</v>
      </c>
    </row>
    <row r="18" spans="2:18" ht="12.75" customHeight="1" x14ac:dyDescent="0.2">
      <c r="F18" s="13"/>
      <c r="G18" s="13"/>
      <c r="H18" s="13"/>
      <c r="I18" s="13"/>
      <c r="J18" s="13"/>
      <c r="K18" s="13"/>
      <c r="L18" s="13"/>
      <c r="M18" s="13"/>
      <c r="N18" s="13"/>
      <c r="P18" s="13"/>
    </row>
    <row r="19" spans="2:18" ht="12.75" customHeight="1" x14ac:dyDescent="0.2">
      <c r="B19" s="2" t="s">
        <v>455</v>
      </c>
      <c r="D19" s="2" t="s">
        <v>73</v>
      </c>
      <c r="F19" s="13"/>
      <c r="G19" s="13"/>
      <c r="H19" s="13"/>
      <c r="I19" s="13"/>
      <c r="J19" s="43"/>
      <c r="K19" s="148">
        <v>7.6132516822913707E-2</v>
      </c>
      <c r="L19" s="43"/>
      <c r="M19" s="148">
        <v>0.33919836934714998</v>
      </c>
      <c r="N19" s="43"/>
      <c r="P19" s="83" t="s">
        <v>477</v>
      </c>
    </row>
    <row r="20" spans="2:18" ht="12.75" customHeight="1" x14ac:dyDescent="0.2">
      <c r="F20" s="13"/>
      <c r="G20" s="13"/>
      <c r="H20" s="13"/>
      <c r="I20" s="13"/>
      <c r="J20" s="13"/>
      <c r="K20" s="13"/>
      <c r="L20" s="13"/>
      <c r="M20" s="13"/>
      <c r="N20" s="13"/>
      <c r="P20" s="13"/>
      <c r="R20" s="13"/>
    </row>
    <row r="21" spans="2:18" ht="12.75" customHeight="1" x14ac:dyDescent="0.2">
      <c r="B21" s="1" t="s">
        <v>112</v>
      </c>
      <c r="F21" s="13"/>
      <c r="G21" s="13"/>
      <c r="H21" s="13"/>
      <c r="I21" s="13"/>
      <c r="J21" s="13"/>
      <c r="K21" s="13"/>
      <c r="L21" s="13"/>
      <c r="M21" s="45"/>
      <c r="N21" s="13"/>
      <c r="P21" s="13"/>
      <c r="R21" s="13"/>
    </row>
    <row r="22" spans="2:18" ht="12.75" customHeight="1" x14ac:dyDescent="0.2">
      <c r="B22" s="2" t="s">
        <v>456</v>
      </c>
      <c r="D22" s="2" t="s">
        <v>113</v>
      </c>
      <c r="F22" s="13"/>
      <c r="G22" s="13"/>
      <c r="H22" s="13"/>
      <c r="I22" s="13"/>
      <c r="J22" s="43"/>
      <c r="K22" s="43"/>
      <c r="L22" s="44"/>
      <c r="M22" s="151">
        <v>145</v>
      </c>
      <c r="N22" s="44"/>
      <c r="P22" s="83" t="s">
        <v>480</v>
      </c>
      <c r="R22" s="13"/>
    </row>
    <row r="23" spans="2:18" ht="12.75" customHeight="1" x14ac:dyDescent="0.2">
      <c r="B23" s="2" t="s">
        <v>457</v>
      </c>
      <c r="D23" s="2" t="s">
        <v>130</v>
      </c>
      <c r="F23" s="13"/>
      <c r="G23" s="13"/>
      <c r="H23" s="13"/>
      <c r="I23" s="13"/>
      <c r="J23" s="43"/>
      <c r="K23" s="43"/>
      <c r="L23" s="44"/>
      <c r="M23" s="153">
        <v>272.94023816097268</v>
      </c>
      <c r="N23" s="44"/>
      <c r="P23" s="129" t="s">
        <v>481</v>
      </c>
      <c r="R23" s="2" t="s">
        <v>114</v>
      </c>
    </row>
    <row r="24" spans="2:18" ht="12.75" customHeight="1" x14ac:dyDescent="0.2">
      <c r="B24" s="2" t="s">
        <v>115</v>
      </c>
      <c r="D24" s="2" t="s">
        <v>130</v>
      </c>
      <c r="F24" s="13"/>
      <c r="G24" s="13"/>
      <c r="H24" s="13"/>
      <c r="I24" s="13"/>
      <c r="J24" s="43"/>
      <c r="K24" s="43"/>
      <c r="L24" s="44"/>
      <c r="M24" s="154">
        <f>M23*M22</f>
        <v>39576.33453334104</v>
      </c>
      <c r="N24" s="44"/>
      <c r="P24" s="13"/>
      <c r="R24" s="2" t="s">
        <v>116</v>
      </c>
    </row>
    <row r="25" spans="2:18" x14ac:dyDescent="0.2">
      <c r="F25" s="13"/>
      <c r="G25" s="13"/>
      <c r="H25" s="13"/>
      <c r="I25" s="13"/>
      <c r="J25" s="13"/>
      <c r="K25" s="13"/>
      <c r="L25" s="13"/>
      <c r="M25" s="13"/>
      <c r="N25" s="13"/>
      <c r="P25" s="13"/>
    </row>
    <row r="26" spans="2:18" x14ac:dyDescent="0.2">
      <c r="B26" s="1" t="s">
        <v>458</v>
      </c>
      <c r="F26" s="13"/>
      <c r="G26" s="13"/>
      <c r="H26" s="13"/>
      <c r="I26" s="13"/>
      <c r="J26" s="13"/>
      <c r="K26" s="13"/>
      <c r="L26" s="13"/>
      <c r="M26" s="13"/>
      <c r="N26" s="13"/>
      <c r="P26" s="13"/>
      <c r="R26" s="18"/>
    </row>
    <row r="27" spans="2:18" x14ac:dyDescent="0.2">
      <c r="B27" s="2" t="s">
        <v>459</v>
      </c>
      <c r="D27" s="2" t="s">
        <v>95</v>
      </c>
      <c r="F27" s="13"/>
      <c r="G27" s="13"/>
      <c r="H27" s="13"/>
      <c r="I27" s="13"/>
      <c r="J27" s="13"/>
      <c r="K27" s="13"/>
      <c r="L27" s="13"/>
      <c r="M27" s="153">
        <v>182453.83</v>
      </c>
      <c r="N27" s="43"/>
      <c r="P27" s="83" t="s">
        <v>482</v>
      </c>
      <c r="R27" s="13"/>
    </row>
    <row r="28" spans="2:18" x14ac:dyDescent="0.2">
      <c r="B28" s="2" t="s">
        <v>460</v>
      </c>
      <c r="D28" s="2" t="s">
        <v>73</v>
      </c>
      <c r="F28" s="13"/>
      <c r="G28" s="13"/>
      <c r="H28" s="13"/>
      <c r="I28" s="13"/>
      <c r="J28" s="13"/>
      <c r="K28" s="13"/>
      <c r="L28" s="13"/>
      <c r="M28" s="43"/>
      <c r="N28" s="155">
        <f>N15/(M27+N15)</f>
        <v>5.6493409492800245E-3</v>
      </c>
      <c r="P28" s="13"/>
    </row>
    <row r="29" spans="2:18" x14ac:dyDescent="0.2">
      <c r="F29" s="13"/>
      <c r="G29" s="13"/>
      <c r="H29" s="13"/>
      <c r="I29" s="13"/>
      <c r="J29" s="13"/>
      <c r="K29" s="13"/>
      <c r="L29" s="13"/>
      <c r="M29" s="13"/>
      <c r="N29" s="13"/>
      <c r="P29" s="13"/>
    </row>
    <row r="30" spans="2:18" s="8" customFormat="1" x14ac:dyDescent="0.2">
      <c r="B30" s="8" t="s">
        <v>283</v>
      </c>
      <c r="F30" s="42"/>
      <c r="G30" s="42"/>
      <c r="H30" s="42"/>
      <c r="I30" s="42"/>
      <c r="J30" s="42"/>
      <c r="K30" s="42"/>
      <c r="L30" s="42"/>
      <c r="M30" s="42"/>
      <c r="N30" s="42"/>
    </row>
    <row r="31" spans="2:18" x14ac:dyDescent="0.2">
      <c r="F31" s="13"/>
      <c r="G31" s="13"/>
      <c r="H31" s="13"/>
      <c r="I31" s="13"/>
      <c r="J31" s="13"/>
      <c r="K31" s="13"/>
      <c r="L31" s="13"/>
      <c r="M31" s="13"/>
      <c r="N31" s="13"/>
      <c r="P31" s="13"/>
    </row>
    <row r="32" spans="2:18" x14ac:dyDescent="0.2">
      <c r="B32" s="1" t="s">
        <v>284</v>
      </c>
      <c r="F32" s="13"/>
      <c r="G32" s="13"/>
      <c r="H32" s="13"/>
      <c r="I32" s="13"/>
      <c r="J32" s="13"/>
      <c r="K32" s="13"/>
      <c r="L32" s="13"/>
      <c r="M32" s="13"/>
      <c r="N32" s="13"/>
    </row>
    <row r="33" spans="2:18" ht="12.75" customHeight="1" x14ac:dyDescent="0.2">
      <c r="B33" s="2" t="s">
        <v>461</v>
      </c>
      <c r="D33" s="2" t="s">
        <v>99</v>
      </c>
      <c r="F33" s="13"/>
      <c r="G33" s="13"/>
      <c r="H33" s="13"/>
      <c r="I33" s="13"/>
      <c r="J33" s="151">
        <v>3138853.4527746602</v>
      </c>
      <c r="K33" s="43"/>
      <c r="L33" s="43"/>
      <c r="M33" s="43"/>
      <c r="N33" s="43"/>
      <c r="P33" s="2" t="s">
        <v>483</v>
      </c>
    </row>
    <row r="34" spans="2:18" ht="12.75" customHeight="1" x14ac:dyDescent="0.2">
      <c r="B34" s="2" t="s">
        <v>462</v>
      </c>
      <c r="D34" s="2" t="s">
        <v>98</v>
      </c>
      <c r="F34" s="13"/>
      <c r="G34" s="13"/>
      <c r="H34" s="13"/>
      <c r="I34" s="13"/>
      <c r="J34" s="151">
        <v>11973194</v>
      </c>
      <c r="K34" s="43"/>
      <c r="L34" s="43"/>
      <c r="M34" s="43"/>
      <c r="N34" s="43"/>
      <c r="P34" s="2" t="s">
        <v>484</v>
      </c>
    </row>
    <row r="35" spans="2:18" x14ac:dyDescent="0.2">
      <c r="F35" s="13"/>
      <c r="G35" s="13"/>
      <c r="H35" s="13"/>
      <c r="I35" s="13"/>
      <c r="J35" s="13"/>
      <c r="K35" s="13"/>
      <c r="L35" s="13"/>
      <c r="M35" s="13"/>
      <c r="N35" s="13"/>
    </row>
    <row r="36" spans="2:18" x14ac:dyDescent="0.2">
      <c r="B36" s="1" t="s">
        <v>287</v>
      </c>
      <c r="F36" s="13"/>
      <c r="G36" s="13"/>
      <c r="H36" s="13"/>
      <c r="I36" s="13"/>
      <c r="J36" s="13"/>
      <c r="K36" s="13"/>
      <c r="L36" s="13"/>
      <c r="M36" s="13"/>
      <c r="N36" s="13"/>
    </row>
    <row r="37" spans="2:18" x14ac:dyDescent="0.2">
      <c r="B37" s="2" t="s">
        <v>207</v>
      </c>
      <c r="D37" s="2" t="s">
        <v>93</v>
      </c>
      <c r="F37" s="13"/>
      <c r="G37" s="13"/>
      <c r="H37" s="13"/>
      <c r="I37" s="13"/>
      <c r="J37" s="37"/>
      <c r="K37" s="40"/>
      <c r="L37" s="151">
        <v>971160</v>
      </c>
      <c r="M37" s="37"/>
      <c r="N37" s="37"/>
      <c r="P37" s="2" t="s">
        <v>487</v>
      </c>
      <c r="R37" s="2" t="s">
        <v>214</v>
      </c>
    </row>
    <row r="38" spans="2:18" x14ac:dyDescent="0.2">
      <c r="F38" s="13"/>
      <c r="G38" s="13"/>
      <c r="H38" s="13"/>
      <c r="I38" s="13"/>
      <c r="J38" s="13"/>
      <c r="K38" s="13"/>
      <c r="L38" s="13"/>
      <c r="M38" s="13"/>
      <c r="N38" s="13"/>
    </row>
    <row r="39" spans="2:18" s="8" customFormat="1" x14ac:dyDescent="0.2">
      <c r="B39" s="8" t="s">
        <v>174</v>
      </c>
      <c r="F39" s="42"/>
      <c r="G39" s="42"/>
      <c r="H39" s="42"/>
      <c r="I39" s="42"/>
      <c r="J39" s="42"/>
      <c r="K39" s="42"/>
      <c r="L39" s="42"/>
      <c r="M39" s="42"/>
      <c r="N39" s="42"/>
    </row>
    <row r="40" spans="2:18" x14ac:dyDescent="0.2">
      <c r="F40" s="13"/>
      <c r="G40" s="13"/>
      <c r="H40" s="13"/>
      <c r="I40" s="13"/>
      <c r="J40" s="13"/>
      <c r="K40" s="13"/>
      <c r="L40" s="13"/>
      <c r="M40" s="13"/>
      <c r="N40" s="13"/>
      <c r="O40" s="13"/>
    </row>
    <row r="41" spans="2:18" x14ac:dyDescent="0.2">
      <c r="B41" s="1" t="s">
        <v>131</v>
      </c>
      <c r="F41" s="13"/>
      <c r="G41" s="13"/>
      <c r="H41" s="13"/>
      <c r="I41" s="13"/>
      <c r="J41" s="13"/>
      <c r="K41" s="13"/>
      <c r="L41" s="13"/>
      <c r="M41" s="13"/>
      <c r="N41" s="13"/>
      <c r="O41" s="13"/>
      <c r="P41" s="13"/>
    </row>
    <row r="42" spans="2:18" x14ac:dyDescent="0.2">
      <c r="B42" s="2" t="s">
        <v>463</v>
      </c>
      <c r="D42" s="2" t="s">
        <v>130</v>
      </c>
      <c r="F42" s="13"/>
      <c r="G42" s="13"/>
      <c r="H42" s="158">
        <f>SUM(J42:N42)</f>
        <v>476086.88579034316</v>
      </c>
      <c r="I42" s="83"/>
      <c r="J42" s="151">
        <v>476086.88579034316</v>
      </c>
      <c r="K42" s="159"/>
      <c r="L42" s="51"/>
      <c r="M42" s="51"/>
      <c r="N42" s="51"/>
      <c r="O42" s="13"/>
      <c r="P42" s="129" t="s">
        <v>390</v>
      </c>
    </row>
    <row r="43" spans="2:18" x14ac:dyDescent="0.2">
      <c r="B43" s="2" t="s">
        <v>763</v>
      </c>
      <c r="D43" s="2" t="s">
        <v>289</v>
      </c>
      <c r="F43" s="13"/>
      <c r="G43" s="13"/>
      <c r="H43" s="158">
        <f>SUM(J43:N43)</f>
        <v>138730.18272042111</v>
      </c>
      <c r="I43" s="83"/>
      <c r="J43" s="151">
        <v>138730.18272042111</v>
      </c>
      <c r="K43" s="159"/>
      <c r="L43" s="51"/>
      <c r="M43" s="51"/>
      <c r="N43" s="51"/>
      <c r="O43" s="13"/>
      <c r="P43" s="129"/>
    </row>
    <row r="44" spans="2:18" x14ac:dyDescent="0.2">
      <c r="B44" s="2" t="s">
        <v>451</v>
      </c>
      <c r="D44" s="2" t="s">
        <v>289</v>
      </c>
      <c r="F44" s="13"/>
      <c r="G44" s="13"/>
      <c r="H44" s="158">
        <f>SUM(J44:N44)</f>
        <v>34244.222059169144</v>
      </c>
      <c r="I44" s="83"/>
      <c r="J44" s="159"/>
      <c r="K44" s="151">
        <v>34244.222059169144</v>
      </c>
      <c r="L44" s="51"/>
      <c r="M44" s="51"/>
      <c r="N44" s="51"/>
      <c r="O44" s="13"/>
      <c r="P44" s="129" t="s">
        <v>391</v>
      </c>
    </row>
    <row r="45" spans="2:18" x14ac:dyDescent="0.2">
      <c r="F45" s="13"/>
      <c r="G45" s="13"/>
      <c r="H45" s="13"/>
      <c r="I45" s="13"/>
      <c r="J45" s="13"/>
      <c r="K45" s="13"/>
      <c r="L45" s="13"/>
      <c r="M45" s="13"/>
      <c r="N45" s="13"/>
    </row>
    <row r="46" spans="2:18" x14ac:dyDescent="0.2">
      <c r="B46" s="1" t="s">
        <v>101</v>
      </c>
      <c r="F46" s="13"/>
      <c r="G46" s="13"/>
      <c r="H46" s="13"/>
      <c r="I46" s="13"/>
      <c r="J46" s="13"/>
      <c r="K46" s="13"/>
      <c r="L46" s="13"/>
      <c r="M46" s="13"/>
      <c r="N46" s="13"/>
    </row>
    <row r="47" spans="2:18" x14ac:dyDescent="0.2">
      <c r="B47" s="83" t="s">
        <v>101</v>
      </c>
      <c r="D47" s="2" t="s">
        <v>211</v>
      </c>
      <c r="F47" s="156">
        <v>2.9673666666666669</v>
      </c>
      <c r="G47" s="13"/>
      <c r="H47" s="13"/>
      <c r="I47" s="13"/>
      <c r="J47" s="13"/>
      <c r="K47" s="13"/>
      <c r="L47" s="13"/>
      <c r="M47" s="13"/>
      <c r="N47" s="13"/>
      <c r="P47" s="83" t="s">
        <v>762</v>
      </c>
    </row>
    <row r="48" spans="2:18" x14ac:dyDescent="0.2">
      <c r="B48" s="83" t="s">
        <v>212</v>
      </c>
      <c r="F48" s="156">
        <v>3.7854117839999999</v>
      </c>
      <c r="G48" s="13"/>
      <c r="H48" s="13"/>
      <c r="I48" s="13"/>
      <c r="J48" s="13"/>
      <c r="K48" s="13"/>
      <c r="L48" s="13"/>
      <c r="M48" s="13"/>
      <c r="N48" s="13"/>
    </row>
    <row r="49" spans="2:14" x14ac:dyDescent="0.2">
      <c r="B49" s="2" t="s">
        <v>101</v>
      </c>
      <c r="D49" s="2" t="s">
        <v>102</v>
      </c>
      <c r="F49" s="157">
        <f>F47/F48</f>
        <v>0.78389534243249115</v>
      </c>
      <c r="G49" s="13"/>
      <c r="H49" s="13"/>
      <c r="I49" s="13"/>
      <c r="J49" s="13"/>
      <c r="K49" s="13"/>
      <c r="L49" s="150"/>
      <c r="M49" s="13"/>
      <c r="N49" s="13"/>
    </row>
    <row r="52" spans="2:14" x14ac:dyDescent="0.2">
      <c r="B52" s="4" t="s">
        <v>63</v>
      </c>
    </row>
  </sheetData>
  <phoneticPr fontId="3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EB561-8F95-4A6A-B3A7-F07857E0C764}">
  <sheetPr>
    <tabColor rgb="FFE1FFE1"/>
  </sheetPr>
  <dimension ref="A2:R77"/>
  <sheetViews>
    <sheetView showGridLines="0" zoomScaleNormal="100" workbookViewId="0">
      <pane xSplit="4" ySplit="9" topLeftCell="E10" activePane="bottomRight" state="frozen"/>
      <selection activeCell="R6" sqref="R6"/>
      <selection pane="topRight" activeCell="R6" sqref="R6"/>
      <selection pane="bottomLeft" activeCell="R6" sqref="R6"/>
      <selection pane="bottomRight" activeCell="E10" sqref="E10"/>
    </sheetView>
  </sheetViews>
  <sheetFormatPr defaultColWidth="9.140625" defaultRowHeight="12.75" x14ac:dyDescent="0.2"/>
  <cols>
    <col min="1" max="1" width="4" style="2" customWidth="1"/>
    <col min="2" max="2" width="71.7109375" style="2" customWidth="1"/>
    <col min="3" max="3" width="4.570312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58.5703125" style="2" customWidth="1"/>
    <col min="17" max="17" width="2.7109375" style="2" customWidth="1"/>
    <col min="18" max="18" width="13.7109375" style="2" customWidth="1"/>
    <col min="19" max="19" width="2.7109375" style="2" customWidth="1"/>
    <col min="20" max="34" width="13.7109375" style="2" customWidth="1"/>
    <col min="35" max="16384" width="9.140625" style="2"/>
  </cols>
  <sheetData>
    <row r="2" spans="2:18" s="12" customFormat="1" ht="18" x14ac:dyDescent="0.2">
      <c r="B2" s="12" t="s">
        <v>512</v>
      </c>
    </row>
    <row r="4" spans="2:18" x14ac:dyDescent="0.2">
      <c r="B4" s="1" t="s">
        <v>79</v>
      </c>
    </row>
    <row r="5" spans="2:18" x14ac:dyDescent="0.2">
      <c r="B5" s="129" t="s">
        <v>513</v>
      </c>
      <c r="F5" s="13"/>
    </row>
    <row r="6" spans="2:18" x14ac:dyDescent="0.2">
      <c r="F6" s="13"/>
    </row>
    <row r="8" spans="2:18" s="8" customFormat="1" x14ac:dyDescent="0.2">
      <c r="B8" s="8" t="s">
        <v>80</v>
      </c>
      <c r="D8" s="8" t="s">
        <v>81</v>
      </c>
      <c r="F8" s="8" t="s">
        <v>82</v>
      </c>
      <c r="H8" s="8" t="s">
        <v>83</v>
      </c>
      <c r="J8" s="8" t="s">
        <v>68</v>
      </c>
      <c r="K8" s="8" t="s">
        <v>69</v>
      </c>
      <c r="L8" s="8" t="s">
        <v>70</v>
      </c>
      <c r="M8" s="8" t="s">
        <v>71</v>
      </c>
      <c r="N8" s="8" t="s">
        <v>72</v>
      </c>
      <c r="P8" s="8" t="s">
        <v>40</v>
      </c>
      <c r="R8" s="8" t="s">
        <v>39</v>
      </c>
    </row>
    <row r="11" spans="2:18" s="8" customFormat="1" x14ac:dyDescent="0.2">
      <c r="B11" s="8" t="s">
        <v>178</v>
      </c>
    </row>
    <row r="13" spans="2:18" ht="12.75" customHeight="1" x14ac:dyDescent="0.2">
      <c r="B13" s="39" t="s">
        <v>103</v>
      </c>
      <c r="C13" s="34"/>
      <c r="J13" s="13"/>
      <c r="K13" s="13"/>
      <c r="L13" s="13"/>
      <c r="M13" s="13"/>
      <c r="N13" s="13"/>
      <c r="P13" s="13"/>
      <c r="R13" s="13"/>
    </row>
    <row r="14" spans="2:18" ht="12.75" customHeight="1" x14ac:dyDescent="0.2">
      <c r="B14" s="2" t="s">
        <v>514</v>
      </c>
      <c r="D14" s="2" t="s">
        <v>95</v>
      </c>
      <c r="J14" s="37"/>
      <c r="K14" s="40"/>
      <c r="L14" s="163">
        <v>229530</v>
      </c>
      <c r="M14" s="37"/>
      <c r="N14" s="37"/>
      <c r="P14" s="2" t="s">
        <v>540</v>
      </c>
      <c r="R14" s="13"/>
    </row>
    <row r="15" spans="2:18" ht="12.75" customHeight="1" x14ac:dyDescent="0.2">
      <c r="B15" s="34"/>
      <c r="C15" s="34"/>
      <c r="D15" s="34"/>
      <c r="E15" s="34"/>
      <c r="J15" s="13"/>
      <c r="K15" s="13"/>
      <c r="L15" s="13"/>
      <c r="M15" s="13"/>
      <c r="N15" s="13"/>
      <c r="P15" s="13"/>
      <c r="R15" s="13"/>
    </row>
    <row r="16" spans="2:18" ht="12.75" customHeight="1" x14ac:dyDescent="0.2">
      <c r="B16" s="1" t="s">
        <v>106</v>
      </c>
      <c r="J16" s="13"/>
      <c r="K16" s="13"/>
      <c r="L16" s="13"/>
      <c r="M16" s="13"/>
      <c r="N16" s="13"/>
      <c r="P16" s="13"/>
      <c r="R16" s="13"/>
    </row>
    <row r="17" spans="1:18" ht="12.75" customHeight="1" x14ac:dyDescent="0.2">
      <c r="B17" s="2" t="s">
        <v>515</v>
      </c>
      <c r="D17" s="2" t="s">
        <v>73</v>
      </c>
      <c r="J17" s="43"/>
      <c r="K17" s="164">
        <v>9.5000000000000001E-2</v>
      </c>
      <c r="L17" s="41"/>
      <c r="M17" s="164">
        <v>0.45</v>
      </c>
      <c r="N17" s="41"/>
      <c r="P17" s="129" t="s">
        <v>760</v>
      </c>
      <c r="R17" s="13"/>
    </row>
    <row r="18" spans="1:18" x14ac:dyDescent="0.2">
      <c r="B18" s="1"/>
      <c r="J18" s="13"/>
      <c r="K18" s="13"/>
      <c r="L18" s="13"/>
      <c r="M18" s="13"/>
      <c r="N18" s="13"/>
    </row>
    <row r="19" spans="1:18" ht="12.75" customHeight="1" x14ac:dyDescent="0.2">
      <c r="B19" s="1" t="s">
        <v>97</v>
      </c>
      <c r="J19" s="13"/>
      <c r="K19" s="13"/>
      <c r="L19" s="13"/>
      <c r="M19" s="13"/>
      <c r="N19" s="13"/>
      <c r="P19" s="13"/>
    </row>
    <row r="20" spans="1:18" ht="12.75" customHeight="1" x14ac:dyDescent="0.2">
      <c r="B20" s="2" t="s">
        <v>516</v>
      </c>
      <c r="D20" s="2" t="s">
        <v>98</v>
      </c>
      <c r="J20" s="163">
        <v>9609000</v>
      </c>
      <c r="K20" s="43"/>
      <c r="L20" s="43"/>
      <c r="M20" s="43"/>
      <c r="N20" s="43"/>
      <c r="P20" s="2" t="s">
        <v>531</v>
      </c>
    </row>
    <row r="21" spans="1:18" ht="12.75" customHeight="1" x14ac:dyDescent="0.2">
      <c r="B21" s="2" t="s">
        <v>517</v>
      </c>
      <c r="D21" s="2" t="s">
        <v>98</v>
      </c>
      <c r="J21" s="163">
        <v>8276720.4000000022</v>
      </c>
      <c r="K21" s="43"/>
      <c r="L21" s="43"/>
      <c r="M21" s="43"/>
      <c r="N21" s="43"/>
      <c r="P21" s="2" t="s">
        <v>532</v>
      </c>
    </row>
    <row r="22" spans="1:18" ht="12.75" customHeight="1" x14ac:dyDescent="0.2">
      <c r="B22" s="2" t="s">
        <v>518</v>
      </c>
      <c r="D22" s="2" t="s">
        <v>98</v>
      </c>
      <c r="J22" s="165">
        <f>J20+J21</f>
        <v>17885720.400000002</v>
      </c>
      <c r="K22" s="43"/>
      <c r="L22" s="43"/>
      <c r="M22" s="43"/>
      <c r="N22" s="43"/>
      <c r="P22" s="13"/>
    </row>
    <row r="23" spans="1:18" ht="12.75" customHeight="1" x14ac:dyDescent="0.2">
      <c r="B23" s="2" t="s">
        <v>519</v>
      </c>
      <c r="D23" s="2" t="s">
        <v>98</v>
      </c>
      <c r="J23" s="163">
        <v>8406288.2699999996</v>
      </c>
      <c r="K23" s="43"/>
      <c r="L23" s="43"/>
      <c r="M23" s="43"/>
      <c r="N23" s="43"/>
      <c r="P23" s="2" t="s">
        <v>533</v>
      </c>
    </row>
    <row r="24" spans="1:18" ht="12.75" customHeight="1" x14ac:dyDescent="0.2">
      <c r="B24" s="2" t="s">
        <v>520</v>
      </c>
      <c r="D24" s="2" t="s">
        <v>73</v>
      </c>
      <c r="J24" s="166">
        <f>J21/J22</f>
        <v>0.46275577471288221</v>
      </c>
      <c r="K24" s="43"/>
      <c r="L24" s="43"/>
      <c r="M24" s="43"/>
      <c r="N24" s="43"/>
      <c r="P24" s="13"/>
    </row>
    <row r="25" spans="1:18" ht="12.75" customHeight="1" x14ac:dyDescent="0.2">
      <c r="J25" s="13"/>
      <c r="K25" s="13"/>
      <c r="L25" s="13"/>
      <c r="M25" s="13"/>
      <c r="N25" s="13"/>
    </row>
    <row r="26" spans="1:18" ht="12.75" customHeight="1" x14ac:dyDescent="0.2">
      <c r="B26" s="1" t="s">
        <v>521</v>
      </c>
      <c r="J26" s="13"/>
      <c r="K26" s="13"/>
      <c r="L26" s="13"/>
      <c r="M26" s="13"/>
      <c r="N26" s="13"/>
      <c r="P26" s="13"/>
      <c r="R26" s="13"/>
    </row>
    <row r="27" spans="1:18" ht="12.75" customHeight="1" x14ac:dyDescent="0.2">
      <c r="B27" s="2" t="s">
        <v>522</v>
      </c>
      <c r="D27" s="2" t="s">
        <v>95</v>
      </c>
      <c r="J27" s="37"/>
      <c r="K27" s="37"/>
      <c r="L27" s="37"/>
      <c r="M27" s="37"/>
      <c r="N27" s="163">
        <v>2530</v>
      </c>
      <c r="P27" s="2" t="s">
        <v>541</v>
      </c>
      <c r="R27" s="13"/>
    </row>
    <row r="28" spans="1:18" s="20" customFormat="1" ht="12.75" customHeight="1" x14ac:dyDescent="0.2">
      <c r="A28" s="2"/>
      <c r="B28" s="2" t="s">
        <v>523</v>
      </c>
      <c r="C28" s="2"/>
      <c r="D28" s="2" t="s">
        <v>73</v>
      </c>
      <c r="J28" s="161"/>
      <c r="K28" s="161"/>
      <c r="L28" s="161"/>
      <c r="M28" s="161"/>
      <c r="N28" s="167">
        <f>N27/L14</f>
        <v>1.1022524288763996E-2</v>
      </c>
      <c r="R28" s="46"/>
    </row>
    <row r="29" spans="1:18" ht="12.75" customHeight="1" x14ac:dyDescent="0.2">
      <c r="J29" s="13"/>
      <c r="K29" s="13"/>
      <c r="L29" s="13"/>
      <c r="M29" s="13"/>
      <c r="N29" s="13"/>
      <c r="P29" s="13"/>
      <c r="R29" s="13"/>
    </row>
    <row r="30" spans="1:18" s="8" customFormat="1" ht="12.75" customHeight="1" x14ac:dyDescent="0.2">
      <c r="B30" s="8" t="s">
        <v>286</v>
      </c>
      <c r="J30" s="42"/>
      <c r="K30" s="42"/>
      <c r="L30" s="42"/>
      <c r="M30" s="42"/>
      <c r="N30" s="42"/>
      <c r="P30" s="42"/>
      <c r="R30" s="42"/>
    </row>
    <row r="31" spans="1:18" ht="12.75" customHeight="1" x14ac:dyDescent="0.2">
      <c r="J31" s="13"/>
      <c r="K31" s="13"/>
      <c r="L31" s="13"/>
      <c r="M31" s="13"/>
      <c r="N31" s="13"/>
      <c r="P31" s="13"/>
      <c r="R31" s="13"/>
    </row>
    <row r="32" spans="1:18" ht="12.75" customHeight="1" x14ac:dyDescent="0.2">
      <c r="B32" s="1" t="s">
        <v>285</v>
      </c>
      <c r="J32" s="13"/>
      <c r="K32" s="13"/>
      <c r="L32" s="13"/>
      <c r="M32" s="13"/>
      <c r="N32" s="13"/>
    </row>
    <row r="33" spans="2:18" ht="12.75" customHeight="1" x14ac:dyDescent="0.2">
      <c r="B33" s="2" t="s">
        <v>461</v>
      </c>
      <c r="D33" s="2" t="s">
        <v>99</v>
      </c>
      <c r="J33" s="168">
        <f>'Historical data'!J33</f>
        <v>3138853.4527746602</v>
      </c>
      <c r="K33" s="169"/>
      <c r="L33" s="169"/>
      <c r="M33" s="43"/>
      <c r="N33" s="43"/>
    </row>
    <row r="34" spans="2:18" ht="12.75" customHeight="1" x14ac:dyDescent="0.2">
      <c r="B34" s="2" t="s">
        <v>462</v>
      </c>
      <c r="D34" s="2" t="s">
        <v>98</v>
      </c>
      <c r="J34" s="168">
        <f>'Historical data'!J34</f>
        <v>11973194</v>
      </c>
      <c r="K34" s="169"/>
      <c r="L34" s="169"/>
      <c r="M34" s="43"/>
      <c r="N34" s="43"/>
    </row>
    <row r="35" spans="2:18" ht="12.75" customHeight="1" x14ac:dyDescent="0.2">
      <c r="B35" s="2" t="s">
        <v>524</v>
      </c>
      <c r="D35" s="2" t="s">
        <v>100</v>
      </c>
      <c r="J35" s="170">
        <f>J33/J34</f>
        <v>0.262156735518915</v>
      </c>
      <c r="K35" s="169"/>
      <c r="L35" s="169"/>
      <c r="M35" s="43"/>
      <c r="N35" s="43"/>
      <c r="P35" s="13"/>
    </row>
    <row r="36" spans="2:18" ht="12.75" customHeight="1" x14ac:dyDescent="0.2">
      <c r="J36" s="129"/>
      <c r="K36" s="129"/>
      <c r="L36" s="129"/>
      <c r="M36" s="13"/>
      <c r="N36" s="13"/>
      <c r="P36" s="13"/>
    </row>
    <row r="37" spans="2:18" ht="12.75" customHeight="1" x14ac:dyDescent="0.2">
      <c r="B37" s="1" t="s">
        <v>206</v>
      </c>
      <c r="J37" s="129"/>
      <c r="K37" s="129"/>
      <c r="L37" s="129"/>
      <c r="M37" s="13"/>
      <c r="N37" s="13"/>
      <c r="P37" s="13"/>
    </row>
    <row r="38" spans="2:18" ht="12.75" customHeight="1" x14ac:dyDescent="0.2">
      <c r="B38" s="2" t="s">
        <v>529</v>
      </c>
      <c r="D38" s="2" t="s">
        <v>95</v>
      </c>
      <c r="J38" s="171"/>
      <c r="K38" s="172"/>
      <c r="L38" s="168">
        <f>'Historical data'!L15</f>
        <v>186919</v>
      </c>
      <c r="M38" s="37"/>
      <c r="N38" s="37"/>
      <c r="P38" s="13"/>
    </row>
    <row r="39" spans="2:18" ht="12.75" customHeight="1" x14ac:dyDescent="0.2">
      <c r="B39" s="2" t="s">
        <v>207</v>
      </c>
      <c r="D39" s="2" t="s">
        <v>93</v>
      </c>
      <c r="J39" s="171"/>
      <c r="K39" s="172"/>
      <c r="L39" s="168">
        <f>'Historical data'!L37</f>
        <v>971160</v>
      </c>
      <c r="M39" s="37"/>
      <c r="N39" s="37"/>
    </row>
    <row r="40" spans="2:18" ht="12.75" customHeight="1" x14ac:dyDescent="0.2">
      <c r="B40" s="2" t="s">
        <v>104</v>
      </c>
      <c r="D40" s="2" t="s">
        <v>105</v>
      </c>
      <c r="J40" s="171"/>
      <c r="K40" s="172"/>
      <c r="L40" s="173">
        <f>L39/L38</f>
        <v>5.1956194929354425</v>
      </c>
      <c r="M40" s="37"/>
      <c r="N40" s="37"/>
      <c r="R40" s="13"/>
    </row>
    <row r="41" spans="2:18" ht="12.75" customHeight="1" x14ac:dyDescent="0.2">
      <c r="B41" s="1"/>
      <c r="J41" s="13"/>
      <c r="K41" s="13"/>
      <c r="L41" s="13"/>
      <c r="M41" s="13"/>
      <c r="N41" s="13"/>
      <c r="P41" s="13"/>
    </row>
    <row r="42" spans="2:18" s="8" customFormat="1" ht="12.75" customHeight="1" x14ac:dyDescent="0.2">
      <c r="B42" s="8" t="s">
        <v>525</v>
      </c>
      <c r="J42" s="42"/>
      <c r="K42" s="42"/>
      <c r="L42" s="42"/>
      <c r="M42" s="42"/>
      <c r="N42" s="42"/>
      <c r="P42" s="42"/>
      <c r="R42" s="42"/>
    </row>
    <row r="43" spans="2:18" ht="12.75" customHeight="1" x14ac:dyDescent="0.2">
      <c r="J43" s="13"/>
      <c r="K43" s="13"/>
      <c r="L43" s="13"/>
      <c r="M43" s="13"/>
      <c r="N43" s="13"/>
      <c r="P43" s="13"/>
      <c r="R43" s="13"/>
    </row>
    <row r="44" spans="2:18" ht="12.75" customHeight="1" x14ac:dyDescent="0.2">
      <c r="B44" s="1" t="s">
        <v>118</v>
      </c>
      <c r="J44" s="13"/>
      <c r="K44" s="174" t="s">
        <v>119</v>
      </c>
      <c r="L44" s="13"/>
      <c r="M44" s="13"/>
      <c r="N44" s="13"/>
      <c r="P44" s="13"/>
      <c r="R44" s="83" t="s">
        <v>117</v>
      </c>
    </row>
    <row r="45" spans="2:18" ht="12.75" customHeight="1" x14ac:dyDescent="0.2">
      <c r="B45" s="127">
        <v>3.2</v>
      </c>
      <c r="D45" s="2" t="s">
        <v>113</v>
      </c>
      <c r="J45" s="161"/>
      <c r="K45" s="163">
        <v>206.33333333333334</v>
      </c>
      <c r="L45" s="161"/>
      <c r="M45" s="161"/>
      <c r="N45" s="161"/>
      <c r="P45" s="2" t="s">
        <v>544</v>
      </c>
      <c r="R45" s="83" t="s">
        <v>215</v>
      </c>
    </row>
    <row r="46" spans="2:18" ht="12.75" customHeight="1" x14ac:dyDescent="0.2">
      <c r="B46" s="127">
        <v>7.7</v>
      </c>
      <c r="D46" s="2" t="s">
        <v>113</v>
      </c>
      <c r="J46" s="161"/>
      <c r="K46" s="163">
        <v>1510.3620563410834</v>
      </c>
      <c r="L46" s="161"/>
      <c r="M46" s="161"/>
      <c r="N46" s="161"/>
      <c r="P46" s="13"/>
    </row>
    <row r="47" spans="2:18" ht="12.75" customHeight="1" x14ac:dyDescent="0.2">
      <c r="B47" s="127">
        <v>11</v>
      </c>
      <c r="D47" s="2" t="s">
        <v>113</v>
      </c>
      <c r="J47" s="161"/>
      <c r="K47" s="163">
        <v>137.33333333333334</v>
      </c>
      <c r="L47" s="161"/>
      <c r="M47" s="161"/>
      <c r="N47" s="161"/>
      <c r="P47" s="13"/>
    </row>
    <row r="48" spans="2:18" ht="12.75" customHeight="1" x14ac:dyDescent="0.2">
      <c r="B48" s="127">
        <v>13.86</v>
      </c>
      <c r="D48" s="2" t="s">
        <v>113</v>
      </c>
      <c r="J48" s="161"/>
      <c r="K48" s="163">
        <v>43.333333333333336</v>
      </c>
      <c r="L48" s="161"/>
      <c r="M48" s="161"/>
      <c r="N48" s="161"/>
      <c r="P48" s="13"/>
    </row>
    <row r="49" spans="2:16" ht="12.75" customHeight="1" x14ac:dyDescent="0.2">
      <c r="B49" s="127">
        <v>13.3</v>
      </c>
      <c r="D49" s="2" t="s">
        <v>113</v>
      </c>
      <c r="J49" s="161"/>
      <c r="K49" s="163">
        <v>34.5</v>
      </c>
      <c r="L49" s="161"/>
      <c r="M49" s="161"/>
      <c r="N49" s="161"/>
      <c r="P49" s="13"/>
    </row>
    <row r="50" spans="2:16" ht="12.75" customHeight="1" x14ac:dyDescent="0.2">
      <c r="B50" s="127">
        <v>19</v>
      </c>
      <c r="D50" s="2" t="s">
        <v>113</v>
      </c>
      <c r="J50" s="161"/>
      <c r="K50" s="163">
        <v>28</v>
      </c>
      <c r="L50" s="161"/>
      <c r="M50" s="161"/>
      <c r="N50" s="161"/>
      <c r="P50" s="13"/>
    </row>
    <row r="51" spans="2:16" ht="12.75" customHeight="1" x14ac:dyDescent="0.2">
      <c r="B51" s="127">
        <v>23.94</v>
      </c>
      <c r="D51" s="2" t="s">
        <v>113</v>
      </c>
      <c r="J51" s="161"/>
      <c r="K51" s="163">
        <v>39</v>
      </c>
      <c r="L51" s="161"/>
      <c r="M51" s="161"/>
      <c r="N51" s="161"/>
      <c r="P51" s="13"/>
    </row>
    <row r="52" spans="2:16" ht="12.75" customHeight="1" x14ac:dyDescent="0.2">
      <c r="B52" s="127">
        <v>30.4</v>
      </c>
      <c r="D52" s="2" t="s">
        <v>113</v>
      </c>
      <c r="J52" s="161"/>
      <c r="K52" s="163">
        <v>13</v>
      </c>
      <c r="L52" s="161"/>
      <c r="M52" s="161"/>
      <c r="N52" s="161"/>
      <c r="P52" s="13"/>
    </row>
    <row r="53" spans="2:16" ht="12.75" customHeight="1" x14ac:dyDescent="0.2">
      <c r="B53" s="127">
        <v>38</v>
      </c>
      <c r="D53" s="2" t="s">
        <v>113</v>
      </c>
      <c r="J53" s="161"/>
      <c r="K53" s="163">
        <v>9</v>
      </c>
      <c r="L53" s="161"/>
      <c r="M53" s="161"/>
      <c r="N53" s="161"/>
      <c r="P53" s="13"/>
    </row>
    <row r="54" spans="2:16" ht="12.75" customHeight="1" x14ac:dyDescent="0.2">
      <c r="B54" s="127">
        <v>47.5</v>
      </c>
      <c r="D54" s="2" t="s">
        <v>113</v>
      </c>
      <c r="J54" s="161"/>
      <c r="K54" s="163">
        <v>13</v>
      </c>
      <c r="L54" s="161"/>
      <c r="M54" s="161"/>
      <c r="N54" s="161"/>
      <c r="P54" s="13"/>
    </row>
    <row r="55" spans="2:16" ht="12.75" customHeight="1" x14ac:dyDescent="0.2">
      <c r="B55" s="127">
        <v>60.8</v>
      </c>
      <c r="D55" s="2" t="s">
        <v>113</v>
      </c>
      <c r="J55" s="161"/>
      <c r="K55" s="163">
        <v>4</v>
      </c>
      <c r="L55" s="161"/>
      <c r="M55" s="161"/>
      <c r="N55" s="161"/>
      <c r="P55" s="13"/>
    </row>
    <row r="56" spans="2:16" ht="12.75" customHeight="1" x14ac:dyDescent="0.2">
      <c r="B56" s="127">
        <v>76</v>
      </c>
      <c r="D56" s="2" t="s">
        <v>113</v>
      </c>
      <c r="J56" s="161"/>
      <c r="K56" s="163">
        <v>5</v>
      </c>
      <c r="L56" s="161"/>
      <c r="M56" s="161"/>
      <c r="N56" s="161"/>
      <c r="P56" s="13"/>
    </row>
    <row r="57" spans="2:16" ht="12.75" customHeight="1" x14ac:dyDescent="0.2">
      <c r="B57" s="127">
        <v>85.5</v>
      </c>
      <c r="D57" s="2" t="s">
        <v>113</v>
      </c>
      <c r="J57" s="161"/>
      <c r="K57" s="163">
        <v>3</v>
      </c>
      <c r="L57" s="161"/>
      <c r="M57" s="161"/>
      <c r="N57" s="161"/>
      <c r="P57" s="13"/>
    </row>
    <row r="58" spans="2:16" ht="12.75" customHeight="1" x14ac:dyDescent="0.2">
      <c r="B58" s="127">
        <v>95</v>
      </c>
      <c r="D58" s="2" t="s">
        <v>113</v>
      </c>
      <c r="J58" s="161"/>
      <c r="K58" s="163">
        <v>3</v>
      </c>
      <c r="L58" s="161"/>
      <c r="M58" s="161"/>
      <c r="N58" s="161"/>
      <c r="P58" s="13"/>
    </row>
    <row r="59" spans="2:16" ht="12.75" customHeight="1" x14ac:dyDescent="0.2">
      <c r="B59" s="127">
        <v>119.7</v>
      </c>
      <c r="D59" s="2" t="s">
        <v>113</v>
      </c>
      <c r="J59" s="161"/>
      <c r="K59" s="163">
        <v>0</v>
      </c>
      <c r="L59" s="161"/>
      <c r="M59" s="161"/>
      <c r="N59" s="161"/>
      <c r="P59" s="13"/>
    </row>
    <row r="60" spans="2:16" ht="12.75" customHeight="1" x14ac:dyDescent="0.2">
      <c r="B60" s="127">
        <v>175</v>
      </c>
      <c r="D60" s="2" t="s">
        <v>113</v>
      </c>
      <c r="J60" s="161"/>
      <c r="K60" s="163">
        <v>0</v>
      </c>
      <c r="L60" s="161"/>
      <c r="M60" s="161"/>
      <c r="N60" s="161"/>
      <c r="P60" s="13"/>
    </row>
    <row r="61" spans="2:16" ht="12.75" customHeight="1" x14ac:dyDescent="0.2">
      <c r="B61" s="127">
        <v>200</v>
      </c>
      <c r="D61" s="2" t="s">
        <v>113</v>
      </c>
      <c r="J61" s="161"/>
      <c r="K61" s="163">
        <v>3</v>
      </c>
      <c r="L61" s="161"/>
      <c r="M61" s="161"/>
      <c r="N61" s="161"/>
      <c r="P61" s="13"/>
    </row>
    <row r="62" spans="2:16" ht="12.75" customHeight="1" x14ac:dyDescent="0.2">
      <c r="J62" s="13"/>
      <c r="K62" s="13"/>
      <c r="L62" s="13"/>
      <c r="M62" s="13"/>
      <c r="N62" s="13"/>
      <c r="P62" s="13"/>
    </row>
    <row r="63" spans="2:16" ht="12.75" customHeight="1" x14ac:dyDescent="0.2">
      <c r="B63" s="2" t="s">
        <v>120</v>
      </c>
      <c r="D63" s="2" t="s">
        <v>94</v>
      </c>
      <c r="J63" s="161"/>
      <c r="K63" s="165">
        <f>SUMPRODUCT(B45:B61,K45:K61)</f>
        <v>19445.231167159676</v>
      </c>
      <c r="L63" s="161"/>
      <c r="M63" s="161"/>
      <c r="N63" s="161"/>
      <c r="P63" s="13"/>
    </row>
    <row r="64" spans="2:16" ht="12.75" customHeight="1" x14ac:dyDescent="0.2">
      <c r="J64" s="13"/>
      <c r="K64" s="13"/>
      <c r="L64" s="13"/>
      <c r="M64" s="13"/>
      <c r="N64" s="13"/>
      <c r="P64" s="13"/>
    </row>
    <row r="65" spans="2:18" ht="12.75" customHeight="1" x14ac:dyDescent="0.2">
      <c r="B65" s="1" t="s">
        <v>121</v>
      </c>
      <c r="J65" s="13"/>
      <c r="K65" s="13"/>
      <c r="L65" s="13"/>
      <c r="M65" s="13"/>
      <c r="N65" s="13"/>
      <c r="P65" s="13"/>
    </row>
    <row r="66" spans="2:18" ht="12.75" customHeight="1" x14ac:dyDescent="0.2">
      <c r="B66" s="2" t="s">
        <v>526</v>
      </c>
      <c r="D66" s="2" t="s">
        <v>113</v>
      </c>
      <c r="J66" s="161"/>
      <c r="K66" s="161"/>
      <c r="L66" s="161"/>
      <c r="M66" s="163">
        <v>1292.073872976589</v>
      </c>
      <c r="N66" s="161"/>
      <c r="P66" s="2" t="s">
        <v>527</v>
      </c>
    </row>
    <row r="67" spans="2:18" ht="11.25" customHeight="1" x14ac:dyDescent="0.2">
      <c r="J67" s="13"/>
      <c r="K67" s="13"/>
      <c r="L67" s="13"/>
      <c r="M67" s="13"/>
      <c r="N67" s="13"/>
    </row>
    <row r="68" spans="2:18" s="8" customFormat="1" x14ac:dyDescent="0.2">
      <c r="B68" s="8" t="s">
        <v>288</v>
      </c>
      <c r="J68" s="42"/>
      <c r="K68" s="42"/>
      <c r="L68" s="42"/>
      <c r="M68" s="42"/>
      <c r="N68" s="42"/>
    </row>
    <row r="69" spans="2:18" x14ac:dyDescent="0.2">
      <c r="J69" s="13"/>
      <c r="K69" s="13"/>
      <c r="L69" s="13"/>
      <c r="M69" s="13"/>
      <c r="N69" s="13"/>
    </row>
    <row r="70" spans="2:18" x14ac:dyDescent="0.2">
      <c r="B70" s="20" t="s">
        <v>36</v>
      </c>
      <c r="D70" s="20" t="s">
        <v>92</v>
      </c>
      <c r="J70" s="175" t="s">
        <v>93</v>
      </c>
      <c r="K70" s="175" t="s">
        <v>94</v>
      </c>
      <c r="L70" s="175" t="s">
        <v>95</v>
      </c>
      <c r="M70" s="175" t="s">
        <v>96</v>
      </c>
      <c r="N70" s="175" t="s">
        <v>95</v>
      </c>
      <c r="O70" s="20"/>
      <c r="P70" s="20"/>
    </row>
    <row r="71" spans="2:18" x14ac:dyDescent="0.2">
      <c r="B71" s="2" t="s">
        <v>528</v>
      </c>
      <c r="D71" s="20" t="s">
        <v>92</v>
      </c>
      <c r="J71" s="176">
        <f>J22</f>
        <v>17885720.400000002</v>
      </c>
      <c r="K71" s="176">
        <f>K63</f>
        <v>19445.231167159676</v>
      </c>
      <c r="L71" s="176">
        <f>L14</f>
        <v>229530</v>
      </c>
      <c r="M71" s="176">
        <f>M66</f>
        <v>1292.073872976589</v>
      </c>
      <c r="N71" s="176">
        <f>N27</f>
        <v>2530</v>
      </c>
    </row>
    <row r="72" spans="2:18" ht="12.75" customHeight="1" x14ac:dyDescent="0.2">
      <c r="P72" s="13"/>
      <c r="R72" s="13"/>
    </row>
    <row r="73" spans="2:18" ht="12.75" customHeight="1" x14ac:dyDescent="0.2">
      <c r="P73" s="13"/>
      <c r="R73" s="13"/>
    </row>
    <row r="74" spans="2:18" ht="12.75" customHeight="1" x14ac:dyDescent="0.2">
      <c r="B74" s="47"/>
      <c r="D74" s="47"/>
      <c r="F74" s="48"/>
      <c r="P74" s="13"/>
      <c r="R74" s="13"/>
    </row>
    <row r="75" spans="2:18" x14ac:dyDescent="0.2">
      <c r="B75" s="4" t="s">
        <v>63</v>
      </c>
    </row>
    <row r="77" spans="2:18" x14ac:dyDescent="0.2">
      <c r="B77" s="1"/>
    </row>
  </sheetData>
  <phoneticPr fontId="3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B260A-5F4E-4A5E-B633-80380D18E5CD}">
  <sheetPr>
    <tabColor rgb="FFE1FFE1"/>
  </sheetPr>
  <dimension ref="B2:R76"/>
  <sheetViews>
    <sheetView showGridLines="0" zoomScale="85" zoomScaleNormal="85" workbookViewId="0">
      <pane xSplit="4" ySplit="13" topLeftCell="E14" activePane="bottomRight" state="frozen"/>
      <selection activeCell="R6" sqref="R6"/>
      <selection pane="topRight" activeCell="R6" sqref="R6"/>
      <selection pane="bottomLeft" activeCell="R6" sqref="R6"/>
      <selection pane="bottomRight" activeCell="E14" sqref="E14"/>
    </sheetView>
  </sheetViews>
  <sheetFormatPr defaultColWidth="9.140625" defaultRowHeight="12.75" x14ac:dyDescent="0.2"/>
  <cols>
    <col min="1" max="1" width="4" style="2" customWidth="1"/>
    <col min="2" max="2" width="51.7109375" style="2" customWidth="1"/>
    <col min="3" max="3" width="4.5703125" style="2" customWidth="1"/>
    <col min="4" max="4" width="17.28515625" style="2" bestFit="1" customWidth="1"/>
    <col min="5" max="5" width="2.7109375" style="2" customWidth="1"/>
    <col min="6" max="6" width="13.7109375" style="2" customWidth="1"/>
    <col min="7" max="7" width="2.7109375" style="2" customWidth="1"/>
    <col min="8" max="8" width="13.7109375" style="2" customWidth="1"/>
    <col min="9" max="9" width="2.7109375" style="2" customWidth="1"/>
    <col min="10" max="14" width="21.7109375" style="2" customWidth="1"/>
    <col min="15" max="15" width="2.7109375" style="2" customWidth="1"/>
    <col min="16" max="16" width="58.5703125" style="2" customWidth="1"/>
    <col min="17" max="17" width="2.7109375" style="2" customWidth="1"/>
    <col min="18" max="18" width="13.7109375" style="2" customWidth="1"/>
    <col min="19" max="19" width="2.7109375" style="2" customWidth="1"/>
    <col min="20" max="34" width="13.7109375" style="2" customWidth="1"/>
    <col min="35" max="16384" width="9.140625" style="2"/>
  </cols>
  <sheetData>
    <row r="2" spans="2:18" s="12" customFormat="1" ht="18" x14ac:dyDescent="0.2">
      <c r="B2" s="12" t="s">
        <v>276</v>
      </c>
    </row>
    <row r="4" spans="2:18" x14ac:dyDescent="0.2">
      <c r="B4" s="1" t="s">
        <v>79</v>
      </c>
    </row>
    <row r="5" spans="2:18" x14ac:dyDescent="0.2">
      <c r="B5" s="2" t="s">
        <v>278</v>
      </c>
      <c r="F5" s="13"/>
    </row>
    <row r="6" spans="2:18" x14ac:dyDescent="0.2">
      <c r="F6" s="13"/>
    </row>
    <row r="7" spans="2:18" x14ac:dyDescent="0.2">
      <c r="B7" s="20" t="s">
        <v>66</v>
      </c>
      <c r="F7" s="13"/>
    </row>
    <row r="8" spans="2:18" x14ac:dyDescent="0.2">
      <c r="B8" s="2" t="s">
        <v>557</v>
      </c>
      <c r="F8" s="13"/>
    </row>
    <row r="9" spans="2:18" x14ac:dyDescent="0.2">
      <c r="B9" s="2" t="s">
        <v>548</v>
      </c>
      <c r="F9" s="13"/>
    </row>
    <row r="10" spans="2:18" x14ac:dyDescent="0.2">
      <c r="B10" s="2" t="s">
        <v>300</v>
      </c>
      <c r="F10" s="13"/>
    </row>
    <row r="12" spans="2:18" s="8" customFormat="1" x14ac:dyDescent="0.2">
      <c r="B12" s="8" t="s">
        <v>80</v>
      </c>
      <c r="D12" s="8" t="s">
        <v>81</v>
      </c>
      <c r="F12" s="8" t="s">
        <v>82</v>
      </c>
      <c r="H12" s="8" t="s">
        <v>83</v>
      </c>
      <c r="J12" s="8" t="s">
        <v>68</v>
      </c>
      <c r="K12" s="8" t="s">
        <v>69</v>
      </c>
      <c r="L12" s="8" t="s">
        <v>70</v>
      </c>
      <c r="M12" s="8" t="s">
        <v>71</v>
      </c>
      <c r="N12" s="8" t="s">
        <v>72</v>
      </c>
      <c r="P12" s="8" t="s">
        <v>40</v>
      </c>
      <c r="R12" s="8" t="s">
        <v>39</v>
      </c>
    </row>
    <row r="15" spans="2:18" s="8" customFormat="1" x14ac:dyDescent="0.2">
      <c r="B15" s="8" t="s">
        <v>558</v>
      </c>
    </row>
    <row r="17" spans="2:18" x14ac:dyDescent="0.2">
      <c r="B17" s="1" t="s">
        <v>559</v>
      </c>
    </row>
    <row r="18" spans="2:18" x14ac:dyDescent="0.2">
      <c r="B18" s="2" t="s">
        <v>560</v>
      </c>
      <c r="D18" s="2" t="s">
        <v>130</v>
      </c>
      <c r="J18" s="151">
        <v>2493546.5315789287</v>
      </c>
      <c r="K18" s="151">
        <v>509699.9188410393</v>
      </c>
      <c r="L18" s="151">
        <v>787065.42689036299</v>
      </c>
      <c r="M18" s="151">
        <v>705947.25977256079</v>
      </c>
      <c r="N18" s="151">
        <v>9979.1817040533169</v>
      </c>
      <c r="P18" s="2" t="s">
        <v>602</v>
      </c>
      <c r="R18" s="2" t="s">
        <v>761</v>
      </c>
    </row>
    <row r="19" spans="2:18" x14ac:dyDescent="0.2">
      <c r="B19" s="2" t="s">
        <v>561</v>
      </c>
      <c r="D19" s="2" t="s">
        <v>130</v>
      </c>
      <c r="J19" s="185"/>
      <c r="K19" s="186"/>
      <c r="L19" s="185"/>
      <c r="M19" s="151">
        <v>211119.35984977329</v>
      </c>
      <c r="N19" s="186"/>
      <c r="P19" s="2" t="s">
        <v>603</v>
      </c>
      <c r="R19" s="2" t="s">
        <v>761</v>
      </c>
    </row>
    <row r="20" spans="2:18" x14ac:dyDescent="0.2">
      <c r="B20" s="2" t="s">
        <v>562</v>
      </c>
      <c r="D20" s="2" t="s">
        <v>563</v>
      </c>
      <c r="J20" s="187">
        <v>2.6452037778014231E-2</v>
      </c>
      <c r="K20" s="187">
        <v>26.393842632850529</v>
      </c>
      <c r="L20" s="187">
        <v>0.43472759518395482</v>
      </c>
      <c r="M20" s="187">
        <v>259.41325158362685</v>
      </c>
      <c r="N20" s="187">
        <v>1.035642024771027</v>
      </c>
      <c r="P20" s="2" t="s">
        <v>604</v>
      </c>
      <c r="R20" s="2" t="s">
        <v>761</v>
      </c>
    </row>
    <row r="21" spans="2:18" x14ac:dyDescent="0.2">
      <c r="B21" s="2" t="s">
        <v>564</v>
      </c>
      <c r="D21" s="2" t="s">
        <v>563</v>
      </c>
      <c r="J21" s="188"/>
      <c r="K21" s="188"/>
      <c r="L21" s="188"/>
      <c r="M21" s="187">
        <v>729.3038827968561</v>
      </c>
      <c r="N21" s="188"/>
      <c r="P21" s="2" t="s">
        <v>605</v>
      </c>
      <c r="R21" s="2" t="s">
        <v>761</v>
      </c>
    </row>
    <row r="22" spans="2:18" x14ac:dyDescent="0.2">
      <c r="J22" s="83"/>
      <c r="K22" s="83"/>
      <c r="L22" s="83"/>
      <c r="M22" s="83"/>
      <c r="N22" s="83"/>
    </row>
    <row r="23" spans="2:18" s="8" customFormat="1" x14ac:dyDescent="0.2">
      <c r="B23" s="8" t="s">
        <v>282</v>
      </c>
      <c r="J23" s="42"/>
      <c r="K23" s="42"/>
      <c r="L23" s="42"/>
      <c r="M23" s="42"/>
      <c r="N23" s="42"/>
    </row>
    <row r="24" spans="2:18" x14ac:dyDescent="0.2">
      <c r="J24" s="13"/>
      <c r="K24" s="13"/>
      <c r="L24" s="13"/>
      <c r="M24" s="13"/>
      <c r="N24" s="13"/>
    </row>
    <row r="25" spans="2:18" x14ac:dyDescent="0.2">
      <c r="B25" s="1" t="s">
        <v>565</v>
      </c>
      <c r="J25" s="13"/>
      <c r="K25" s="13"/>
      <c r="L25" s="13"/>
      <c r="M25" s="13"/>
      <c r="N25" s="13"/>
    </row>
    <row r="26" spans="2:18" x14ac:dyDescent="0.2">
      <c r="B26" s="2" t="s">
        <v>560</v>
      </c>
      <c r="D26" s="2" t="s">
        <v>130</v>
      </c>
      <c r="J26" s="153">
        <v>2397353.4600111921</v>
      </c>
      <c r="K26" s="153">
        <v>489645.4971391334</v>
      </c>
      <c r="L26" s="153">
        <v>755480.47888693179</v>
      </c>
      <c r="M26" s="153">
        <v>674414.50767331733</v>
      </c>
      <c r="N26" s="153">
        <v>9553.0878223043801</v>
      </c>
      <c r="P26" s="2" t="s">
        <v>606</v>
      </c>
    </row>
    <row r="27" spans="2:18" x14ac:dyDescent="0.2">
      <c r="B27" s="2" t="s">
        <v>561</v>
      </c>
      <c r="D27" s="2" t="s">
        <v>130</v>
      </c>
      <c r="J27" s="177"/>
      <c r="K27" s="177"/>
      <c r="L27" s="177"/>
      <c r="M27" s="153">
        <v>185029.71464968059</v>
      </c>
      <c r="N27" s="177"/>
      <c r="P27" s="2" t="s">
        <v>607</v>
      </c>
    </row>
    <row r="28" spans="2:18" x14ac:dyDescent="0.2">
      <c r="B28" s="2" t="s">
        <v>562</v>
      </c>
      <c r="D28" s="2" t="s">
        <v>563</v>
      </c>
      <c r="J28" s="187">
        <v>2.6161065362456073E-2</v>
      </c>
      <c r="K28" s="187">
        <v>25.310497736553295</v>
      </c>
      <c r="L28" s="187">
        <v>0.4299455916369313</v>
      </c>
      <c r="M28" s="187">
        <v>256.55970581620693</v>
      </c>
      <c r="N28" s="187">
        <v>0.97279191932370968</v>
      </c>
      <c r="P28" s="2" t="s">
        <v>608</v>
      </c>
    </row>
    <row r="29" spans="2:18" x14ac:dyDescent="0.2">
      <c r="B29" s="2" t="s">
        <v>564</v>
      </c>
      <c r="D29" s="2" t="s">
        <v>563</v>
      </c>
      <c r="J29" s="188"/>
      <c r="K29" s="188"/>
      <c r="L29" s="188"/>
      <c r="M29" s="187">
        <v>638.40609323957256</v>
      </c>
      <c r="N29" s="188"/>
      <c r="P29" s="2" t="s">
        <v>609</v>
      </c>
    </row>
    <row r="30" spans="2:18" x14ac:dyDescent="0.2">
      <c r="J30" s="13"/>
      <c r="K30" s="13"/>
      <c r="L30" s="13"/>
      <c r="M30" s="13"/>
      <c r="N30" s="13"/>
    </row>
    <row r="31" spans="2:18" x14ac:dyDescent="0.2">
      <c r="B31" s="1" t="s">
        <v>566</v>
      </c>
      <c r="J31" s="13"/>
      <c r="K31" s="13"/>
      <c r="L31" s="13"/>
      <c r="M31" s="13"/>
      <c r="N31" s="13"/>
    </row>
    <row r="32" spans="2:18" x14ac:dyDescent="0.2">
      <c r="B32" s="20" t="s">
        <v>36</v>
      </c>
      <c r="D32" s="20" t="s">
        <v>92</v>
      </c>
      <c r="J32" s="178" t="s">
        <v>93</v>
      </c>
      <c r="K32" s="178" t="s">
        <v>94</v>
      </c>
      <c r="L32" s="178" t="s">
        <v>95</v>
      </c>
      <c r="M32" s="178" t="s">
        <v>96</v>
      </c>
      <c r="N32" s="178" t="s">
        <v>95</v>
      </c>
      <c r="O32" s="20"/>
      <c r="P32" s="20"/>
    </row>
    <row r="33" spans="2:16" x14ac:dyDescent="0.2">
      <c r="B33" s="2" t="s">
        <v>566</v>
      </c>
      <c r="D33" s="20" t="s">
        <v>92</v>
      </c>
      <c r="J33" s="153">
        <v>16551729.997999959</v>
      </c>
      <c r="K33" s="153">
        <v>18840.837267081202</v>
      </c>
      <c r="L33" s="153">
        <v>197952.55799999996</v>
      </c>
      <c r="M33" s="153">
        <v>1149.8493807187922</v>
      </c>
      <c r="N33" s="153">
        <v>1979.52558</v>
      </c>
      <c r="P33" s="2" t="s">
        <v>580</v>
      </c>
    </row>
    <row r="34" spans="2:16" x14ac:dyDescent="0.2">
      <c r="B34" s="2" t="s">
        <v>576</v>
      </c>
      <c r="D34" s="20" t="s">
        <v>92</v>
      </c>
      <c r="J34" s="43"/>
      <c r="K34" s="43"/>
      <c r="L34" s="43"/>
      <c r="M34" s="153">
        <v>1036.1666666666667</v>
      </c>
      <c r="N34" s="43"/>
      <c r="P34" s="75" t="s">
        <v>581</v>
      </c>
    </row>
    <row r="35" spans="2:16" x14ac:dyDescent="0.2">
      <c r="J35" s="13"/>
      <c r="K35" s="13"/>
      <c r="L35" s="13"/>
      <c r="M35" s="13"/>
      <c r="N35" s="13"/>
    </row>
    <row r="36" spans="2:16" x14ac:dyDescent="0.2">
      <c r="B36" s="2" t="s">
        <v>567</v>
      </c>
      <c r="D36" s="2" t="s">
        <v>73</v>
      </c>
      <c r="J36" s="43"/>
      <c r="K36" s="148">
        <v>0.12</v>
      </c>
      <c r="L36" s="179"/>
      <c r="M36" s="148">
        <v>0.22</v>
      </c>
      <c r="N36" s="43"/>
      <c r="P36" s="2" t="s">
        <v>582</v>
      </c>
    </row>
    <row r="37" spans="2:16" x14ac:dyDescent="0.2">
      <c r="J37" s="13"/>
      <c r="K37" s="13"/>
      <c r="L37" s="13"/>
      <c r="M37" s="13"/>
      <c r="N37" s="13"/>
    </row>
    <row r="38" spans="2:16" x14ac:dyDescent="0.2">
      <c r="B38" s="1" t="s">
        <v>568</v>
      </c>
      <c r="J38" s="13"/>
      <c r="K38" s="13"/>
      <c r="L38" s="13"/>
      <c r="M38" s="13"/>
      <c r="N38" s="13"/>
    </row>
    <row r="39" spans="2:16" x14ac:dyDescent="0.2">
      <c r="B39" s="2" t="s">
        <v>569</v>
      </c>
      <c r="D39" s="2" t="s">
        <v>570</v>
      </c>
      <c r="J39" s="156">
        <v>0.38343581143117444</v>
      </c>
      <c r="K39" s="43"/>
      <c r="L39" s="43"/>
      <c r="M39" s="43"/>
      <c r="N39" s="43"/>
      <c r="P39" s="83" t="s">
        <v>584</v>
      </c>
    </row>
    <row r="40" spans="2:16" x14ac:dyDescent="0.2">
      <c r="B40" s="2" t="s">
        <v>571</v>
      </c>
      <c r="D40" s="2" t="s">
        <v>570</v>
      </c>
      <c r="J40" s="156">
        <v>0.35715770033129524</v>
      </c>
      <c r="K40" s="43"/>
      <c r="L40" s="43"/>
      <c r="M40" s="43"/>
      <c r="N40" s="43"/>
      <c r="P40" s="2" t="s">
        <v>583</v>
      </c>
    </row>
    <row r="41" spans="2:16" x14ac:dyDescent="0.2">
      <c r="B41" s="2" t="s">
        <v>568</v>
      </c>
      <c r="D41" s="2" t="s">
        <v>572</v>
      </c>
      <c r="J41" s="43"/>
      <c r="K41" s="43"/>
      <c r="L41" s="156">
        <v>5.5023984424735932</v>
      </c>
      <c r="M41" s="43"/>
      <c r="N41" s="43"/>
      <c r="P41" s="2" t="s">
        <v>584</v>
      </c>
    </row>
    <row r="42" spans="2:16" x14ac:dyDescent="0.2">
      <c r="J42" s="13"/>
      <c r="K42" s="13"/>
      <c r="L42" s="13"/>
      <c r="M42" s="13"/>
      <c r="N42" s="13"/>
    </row>
    <row r="43" spans="2:16" x14ac:dyDescent="0.2">
      <c r="B43" s="2" t="s">
        <v>601</v>
      </c>
      <c r="D43" s="2" t="s">
        <v>130</v>
      </c>
      <c r="J43" s="153">
        <v>81078.496044311585</v>
      </c>
      <c r="K43" s="179"/>
      <c r="L43" s="179"/>
      <c r="M43" s="179"/>
      <c r="N43" s="179"/>
      <c r="P43" s="2" t="s">
        <v>758</v>
      </c>
    </row>
    <row r="44" spans="2:16" x14ac:dyDescent="0.2">
      <c r="J44" s="13"/>
      <c r="K44" s="13"/>
      <c r="L44" s="13"/>
      <c r="M44" s="13"/>
      <c r="N44" s="13"/>
    </row>
    <row r="45" spans="2:16" s="8" customFormat="1" x14ac:dyDescent="0.2">
      <c r="B45" s="8" t="s">
        <v>549</v>
      </c>
      <c r="J45" s="42"/>
      <c r="K45" s="42"/>
      <c r="L45" s="42"/>
      <c r="M45" s="42"/>
      <c r="N45" s="42"/>
    </row>
    <row r="46" spans="2:16" x14ac:dyDescent="0.2">
      <c r="J46" s="13"/>
      <c r="K46" s="13"/>
      <c r="L46" s="13"/>
      <c r="M46" s="13"/>
      <c r="N46" s="13"/>
    </row>
    <row r="47" spans="2:16" x14ac:dyDescent="0.2">
      <c r="B47" s="1" t="s">
        <v>201</v>
      </c>
      <c r="J47" s="13"/>
      <c r="K47" s="13"/>
      <c r="L47" s="13"/>
      <c r="M47" s="13"/>
      <c r="N47" s="13"/>
    </row>
    <row r="48" spans="2:16" x14ac:dyDescent="0.2">
      <c r="B48" s="2" t="s">
        <v>550</v>
      </c>
      <c r="D48" s="2" t="s">
        <v>95</v>
      </c>
      <c r="J48" s="37"/>
      <c r="K48" s="37"/>
      <c r="L48" s="180">
        <v>201600</v>
      </c>
      <c r="M48" s="37"/>
      <c r="N48" s="37"/>
      <c r="P48" s="2" t="s">
        <v>585</v>
      </c>
    </row>
    <row r="49" spans="2:16" x14ac:dyDescent="0.2">
      <c r="B49" s="2" t="s">
        <v>551</v>
      </c>
      <c r="D49" s="2" t="s">
        <v>552</v>
      </c>
      <c r="J49" s="37"/>
      <c r="K49" s="37"/>
      <c r="L49" s="156">
        <v>0.29609999999999997</v>
      </c>
      <c r="M49" s="37"/>
      <c r="N49" s="37"/>
      <c r="P49" s="2" t="s">
        <v>589</v>
      </c>
    </row>
    <row r="50" spans="2:16" x14ac:dyDescent="0.2">
      <c r="B50" s="2" t="s">
        <v>553</v>
      </c>
      <c r="D50" s="2" t="s">
        <v>552</v>
      </c>
      <c r="J50" s="37"/>
      <c r="K50" s="37"/>
      <c r="L50" s="156">
        <v>0.27649987622458405</v>
      </c>
      <c r="M50" s="37"/>
      <c r="N50" s="37"/>
      <c r="P50" s="2" t="s">
        <v>598</v>
      </c>
    </row>
    <row r="51" spans="2:16" x14ac:dyDescent="0.2">
      <c r="B51" s="2" t="s">
        <v>104</v>
      </c>
      <c r="D51" s="2" t="s">
        <v>105</v>
      </c>
      <c r="J51" s="37"/>
      <c r="K51" s="37"/>
      <c r="L51" s="153">
        <v>4.5758463390315596</v>
      </c>
      <c r="M51" s="37"/>
      <c r="N51" s="37"/>
      <c r="P51" s="2" t="s">
        <v>588</v>
      </c>
    </row>
    <row r="52" spans="2:16" x14ac:dyDescent="0.2">
      <c r="B52" s="2" t="s">
        <v>554</v>
      </c>
      <c r="D52" s="2" t="s">
        <v>73</v>
      </c>
      <c r="J52" s="37"/>
      <c r="K52" s="37"/>
      <c r="L52" s="181">
        <v>0.5</v>
      </c>
      <c r="M52" s="37"/>
      <c r="N52" s="37"/>
      <c r="P52" s="83" t="s">
        <v>555</v>
      </c>
    </row>
    <row r="53" spans="2:16" x14ac:dyDescent="0.2">
      <c r="J53" s="13"/>
      <c r="K53" s="13"/>
      <c r="L53" s="162"/>
      <c r="M53" s="13"/>
      <c r="N53" s="13"/>
      <c r="P53" s="13"/>
    </row>
    <row r="54" spans="2:16" ht="12.75" customHeight="1" x14ac:dyDescent="0.2">
      <c r="B54" s="1" t="s">
        <v>280</v>
      </c>
      <c r="F54" s="13"/>
      <c r="J54" s="13"/>
      <c r="K54" s="13"/>
      <c r="L54" s="13"/>
      <c r="M54" s="13"/>
      <c r="N54" s="13"/>
    </row>
    <row r="55" spans="2:16" ht="12.75" customHeight="1" x14ac:dyDescent="0.2">
      <c r="B55" s="2" t="s">
        <v>556</v>
      </c>
      <c r="D55" s="2" t="s">
        <v>289</v>
      </c>
      <c r="J55" s="43"/>
      <c r="K55" s="43"/>
      <c r="L55" s="43"/>
      <c r="M55" s="153">
        <v>281.40138554396282</v>
      </c>
      <c r="N55" s="43"/>
      <c r="P55" s="2" t="s">
        <v>590</v>
      </c>
    </row>
    <row r="56" spans="2:16" ht="12.75" customHeight="1" x14ac:dyDescent="0.2">
      <c r="B56" s="2" t="s">
        <v>107</v>
      </c>
      <c r="D56" s="2" t="s">
        <v>289</v>
      </c>
      <c r="J56" s="43"/>
      <c r="K56" s="43"/>
      <c r="L56" s="43"/>
      <c r="M56" s="153">
        <v>195.4296490024484</v>
      </c>
      <c r="N56" s="43"/>
      <c r="P56" s="2" t="s">
        <v>591</v>
      </c>
    </row>
    <row r="57" spans="2:16" x14ac:dyDescent="0.2">
      <c r="F57" s="13"/>
      <c r="J57" s="13"/>
      <c r="K57" s="13"/>
      <c r="L57" s="13"/>
      <c r="M57" s="13"/>
      <c r="N57" s="13"/>
    </row>
    <row r="58" spans="2:16" ht="12.75" customHeight="1" x14ac:dyDescent="0.2">
      <c r="B58" s="2" t="s">
        <v>108</v>
      </c>
      <c r="D58" s="2" t="s">
        <v>289</v>
      </c>
      <c r="J58" s="43"/>
      <c r="K58" s="153">
        <v>305.43662127586322</v>
      </c>
      <c r="L58" s="179"/>
      <c r="M58" s="179"/>
      <c r="N58" s="43"/>
      <c r="P58" s="2" t="s">
        <v>592</v>
      </c>
    </row>
    <row r="59" spans="2:16" ht="12.75" customHeight="1" x14ac:dyDescent="0.2">
      <c r="B59" s="2" t="s">
        <v>109</v>
      </c>
      <c r="D59" s="2" t="s">
        <v>289</v>
      </c>
      <c r="J59" s="43"/>
      <c r="K59" s="153">
        <v>189.55349078801981</v>
      </c>
      <c r="L59" s="179"/>
      <c r="M59" s="179"/>
      <c r="N59" s="43"/>
      <c r="P59" s="2" t="s">
        <v>593</v>
      </c>
    </row>
    <row r="60" spans="2:16" ht="12.75" customHeight="1" x14ac:dyDescent="0.2">
      <c r="B60" s="2" t="s">
        <v>110</v>
      </c>
      <c r="D60" s="2" t="s">
        <v>289</v>
      </c>
      <c r="J60" s="43"/>
      <c r="K60" s="153">
        <v>205.78594305755018</v>
      </c>
      <c r="L60" s="179"/>
      <c r="M60" s="179"/>
      <c r="N60" s="43"/>
      <c r="P60" s="2" t="s">
        <v>594</v>
      </c>
    </row>
    <row r="61" spans="2:16" ht="12.75" customHeight="1" x14ac:dyDescent="0.2">
      <c r="J61" s="13"/>
      <c r="K61" s="83"/>
      <c r="L61" s="83"/>
      <c r="M61" s="83"/>
      <c r="N61" s="13"/>
      <c r="P61" s="13"/>
    </row>
    <row r="62" spans="2:16" ht="12.75" customHeight="1" x14ac:dyDescent="0.2">
      <c r="B62" s="2" t="s">
        <v>111</v>
      </c>
      <c r="D62" s="2" t="s">
        <v>289</v>
      </c>
      <c r="J62" s="43"/>
      <c r="K62" s="153">
        <v>40</v>
      </c>
      <c r="L62" s="179"/>
      <c r="M62" s="153">
        <v>40</v>
      </c>
      <c r="N62" s="43"/>
      <c r="P62" s="2" t="s">
        <v>595</v>
      </c>
    </row>
    <row r="63" spans="2:16" x14ac:dyDescent="0.2">
      <c r="J63" s="13"/>
      <c r="K63" s="83"/>
      <c r="L63" s="83"/>
      <c r="M63" s="83"/>
      <c r="N63" s="13"/>
    </row>
    <row r="64" spans="2:16" s="8" customFormat="1" x14ac:dyDescent="0.2">
      <c r="B64" s="8" t="s">
        <v>547</v>
      </c>
      <c r="J64" s="42"/>
      <c r="K64" s="42"/>
      <c r="L64" s="42"/>
      <c r="M64" s="42"/>
      <c r="N64" s="42"/>
    </row>
    <row r="65" spans="2:18" x14ac:dyDescent="0.2">
      <c r="J65" s="13"/>
      <c r="K65" s="13"/>
      <c r="L65" s="13"/>
      <c r="M65" s="13"/>
      <c r="N65" s="13"/>
    </row>
    <row r="66" spans="2:18" x14ac:dyDescent="0.2">
      <c r="B66" s="1" t="s">
        <v>421</v>
      </c>
      <c r="J66" s="13"/>
      <c r="K66" s="13"/>
      <c r="L66" s="13"/>
      <c r="M66" s="13"/>
      <c r="N66" s="13"/>
    </row>
    <row r="67" spans="2:18" x14ac:dyDescent="0.2">
      <c r="B67" s="2" t="s">
        <v>202</v>
      </c>
      <c r="D67" s="2" t="s">
        <v>113</v>
      </c>
      <c r="J67" s="37"/>
      <c r="K67" s="37"/>
      <c r="L67" s="37"/>
      <c r="M67" s="151">
        <v>518</v>
      </c>
      <c r="N67" s="37"/>
      <c r="P67" s="83" t="s">
        <v>321</v>
      </c>
      <c r="R67" s="2" t="s">
        <v>322</v>
      </c>
    </row>
    <row r="68" spans="2:18" x14ac:dyDescent="0.2">
      <c r="B68" s="2" t="s">
        <v>203</v>
      </c>
      <c r="D68" s="2" t="s">
        <v>88</v>
      </c>
      <c r="J68" s="37"/>
      <c r="K68" s="37"/>
      <c r="L68" s="37"/>
      <c r="M68" s="180">
        <v>307847</v>
      </c>
      <c r="N68" s="37"/>
      <c r="P68" s="83" t="s">
        <v>325</v>
      </c>
    </row>
    <row r="69" spans="2:18" x14ac:dyDescent="0.2">
      <c r="B69" s="2" t="s">
        <v>204</v>
      </c>
      <c r="D69" s="2" t="s">
        <v>88</v>
      </c>
      <c r="J69" s="37"/>
      <c r="K69" s="37"/>
      <c r="L69" s="37"/>
      <c r="M69" s="180">
        <v>24424</v>
      </c>
      <c r="N69" s="37"/>
      <c r="P69" s="83" t="s">
        <v>326</v>
      </c>
    </row>
    <row r="70" spans="2:18" x14ac:dyDescent="0.2">
      <c r="J70" s="13"/>
      <c r="K70" s="13"/>
      <c r="L70" s="13"/>
      <c r="M70" s="13"/>
      <c r="N70" s="13"/>
    </row>
    <row r="71" spans="2:18" s="8" customFormat="1" x14ac:dyDescent="0.2">
      <c r="B71" s="8" t="s">
        <v>179</v>
      </c>
      <c r="J71" s="42"/>
      <c r="K71" s="42"/>
      <c r="L71" s="42"/>
      <c r="M71" s="42"/>
      <c r="N71" s="42"/>
    </row>
    <row r="72" spans="2:18" x14ac:dyDescent="0.2">
      <c r="J72" s="13"/>
      <c r="K72" s="13"/>
      <c r="L72" s="13"/>
      <c r="M72" s="13"/>
      <c r="N72" s="13"/>
    </row>
    <row r="73" spans="2:18" x14ac:dyDescent="0.2">
      <c r="B73" s="2" t="s">
        <v>179</v>
      </c>
      <c r="D73" s="2" t="s">
        <v>130</v>
      </c>
      <c r="J73" s="179"/>
      <c r="K73" s="151">
        <v>9113.5289719668417</v>
      </c>
      <c r="L73" s="179"/>
      <c r="M73" s="151">
        <v>30286.227099380721</v>
      </c>
      <c r="N73" s="179"/>
      <c r="P73" s="129" t="s">
        <v>573</v>
      </c>
    </row>
    <row r="74" spans="2:18" x14ac:dyDescent="0.2">
      <c r="J74" s="13"/>
      <c r="K74" s="13"/>
      <c r="L74" s="13"/>
      <c r="M74" s="13"/>
      <c r="N74" s="13"/>
    </row>
    <row r="75" spans="2:18" x14ac:dyDescent="0.2">
      <c r="J75" s="13"/>
      <c r="K75" s="13"/>
      <c r="L75" s="13"/>
      <c r="M75" s="13"/>
      <c r="N75" s="13"/>
    </row>
    <row r="76" spans="2:18" x14ac:dyDescent="0.2">
      <c r="B76" s="4" t="s">
        <v>63</v>
      </c>
      <c r="J76" s="13"/>
      <c r="K76" s="13"/>
      <c r="L76" s="13"/>
      <c r="M76" s="13"/>
      <c r="N76" s="13"/>
    </row>
  </sheetData>
  <phoneticPr fontId="3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_dlc_DocId>
    <_dlc_DocIdUrl xmlns="5e7bef76-b888-41a2-a261-5f525b37d47e">
      <Url>https://intranet.acm.local/project/excellent-in-excel/_layouts/15/DocIdRedir.aspx?ID=ECT67VDXDTCW-640230012-2</Url>
      <Description>ECT67VDXDTCW-640230012-2</Description>
    </_dlc_DocIdUrl>
    <Status xmlns="94b38974-1436-4631-a0be-797faa579778">Actueel</Status>
  </documentManagement>
</p:properties>
</file>

<file path=customXml/itemProps1.xml><?xml version="1.0" encoding="utf-8"?>
<ds:datastoreItem xmlns:ds="http://schemas.openxmlformats.org/officeDocument/2006/customXml" ds:itemID="{29821432-9D6D-4FB8-B669-75517133F53E}">
  <ds:schemaRefs>
    <ds:schemaRef ds:uri="http://schemas.microsoft.com/sharepoint/events"/>
  </ds:schemaRefs>
</ds:datastoreItem>
</file>

<file path=customXml/itemProps2.xml><?xml version="1.0" encoding="utf-8"?>
<ds:datastoreItem xmlns:ds="http://schemas.openxmlformats.org/officeDocument/2006/customXml" ds:itemID="{82835401-F49D-4D00-8F07-BF5788AC8903}">
  <ds:schemaRefs>
    <ds:schemaRef ds:uri="http://schemas.microsoft.com/sharepoint/v3/contenttype/forms"/>
  </ds:schemaRefs>
</ds:datastoreItem>
</file>

<file path=customXml/itemProps3.xml><?xml version="1.0" encoding="utf-8"?>
<ds:datastoreItem xmlns:ds="http://schemas.openxmlformats.org/officeDocument/2006/customXml" ds:itemID="{BDF34196-3C60-4FBD-A6D7-F3FCE358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DAB9D1-B815-4B0E-93E7-4496A7FE99F6}">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25</vt:i4>
      </vt:variant>
    </vt:vector>
  </HeadingPairs>
  <TitlesOfParts>
    <vt:vector size="25" baseType="lpstr">
      <vt:lpstr>Cover sheet</vt:lpstr>
      <vt:lpstr>Explanation</vt:lpstr>
      <vt:lpstr>Sources and specifics</vt:lpstr>
      <vt:lpstr>Result</vt:lpstr>
      <vt:lpstr>Input --&gt;</vt:lpstr>
      <vt:lpstr>Parameters</vt:lpstr>
      <vt:lpstr>Historical data</vt:lpstr>
      <vt:lpstr>Estimates</vt:lpstr>
      <vt:lpstr>Data ACM</vt:lpstr>
      <vt:lpstr>Financial data</vt:lpstr>
      <vt:lpstr>Calculations corrections --&gt;</vt:lpstr>
      <vt:lpstr>WACC correction 2024</vt:lpstr>
      <vt:lpstr>Volume-effect 2024</vt:lpstr>
      <vt:lpstr>Profit Sharing 2024</vt:lpstr>
      <vt:lpstr>Energy cost correction 2025</vt:lpstr>
      <vt:lpstr>Overview corrections</vt:lpstr>
      <vt:lpstr>Calculations tariffs --&gt;</vt:lpstr>
      <vt:lpstr>Fixed-variable costs</vt:lpstr>
      <vt:lpstr>Income level</vt:lpstr>
      <vt:lpstr>Variable tariffs electricity</vt:lpstr>
      <vt:lpstr>Fixed tariffs electricity</vt:lpstr>
      <vt:lpstr>Variable tariffs water</vt:lpstr>
      <vt:lpstr>Fixed tariffs water</vt:lpstr>
      <vt:lpstr>Dictum&amp;Bijlage 1 Electricity EN</vt:lpstr>
      <vt:lpstr>Dictum&amp;Bijlage 1 Water 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2025-12-18T13:22:58Z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e0efd16f-45ee-4b9d-aa02-521177c04c12</vt:lpwstr>
  </property>
</Properties>
</file>