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8_{41D7F0A1-0264-4DA7-A89F-226C198E3582}" xr6:coauthVersionLast="47" xr6:coauthVersionMax="47" xr10:uidLastSave="{00000000-0000-0000-0000-000000000000}"/>
  <bookViews>
    <workbookView xWindow="28680" yWindow="-120" windowWidth="29040" windowHeight="17520" tabRatio="824" xr2:uid="{00000000-000D-0000-FFFF-FFFF00000000}"/>
  </bookViews>
  <sheets>
    <sheet name="Cover sheet" sheetId="9" r:id="rId1"/>
    <sheet name="Explanation" sheetId="10" r:id="rId2"/>
    <sheet name="Sources and specifics" sheetId="11" r:id="rId3"/>
    <sheet name="Result" sheetId="21" r:id="rId4"/>
    <sheet name="Dictum" sheetId="34" r:id="rId5"/>
    <sheet name="Input --&gt;" sheetId="13" r:id="rId6"/>
    <sheet name="Parameters" sheetId="18" r:id="rId7"/>
    <sheet name="Historical data" sheetId="25" r:id="rId8"/>
    <sheet name="Data ACM" sheetId="27" r:id="rId9"/>
    <sheet name="Estimates" sheetId="26" r:id="rId10"/>
    <sheet name="Financial data" sheetId="35" r:id="rId11"/>
    <sheet name="Calculation corrections--&gt;" sheetId="30" r:id="rId12"/>
    <sheet name="WACC correction 2024" sheetId="37" r:id="rId13"/>
    <sheet name="Volume-effect 2024" sheetId="31" r:id="rId14"/>
    <sheet name="Profit Sharing 2024" sheetId="32" r:id="rId15"/>
    <sheet name="Overview corrections" sheetId="33" r:id="rId16"/>
    <sheet name="Calculation tariffs --&gt;" sheetId="15" r:id="rId17"/>
    <sheet name="Fixed-variable costs" sheetId="22" r:id="rId18"/>
    <sheet name="Income level" sheetId="36" r:id="rId19"/>
    <sheet name="Variable tariffs" sheetId="28" r:id="rId20"/>
    <sheet name="Fixed tariffs" sheetId="29"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4" i="33" l="1"/>
  <c r="L18" i="33"/>
  <c r="H24" i="18" l="1"/>
  <c r="I50" i="34" l="1"/>
  <c r="I49" i="34"/>
  <c r="I51" i="34"/>
  <c r="M13" i="32" l="1"/>
  <c r="L13" i="32"/>
  <c r="L18" i="32" l="1"/>
  <c r="M18" i="32"/>
  <c r="M17" i="32"/>
  <c r="L17" i="32"/>
  <c r="M14" i="37" l="1"/>
  <c r="L14" i="37"/>
  <c r="M21" i="37"/>
  <c r="M22" i="37"/>
  <c r="L22" i="37"/>
  <c r="L21" i="37"/>
  <c r="M17" i="37"/>
  <c r="M18" i="37"/>
  <c r="L18" i="37"/>
  <c r="L17" i="37"/>
  <c r="M28" i="37" l="1"/>
  <c r="M27" i="37"/>
  <c r="L27" i="37"/>
  <c r="L28" i="37"/>
  <c r="H35" i="28"/>
  <c r="L31" i="37" l="1"/>
  <c r="L23" i="33" s="1"/>
  <c r="M31" i="37"/>
  <c r="M23" i="33" s="1"/>
  <c r="B20" i="29"/>
  <c r="B21" i="29"/>
  <c r="B22" i="29"/>
  <c r="B23" i="29"/>
  <c r="B24" i="29"/>
  <c r="B25" i="29"/>
  <c r="B26" i="29"/>
  <c r="B27" i="29"/>
  <c r="B28" i="29"/>
  <c r="B29" i="29"/>
  <c r="B30" i="29"/>
  <c r="B31" i="29"/>
  <c r="B32" i="29"/>
  <c r="B33" i="29"/>
  <c r="B34" i="29"/>
  <c r="B35" i="29"/>
  <c r="B19" i="29"/>
  <c r="I52" i="34" l="1"/>
  <c r="M16" i="22"/>
  <c r="L16" i="22"/>
  <c r="H13" i="33"/>
  <c r="J15" i="35" l="1"/>
  <c r="J16" i="35"/>
  <c r="J19" i="35"/>
  <c r="J20" i="35"/>
  <c r="J86" i="34" l="1"/>
  <c r="I83" i="34"/>
  <c r="I82" i="34"/>
  <c r="I81" i="34"/>
  <c r="I80" i="34"/>
  <c r="J68" i="34"/>
  <c r="I68" i="34"/>
  <c r="J65" i="34"/>
  <c r="I65" i="34"/>
  <c r="J64" i="34"/>
  <c r="I64" i="34"/>
  <c r="J63" i="34"/>
  <c r="I63" i="34"/>
  <c r="I60" i="34"/>
  <c r="J60" i="34"/>
  <c r="J59" i="34"/>
  <c r="I59" i="34"/>
  <c r="I56" i="34"/>
  <c r="I55" i="34"/>
  <c r="H30" i="25" l="1"/>
  <c r="I84" i="34" s="1"/>
  <c r="M19" i="33"/>
  <c r="L17" i="33"/>
  <c r="M35" i="32"/>
  <c r="M34" i="32"/>
  <c r="L32" i="32"/>
  <c r="L31" i="32"/>
  <c r="M28" i="32"/>
  <c r="L28" i="32"/>
  <c r="M23" i="32"/>
  <c r="M24" i="32"/>
  <c r="L24" i="32"/>
  <c r="L23" i="32"/>
  <c r="M21" i="32"/>
  <c r="M22" i="32"/>
  <c r="L22" i="32"/>
  <c r="L21" i="32"/>
  <c r="H14" i="32"/>
  <c r="M20" i="31"/>
  <c r="M18" i="31"/>
  <c r="M25" i="31" s="1"/>
  <c r="L18" i="31"/>
  <c r="L25" i="31" s="1"/>
  <c r="M17" i="31"/>
  <c r="L17" i="31"/>
  <c r="M13" i="31"/>
  <c r="L13" i="31"/>
  <c r="L40" i="32" l="1"/>
  <c r="L41" i="32"/>
  <c r="M40" i="32"/>
  <c r="M44" i="32"/>
  <c r="L26" i="31"/>
  <c r="L22" i="33" s="1"/>
  <c r="M26" i="31"/>
  <c r="M22" i="33" s="1"/>
  <c r="L33" i="32"/>
  <c r="L44" i="32"/>
  <c r="M41" i="32"/>
  <c r="L45" i="32" l="1"/>
  <c r="M45" i="32"/>
  <c r="M46" i="32" s="1"/>
  <c r="M47" i="32" s="1"/>
  <c r="M24" i="33" s="1"/>
  <c r="L46" i="32"/>
  <c r="L47" i="32" s="1"/>
  <c r="L24" i="33" s="1"/>
  <c r="M52" i="32"/>
  <c r="M53" i="32"/>
  <c r="M54" i="32" l="1"/>
  <c r="M55" i="32" s="1"/>
  <c r="M25" i="33" s="1"/>
  <c r="H43" i="29" l="1"/>
  <c r="H47" i="29"/>
  <c r="H48" i="29"/>
  <c r="H46" i="29"/>
  <c r="B26" i="21"/>
  <c r="B27" i="21"/>
  <c r="B28" i="21"/>
  <c r="B29" i="21"/>
  <c r="B30" i="21"/>
  <c r="B31" i="21"/>
  <c r="B32" i="21"/>
  <c r="B33" i="21"/>
  <c r="B35" i="21"/>
  <c r="B36" i="21"/>
  <c r="B37" i="21"/>
  <c r="B38" i="21"/>
  <c r="B39" i="21"/>
  <c r="B40" i="21"/>
  <c r="B41" i="21"/>
  <c r="B25" i="21"/>
  <c r="H40" i="29"/>
  <c r="H19" i="28"/>
  <c r="M29" i="22"/>
  <c r="L29" i="22"/>
  <c r="L25" i="22"/>
  <c r="M25" i="22"/>
  <c r="M24" i="22"/>
  <c r="L24" i="22"/>
  <c r="L22" i="22"/>
  <c r="M22" i="22"/>
  <c r="M21" i="22"/>
  <c r="L21" i="22"/>
  <c r="L20" i="22"/>
  <c r="M20" i="22"/>
  <c r="M19" i="22"/>
  <c r="L19" i="22"/>
  <c r="H15" i="22"/>
  <c r="M40" i="33"/>
  <c r="H14" i="33"/>
  <c r="B34" i="21"/>
  <c r="M44" i="26"/>
  <c r="H21" i="28"/>
  <c r="L16" i="26"/>
  <c r="H56" i="29" l="1"/>
  <c r="H55" i="29"/>
  <c r="H48" i="21" s="1"/>
  <c r="I41" i="34" s="1"/>
  <c r="H54" i="29"/>
  <c r="H47" i="21" s="1"/>
  <c r="I40" i="34" s="1"/>
  <c r="L40" i="22"/>
  <c r="L41" i="22" s="1"/>
  <c r="L35" i="22"/>
  <c r="L36" i="22"/>
  <c r="L37" i="22" s="1"/>
  <c r="M36" i="33"/>
  <c r="L36" i="33"/>
  <c r="H15" i="29"/>
  <c r="M15" i="36"/>
  <c r="H14" i="28"/>
  <c r="L28" i="33"/>
  <c r="L29" i="33" s="1"/>
  <c r="L15" i="36"/>
  <c r="H44" i="21"/>
  <c r="I37" i="34" s="1"/>
  <c r="H51" i="29"/>
  <c r="J87" i="34"/>
  <c r="L17" i="26"/>
  <c r="H20" i="28" s="1"/>
  <c r="H22" i="28" s="1"/>
  <c r="H14" i="21" s="1"/>
  <c r="I79" i="34"/>
  <c r="J76" i="34"/>
  <c r="H14" i="22"/>
  <c r="I54" i="34"/>
  <c r="L22" i="36"/>
  <c r="M41" i="33"/>
  <c r="M37" i="33"/>
  <c r="M25" i="36" s="1"/>
  <c r="M35" i="33"/>
  <c r="L35" i="33"/>
  <c r="L37" i="33"/>
  <c r="L25" i="36" s="1"/>
  <c r="H49" i="21"/>
  <c r="I42" i="34" s="1"/>
  <c r="M40" i="22"/>
  <c r="M35" i="22"/>
  <c r="M36" i="22"/>
  <c r="H31" i="28" l="1"/>
  <c r="M44" i="33"/>
  <c r="L46" i="22"/>
  <c r="L18" i="36" s="1"/>
  <c r="L42" i="22"/>
  <c r="L43" i="22" s="1"/>
  <c r="L47" i="22" s="1"/>
  <c r="L23" i="36"/>
  <c r="I71" i="34"/>
  <c r="M23" i="36"/>
  <c r="J71" i="34"/>
  <c r="I72" i="34"/>
  <c r="L24" i="36"/>
  <c r="J72" i="34"/>
  <c r="M24" i="36"/>
  <c r="M45" i="33"/>
  <c r="H32" i="28" s="1"/>
  <c r="I73" i="34"/>
  <c r="J74" i="34"/>
  <c r="J73" i="34"/>
  <c r="I75" i="34"/>
  <c r="M42" i="22"/>
  <c r="M41" i="22"/>
  <c r="M46" i="22" s="1"/>
  <c r="M37" i="22"/>
  <c r="M43" i="22" l="1"/>
  <c r="L19" i="36"/>
  <c r="L30" i="36" s="1"/>
  <c r="L31" i="36" s="1"/>
  <c r="M18" i="36"/>
  <c r="M47" i="22" l="1"/>
  <c r="M19" i="36" s="1"/>
  <c r="M30" i="36" s="1"/>
  <c r="M31" i="36" s="1"/>
  <c r="H14" i="29" s="1"/>
  <c r="H16" i="29" s="1"/>
  <c r="H13" i="28"/>
  <c r="H15" i="28" s="1"/>
  <c r="H16" i="28" s="1"/>
  <c r="H13" i="21" s="1"/>
  <c r="B28" i="10"/>
  <c r="H21" i="29" l="1"/>
  <c r="H33" i="29"/>
  <c r="H30" i="29"/>
  <c r="H26" i="29"/>
  <c r="H24" i="29"/>
  <c r="H19" i="29"/>
  <c r="H29" i="29"/>
  <c r="H25" i="29"/>
  <c r="H23" i="29"/>
  <c r="H35" i="29"/>
  <c r="H20" i="29"/>
  <c r="H32" i="29"/>
  <c r="H28" i="29"/>
  <c r="H22" i="29"/>
  <c r="H34" i="29"/>
  <c r="H31" i="29"/>
  <c r="H27" i="29"/>
  <c r="H23" i="21"/>
  <c r="H25" i="28"/>
  <c r="I9" i="34"/>
  <c r="B16" i="10"/>
  <c r="B23" i="10" s="1"/>
  <c r="H38" i="28" l="1"/>
  <c r="H26" i="28"/>
  <c r="H15" i="21" s="1"/>
  <c r="I17" i="34"/>
  <c r="H41" i="21"/>
  <c r="I34" i="34" s="1"/>
  <c r="H40" i="21"/>
  <c r="I33" i="34" s="1"/>
  <c r="H36" i="21"/>
  <c r="I29" i="34" s="1"/>
  <c r="H32" i="21"/>
  <c r="I25" i="34" s="1"/>
  <c r="H28" i="21"/>
  <c r="I21" i="34" s="1"/>
  <c r="H39" i="21"/>
  <c r="I32" i="34" s="1"/>
  <c r="H35" i="21"/>
  <c r="I28" i="34" s="1"/>
  <c r="H31" i="21"/>
  <c r="I24" i="34" s="1"/>
  <c r="H27" i="21"/>
  <c r="I20" i="34" s="1"/>
  <c r="H38" i="21"/>
  <c r="I31" i="34" s="1"/>
  <c r="H34" i="21"/>
  <c r="I27" i="34" s="1"/>
  <c r="H30" i="21"/>
  <c r="I23" i="34" s="1"/>
  <c r="H26" i="21"/>
  <c r="I19" i="34" s="1"/>
  <c r="H37" i="21"/>
  <c r="I30" i="34" s="1"/>
  <c r="H33" i="21"/>
  <c r="I26" i="34" s="1"/>
  <c r="H29" i="21"/>
  <c r="I22" i="34" s="1"/>
  <c r="H25" i="21"/>
  <c r="I18" i="34" s="1"/>
  <c r="B17" i="10"/>
  <c r="H39" i="28" l="1"/>
  <c r="H20" i="21" s="1"/>
  <c r="I14" i="34" s="1"/>
  <c r="B18" i="10"/>
  <c r="B22"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22" authorId="0" shapeId="0" xr:uid="{00000000-0006-0000-0400-000001000000}">
      <text>
        <r>
          <rPr>
            <sz val="8"/>
            <color indexed="81"/>
            <rFont val="Tahoma"/>
            <family val="2"/>
          </rPr>
          <t>At all times a (group of) pink cell(s) needs an explanantion on its special nature. This explanation will be added through this remark box.</t>
        </r>
      </text>
    </comment>
  </commentList>
</comments>
</file>

<file path=xl/sharedStrings.xml><?xml version="1.0" encoding="utf-8"?>
<sst xmlns="http://schemas.openxmlformats.org/spreadsheetml/2006/main" count="985" uniqueCount="476">
  <si>
    <t>Disclaimer</t>
  </si>
  <si>
    <t>Data</t>
  </si>
  <si>
    <t>Input --&gt;</t>
  </si>
  <si>
    <t>About this file</t>
  </si>
  <si>
    <t>Case number</t>
  </si>
  <si>
    <t>File title</t>
  </si>
  <si>
    <t>Other remarks</t>
  </si>
  <si>
    <t>About the status of this file</t>
  </si>
  <si>
    <t>Final version? (y/n)</t>
  </si>
  <si>
    <t>Is this file legally part of the decision(s) listed above? (y/n)</t>
  </si>
  <si>
    <t>Cell colors (for numbers)</t>
  </si>
  <si>
    <t>Description</t>
  </si>
  <si>
    <t>Data and input (source required)</t>
  </si>
  <si>
    <t>Calculated value</t>
  </si>
  <si>
    <t>Empty cell (not zero) used in a formula range</t>
  </si>
  <si>
    <t>Value or calculation that needs special attention or explanation</t>
  </si>
  <si>
    <t>Use in specific cases:</t>
  </si>
  <si>
    <t>Sheet tab colors</t>
  </si>
  <si>
    <t>Sheet with result/output</t>
  </si>
  <si>
    <t>Sheet with input</t>
  </si>
  <si>
    <t>Sheet with calculations</t>
  </si>
  <si>
    <t>Model sheets</t>
  </si>
  <si>
    <t>Result</t>
  </si>
  <si>
    <t>Calculation</t>
  </si>
  <si>
    <t>Explanatory sheets</t>
  </si>
  <si>
    <t>Explanation</t>
  </si>
  <si>
    <t>Special attention:</t>
  </si>
  <si>
    <t>Source overview and specific applications</t>
  </si>
  <si>
    <t>Source overview</t>
  </si>
  <si>
    <t>Each input sheet contains a column 'Source', in which the sources are referred to by their shortened name. These sources are further explained in the table below.</t>
  </si>
  <si>
    <t>Shortened name</t>
  </si>
  <si>
    <t>External file name</t>
  </si>
  <si>
    <t>As referred to in Source column</t>
  </si>
  <si>
    <t>Exact file name</t>
  </si>
  <si>
    <t>Unit</t>
  </si>
  <si>
    <t>Constant</t>
  </si>
  <si>
    <t>Row total</t>
  </si>
  <si>
    <t>Remarks</t>
  </si>
  <si>
    <t>Source</t>
  </si>
  <si>
    <t>Cover sheet</t>
  </si>
  <si>
    <t>Belongs to decision(s):</t>
  </si>
  <si>
    <t>Reference number of decision(s)</t>
  </si>
  <si>
    <t>Objections and appeals can be filed against the decision to which this file belongs.</t>
  </si>
  <si>
    <t xml:space="preserve">If there are any substantive differences between the calculation in this file and the calculation that follows from the relevant decision, the decision's calculation is authentic. </t>
  </si>
  <si>
    <t>Explanatory notes to this file</t>
  </si>
  <si>
    <t>Legend for the cell and sheet colors</t>
  </si>
  <si>
    <t>Value that is taken from another sheet or cell without calculation</t>
  </si>
  <si>
    <t>Result/calculated value that is used in another sheet</t>
  </si>
  <si>
    <t>Input or calculation that is not yet up-to-date or work in progress</t>
  </si>
  <si>
    <t>This color is only used in requests for information: the recipient of the request for data must enter data into these cells</t>
  </si>
  <si>
    <t>Cell borders can be used to indicate that a certain cell contains input, but that this input is generated automatically, for example, through a macro  (please do not enter data manually)</t>
  </si>
  <si>
    <t>Gray numbers represent the result of a check calculation; this is not a result that is used in other calculations.</t>
  </si>
  <si>
    <t>Sheet that is not yet up-to-date/work in progress</t>
  </si>
  <si>
    <t xml:space="preserve">Empty sheet used for indexing </t>
  </si>
  <si>
    <t xml:space="preserve">If ACM does use cell or range references, macros, or other more complex functions in Excel, these will be explained on this sheet. </t>
  </si>
  <si>
    <t>Relationship to other calculation files</t>
  </si>
  <si>
    <t>in the overview below, ACM lists the sources that are used for data and calculations in this file.</t>
  </si>
  <si>
    <t>Explanation of the use of specific Excel-applications and other details</t>
  </si>
  <si>
    <t xml:space="preserve">In its calculation files, ACM seeks to use simple and easy-to-follow calculations as much as possible, and seeks to avoid the use of complex formulas or specific applications. </t>
  </si>
  <si>
    <t>When final, will this file be published?</t>
  </si>
  <si>
    <t>When published, doe this file contain business-confidential information? (y/n)</t>
  </si>
  <si>
    <t>This calculation is developed in the standardized format used by the Energy Department of ACM (based on version 5, june 2021)</t>
  </si>
  <si>
    <t>[ END OF SHEET ]</t>
  </si>
  <si>
    <t>Standardized sheets with general information about this file</t>
  </si>
  <si>
    <t>This sheet seperates different types of sheets and is intentionally left blank</t>
  </si>
  <si>
    <t>Explanatory notes</t>
  </si>
  <si>
    <t>No</t>
  </si>
  <si>
    <t>Additional information on this source</t>
  </si>
  <si>
    <t>Date received, email, file location</t>
  </si>
  <si>
    <t>CPI CBS</t>
  </si>
  <si>
    <t>Caribisch Nederland; consumentenprijsindex (CPI) 2017=100</t>
  </si>
  <si>
    <t>Wettelijke rente CNL</t>
  </si>
  <si>
    <t>Correspondence SEC to ACM</t>
  </si>
  <si>
    <t xml:space="preserve">Description </t>
  </si>
  <si>
    <t xml:space="preserve">Unit </t>
  </si>
  <si>
    <t>Electricity production</t>
  </si>
  <si>
    <t>Electricity distribution</t>
  </si>
  <si>
    <t xml:space="preserve">Constant </t>
  </si>
  <si>
    <t>Production price</t>
  </si>
  <si>
    <t>Production price excl fuel</t>
  </si>
  <si>
    <t>Fuel component</t>
  </si>
  <si>
    <t xml:space="preserve">Production price incl. fuel </t>
  </si>
  <si>
    <t xml:space="preserve">Variable distribution tariff </t>
  </si>
  <si>
    <t>Variable distribution tariff</t>
  </si>
  <si>
    <t>Fixed distribution tariff per kVA category</t>
  </si>
  <si>
    <t>Income per kVA per month</t>
  </si>
  <si>
    <t>Tariff for reconnection</t>
  </si>
  <si>
    <t>USD, pl 2023</t>
  </si>
  <si>
    <t>The reconnection fee is set fixed at USD 25.</t>
  </si>
  <si>
    <t>Tariff for connection</t>
  </si>
  <si>
    <t>Standard tariff 3.2 kVA</t>
  </si>
  <si>
    <t>Standard tariff 7.7 kVA</t>
  </si>
  <si>
    <t>Tariff per meter for trenchwork</t>
  </si>
  <si>
    <t xml:space="preserve">Electricity production </t>
  </si>
  <si>
    <t>Comments</t>
  </si>
  <si>
    <t>Parameters</t>
  </si>
  <si>
    <t>Description data</t>
  </si>
  <si>
    <t xml:space="preserve">The development of the CPI of Q3 year T and Q3 year T-1 will be used as the estimated inflation for the year T+1. The estimated inflation is rounded to one decimal. </t>
  </si>
  <si>
    <t>As of the development of the CPI between Q3 2017 and Q3 2018, the 2017 = 100 serie is used. Before this, the 2010 = 100 serie has been used.</t>
  </si>
  <si>
    <t>%</t>
  </si>
  <si>
    <t xml:space="preserve">WACC </t>
  </si>
  <si>
    <t>Wettelijke rente CNL ('legal fixed interest rate')</t>
  </si>
  <si>
    <t xml:space="preserve">Description data </t>
  </si>
  <si>
    <t>ACM has determined the operational costs and other income, by using the annual account and division keys provided by SEC.</t>
  </si>
  <si>
    <t>Input from the OPEX-model</t>
  </si>
  <si>
    <t>Input from the RAB-model</t>
  </si>
  <si>
    <t>USD</t>
  </si>
  <si>
    <t>RAB-value does not relate to any price level due to the use of a nominal WACC.</t>
  </si>
  <si>
    <t>Depreciation does not relate to any price level due to the use of a nominal WACC.</t>
  </si>
  <si>
    <t>Data on volumes and tariffs</t>
  </si>
  <si>
    <t>Realized volumes</t>
  </si>
  <si>
    <t>(see column)</t>
  </si>
  <si>
    <t>kWh</t>
  </si>
  <si>
    <t>kVA</t>
  </si>
  <si>
    <t xml:space="preserve">kWh </t>
  </si>
  <si>
    <t>liters/kWh</t>
  </si>
  <si>
    <t>Most recent fuel price</t>
  </si>
  <si>
    <t>USD/US gallons</t>
  </si>
  <si>
    <t>US gallon to liter</t>
  </si>
  <si>
    <t>USD/liter</t>
  </si>
  <si>
    <t>The most recent invoice uses "gallons" as a unit for fuel. This fuel price has been converted from a price per gallon to a price per liter.</t>
  </si>
  <si>
    <t>Estimated distribution data</t>
  </si>
  <si>
    <t xml:space="preserve">Tariff per meter for trenchwork, if applicable </t>
  </si>
  <si>
    <t>Reconnection tariff</t>
  </si>
  <si>
    <t xml:space="preserve">Tariff categories and Volumes </t>
  </si>
  <si>
    <t>#</t>
  </si>
  <si>
    <t>Most recent fuel price per liter</t>
  </si>
  <si>
    <t>Most recent fuel price per gallon</t>
  </si>
  <si>
    <t>Data on corrections</t>
  </si>
  <si>
    <t>Fuel cost correction</t>
  </si>
  <si>
    <t>Relevant data</t>
  </si>
  <si>
    <t>Estimated costs</t>
  </si>
  <si>
    <t>Volume</t>
  </si>
  <si>
    <t>Calculation fixed-variable costs</t>
  </si>
  <si>
    <t>Fixed/variable operational costs</t>
  </si>
  <si>
    <t>USD / #</t>
  </si>
  <si>
    <t>USD, pl 2024</t>
  </si>
  <si>
    <t>Description results</t>
  </si>
  <si>
    <t xml:space="preserve">Description calculation </t>
  </si>
  <si>
    <t>This sheet displays the outcome of the tariff calculations</t>
  </si>
  <si>
    <t>Applicable period</t>
  </si>
  <si>
    <t>Allocation key fixed/variable costs</t>
  </si>
  <si>
    <t>Historical data</t>
  </si>
  <si>
    <t>Profit sharing percentage</t>
  </si>
  <si>
    <t>Estimated production and distribution data</t>
  </si>
  <si>
    <t>Lost subsidy income</t>
  </si>
  <si>
    <t>Estimated fixed/variable costs</t>
  </si>
  <si>
    <t>Estimated volume</t>
  </si>
  <si>
    <t>Input volumes</t>
  </si>
  <si>
    <t>Data for volume-effect correction</t>
  </si>
  <si>
    <t>Profit sharing-percentage</t>
  </si>
  <si>
    <t>Data for profit sharing</t>
  </si>
  <si>
    <t>Input for network losses</t>
  </si>
  <si>
    <t>Overview corrections</t>
  </si>
  <si>
    <t>Input</t>
  </si>
  <si>
    <t>Corrections calculated in this model</t>
  </si>
  <si>
    <t>Corrections to income level</t>
  </si>
  <si>
    <t>Corrections to variable distribution tariff</t>
  </si>
  <si>
    <t>Network losses</t>
  </si>
  <si>
    <t>Can change monthly</t>
  </si>
  <si>
    <t>On this sheet the ACM displays the CPI, WACC, legal fixed interest rate and profit sharing percentage.</t>
  </si>
  <si>
    <t>On this sheet the ACM imports historical data used for the tariff calculations</t>
  </si>
  <si>
    <t>On this sheet the ACM displays data provided by SEC on estimated production, estimated production yield, the price of fuel and network losses.</t>
  </si>
  <si>
    <t>On this sheet the ACM calculates the volume-effect correction.</t>
  </si>
  <si>
    <t>Calculation Fixed/Variable costs and Income level</t>
  </si>
  <si>
    <t>ACM assumes other income to be related to fixed costs.</t>
  </si>
  <si>
    <t>Dictum / Annex 1 to decision: tariffs and key figures Electricity</t>
  </si>
  <si>
    <t>Tariffs to include in Dictum production price decision</t>
  </si>
  <si>
    <t>Production price electricity excl. fuel</t>
  </si>
  <si>
    <t>Variable distribution tariff electricity</t>
  </si>
  <si>
    <t>Fixed distribution tariff electricty</t>
  </si>
  <si>
    <t>3,2 kVA</t>
  </si>
  <si>
    <t>7,7 kVA</t>
  </si>
  <si>
    <t>13,3 kVA</t>
  </si>
  <si>
    <t>18,3 kVA</t>
  </si>
  <si>
    <t>23,3 kVA</t>
  </si>
  <si>
    <t>28,3 kVA</t>
  </si>
  <si>
    <t>38,3 kVA</t>
  </si>
  <si>
    <t>48,3 kVA</t>
  </si>
  <si>
    <t>63,3 kVA</t>
  </si>
  <si>
    <t>78,3 kVA</t>
  </si>
  <si>
    <t>83,3 kVA</t>
  </si>
  <si>
    <t>93,3 kVA</t>
  </si>
  <si>
    <t>98,3 kVA</t>
  </si>
  <si>
    <t>100 kVA</t>
  </si>
  <si>
    <t>125 kVA</t>
  </si>
  <si>
    <t>150 kVA</t>
  </si>
  <si>
    <t>350 kVA</t>
  </si>
  <si>
    <t>Operational costs for regulatory cost base</t>
  </si>
  <si>
    <t>Other income</t>
  </si>
  <si>
    <t>Total other income, to be netted with costs</t>
  </si>
  <si>
    <t xml:space="preserve">   Production by solar</t>
  </si>
  <si>
    <t xml:space="preserve">   Production by fuel</t>
  </si>
  <si>
    <t xml:space="preserve">   Own consumption powerplant</t>
  </si>
  <si>
    <t>Liter/kWh</t>
  </si>
  <si>
    <t>Total capacity of the network</t>
  </si>
  <si>
    <t xml:space="preserve">Note: 'pl' means price level </t>
  </si>
  <si>
    <t>This file uses the output from the OPEX model, RAB model and the Fuel model.</t>
  </si>
  <si>
    <t>Yes</t>
  </si>
  <si>
    <t>USD, pl 2025</t>
  </si>
  <si>
    <t>Estimated inflation 2025</t>
  </si>
  <si>
    <t>Volume-effect correction 2023</t>
  </si>
  <si>
    <t>Fuel cost correction 2023</t>
  </si>
  <si>
    <t>CPI</t>
  </si>
  <si>
    <t>Legal interest rate</t>
  </si>
  <si>
    <t>Profit Sharing percentage</t>
  </si>
  <si>
    <t>The tariff category is determined by the kVA of the connection.</t>
  </si>
  <si>
    <t>Fuel data</t>
  </si>
  <si>
    <t>Corrections calculated in fuel model</t>
  </si>
  <si>
    <r>
      <t xml:space="preserve">This data is sourced from </t>
    </r>
    <r>
      <rPr>
        <i/>
        <sz val="10"/>
        <rFont val="Arial"/>
        <family val="2"/>
      </rPr>
      <t>Historical information</t>
    </r>
    <r>
      <rPr>
        <sz val="10"/>
        <rFont val="Arial"/>
        <family val="2"/>
      </rPr>
      <t xml:space="preserve"> provided by SEC.</t>
    </r>
  </si>
  <si>
    <t>Realized volume 2023</t>
  </si>
  <si>
    <t>Additions to cost base (major occurrences)</t>
  </si>
  <si>
    <t>Other income 2023</t>
  </si>
  <si>
    <t>RAB-value ultimo 2023</t>
  </si>
  <si>
    <t>Depreciation 2023</t>
  </si>
  <si>
    <t>Variable part of operational costs 2023</t>
  </si>
  <si>
    <t>Variable part of capital costs 2023</t>
  </si>
  <si>
    <t>On this sheet the ACM splits costs per department in a fixed and variable part</t>
  </si>
  <si>
    <t>Fixed/variable capital costs</t>
  </si>
  <si>
    <t>Total fixed/variable costs</t>
  </si>
  <si>
    <t>Fixed/variable costs</t>
  </si>
  <si>
    <t>Profit sharing over regular costs 2023</t>
  </si>
  <si>
    <t>Calculation income level</t>
  </si>
  <si>
    <t>Data for fuel component</t>
  </si>
  <si>
    <t>Calculation variable distribution tariff</t>
  </si>
  <si>
    <t>Corrections added to variable tariff</t>
  </si>
  <si>
    <t>Corrections to variable distribution tariff per unit</t>
  </si>
  <si>
    <t>Profit sharing add-on for network losses 2023 per kWh</t>
  </si>
  <si>
    <t>Calculation variable tariffs</t>
  </si>
  <si>
    <t>The fuel component is fuel costs per kWh, given by: fuel price * fuel efficiency * share of production by fuel.</t>
  </si>
  <si>
    <t>Fixed distribution tariffs</t>
  </si>
  <si>
    <t>Tariffs for connection activities</t>
  </si>
  <si>
    <t>The reconnection fee is set fixed at USD 25. Therefore, it is not indexed.</t>
  </si>
  <si>
    <t>Tariffs for new connections 2025</t>
  </si>
  <si>
    <t>Tariff for reconnection 2025</t>
  </si>
  <si>
    <t>Calculation fixed tariffs electricity</t>
  </si>
  <si>
    <t>Data from ACM models</t>
  </si>
  <si>
    <t>This sheet displays data for the tariff calucluation sourced from ACM models for SEC</t>
  </si>
  <si>
    <t>Data for indexation</t>
  </si>
  <si>
    <t>Production price excluding fuel</t>
  </si>
  <si>
    <t>Production price including fuel</t>
  </si>
  <si>
    <t>The fixed distribution tariffs are based on income level for electricity distribution. Tarrifs for connection activities are last year's tariffs indexed for inflation.</t>
  </si>
  <si>
    <t>The (monthly) fixed distribution tariff per category is income level per kVA per month, multiplied by the kVA of the connection.</t>
  </si>
  <si>
    <t>The production price for electricity, excluding fuel component, is equal to income level divided by estimated volume for electricity production.</t>
  </si>
  <si>
    <t>Calculated in the fuel model, based on realized production data and fuel invoices recieved from SEC</t>
  </si>
  <si>
    <t>On this sheet the ACM imports financial data used for the tariff calculations.</t>
  </si>
  <si>
    <t>Capital costs regular cost base (RAB * WACC + depreciation)</t>
  </si>
  <si>
    <t>ACM updated WACC calculation</t>
  </si>
  <si>
    <t>On this sheet the ACM calculates the WACC correction.</t>
  </si>
  <si>
    <t xml:space="preserve">Data </t>
  </si>
  <si>
    <t>Estimated fixed/variable costs - before WACC update</t>
  </si>
  <si>
    <t>Estimated fixed/variable costs - after WACC update</t>
  </si>
  <si>
    <t>WACC correction</t>
  </si>
  <si>
    <t>Total WACC correction</t>
  </si>
  <si>
    <t>WACC correction 2023</t>
  </si>
  <si>
    <t>Rounded to four decimals.</t>
  </si>
  <si>
    <t>Formula in R24 and R22 of "KFP Monthly" only include part of the year. This was corrected, which affects the value for R25</t>
  </si>
  <si>
    <t>Invoice Royal Petroleum</t>
  </si>
  <si>
    <t>Depreciation in 2024</t>
  </si>
  <si>
    <t>Corrections caluclated in Fuel model</t>
  </si>
  <si>
    <t>The variable distribution tariff for electricity is the production price electricity plus corrections, divided by percentage billed electricity.</t>
  </si>
  <si>
    <t>Berekening tarieven SEC 2026</t>
  </si>
  <si>
    <t>Beschikking productieprijs elektriciteit 2026 SEC
Beschikking distributietarieven elektriciteit 2026 SEC</t>
  </si>
  <si>
    <t>ACM method decision 2020-2026</t>
  </si>
  <si>
    <t>Methodebesluit Caribisch Nederland 2020-2026 (Engels)</t>
  </si>
  <si>
    <t>Estimated network losses 2026</t>
  </si>
  <si>
    <t>Tariffs SEC 2026</t>
  </si>
  <si>
    <t>Tariffs production electricity 2026</t>
  </si>
  <si>
    <t>USD/kWh, pl 2026</t>
  </si>
  <si>
    <t>2026 whole year</t>
  </si>
  <si>
    <t>Tariffs distribution electricity 2026</t>
  </si>
  <si>
    <t>January - June 2026</t>
  </si>
  <si>
    <t>USD/month, pl 2026</t>
  </si>
  <si>
    <t>USD, pl 2026</t>
  </si>
  <si>
    <t xml:space="preserve">On this sheet all the relevant information to include in the appendix of the decision on the tariffs of 2026 is shown. </t>
  </si>
  <si>
    <t>USD, pl 2026 / kWh</t>
  </si>
  <si>
    <t>Distribution tariffs 2026</t>
  </si>
  <si>
    <t>USD, pl 2026 / month</t>
  </si>
  <si>
    <t>USD, pl 2026 / meter</t>
  </si>
  <si>
    <t xml:space="preserve">Key figures Tariff decision SEC 2026 - Electricity </t>
  </si>
  <si>
    <t>WACC for Electricity Production 2026</t>
  </si>
  <si>
    <t>WACC for Electricity Distribution 2026</t>
  </si>
  <si>
    <t>Estimated inflation 2026</t>
  </si>
  <si>
    <t>Other parameters (expectations 2026)</t>
  </si>
  <si>
    <t>Total estimated production volume 2026</t>
  </si>
  <si>
    <t>Estimated production yield for fuel in 2026</t>
  </si>
  <si>
    <t>WACC 2026</t>
  </si>
  <si>
    <t>ACM uses WACC 2026 to calculate estimated cost of capital 2026.</t>
  </si>
  <si>
    <t>WACC 2026 - Electricity production</t>
  </si>
  <si>
    <t>WACC 2026 - Electricity distribution</t>
  </si>
  <si>
    <t>Estimated production data for 2026</t>
  </si>
  <si>
    <t>Estimated production by solar 2026</t>
  </si>
  <si>
    <t>Estimated production by fuel 2026</t>
  </si>
  <si>
    <t>Estimated own consumption powerplant 2026</t>
  </si>
  <si>
    <t>Estimated total production 2026</t>
  </si>
  <si>
    <t>Estimated share of production with fuel 2026</t>
  </si>
  <si>
    <t>Estimated number of connections per kVA in 2026</t>
  </si>
  <si>
    <t>Total estimated volume 2026</t>
  </si>
  <si>
    <t>OPEX-model 2026, sheet "Output", row 14</t>
  </si>
  <si>
    <t>OPEX-model 2026, sheet "Output", row 17</t>
  </si>
  <si>
    <t>RAB-model 2026, sheet "Output", row 26</t>
  </si>
  <si>
    <t>RAB-model 2026, sheet "Output", row 41</t>
  </si>
  <si>
    <t>On this sheet the ACM gives an overview of corrections that affect the tariffs for 2026 and converts them to price level 2026</t>
  </si>
  <si>
    <t>Estimated volume 2026</t>
  </si>
  <si>
    <t>Estimated production 1st half of 2026</t>
  </si>
  <si>
    <t>ACM assumes electricity sales are evenly distributed within 2026. Therefore, estimated production in the 1st half of 2026 is half of the total estimated production volume.</t>
  </si>
  <si>
    <t>Corrections in price level 2026</t>
  </si>
  <si>
    <t>USD, pl 2026/ kWh</t>
  </si>
  <si>
    <t>Estimated fixed operational costs 2026</t>
  </si>
  <si>
    <t>Estimated variable operational costs 2026</t>
  </si>
  <si>
    <t>Estimated variable operational costs 2026 per unit</t>
  </si>
  <si>
    <t>Estimated fixed capital costs 2026</t>
  </si>
  <si>
    <t>Estimated variable capital costs 2026</t>
  </si>
  <si>
    <t>Estimated variable capital costs 2026 per unit</t>
  </si>
  <si>
    <t>Total estimated fixed costs 2026</t>
  </si>
  <si>
    <t>Total estimated variable costs 2026 per unit</t>
  </si>
  <si>
    <t>USD, pl 2026 / #</t>
  </si>
  <si>
    <t>On this sheet the ACM calculates an income level per activity for 2026 based on estimated fixed and variable costs.</t>
  </si>
  <si>
    <t>Income level is fixed costs plus variable costs multiplied by estimated volume 2026.</t>
  </si>
  <si>
    <t>Income level 2026</t>
  </si>
  <si>
    <t>Income level 2026 (before corrections)</t>
  </si>
  <si>
    <t>The income level before corrections is equal to estimated costs for 2026 including a reasonable return (WACC).</t>
  </si>
  <si>
    <t>Income level 2026 (after corrections)</t>
  </si>
  <si>
    <t>On this sheet the ACM calculates the production price and variable distribution tariff for electricity in 2026</t>
  </si>
  <si>
    <t xml:space="preserve">Income level for electricity production 2026 </t>
  </si>
  <si>
    <t>Estimated volume of electricity produced in 2026</t>
  </si>
  <si>
    <t>Production price 2026 excl. fuel</t>
  </si>
  <si>
    <t>Production price 2026 excl. fuel (rounded)</t>
  </si>
  <si>
    <t>Estimated fuel efficiency 2026</t>
  </si>
  <si>
    <t>Estimated share production with fuel 2026</t>
  </si>
  <si>
    <t>Fuel component January 2026</t>
  </si>
  <si>
    <t xml:space="preserve">Production price 2026 incl. fuel </t>
  </si>
  <si>
    <t>Production price 2026 incl. fuel (rounded)</t>
  </si>
  <si>
    <t>Variable distribution tariff electricity 2026</t>
  </si>
  <si>
    <t>Variable distribution tariff electricity 2026 (rounded)</t>
  </si>
  <si>
    <t>On this sheet, the ACM calculates the fixed distribution tariffs and the tariffs for connection activities for 2026.</t>
  </si>
  <si>
    <t xml:space="preserve">Income level for electricity distribution 2026 </t>
  </si>
  <si>
    <t>Estimated amount of kVA of network connections 2026</t>
  </si>
  <si>
    <t xml:space="preserve">Income level per kVA per month for electricity distribution 2026 </t>
  </si>
  <si>
    <t>USD/kVA/month, pl 2026</t>
  </si>
  <si>
    <t>Income level is for the whole year 2026, therefore income level per month is income level divided by 12.</t>
  </si>
  <si>
    <t>Tariff for reconnection 2026</t>
  </si>
  <si>
    <t>Tariffs for new connections 2026</t>
  </si>
  <si>
    <t>Fuel component correction May-October 2025</t>
  </si>
  <si>
    <t>Costs divided into a fixed and variable part using the percentages as set in the production price and distribution tariffs decisions for 2025, confirmed by SEC.</t>
  </si>
  <si>
    <t>Data from tariff model 2025 is for tariffs for connection activities.</t>
  </si>
  <si>
    <t>Data from tariff model 2025</t>
  </si>
  <si>
    <t>Tariff for new connection in 2025</t>
  </si>
  <si>
    <t>Legal fixed interest rate over 2025 - 2026</t>
  </si>
  <si>
    <t>Fuel component correction May - October 2025</t>
  </si>
  <si>
    <t>Fuel component correction May - October 2025 per kWh</t>
  </si>
  <si>
    <t>The fuel component correction May-October 2025 will be included in the variable usage tariff January-June 2026. Therefore, this amount is divided by the volume for 1st half of 2026.</t>
  </si>
  <si>
    <t>This document contains the calculation of the electricity tariffs of Saba Electric (hereafter: SEC). These tariffs are based on an estimation of the costs of SEC in 2026 and the profit sharing results of 2024.</t>
  </si>
  <si>
    <t>ACM estimates the costs of 2026 based on the costs of 2024 as can be found in the annual account of SEC.</t>
  </si>
  <si>
    <t>ACM WACC decision 2024-2026</t>
  </si>
  <si>
    <t>Besluit WACC Caribisch Nederland 2024-2026</t>
  </si>
  <si>
    <t>ACM Updated WACC calculation 2024</t>
  </si>
  <si>
    <t>Recalculated WACC for Electricity Production 2024</t>
  </si>
  <si>
    <t>Recalculated WACC for Electricity Distribution 2024</t>
  </si>
  <si>
    <t>Variable part of operational costs in 2024</t>
  </si>
  <si>
    <t>Variable part of capital costs in 2024</t>
  </si>
  <si>
    <t>Summary of cost data 2024</t>
  </si>
  <si>
    <t>Regulated asset base (ultimo 2024)</t>
  </si>
  <si>
    <t>Volume-effect correction 2024</t>
  </si>
  <si>
    <t>WACC correction 2024</t>
  </si>
  <si>
    <t>Profit sharing: regular costs 2024</t>
  </si>
  <si>
    <t>Profit sharing: network losses 2024</t>
  </si>
  <si>
    <t>Fuel cost correction 2024</t>
  </si>
  <si>
    <t>WACC 2024 - Adjusted</t>
  </si>
  <si>
    <t>WACC 2024 - Electricity production</t>
  </si>
  <si>
    <t>ACM uses the updated WACC 2024 to calculate realized costs of capital 2024 for profit sharing.</t>
  </si>
  <si>
    <t>WACC 2024 - Electricity distribution</t>
  </si>
  <si>
    <t>Volumes data 2024</t>
  </si>
  <si>
    <t>Realized volume 2024</t>
  </si>
  <si>
    <t>Realized network losses 2024</t>
  </si>
  <si>
    <t>Estimated fuel efficiency (based on realization 2024)</t>
  </si>
  <si>
    <t>ACM has determined the RAB, by calculating the value of the Initial RAB (up until 2015) and the RAB of new investments in 2016, 2017, 2018, 2019, 2020, 2021, 2022, 2024.</t>
  </si>
  <si>
    <t>Cost data 2024</t>
  </si>
  <si>
    <t>Operational costs (excl fuel) 2024</t>
  </si>
  <si>
    <t>Other income 2024</t>
  </si>
  <si>
    <t>RAB-value ultimo 2024</t>
  </si>
  <si>
    <t>Depreciation 2024</t>
  </si>
  <si>
    <t>Variable part of operational costs 2024</t>
  </si>
  <si>
    <t>Variable part of capital costs 2024</t>
  </si>
  <si>
    <t>Data from tariff model 2024 and July 2024 is used to calculate realized costs and income, for profit sharing and the volume correction.</t>
  </si>
  <si>
    <t>Data from tariff model 2024 - adjusted WACC</t>
  </si>
  <si>
    <t>Total estimated fixed costs 2024</t>
  </si>
  <si>
    <t>Total estimated variable costs 2024 per unit</t>
  </si>
  <si>
    <t>USD, pl 2024 / #</t>
  </si>
  <si>
    <t>Data from tariff model 2024 and July 2024</t>
  </si>
  <si>
    <t>Estimated volume tariffs 2024</t>
  </si>
  <si>
    <t>Estimated network losses 2024</t>
  </si>
  <si>
    <t>Production price 2024</t>
  </si>
  <si>
    <t>Production price incl fuel (Jan-Jun 2024)</t>
  </si>
  <si>
    <t>USD/kWh, pl 2024</t>
  </si>
  <si>
    <t>Production price incl fuel (Jul-Dec 2024)</t>
  </si>
  <si>
    <t>Realized volume for distribution in 2024 was lower than estimated, therefore, there is no lost subsidy income.</t>
  </si>
  <si>
    <t>Calculation WACC correction 2024</t>
  </si>
  <si>
    <t>WACC correction for fixed costs 2024</t>
  </si>
  <si>
    <t>WACC correction for variable costs 2024</t>
  </si>
  <si>
    <t>Calculation volume-effect correction 2024</t>
  </si>
  <si>
    <t>Estimation fixed costs 2024 - Before WACC update</t>
  </si>
  <si>
    <t>Total estimated fixed costs for 2024</t>
  </si>
  <si>
    <t>Estimated volume 2024</t>
  </si>
  <si>
    <t>Total lost subsidy income as a result of rising volumes in 2024</t>
  </si>
  <si>
    <t>Calculation coverage of fixed costs 2024</t>
  </si>
  <si>
    <t>Realized income to cover fixed costs 2024</t>
  </si>
  <si>
    <t>Negative amount indicates an overcoverage of fixed costs in 2024, which will be substracted from the income in 2026.</t>
  </si>
  <si>
    <t>Calculation profit sharing 2024</t>
  </si>
  <si>
    <t>On this sheet the ACM calculates the profit sharing correction for regular costs and for network losses over 2024.</t>
  </si>
  <si>
    <t>WACC 2024</t>
  </si>
  <si>
    <t>Estimated costs 2024 - after WACC update</t>
  </si>
  <si>
    <t>Estimated fixed costs 2024</t>
  </si>
  <si>
    <t>Estimated variable costs per unit 2024</t>
  </si>
  <si>
    <t>Realized costs 2024</t>
  </si>
  <si>
    <t>Production price incl fuel Jan-June 2024</t>
  </si>
  <si>
    <t>Production price incl fuel July-Dec 2024</t>
  </si>
  <si>
    <t>Average production price incl fuel 2024</t>
  </si>
  <si>
    <t>In the tariff decisions of 2024, a distribution of 50/50 was assumed for production throughout the year.</t>
  </si>
  <si>
    <t>Calculation profit sharing for regular costs in 2024</t>
  </si>
  <si>
    <t>Realized costs for 2024</t>
  </si>
  <si>
    <t>Capital cost 2024 (RAB*WACC+ depreciation)</t>
  </si>
  <si>
    <t>Net operational costs 2024 (OPEX excl fuel - other income)</t>
  </si>
  <si>
    <t>Profit sharing correction 2024 for regular costs</t>
  </si>
  <si>
    <t>Total estimated costs for 2024 adjusted for realized volume</t>
  </si>
  <si>
    <t>Total realized costs for 2024</t>
  </si>
  <si>
    <t>Realized profit (loss) over 2024 for profit sharing</t>
  </si>
  <si>
    <t>Profit sharing correction 2024</t>
  </si>
  <si>
    <t>Calculation proft sharing correction for network losses in 2024</t>
  </si>
  <si>
    <t>Profit sharing correction 2024 for network losses</t>
  </si>
  <si>
    <t>Estimated costs of network losses 2024</t>
  </si>
  <si>
    <t>Realized costs of network losses 2024</t>
  </si>
  <si>
    <t>Realized profit (loss) over network losses 2024</t>
  </si>
  <si>
    <t>Profit sharing add-on for network losses 2024</t>
  </si>
  <si>
    <t>Compounded legal fixed interest rate over 2024 - 2026</t>
  </si>
  <si>
    <t>ACM method decision 2027-2032</t>
  </si>
  <si>
    <t>KPI Jan-Dec</t>
  </si>
  <si>
    <t>Overview connections</t>
  </si>
  <si>
    <t>7. Overview monthly connections per category 2024</t>
  </si>
  <si>
    <t>Sum of connections per category multiplied by kVA of that category. Connections per category is the average number of connections in that category for the period December 31 2023 to December 31  2024.</t>
  </si>
  <si>
    <t>[6] KPI report, sheet " Analysis electricity generated", cell T49</t>
  </si>
  <si>
    <t>[6] KPI report, sheet " Analysis electricity generated", cell T15     -     kVA Overview, calculation based on source [7]</t>
  </si>
  <si>
    <t>Fuel model, sheet "Result", cell H13</t>
  </si>
  <si>
    <t>Fuel model, sheet "Result", cell H15</t>
  </si>
  <si>
    <t>Dated September 30th march 2025</t>
  </si>
  <si>
    <t>Production Estimates</t>
  </si>
  <si>
    <t>Production Estimate Solar_Diesel 2023, 2024Production Estimate Solar_Diesel 2023, 2024 - Copy</t>
  </si>
  <si>
    <t>[8] Production estimate 2026, sheet "2026", cell G17</t>
  </si>
  <si>
    <t>[8] Production estimate 2026, sheet "2026", cell B17</t>
  </si>
  <si>
    <t>[9] Estimated network losses 2026, cell N37</t>
  </si>
  <si>
    <t>[9] Estimated network losses 2026, cell N43</t>
  </si>
  <si>
    <t>[6] KPI Report 2024, sheet "KFP Monthly"; cell R14</t>
  </si>
  <si>
    <t>[10] KVA projection 2026, column Q</t>
  </si>
  <si>
    <t>KVA projections</t>
  </si>
  <si>
    <t>14. KVA Projection 2026</t>
  </si>
  <si>
    <t>[12] Tariff model SEC 2025, sheet "Result", cell H47</t>
  </si>
  <si>
    <t>[12] Tariff model SEC 2025, sheet "Result", cell H48</t>
  </si>
  <si>
    <t>[12] Tariff model SEC 2025, sheet "Result", cell H49</t>
  </si>
  <si>
    <t>[12] Tariff model SEC 2025, sheet "Calculation distribution"; row 93</t>
  </si>
  <si>
    <t>Tariff model 2024, sheet 'Calculation income level', row 50</t>
  </si>
  <si>
    <t>Tariff model 2024, sheet 'Calculation income level', row 51</t>
  </si>
  <si>
    <t>Tariff model 2024, sheet 'Result', row 15</t>
  </si>
  <si>
    <t>Calculation based on corrected tariff model 2024, sheet 'Calculation income level', row 50</t>
  </si>
  <si>
    <t>Calculation based on corrected tariff model 2024, sheet 'Fixed-variable costs', row 48</t>
  </si>
  <si>
    <t>Tariff model 2024, Sheet 'Estimates for 2024', cell L17 &amp; M45</t>
  </si>
  <si>
    <t>Tariff model 2024, Sheet 'Estimates for 2024', cell M21</t>
  </si>
  <si>
    <r>
      <t xml:space="preserve">Variable costs per unit are costs multiplied by percentage variable, divided by </t>
    </r>
    <r>
      <rPr>
        <u/>
        <sz val="10"/>
        <rFont val="Arial"/>
        <family val="2"/>
      </rPr>
      <t>realized</t>
    </r>
    <r>
      <rPr>
        <sz val="10"/>
        <rFont val="Arial"/>
        <family val="2"/>
      </rPr>
      <t xml:space="preserve"> volume 2024. Fixed costs are costs multiplied by percentage fixed (= 1 - percentage variable). </t>
    </r>
  </si>
  <si>
    <t>Profit sharing add-on for network losses 2024 per kWh</t>
  </si>
  <si>
    <t>ACM WACC decision 2026-2028</t>
  </si>
  <si>
    <t>Also contains a correction for other income</t>
  </si>
  <si>
    <t>Last update input CBS: November 19, 2025.</t>
  </si>
  <si>
    <t>Tariff model July 2024, sheet 'Result', row 21</t>
  </si>
  <si>
    <t>Fuel cost correction 2025</t>
  </si>
  <si>
    <t>Fuel model, sheet "Result", cell H14</t>
  </si>
  <si>
    <t>ACM/25/197169</t>
  </si>
  <si>
    <t>ACM/UIT/662616
ACM/UIT/662619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</si>
</sst>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0000_ ;_ * \-#,##0.0000_ ;_ * &quot;-&quot;??_ ;_ @_ "/>
    <numFmt numFmtId="165" formatCode="_ * #,##0.0_ ;_ * \-#,##0.0_ ;_ * &quot;-&quot;??_ ;_ @_ "/>
    <numFmt numFmtId="166" formatCode="0.0%"/>
    <numFmt numFmtId="167" formatCode="_ * #,##0_ ;_ * \-#,##0_ ;_ * &quot;-&quot;??_ ;_ @_ "/>
    <numFmt numFmtId="168" formatCode="_ * #,##0.000_ ;_ * \-#,##0.000_ ;_ * &quot;-&quot;??_ ;_ @_ "/>
    <numFmt numFmtId="169" formatCode="_ * #,##0.00_ ;_ * \-#,##0.00_ ;_ * &quot;-&quot;_ ;_ @_ "/>
    <numFmt numFmtId="170" formatCode="_ * #,##0.0000_ ;_ * \-#,##0.0000_ ;_ * &quot;-&quot;_ ;_ @_ "/>
  </numFmts>
  <fonts count="34"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rgb="FF00B0F0"/>
      <name val="Arial"/>
      <family val="2"/>
    </font>
    <font>
      <sz val="10"/>
      <color rgb="FF00B0F0"/>
      <name val="Arial"/>
      <family val="2"/>
    </font>
    <font>
      <sz val="8"/>
      <name val="Arial"/>
      <family val="2"/>
    </font>
    <font>
      <u/>
      <sz val="10"/>
      <name val="Arial"/>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theme="0"/>
        <bgColor indexed="64"/>
      </patternFill>
    </fill>
    <fill>
      <patternFill patternType="solid">
        <fgColor rgb="FFCCFFCC"/>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9">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8" fillId="5" borderId="1">
      <alignment vertical="top"/>
    </xf>
    <xf numFmtId="49" fontId="6" fillId="17" borderId="1">
      <alignment vertical="top"/>
    </xf>
    <xf numFmtId="49" fontId="6" fillId="0" borderId="0">
      <alignment vertical="top"/>
    </xf>
    <xf numFmtId="41" fontId="5" fillId="10" borderId="0">
      <alignment vertical="top"/>
    </xf>
    <xf numFmtId="41" fontId="5" fillId="9" borderId="0">
      <alignment vertical="top"/>
    </xf>
    <xf numFmtId="41" fontId="5" fillId="8" borderId="0">
      <alignment vertical="top"/>
    </xf>
    <xf numFmtId="41" fontId="5" fillId="44" borderId="0">
      <alignment vertical="top"/>
    </xf>
    <xf numFmtId="41" fontId="5" fillId="7" borderId="0">
      <alignment vertical="top"/>
    </xf>
    <xf numFmtId="41" fontId="5" fillId="11" borderId="0">
      <alignment vertical="top"/>
    </xf>
    <xf numFmtId="49" fontId="10" fillId="0" borderId="0">
      <alignment vertical="top"/>
    </xf>
    <xf numFmtId="49" fontId="9" fillId="0" borderId="0">
      <alignment vertical="top"/>
    </xf>
    <xf numFmtId="0" fontId="16" fillId="13" borderId="3" applyNumberFormat="0" applyAlignment="0" applyProtection="0"/>
    <xf numFmtId="0" fontId="17" fillId="14" borderId="4" applyNumberFormat="0" applyAlignment="0" applyProtection="0"/>
    <xf numFmtId="0" fontId="18" fillId="14" borderId="3" applyNumberFormat="0" applyAlignment="0" applyProtection="0"/>
    <xf numFmtId="0" fontId="19" fillId="0" borderId="5" applyNumberFormat="0" applyFill="0" applyAlignment="0" applyProtection="0"/>
    <xf numFmtId="0" fontId="13" fillId="15" borderId="6" applyNumberFormat="0" applyAlignment="0" applyProtection="0"/>
    <xf numFmtId="0" fontId="15" fillId="16" borderId="7" applyNumberFormat="0" applyFont="0" applyAlignment="0" applyProtection="0"/>
    <xf numFmtId="0" fontId="20" fillId="0" borderId="0" applyNumberForma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44" fontId="15" fillId="0" borderId="0" applyFont="0" applyFill="0" applyBorder="0" applyAlignment="0" applyProtection="0"/>
    <xf numFmtId="42" fontId="15" fillId="0" borderId="0" applyFont="0" applyFill="0" applyBorder="0" applyAlignment="0" applyProtection="0"/>
    <xf numFmtId="9" fontId="15" fillId="0" borderId="0" applyFon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14" fillId="0" borderId="0" applyNumberForma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28" fillId="37" borderId="0" applyNumberFormat="0" applyBorder="0" applyAlignment="0" applyProtection="0"/>
    <xf numFmtId="0" fontId="28"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28" fillId="41" borderId="0" applyNumberFormat="0" applyBorder="0" applyAlignment="0" applyProtection="0"/>
    <xf numFmtId="0" fontId="29" fillId="0" borderId="0" applyNumberFormat="0" applyFill="0" applyBorder="0" applyAlignment="0" applyProtection="0"/>
    <xf numFmtId="49" fontId="21" fillId="0" borderId="0" applyFill="0" applyBorder="0" applyAlignment="0" applyProtection="0"/>
    <xf numFmtId="43" fontId="5" fillId="42" borderId="0" applyNumberFormat="0">
      <alignment vertical="top"/>
    </xf>
    <xf numFmtId="43" fontId="5" fillId="9" borderId="0" applyFont="0" applyFill="0" applyBorder="0" applyAlignment="0" applyProtection="0">
      <alignment vertical="top"/>
    </xf>
    <xf numFmtId="10" fontId="5" fillId="0" borderId="0" applyFont="0" applyFill="0" applyBorder="0" applyAlignment="0" applyProtection="0">
      <alignment vertical="top"/>
    </xf>
    <xf numFmtId="41" fontId="5" fillId="43" borderId="0">
      <alignment vertical="top"/>
    </xf>
    <xf numFmtId="0" fontId="1" fillId="0" borderId="0">
      <alignment vertical="top"/>
    </xf>
    <xf numFmtId="43" fontId="5" fillId="46" borderId="0">
      <alignment vertical="top"/>
    </xf>
    <xf numFmtId="43" fontId="5" fillId="11" borderId="0">
      <alignment vertical="top"/>
    </xf>
  </cellStyleXfs>
  <cellXfs count="115">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0" borderId="0" xfId="4" applyFont="1">
      <alignment vertical="top"/>
    </xf>
    <xf numFmtId="0" fontId="10" fillId="0" borderId="0" xfId="4" applyFont="1">
      <alignment vertical="top"/>
    </xf>
    <xf numFmtId="0" fontId="5" fillId="0" borderId="2" xfId="4" applyBorder="1">
      <alignment vertical="top"/>
    </xf>
    <xf numFmtId="49" fontId="8" fillId="5" borderId="1" xfId="5">
      <alignment vertical="top"/>
    </xf>
    <xf numFmtId="49" fontId="6" fillId="17" borderId="1" xfId="6">
      <alignment vertical="top"/>
    </xf>
    <xf numFmtId="0" fontId="5" fillId="0" borderId="2" xfId="4" applyBorder="1" applyAlignment="1">
      <alignment horizontal="left" vertical="top" wrapText="1"/>
    </xf>
    <xf numFmtId="0" fontId="5" fillId="6" borderId="0" xfId="4" applyFill="1">
      <alignment vertical="top"/>
    </xf>
    <xf numFmtId="1" fontId="5" fillId="0" borderId="0" xfId="4" applyNumberFormat="1">
      <alignment vertical="top"/>
    </xf>
    <xf numFmtId="1" fontId="9" fillId="0" borderId="0" xfId="4" applyNumberFormat="1" applyFont="1">
      <alignment vertical="top"/>
    </xf>
    <xf numFmtId="0" fontId="12" fillId="0" borderId="0" xfId="4" applyFont="1">
      <alignment vertical="top"/>
    </xf>
    <xf numFmtId="0" fontId="8" fillId="5" borderId="1" xfId="5" applyNumberFormat="1">
      <alignment vertical="top"/>
    </xf>
    <xf numFmtId="0" fontId="14" fillId="0" borderId="0" xfId="4" applyFont="1">
      <alignment vertical="top"/>
    </xf>
    <xf numFmtId="0" fontId="5" fillId="12" borderId="0" xfId="4" applyFill="1">
      <alignment vertical="top"/>
    </xf>
    <xf numFmtId="49" fontId="5" fillId="17" borderId="2" xfId="6" applyFont="1" applyBorder="1">
      <alignment vertical="top"/>
    </xf>
    <xf numFmtId="0" fontId="7" fillId="0" borderId="0" xfId="4" applyFont="1" applyAlignment="1">
      <alignment horizontal="left" vertical="top" wrapText="1"/>
    </xf>
    <xf numFmtId="49" fontId="10" fillId="0" borderId="0" xfId="14">
      <alignment vertical="top"/>
    </xf>
    <xf numFmtId="49" fontId="6" fillId="0" borderId="0" xfId="7">
      <alignment vertical="top"/>
    </xf>
    <xf numFmtId="49" fontId="9" fillId="0" borderId="0" xfId="15">
      <alignment vertical="top"/>
    </xf>
    <xf numFmtId="41" fontId="5" fillId="10" borderId="0" xfId="8">
      <alignment vertical="top"/>
    </xf>
    <xf numFmtId="9" fontId="5" fillId="0" borderId="0" xfId="4" applyNumberFormat="1">
      <alignment vertical="top"/>
    </xf>
    <xf numFmtId="41" fontId="5" fillId="8" borderId="0" xfId="10">
      <alignment vertical="top"/>
    </xf>
    <xf numFmtId="41" fontId="5" fillId="7" borderId="0" xfId="12">
      <alignment vertical="top"/>
    </xf>
    <xf numFmtId="41" fontId="5" fillId="44" borderId="0" xfId="11">
      <alignment vertical="top"/>
    </xf>
    <xf numFmtId="41" fontId="5" fillId="44" borderId="2" xfId="11" applyBorder="1">
      <alignment vertical="top"/>
    </xf>
    <xf numFmtId="43" fontId="12" fillId="0" borderId="0" xfId="63" applyFont="1" applyFill="1">
      <alignment vertical="top"/>
    </xf>
    <xf numFmtId="41" fontId="5" fillId="43" borderId="0" xfId="65">
      <alignment vertical="top"/>
    </xf>
    <xf numFmtId="41" fontId="5" fillId="11" borderId="0" xfId="13">
      <alignment vertical="top"/>
    </xf>
    <xf numFmtId="41" fontId="5" fillId="9" borderId="0" xfId="9">
      <alignment vertical="top"/>
    </xf>
    <xf numFmtId="49" fontId="30" fillId="0" borderId="0" xfId="14" applyFont="1">
      <alignment vertical="top"/>
    </xf>
    <xf numFmtId="0" fontId="31" fillId="0" borderId="0" xfId="4" applyFont="1">
      <alignment vertical="top"/>
    </xf>
    <xf numFmtId="49" fontId="5" fillId="17" borderId="0" xfId="6" applyFont="1" applyBorder="1">
      <alignment vertical="top"/>
    </xf>
    <xf numFmtId="49" fontId="13" fillId="5" borderId="1" xfId="5" applyFont="1">
      <alignment vertical="top"/>
    </xf>
    <xf numFmtId="49" fontId="5" fillId="0" borderId="0" xfId="7" applyFont="1">
      <alignment vertical="top"/>
    </xf>
    <xf numFmtId="0" fontId="9" fillId="12" borderId="0" xfId="4" applyFont="1" applyFill="1">
      <alignment vertical="top"/>
    </xf>
    <xf numFmtId="49" fontId="21" fillId="0" borderId="2" xfId="61" applyBorder="1" applyAlignment="1">
      <alignment vertical="top"/>
    </xf>
    <xf numFmtId="164" fontId="5" fillId="10" borderId="0" xfId="8" applyNumberFormat="1">
      <alignment vertical="top"/>
    </xf>
    <xf numFmtId="165" fontId="5" fillId="11" borderId="0" xfId="13" applyNumberFormat="1">
      <alignment vertical="top"/>
    </xf>
    <xf numFmtId="165" fontId="5" fillId="0" borderId="0" xfId="4" applyNumberFormat="1">
      <alignment vertical="top"/>
    </xf>
    <xf numFmtId="10" fontId="5" fillId="44" borderId="0" xfId="11" applyNumberFormat="1">
      <alignment vertical="top"/>
    </xf>
    <xf numFmtId="10" fontId="5" fillId="9" borderId="0" xfId="9" applyNumberFormat="1">
      <alignment vertical="top"/>
    </xf>
    <xf numFmtId="9" fontId="5" fillId="44" borderId="0" xfId="11" applyNumberFormat="1">
      <alignment vertical="top"/>
    </xf>
    <xf numFmtId="0" fontId="5" fillId="45" borderId="0" xfId="4" applyFill="1">
      <alignment vertical="top"/>
    </xf>
    <xf numFmtId="167" fontId="5" fillId="9" borderId="0" xfId="9" applyNumberFormat="1">
      <alignment vertical="top"/>
    </xf>
    <xf numFmtId="167" fontId="5" fillId="44" borderId="0" xfId="11" applyNumberFormat="1">
      <alignment vertical="top"/>
    </xf>
    <xf numFmtId="167" fontId="5" fillId="0" borderId="0" xfId="4" applyNumberFormat="1">
      <alignment vertical="top"/>
    </xf>
    <xf numFmtId="0" fontId="5" fillId="42" borderId="0" xfId="62" applyNumberFormat="1">
      <alignment vertical="top"/>
    </xf>
    <xf numFmtId="9" fontId="5" fillId="9" borderId="0" xfId="9" applyNumberFormat="1">
      <alignment vertical="top"/>
    </xf>
    <xf numFmtId="164" fontId="5" fillId="44" borderId="0" xfId="11" applyNumberFormat="1">
      <alignment vertical="top"/>
    </xf>
    <xf numFmtId="164" fontId="5" fillId="9" borderId="0" xfId="9" applyNumberFormat="1">
      <alignment vertical="top"/>
    </xf>
    <xf numFmtId="49" fontId="10" fillId="17" borderId="1" xfId="6" applyFont="1">
      <alignment vertical="top"/>
    </xf>
    <xf numFmtId="165" fontId="5" fillId="44" borderId="0" xfId="11" applyNumberFormat="1">
      <alignment vertical="top"/>
    </xf>
    <xf numFmtId="167" fontId="5" fillId="42" borderId="0" xfId="62" applyNumberFormat="1">
      <alignment vertical="top"/>
    </xf>
    <xf numFmtId="166" fontId="5" fillId="11" borderId="0" xfId="13" applyNumberFormat="1">
      <alignment vertical="top"/>
    </xf>
    <xf numFmtId="10" fontId="5" fillId="11" borderId="0" xfId="13" applyNumberFormat="1">
      <alignment vertical="top"/>
    </xf>
    <xf numFmtId="167" fontId="5" fillId="11" borderId="0" xfId="13" applyNumberFormat="1">
      <alignment vertical="top"/>
    </xf>
    <xf numFmtId="9" fontId="5" fillId="11" borderId="0" xfId="13" applyNumberFormat="1">
      <alignment vertical="top"/>
    </xf>
    <xf numFmtId="0" fontId="1" fillId="0" borderId="0" xfId="66">
      <alignment vertical="top"/>
    </xf>
    <xf numFmtId="168" fontId="5" fillId="11" borderId="0" xfId="13" applyNumberFormat="1">
      <alignment vertical="top"/>
    </xf>
    <xf numFmtId="164" fontId="5" fillId="11" borderId="0" xfId="13" applyNumberFormat="1">
      <alignment vertical="top"/>
    </xf>
    <xf numFmtId="169" fontId="5" fillId="44" borderId="0" xfId="11" applyNumberFormat="1">
      <alignment vertical="top"/>
    </xf>
    <xf numFmtId="10" fontId="5" fillId="11" borderId="0" xfId="64" applyFill="1">
      <alignment vertical="top"/>
    </xf>
    <xf numFmtId="169" fontId="5" fillId="10" borderId="0" xfId="8" applyNumberFormat="1">
      <alignment vertical="top"/>
    </xf>
    <xf numFmtId="0" fontId="14" fillId="0" borderId="0" xfId="4" quotePrefix="1" applyFont="1">
      <alignment vertical="top"/>
    </xf>
    <xf numFmtId="10" fontId="5" fillId="44" borderId="0" xfId="64" applyFill="1">
      <alignment vertical="top"/>
    </xf>
    <xf numFmtId="49" fontId="6" fillId="0" borderId="0" xfId="15" applyFont="1">
      <alignment vertical="top"/>
    </xf>
    <xf numFmtId="170" fontId="5" fillId="44" borderId="0" xfId="11" applyNumberFormat="1">
      <alignment vertical="top"/>
    </xf>
    <xf numFmtId="41" fontId="5" fillId="42" borderId="0" xfId="62" applyNumberFormat="1">
      <alignment vertical="top"/>
    </xf>
    <xf numFmtId="10" fontId="5" fillId="0" borderId="0" xfId="64">
      <alignment vertical="top"/>
    </xf>
    <xf numFmtId="49" fontId="6" fillId="0" borderId="0" xfId="4" applyNumberFormat="1" applyFont="1">
      <alignment vertical="top"/>
    </xf>
    <xf numFmtId="9" fontId="5" fillId="11" borderId="0" xfId="64" applyNumberFormat="1" applyFill="1">
      <alignment vertical="top"/>
    </xf>
    <xf numFmtId="169" fontId="5" fillId="11" borderId="0" xfId="13" applyNumberFormat="1">
      <alignment vertical="top"/>
    </xf>
    <xf numFmtId="169" fontId="5" fillId="9" borderId="0" xfId="9" applyNumberFormat="1">
      <alignment vertical="top"/>
    </xf>
    <xf numFmtId="10" fontId="5" fillId="0" borderId="0" xfId="4" applyNumberFormat="1">
      <alignment vertical="top"/>
    </xf>
    <xf numFmtId="170" fontId="5" fillId="10" borderId="0" xfId="8" applyNumberFormat="1">
      <alignment vertical="top"/>
    </xf>
    <xf numFmtId="2" fontId="5" fillId="0" borderId="0" xfId="4" applyNumberFormat="1">
      <alignment vertical="top"/>
    </xf>
    <xf numFmtId="0" fontId="5" fillId="0" borderId="0" xfId="4" applyFont="1">
      <alignment vertical="top"/>
    </xf>
    <xf numFmtId="164" fontId="5" fillId="12" borderId="0" xfId="68" applyNumberFormat="1" applyFill="1">
      <alignment vertical="top"/>
    </xf>
    <xf numFmtId="0" fontId="5" fillId="0" borderId="12" xfId="4" applyBorder="1">
      <alignment vertical="top"/>
    </xf>
    <xf numFmtId="0" fontId="5" fillId="0" borderId="13" xfId="4" applyBorder="1">
      <alignment vertical="top"/>
    </xf>
    <xf numFmtId="0" fontId="5" fillId="0" borderId="14" xfId="4" applyBorder="1">
      <alignment vertical="top"/>
    </xf>
    <xf numFmtId="49" fontId="6" fillId="17" borderId="15" xfId="6" applyBorder="1">
      <alignment vertical="top"/>
    </xf>
    <xf numFmtId="49" fontId="6" fillId="17" borderId="16" xfId="6" applyBorder="1">
      <alignment vertical="top"/>
    </xf>
    <xf numFmtId="0" fontId="5" fillId="0" borderId="17" xfId="4" applyBorder="1">
      <alignment vertical="top"/>
    </xf>
    <xf numFmtId="0" fontId="5" fillId="0" borderId="18" xfId="4" applyBorder="1">
      <alignment vertical="top"/>
    </xf>
    <xf numFmtId="43" fontId="5" fillId="12" borderId="0" xfId="68" applyFill="1">
      <alignment vertical="top"/>
    </xf>
    <xf numFmtId="0" fontId="5" fillId="0" borderId="19" xfId="4" applyBorder="1">
      <alignment vertical="top"/>
    </xf>
    <xf numFmtId="0" fontId="5" fillId="0" borderId="20" xfId="4" applyBorder="1">
      <alignment vertical="top"/>
    </xf>
    <xf numFmtId="0" fontId="5" fillId="0" borderId="21" xfId="4" applyBorder="1">
      <alignment vertical="top"/>
    </xf>
    <xf numFmtId="10" fontId="5" fillId="12" borderId="0" xfId="68" applyNumberFormat="1" applyFill="1">
      <alignment vertical="top"/>
    </xf>
    <xf numFmtId="166" fontId="5" fillId="12" borderId="0" xfId="68" applyNumberFormat="1" applyFill="1">
      <alignment vertical="top"/>
    </xf>
    <xf numFmtId="49" fontId="6" fillId="0" borderId="17" xfId="7" applyBorder="1">
      <alignment vertical="top"/>
    </xf>
    <xf numFmtId="49" fontId="6" fillId="0" borderId="0" xfId="7" applyAlignment="1">
      <alignment vertical="top" wrapText="1"/>
    </xf>
    <xf numFmtId="49" fontId="6" fillId="0" borderId="18" xfId="7" applyBorder="1">
      <alignment vertical="top"/>
    </xf>
    <xf numFmtId="9" fontId="5" fillId="12" borderId="0" xfId="68" applyNumberFormat="1" applyFill="1">
      <alignment vertical="top"/>
    </xf>
    <xf numFmtId="167" fontId="5" fillId="12" borderId="0" xfId="68" applyNumberFormat="1" applyFill="1">
      <alignment vertical="top"/>
    </xf>
    <xf numFmtId="168" fontId="5" fillId="12" borderId="0" xfId="68" applyNumberFormat="1" applyFill="1">
      <alignment vertical="top"/>
    </xf>
    <xf numFmtId="168" fontId="5" fillId="44" borderId="0" xfId="11" applyNumberFormat="1">
      <alignment vertical="top"/>
    </xf>
    <xf numFmtId="10" fontId="5" fillId="11" borderId="0" xfId="68" applyNumberFormat="1">
      <alignment vertical="top"/>
    </xf>
    <xf numFmtId="43" fontId="5" fillId="11" borderId="0" xfId="68" applyNumberFormat="1">
      <alignment vertical="top"/>
    </xf>
    <xf numFmtId="2" fontId="5" fillId="10" borderId="0" xfId="8" applyNumberFormat="1">
      <alignment vertical="top"/>
    </xf>
    <xf numFmtId="170" fontId="5" fillId="9" borderId="0" xfId="9" applyNumberFormat="1">
      <alignment vertical="top"/>
    </xf>
    <xf numFmtId="41" fontId="5" fillId="9" borderId="0" xfId="9" applyNumberFormat="1">
      <alignment vertical="top"/>
    </xf>
    <xf numFmtId="170" fontId="5" fillId="11" borderId="0" xfId="13" applyNumberFormat="1">
      <alignment vertical="top"/>
    </xf>
    <xf numFmtId="167" fontId="5" fillId="11" borderId="0" xfId="68" applyNumberFormat="1">
      <alignment vertical="top"/>
    </xf>
    <xf numFmtId="170" fontId="5" fillId="44" borderId="0" xfId="11" applyNumberFormat="1" applyFont="1">
      <alignment vertical="top"/>
    </xf>
    <xf numFmtId="10" fontId="5" fillId="44" borderId="0" xfId="11" applyNumberFormat="1" applyFont="1">
      <alignment vertical="top"/>
    </xf>
    <xf numFmtId="41" fontId="5" fillId="0" borderId="0" xfId="4" applyNumberFormat="1">
      <alignment vertical="top"/>
    </xf>
    <xf numFmtId="167" fontId="5" fillId="0" borderId="0" xfId="63" applyNumberFormat="1" applyFill="1">
      <alignment vertical="top"/>
    </xf>
    <xf numFmtId="10" fontId="5" fillId="44" borderId="0" xfId="64" applyFont="1" applyFill="1">
      <alignment vertical="top"/>
    </xf>
    <xf numFmtId="0" fontId="5" fillId="0" borderId="0" xfId="4" applyAlignment="1">
      <alignment horizontal="left" vertical="top" wrapText="1"/>
    </xf>
    <xf numFmtId="0" fontId="7" fillId="0" borderId="0" xfId="4" applyFont="1" applyAlignment="1">
      <alignment horizontal="left" vertical="top" wrapText="1"/>
    </xf>
  </cellXfs>
  <cellStyles count="69">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Berekening" xfId="9" xr:uid="{00000000-0005-0000-0000-00001D000000}"/>
    <cellStyle name="Cel Bijzonderheid" xfId="10" xr:uid="{00000000-0005-0000-0000-00001E000000}"/>
    <cellStyle name="Cel Dataverzoek" xfId="65" xr:uid="{00000000-0005-0000-0000-00001F000000}"/>
    <cellStyle name="Cel Input" xfId="11" xr:uid="{00000000-0005-0000-0000-000020000000}"/>
    <cellStyle name="Cel Input 2" xfId="67" xr:uid="{B9486F1A-73E6-43FC-B7BD-7F935B2A6FC4}"/>
    <cellStyle name="Cel n.v.t. (leeg)" xfId="62" xr:uid="{00000000-0005-0000-0000-000021000000}"/>
    <cellStyle name="Cel PM extern" xfId="12" xr:uid="{00000000-0005-0000-0000-000022000000}"/>
    <cellStyle name="Cel Verwijzing" xfId="13" xr:uid="{00000000-0005-0000-0000-000023000000}"/>
    <cellStyle name="Cel Verwijzing 2" xfId="68" xr:uid="{3E8C3D2C-A984-43FC-8DF7-3BF2217BB5CC}"/>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5000000}"/>
    <cellStyle name="Procent" xfId="27" builtinId="5" hidden="1"/>
    <cellStyle name="Procent" xfId="64" builtinId="5"/>
    <cellStyle name="Standaard" xfId="0" builtinId="0" customBuiltin="1"/>
    <cellStyle name="Standaard 2" xfId="66" xr:uid="{2016A938-51BC-4B43-98EA-BA2E5FB8517C}"/>
    <cellStyle name="Standaard ACM-DE" xfId="4" xr:uid="{00000000-0005-0000-0000-000039000000}"/>
    <cellStyle name="Titel" xfId="28" builtinId="15" hidden="1"/>
    <cellStyle name="Toelichting" xfId="15" xr:uid="{00000000-0005-0000-0000-00003B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E1FFE1"/>
      <color rgb="FF99FF99"/>
      <color rgb="FFFFFFCC"/>
      <color rgb="FFCCC8D9"/>
      <color rgb="FFCCFFCC"/>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C8D9"/>
  </sheetPr>
  <dimension ref="B2:E49"/>
  <sheetViews>
    <sheetView showGridLines="0" tabSelected="1" zoomScale="85" zoomScaleNormal="85" workbookViewId="0">
      <pane ySplit="3" topLeftCell="A4" activePane="bottomLeft" state="frozen"/>
      <selection activeCell="O39" sqref="O39"/>
      <selection pane="bottomLeft" activeCell="C47" sqref="C47"/>
    </sheetView>
  </sheetViews>
  <sheetFormatPr defaultColWidth="9.140625" defaultRowHeight="12.75" x14ac:dyDescent="0.2"/>
  <cols>
    <col min="1" max="1" width="4.7109375" style="2" customWidth="1"/>
    <col min="2" max="2" width="44.5703125" style="2" customWidth="1"/>
    <col min="3" max="3" width="91.85546875" style="2" customWidth="1"/>
    <col min="4" max="16384" width="9.140625" style="2"/>
  </cols>
  <sheetData>
    <row r="2" spans="2:5" s="7" customFormat="1" ht="18" x14ac:dyDescent="0.2">
      <c r="B2" s="7" t="s">
        <v>39</v>
      </c>
    </row>
    <row r="6" spans="2:5" x14ac:dyDescent="0.2">
      <c r="B6" s="3"/>
    </row>
    <row r="13" spans="2:5" s="8" customFormat="1" x14ac:dyDescent="0.2">
      <c r="B13" s="8" t="s">
        <v>3</v>
      </c>
    </row>
    <row r="15" spans="2:5" x14ac:dyDescent="0.2">
      <c r="B15" s="9" t="s">
        <v>4</v>
      </c>
      <c r="C15" s="9" t="s">
        <v>474</v>
      </c>
      <c r="E15" s="19"/>
    </row>
    <row r="16" spans="2:5" x14ac:dyDescent="0.2">
      <c r="B16" s="9" t="s">
        <v>5</v>
      </c>
      <c r="C16" s="9" t="s">
        <v>261</v>
      </c>
    </row>
    <row r="17" spans="2:4" ht="25.5" x14ac:dyDescent="0.2">
      <c r="B17" s="9" t="s">
        <v>40</v>
      </c>
      <c r="C17" s="9" t="s">
        <v>262</v>
      </c>
    </row>
    <row r="18" spans="2:4" ht="25.5" x14ac:dyDescent="0.2">
      <c r="B18" s="9" t="s">
        <v>41</v>
      </c>
      <c r="C18" s="9" t="s">
        <v>475</v>
      </c>
    </row>
    <row r="19" spans="2:4" x14ac:dyDescent="0.2">
      <c r="B19" s="9" t="s">
        <v>55</v>
      </c>
      <c r="C19" s="9" t="s">
        <v>197</v>
      </c>
    </row>
    <row r="20" spans="2:4" x14ac:dyDescent="0.2">
      <c r="B20" s="9" t="s">
        <v>6</v>
      </c>
      <c r="C20" s="9"/>
    </row>
    <row r="22" spans="2:4" x14ac:dyDescent="0.2">
      <c r="B22" s="21" t="s">
        <v>61</v>
      </c>
    </row>
    <row r="24" spans="2:4" s="8" customFormat="1" x14ac:dyDescent="0.2">
      <c r="B24" s="8" t="s">
        <v>7</v>
      </c>
    </row>
    <row r="26" spans="2:4" x14ac:dyDescent="0.2">
      <c r="B26" s="9" t="s">
        <v>8</v>
      </c>
      <c r="C26" s="9" t="s">
        <v>198</v>
      </c>
    </row>
    <row r="27" spans="2:4" x14ac:dyDescent="0.2">
      <c r="B27" s="9" t="s">
        <v>59</v>
      </c>
      <c r="C27" s="9" t="s">
        <v>198</v>
      </c>
    </row>
    <row r="28" spans="2:4" ht="25.5" x14ac:dyDescent="0.2">
      <c r="B28" s="9" t="s">
        <v>9</v>
      </c>
      <c r="C28" s="9" t="s">
        <v>198</v>
      </c>
    </row>
    <row r="29" spans="2:4" ht="25.5" x14ac:dyDescent="0.2">
      <c r="B29" s="9" t="s">
        <v>60</v>
      </c>
      <c r="C29" s="9" t="s">
        <v>66</v>
      </c>
    </row>
    <row r="30" spans="2:4" x14ac:dyDescent="0.2">
      <c r="B30" s="9" t="s">
        <v>6</v>
      </c>
      <c r="C30" s="9"/>
    </row>
    <row r="32" spans="2:4" x14ac:dyDescent="0.2">
      <c r="B32" s="113" t="s">
        <v>42</v>
      </c>
      <c r="C32" s="114"/>
      <c r="D32" s="5"/>
    </row>
    <row r="33" spans="2:4" x14ac:dyDescent="0.2">
      <c r="B33" s="18"/>
      <c r="C33" s="18"/>
      <c r="D33" s="5"/>
    </row>
    <row r="35" spans="2:4" s="8" customFormat="1" x14ac:dyDescent="0.2">
      <c r="B35" s="8" t="s">
        <v>0</v>
      </c>
    </row>
    <row r="37" spans="2:4" x14ac:dyDescent="0.2">
      <c r="B37" s="19"/>
    </row>
    <row r="38" spans="2:4" x14ac:dyDescent="0.2">
      <c r="B38" s="2" t="s">
        <v>43</v>
      </c>
    </row>
    <row r="48" spans="2:4" x14ac:dyDescent="0.2">
      <c r="C48" s="32"/>
    </row>
    <row r="49" spans="2:2" x14ac:dyDescent="0.2">
      <c r="B49" s="4" t="s">
        <v>62</v>
      </c>
    </row>
  </sheetData>
  <mergeCells count="1">
    <mergeCell ref="B32:C32"/>
  </mergeCell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85474-957A-4E49-8CCA-6A66AC261DE3}">
  <sheetPr>
    <tabColor rgb="FFE1FFE1"/>
  </sheetPr>
  <dimension ref="A2:T51"/>
  <sheetViews>
    <sheetView showGridLines="0" zoomScale="84" zoomScaleNormal="84" workbookViewId="0">
      <pane xSplit="6" ySplit="8" topLeftCell="G9" activePane="bottomRight" state="frozen"/>
      <selection activeCell="R6" sqref="R6"/>
      <selection pane="topRight" activeCell="R6" sqref="R6"/>
      <selection pane="bottomLeft" activeCell="R6" sqref="R6"/>
      <selection pane="bottomRight" activeCell="G9" sqref="G9"/>
    </sheetView>
  </sheetViews>
  <sheetFormatPr defaultColWidth="9.140625" defaultRowHeight="12.75" x14ac:dyDescent="0.2"/>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21.7109375" style="2" customWidth="1"/>
    <col min="14" max="14" width="2.7109375" style="2" customWidth="1"/>
    <col min="15" max="15" width="42.85546875" style="2" customWidth="1"/>
    <col min="16" max="16" width="2.7109375" style="2" customWidth="1"/>
    <col min="17" max="17" width="13.7109375" style="2" customWidth="1"/>
    <col min="18" max="18" width="2.7109375" style="2" customWidth="1"/>
    <col min="19" max="33" width="13.7109375" style="2" customWidth="1"/>
    <col min="34" max="16384" width="9.140625" style="2"/>
  </cols>
  <sheetData>
    <row r="2" spans="1:17" s="14" customFormat="1" ht="18" x14ac:dyDescent="0.2">
      <c r="B2" s="14" t="s">
        <v>109</v>
      </c>
    </row>
    <row r="4" spans="1:17" x14ac:dyDescent="0.2">
      <c r="B4" s="1" t="s">
        <v>102</v>
      </c>
      <c r="C4" s="1"/>
      <c r="D4" s="1"/>
    </row>
    <row r="5" spans="1:17" x14ac:dyDescent="0.2">
      <c r="B5" s="2" t="s">
        <v>162</v>
      </c>
      <c r="C5" s="3"/>
      <c r="D5" s="3"/>
      <c r="H5" s="15"/>
    </row>
    <row r="7" spans="1:17" s="8" customFormat="1" x14ac:dyDescent="0.2">
      <c r="B7" s="8" t="s">
        <v>11</v>
      </c>
      <c r="F7" s="8" t="s">
        <v>34</v>
      </c>
      <c r="H7" s="8" t="s">
        <v>35</v>
      </c>
      <c r="J7" s="8" t="s">
        <v>36</v>
      </c>
      <c r="L7" s="8" t="s">
        <v>93</v>
      </c>
      <c r="M7" s="8" t="s">
        <v>76</v>
      </c>
      <c r="O7" s="8" t="s">
        <v>38</v>
      </c>
      <c r="Q7" s="8" t="s">
        <v>94</v>
      </c>
    </row>
    <row r="10" spans="1:17" s="8" customFormat="1" x14ac:dyDescent="0.2">
      <c r="B10" s="8" t="s">
        <v>144</v>
      </c>
    </row>
    <row r="11" spans="1:17" x14ac:dyDescent="0.2">
      <c r="A11" s="45"/>
      <c r="Q11" s="15"/>
    </row>
    <row r="12" spans="1:17" x14ac:dyDescent="0.2">
      <c r="A12" s="45"/>
      <c r="B12" s="1" t="s">
        <v>290</v>
      </c>
      <c r="O12" s="15"/>
    </row>
    <row r="13" spans="1:17" x14ac:dyDescent="0.2">
      <c r="A13" s="45"/>
      <c r="B13" s="2" t="s">
        <v>291</v>
      </c>
      <c r="F13" s="2" t="s">
        <v>114</v>
      </c>
      <c r="L13" s="47">
        <v>3342549.3872114113</v>
      </c>
      <c r="M13" s="49"/>
      <c r="O13" s="2" t="s">
        <v>447</v>
      </c>
    </row>
    <row r="14" spans="1:17" x14ac:dyDescent="0.2">
      <c r="A14" s="45"/>
      <c r="B14" s="2" t="s">
        <v>292</v>
      </c>
      <c r="F14" s="2" t="s">
        <v>114</v>
      </c>
      <c r="L14" s="47">
        <v>7445438.921776427</v>
      </c>
      <c r="M14" s="49"/>
      <c r="O14" s="2" t="s">
        <v>448</v>
      </c>
    </row>
    <row r="15" spans="1:17" x14ac:dyDescent="0.2">
      <c r="A15" s="45"/>
      <c r="B15" s="2" t="s">
        <v>293</v>
      </c>
      <c r="F15" s="2" t="s">
        <v>114</v>
      </c>
      <c r="L15" s="47">
        <v>291275.68434267165</v>
      </c>
      <c r="M15" s="49"/>
      <c r="O15" s="2" t="s">
        <v>449</v>
      </c>
    </row>
    <row r="16" spans="1:17" x14ac:dyDescent="0.2">
      <c r="A16" s="45"/>
      <c r="B16" s="2" t="s">
        <v>294</v>
      </c>
      <c r="F16" s="2" t="s">
        <v>114</v>
      </c>
      <c r="L16" s="46">
        <f>L13+L14-L15</f>
        <v>10496712.624645166</v>
      </c>
      <c r="M16" s="49"/>
      <c r="O16" s="15"/>
    </row>
    <row r="17" spans="1:20" x14ac:dyDescent="0.2">
      <c r="A17" s="45"/>
      <c r="B17" s="2" t="s">
        <v>295</v>
      </c>
      <c r="F17" s="2" t="s">
        <v>99</v>
      </c>
      <c r="L17" s="50">
        <f>L14/(L15+L16)</f>
        <v>0.69016008439436116</v>
      </c>
      <c r="M17" s="49"/>
      <c r="O17" s="15"/>
    </row>
    <row r="18" spans="1:20" x14ac:dyDescent="0.2">
      <c r="A18" s="45"/>
      <c r="B18" s="2" t="s">
        <v>375</v>
      </c>
      <c r="F18" s="2" t="s">
        <v>115</v>
      </c>
      <c r="L18" s="100">
        <v>0.27131856147939853</v>
      </c>
      <c r="M18" s="49"/>
      <c r="O18" s="2" t="s">
        <v>451</v>
      </c>
    </row>
    <row r="19" spans="1:20" x14ac:dyDescent="0.2">
      <c r="A19" s="45"/>
      <c r="O19" s="15"/>
    </row>
    <row r="20" spans="1:20" x14ac:dyDescent="0.2">
      <c r="B20" s="1" t="s">
        <v>121</v>
      </c>
      <c r="O20" s="15"/>
    </row>
    <row r="21" spans="1:20" x14ac:dyDescent="0.2">
      <c r="B21" s="2" t="s">
        <v>265</v>
      </c>
      <c r="F21" s="2" t="s">
        <v>99</v>
      </c>
      <c r="L21" s="49"/>
      <c r="M21" s="42">
        <v>5.4024539402881537E-2</v>
      </c>
      <c r="O21" s="2" t="s">
        <v>450</v>
      </c>
    </row>
    <row r="22" spans="1:20" x14ac:dyDescent="0.2">
      <c r="A22" s="45"/>
      <c r="O22" s="15"/>
    </row>
    <row r="23" spans="1:20" s="8" customFormat="1" x14ac:dyDescent="0.2">
      <c r="B23" s="8" t="s">
        <v>124</v>
      </c>
      <c r="O23" s="53"/>
    </row>
    <row r="24" spans="1:20" x14ac:dyDescent="0.2">
      <c r="A24" s="45"/>
      <c r="O24" s="15"/>
    </row>
    <row r="25" spans="1:20" ht="12" customHeight="1" x14ac:dyDescent="0.2">
      <c r="A25" s="45"/>
      <c r="B25" s="1" t="s">
        <v>296</v>
      </c>
      <c r="O25" s="15"/>
      <c r="Q25" s="2" t="s">
        <v>206</v>
      </c>
    </row>
    <row r="26" spans="1:20" x14ac:dyDescent="0.2">
      <c r="A26" s="45"/>
      <c r="B26" s="54">
        <v>3.2</v>
      </c>
      <c r="F26" s="2" t="s">
        <v>125</v>
      </c>
      <c r="L26" s="49"/>
      <c r="M26" s="47">
        <v>89</v>
      </c>
      <c r="O26" s="2" t="s">
        <v>452</v>
      </c>
    </row>
    <row r="27" spans="1:20" x14ac:dyDescent="0.2">
      <c r="A27" s="45"/>
      <c r="B27" s="54">
        <v>7.7</v>
      </c>
      <c r="F27" s="2" t="s">
        <v>125</v>
      </c>
      <c r="L27" s="49"/>
      <c r="M27" s="47">
        <v>1126</v>
      </c>
    </row>
    <row r="28" spans="1:20" x14ac:dyDescent="0.2">
      <c r="A28" s="45"/>
      <c r="B28" s="54">
        <v>13.3</v>
      </c>
      <c r="F28" s="2" t="s">
        <v>125</v>
      </c>
      <c r="L28" s="49"/>
      <c r="M28" s="47">
        <v>125</v>
      </c>
    </row>
    <row r="29" spans="1:20" x14ac:dyDescent="0.2">
      <c r="A29" s="45"/>
      <c r="B29" s="54">
        <v>18.3</v>
      </c>
      <c r="F29" s="2" t="s">
        <v>125</v>
      </c>
      <c r="L29" s="49"/>
      <c r="M29" s="47">
        <v>23</v>
      </c>
    </row>
    <row r="30" spans="1:20" x14ac:dyDescent="0.2">
      <c r="A30" s="45"/>
      <c r="B30" s="54">
        <v>23.3</v>
      </c>
      <c r="F30" s="2" t="s">
        <v>125</v>
      </c>
      <c r="L30" s="49"/>
      <c r="M30" s="47">
        <v>28</v>
      </c>
    </row>
    <row r="31" spans="1:20" x14ac:dyDescent="0.2">
      <c r="A31" s="45"/>
      <c r="B31" s="54">
        <v>28.3</v>
      </c>
      <c r="F31" s="2" t="s">
        <v>125</v>
      </c>
      <c r="L31" s="49"/>
      <c r="M31" s="47">
        <v>11</v>
      </c>
      <c r="T31" s="76"/>
    </row>
    <row r="32" spans="1:20" x14ac:dyDescent="0.2">
      <c r="A32" s="45"/>
      <c r="B32" s="54">
        <v>38.299999999999997</v>
      </c>
      <c r="F32" s="2" t="s">
        <v>125</v>
      </c>
      <c r="L32" s="49"/>
      <c r="M32" s="47">
        <v>12</v>
      </c>
    </row>
    <row r="33" spans="1:17" x14ac:dyDescent="0.2">
      <c r="A33" s="45"/>
      <c r="B33" s="54">
        <v>48.3</v>
      </c>
      <c r="F33" s="2" t="s">
        <v>125</v>
      </c>
      <c r="L33" s="49"/>
      <c r="M33" s="47">
        <v>2</v>
      </c>
    </row>
    <row r="34" spans="1:17" x14ac:dyDescent="0.2">
      <c r="A34" s="45"/>
      <c r="B34" s="54">
        <v>63.3</v>
      </c>
      <c r="F34" s="2" t="s">
        <v>125</v>
      </c>
      <c r="L34" s="49"/>
      <c r="M34" s="47">
        <v>3</v>
      </c>
    </row>
    <row r="35" spans="1:17" x14ac:dyDescent="0.2">
      <c r="A35" s="45"/>
      <c r="B35" s="54">
        <v>78.3</v>
      </c>
      <c r="F35" s="2" t="s">
        <v>125</v>
      </c>
      <c r="L35" s="49"/>
      <c r="M35" s="47">
        <v>2</v>
      </c>
    </row>
    <row r="36" spans="1:17" x14ac:dyDescent="0.2">
      <c r="A36" s="45"/>
      <c r="B36" s="54">
        <v>83.3</v>
      </c>
      <c r="F36" s="2" t="s">
        <v>125</v>
      </c>
      <c r="L36" s="49"/>
      <c r="M36" s="47">
        <v>1</v>
      </c>
    </row>
    <row r="37" spans="1:17" x14ac:dyDescent="0.2">
      <c r="A37" s="45"/>
      <c r="B37" s="54">
        <v>93.3</v>
      </c>
      <c r="F37" s="2" t="s">
        <v>125</v>
      </c>
      <c r="L37" s="49"/>
      <c r="M37" s="47">
        <v>1</v>
      </c>
    </row>
    <row r="38" spans="1:17" x14ac:dyDescent="0.2">
      <c r="A38" s="45"/>
      <c r="B38" s="54">
        <v>98.3</v>
      </c>
      <c r="F38" s="2" t="s">
        <v>125</v>
      </c>
      <c r="L38" s="49"/>
      <c r="M38" s="47">
        <v>0</v>
      </c>
    </row>
    <row r="39" spans="1:17" x14ac:dyDescent="0.2">
      <c r="A39" s="45"/>
      <c r="B39" s="54">
        <v>100</v>
      </c>
      <c r="F39" s="2" t="s">
        <v>125</v>
      </c>
      <c r="L39" s="49"/>
      <c r="M39" s="47">
        <v>0</v>
      </c>
    </row>
    <row r="40" spans="1:17" x14ac:dyDescent="0.2">
      <c r="A40" s="45"/>
      <c r="B40" s="54">
        <v>125</v>
      </c>
      <c r="F40" s="2" t="s">
        <v>125</v>
      </c>
      <c r="L40" s="49"/>
      <c r="M40" s="47">
        <v>2</v>
      </c>
      <c r="Q40" s="78"/>
    </row>
    <row r="41" spans="1:17" x14ac:dyDescent="0.2">
      <c r="A41" s="45"/>
      <c r="B41" s="54">
        <v>150</v>
      </c>
      <c r="F41" s="2" t="s">
        <v>125</v>
      </c>
      <c r="L41" s="49"/>
      <c r="M41" s="47">
        <v>2</v>
      </c>
    </row>
    <row r="42" spans="1:17" x14ac:dyDescent="0.2">
      <c r="A42" s="45"/>
      <c r="B42" s="54">
        <v>350</v>
      </c>
      <c r="F42" s="2" t="s">
        <v>125</v>
      </c>
      <c r="L42" s="49"/>
      <c r="M42" s="47">
        <v>2</v>
      </c>
    </row>
    <row r="43" spans="1:17" x14ac:dyDescent="0.2">
      <c r="A43" s="45"/>
    </row>
    <row r="44" spans="1:17" x14ac:dyDescent="0.2">
      <c r="A44" s="45"/>
      <c r="B44" s="2" t="s">
        <v>297</v>
      </c>
      <c r="F44" s="2" t="s">
        <v>113</v>
      </c>
      <c r="L44" s="49"/>
      <c r="M44" s="46">
        <f>SUMPRODUCT(B26:B42,M26:M42)</f>
        <v>14331.399999999998</v>
      </c>
    </row>
    <row r="45" spans="1:17" x14ac:dyDescent="0.2">
      <c r="A45" s="45"/>
    </row>
    <row r="46" spans="1:17" x14ac:dyDescent="0.2">
      <c r="A46" s="45"/>
    </row>
    <row r="47" spans="1:17" x14ac:dyDescent="0.2">
      <c r="A47" s="45"/>
      <c r="B47" s="4" t="s">
        <v>62</v>
      </c>
    </row>
    <row r="48" spans="1:17" x14ac:dyDescent="0.2">
      <c r="A48" s="45"/>
    </row>
    <row r="49" spans="1:1" x14ac:dyDescent="0.2">
      <c r="A49" s="45"/>
    </row>
    <row r="50" spans="1:1" x14ac:dyDescent="0.2">
      <c r="A50" s="45"/>
    </row>
    <row r="51" spans="1:1" x14ac:dyDescent="0.2">
      <c r="A51" s="45"/>
    </row>
  </sheetData>
  <phoneticPr fontId="32"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44177-1035-45E4-82AF-DB4BF6CA809C}">
  <sheetPr>
    <tabColor rgb="FFE1FFE1"/>
  </sheetPr>
  <dimension ref="A2:T28"/>
  <sheetViews>
    <sheetView showGridLines="0" zoomScale="85" zoomScaleNormal="85" workbookViewId="0">
      <pane xSplit="6" ySplit="10" topLeftCell="G11" activePane="bottomRight" state="frozen"/>
      <selection activeCell="R6" sqref="R6"/>
      <selection pane="topRight" activeCell="R6" sqref="R6"/>
      <selection pane="bottomLeft" activeCell="R6" sqref="R6"/>
      <selection pane="bottomRight" activeCell="G11" sqref="G11"/>
    </sheetView>
  </sheetViews>
  <sheetFormatPr defaultColWidth="9.140625" defaultRowHeight="12.75" x14ac:dyDescent="0.2"/>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21.7109375" style="2" customWidth="1"/>
    <col min="14" max="14" width="2.7109375" style="2" customWidth="1"/>
    <col min="15" max="15" width="36.7109375" style="2" customWidth="1"/>
    <col min="16" max="16" width="2.7109375" style="2" customWidth="1"/>
    <col min="17" max="17" width="13.7109375" style="2" customWidth="1"/>
    <col min="18" max="18" width="2.7109375" style="2" customWidth="1"/>
    <col min="19" max="33" width="13.7109375" style="2" customWidth="1"/>
    <col min="34" max="16384" width="9.140625" style="2"/>
  </cols>
  <sheetData>
    <row r="2" spans="1:20" s="14" customFormat="1" ht="18" x14ac:dyDescent="0.2">
      <c r="B2" s="14" t="s">
        <v>142</v>
      </c>
    </row>
    <row r="4" spans="1:20" x14ac:dyDescent="0.2">
      <c r="B4" s="1" t="s">
        <v>102</v>
      </c>
      <c r="C4" s="1"/>
      <c r="D4" s="1"/>
    </row>
    <row r="5" spans="1:20" x14ac:dyDescent="0.2">
      <c r="B5" s="79" t="s">
        <v>245</v>
      </c>
      <c r="C5" s="1"/>
      <c r="D5" s="1"/>
    </row>
    <row r="6" spans="1:20" x14ac:dyDescent="0.2">
      <c r="B6" s="2" t="s">
        <v>103</v>
      </c>
      <c r="C6" s="3"/>
      <c r="D6" s="3"/>
      <c r="H6" s="15"/>
    </row>
    <row r="7" spans="1:20" x14ac:dyDescent="0.2">
      <c r="B7" s="2" t="s">
        <v>376</v>
      </c>
      <c r="C7" s="3"/>
      <c r="D7" s="3"/>
      <c r="H7" s="15"/>
    </row>
    <row r="9" spans="1:20" s="8" customFormat="1" x14ac:dyDescent="0.2">
      <c r="B9" s="8" t="s">
        <v>11</v>
      </c>
      <c r="F9" s="8" t="s">
        <v>34</v>
      </c>
      <c r="H9" s="8" t="s">
        <v>35</v>
      </c>
      <c r="J9" s="8" t="s">
        <v>36</v>
      </c>
      <c r="L9" s="8" t="s">
        <v>93</v>
      </c>
      <c r="M9" s="8" t="s">
        <v>76</v>
      </c>
      <c r="O9" s="8" t="s">
        <v>38</v>
      </c>
      <c r="Q9" s="8" t="s">
        <v>94</v>
      </c>
    </row>
    <row r="12" spans="1:20" s="8" customFormat="1" x14ac:dyDescent="0.2">
      <c r="B12" s="8" t="s">
        <v>377</v>
      </c>
    </row>
    <row r="13" spans="1:20" x14ac:dyDescent="0.2">
      <c r="A13" s="45"/>
    </row>
    <row r="14" spans="1:20" x14ac:dyDescent="0.2">
      <c r="A14" s="45"/>
      <c r="B14" s="68" t="s">
        <v>104</v>
      </c>
    </row>
    <row r="15" spans="1:20" x14ac:dyDescent="0.2">
      <c r="B15" s="2" t="s">
        <v>378</v>
      </c>
      <c r="F15" s="2" t="s">
        <v>136</v>
      </c>
      <c r="J15" s="46">
        <f>SUM(L15:M15)</f>
        <v>3086790.5500000003</v>
      </c>
      <c r="L15" s="47">
        <v>1934620.9000000004</v>
      </c>
      <c r="M15" s="47">
        <v>1152169.6499999999</v>
      </c>
      <c r="O15" s="2" t="s">
        <v>298</v>
      </c>
      <c r="P15" s="15"/>
      <c r="Q15" s="15"/>
      <c r="S15" s="48"/>
      <c r="T15" s="48"/>
    </row>
    <row r="16" spans="1:20" x14ac:dyDescent="0.2">
      <c r="A16" s="45"/>
      <c r="B16" s="2" t="s">
        <v>379</v>
      </c>
      <c r="F16" s="2" t="s">
        <v>136</v>
      </c>
      <c r="J16" s="46">
        <f>SUM(L16:M16)</f>
        <v>176455.72000000003</v>
      </c>
      <c r="L16" s="47">
        <v>54423.085000000006</v>
      </c>
      <c r="M16" s="47">
        <v>122032.63500000001</v>
      </c>
      <c r="O16" s="2" t="s">
        <v>299</v>
      </c>
      <c r="P16" s="15"/>
      <c r="Q16" s="15"/>
    </row>
    <row r="17" spans="1:17" x14ac:dyDescent="0.2">
      <c r="A17" s="45"/>
      <c r="J17" s="48"/>
      <c r="P17" s="15"/>
      <c r="Q17" s="15"/>
    </row>
    <row r="18" spans="1:17" x14ac:dyDescent="0.2">
      <c r="A18" s="45"/>
      <c r="B18" s="68" t="s">
        <v>105</v>
      </c>
      <c r="J18" s="48"/>
      <c r="O18" s="15"/>
      <c r="P18" s="15"/>
      <c r="Q18" s="15"/>
    </row>
    <row r="19" spans="1:17" x14ac:dyDescent="0.2">
      <c r="A19" s="45"/>
      <c r="B19" s="2" t="s">
        <v>380</v>
      </c>
      <c r="F19" s="2" t="s">
        <v>106</v>
      </c>
      <c r="J19" s="46">
        <f>SUM(L19:M19)</f>
        <v>6707906.1527386289</v>
      </c>
      <c r="L19" s="47">
        <v>3235369.3203914971</v>
      </c>
      <c r="M19" s="47">
        <v>3472536.8323471323</v>
      </c>
      <c r="O19" s="2" t="s">
        <v>300</v>
      </c>
      <c r="P19" s="15"/>
      <c r="Q19" s="2" t="s">
        <v>107</v>
      </c>
    </row>
    <row r="20" spans="1:17" x14ac:dyDescent="0.2">
      <c r="A20" s="45"/>
      <c r="B20" s="2" t="s">
        <v>381</v>
      </c>
      <c r="F20" s="2" t="s">
        <v>106</v>
      </c>
      <c r="J20" s="46">
        <f>SUM(L20:M20)</f>
        <v>553449.92384885182</v>
      </c>
      <c r="L20" s="47">
        <v>228826.27682314429</v>
      </c>
      <c r="M20" s="47">
        <v>324623.64702570753</v>
      </c>
      <c r="O20" s="2" t="s">
        <v>301</v>
      </c>
      <c r="P20" s="15"/>
      <c r="Q20" s="2" t="s">
        <v>108</v>
      </c>
    </row>
    <row r="22" spans="1:17" x14ac:dyDescent="0.2">
      <c r="B22" s="1" t="s">
        <v>141</v>
      </c>
    </row>
    <row r="23" spans="1:17" x14ac:dyDescent="0.2">
      <c r="B23" s="2" t="s">
        <v>382</v>
      </c>
      <c r="F23" s="2" t="s">
        <v>99</v>
      </c>
      <c r="L23" s="44">
        <v>0.25</v>
      </c>
      <c r="M23" s="44">
        <v>0.25</v>
      </c>
      <c r="O23" s="2" t="s">
        <v>72</v>
      </c>
      <c r="Q23" s="2" t="s">
        <v>344</v>
      </c>
    </row>
    <row r="24" spans="1:17" x14ac:dyDescent="0.2">
      <c r="B24" s="2" t="s">
        <v>383</v>
      </c>
      <c r="F24" s="2" t="s">
        <v>99</v>
      </c>
      <c r="L24" s="44">
        <v>0</v>
      </c>
      <c r="M24" s="44">
        <v>0.5</v>
      </c>
      <c r="O24" s="2" t="s">
        <v>72</v>
      </c>
      <c r="Q24" s="2" t="s">
        <v>344</v>
      </c>
    </row>
    <row r="26" spans="1:17" s="8" customFormat="1" x14ac:dyDescent="0.2">
      <c r="B26" s="8" t="s">
        <v>211</v>
      </c>
    </row>
    <row r="28" spans="1:17" x14ac:dyDescent="0.2">
      <c r="B28" s="4" t="s">
        <v>62</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8F2CA-B75A-4A78-9144-142FF4A9317F}">
  <sheetPr>
    <tabColor theme="0" tint="-4.9989318521683403E-2"/>
  </sheetPr>
  <dimension ref="B2:B3"/>
  <sheetViews>
    <sheetView showGridLines="0" zoomScale="85" zoomScaleNormal="85" workbookViewId="0"/>
  </sheetViews>
  <sheetFormatPr defaultColWidth="9.140625" defaultRowHeight="12.75" x14ac:dyDescent="0.2"/>
  <cols>
    <col min="1" max="16384" width="9.140625" style="16"/>
  </cols>
  <sheetData>
    <row r="2" spans="2:2" x14ac:dyDescent="0.2">
      <c r="B2" s="37" t="s">
        <v>64</v>
      </c>
    </row>
    <row r="3" spans="2:2" x14ac:dyDescent="0.2">
      <c r="B3" s="37"/>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72B1F-DBA9-4864-AD22-D886D6CB281C}">
  <sheetPr>
    <tabColor rgb="FFFFFFCC"/>
  </sheetPr>
  <dimension ref="B2:O52"/>
  <sheetViews>
    <sheetView showGridLines="0" zoomScale="115" zoomScaleNormal="115" workbookViewId="0">
      <pane xSplit="6" ySplit="8" topLeftCell="G9" activePane="bottomRight" state="frozen"/>
      <selection activeCell="E15" sqref="E15"/>
      <selection pane="topRight" activeCell="E15" sqref="E15"/>
      <selection pane="bottomLeft" activeCell="E15" sqref="E15"/>
      <selection pane="bottomRight" activeCell="G9" sqref="G9"/>
    </sheetView>
  </sheetViews>
  <sheetFormatPr defaultColWidth="9.140625" defaultRowHeight="12.75" x14ac:dyDescent="0.2"/>
  <cols>
    <col min="1" max="1" width="4.5703125" style="2" customWidth="1"/>
    <col min="2" max="2" width="50.710937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21.7109375" style="2" customWidth="1"/>
    <col min="14" max="14" width="2.7109375" style="2" customWidth="1"/>
    <col min="15" max="15" width="30.7109375" style="2" customWidth="1"/>
    <col min="16" max="16" width="2.7109375" style="2" customWidth="1"/>
    <col min="17" max="26" width="12.5703125" style="2" customWidth="1"/>
    <col min="27" max="29" width="2.7109375" style="2" customWidth="1"/>
    <col min="30" max="44" width="13.7109375" style="2" customWidth="1"/>
    <col min="45" max="16384" width="9.140625" style="2"/>
  </cols>
  <sheetData>
    <row r="2" spans="2:15" s="14" customFormat="1" ht="18" x14ac:dyDescent="0.2">
      <c r="B2" s="14" t="s">
        <v>397</v>
      </c>
    </row>
    <row r="4" spans="2:15" x14ac:dyDescent="0.2">
      <c r="B4" s="20" t="s">
        <v>138</v>
      </c>
      <c r="C4" s="1"/>
      <c r="D4" s="1"/>
    </row>
    <row r="5" spans="2:15" x14ac:dyDescent="0.2">
      <c r="B5" s="2" t="s">
        <v>248</v>
      </c>
      <c r="C5" s="3"/>
      <c r="D5" s="3"/>
      <c r="H5" s="15"/>
    </row>
    <row r="6" spans="2:15" x14ac:dyDescent="0.2">
      <c r="C6" s="3"/>
      <c r="D6" s="3"/>
      <c r="H6" s="15"/>
    </row>
    <row r="7" spans="2:15" s="8" customFormat="1" x14ac:dyDescent="0.2">
      <c r="B7" s="8" t="s">
        <v>73</v>
      </c>
      <c r="F7" s="8" t="s">
        <v>74</v>
      </c>
      <c r="H7" s="8" t="s">
        <v>35</v>
      </c>
      <c r="J7" s="8" t="s">
        <v>36</v>
      </c>
      <c r="L7" s="8" t="s">
        <v>75</v>
      </c>
      <c r="M7" s="8" t="s">
        <v>76</v>
      </c>
      <c r="O7" s="8" t="s">
        <v>37</v>
      </c>
    </row>
    <row r="10" spans="2:15" s="8" customFormat="1" x14ac:dyDescent="0.2">
      <c r="B10" s="8" t="s">
        <v>249</v>
      </c>
    </row>
    <row r="11" spans="2:15" s="60" customFormat="1" x14ac:dyDescent="0.2"/>
    <row r="12" spans="2:15" s="60" customFormat="1" x14ac:dyDescent="0.2">
      <c r="B12" s="1" t="s">
        <v>132</v>
      </c>
      <c r="C12" s="2"/>
      <c r="D12" s="2"/>
      <c r="E12" s="2"/>
      <c r="F12" s="2"/>
    </row>
    <row r="13" spans="2:15" s="60" customFormat="1" x14ac:dyDescent="0.2">
      <c r="B13" s="21" t="s">
        <v>34</v>
      </c>
      <c r="C13" s="2"/>
      <c r="D13" s="2"/>
      <c r="E13" s="2"/>
      <c r="F13" s="21" t="s">
        <v>111</v>
      </c>
      <c r="L13" s="21" t="s">
        <v>112</v>
      </c>
      <c r="M13" s="21" t="s">
        <v>113</v>
      </c>
    </row>
    <row r="14" spans="2:15" s="60" customFormat="1" x14ac:dyDescent="0.2">
      <c r="B14" s="2" t="s">
        <v>373</v>
      </c>
      <c r="C14" s="2"/>
      <c r="D14" s="2"/>
      <c r="E14" s="2"/>
      <c r="F14" s="2" t="s">
        <v>111</v>
      </c>
      <c r="L14" s="30">
        <f>'Historical data'!L16</f>
        <v>10066747.063000001</v>
      </c>
      <c r="M14" s="30">
        <f>'Historical data'!M16</f>
        <v>13255.715384615383</v>
      </c>
    </row>
    <row r="16" spans="2:15" x14ac:dyDescent="0.2">
      <c r="B16" s="1" t="s">
        <v>250</v>
      </c>
    </row>
    <row r="17" spans="2:13" x14ac:dyDescent="0.2">
      <c r="B17" s="2" t="s">
        <v>386</v>
      </c>
      <c r="F17" s="2" t="s">
        <v>136</v>
      </c>
      <c r="L17" s="30">
        <f>'Data ACM'!L21</f>
        <v>1480799.0022814726</v>
      </c>
      <c r="M17" s="30">
        <f>'Data ACM'!M21</f>
        <v>944422.0419940562</v>
      </c>
    </row>
    <row r="18" spans="2:13" x14ac:dyDescent="0.2">
      <c r="B18" s="2" t="s">
        <v>387</v>
      </c>
      <c r="F18" s="2" t="s">
        <v>388</v>
      </c>
      <c r="L18" s="74">
        <f>'Data ACM'!L22</f>
        <v>4.1266178872495632E-2</v>
      </c>
      <c r="M18" s="30">
        <f>'Data ACM'!M22</f>
        <v>41.058668164320949</v>
      </c>
    </row>
    <row r="20" spans="2:13" x14ac:dyDescent="0.2">
      <c r="B20" s="1" t="s">
        <v>251</v>
      </c>
    </row>
    <row r="21" spans="2:13" x14ac:dyDescent="0.2">
      <c r="B21" s="2" t="s">
        <v>386</v>
      </c>
      <c r="F21" s="2" t="s">
        <v>136</v>
      </c>
      <c r="L21" s="30">
        <f>'Data ACM'!L15</f>
        <v>1514845.973480677</v>
      </c>
      <c r="M21" s="30">
        <f>'Data ACM'!M15</f>
        <v>943194.91567609692</v>
      </c>
    </row>
    <row r="22" spans="2:13" x14ac:dyDescent="0.2">
      <c r="B22" s="2" t="s">
        <v>387</v>
      </c>
      <c r="F22" s="2" t="s">
        <v>388</v>
      </c>
      <c r="L22" s="74">
        <f>'Data ACM'!L16</f>
        <v>4.1266178872495632E-2</v>
      </c>
      <c r="M22" s="30">
        <f>'Data ACM'!M16</f>
        <v>43.255728710360408</v>
      </c>
    </row>
    <row r="24" spans="2:13" s="8" customFormat="1" x14ac:dyDescent="0.2">
      <c r="B24" s="8" t="s">
        <v>23</v>
      </c>
    </row>
    <row r="26" spans="2:13" x14ac:dyDescent="0.2">
      <c r="B26" s="1" t="s">
        <v>252</v>
      </c>
    </row>
    <row r="27" spans="2:13" x14ac:dyDescent="0.2">
      <c r="B27" s="2" t="s">
        <v>398</v>
      </c>
      <c r="F27" s="2" t="s">
        <v>136</v>
      </c>
      <c r="L27" s="31">
        <f>L21-L17</f>
        <v>34046.971199204447</v>
      </c>
      <c r="M27" s="31">
        <f>M21-M17</f>
        <v>-1227.1263179592788</v>
      </c>
    </row>
    <row r="28" spans="2:13" x14ac:dyDescent="0.2">
      <c r="B28" s="2" t="s">
        <v>399</v>
      </c>
      <c r="F28" s="2" t="s">
        <v>136</v>
      </c>
      <c r="L28" s="31">
        <f>(L22-L18)*L14</f>
        <v>0</v>
      </c>
      <c r="M28" s="31">
        <f>(M22-M18)*M14</f>
        <v>29123.609281066736</v>
      </c>
    </row>
    <row r="30" spans="2:13" x14ac:dyDescent="0.2">
      <c r="B30" s="1" t="s">
        <v>253</v>
      </c>
    </row>
    <row r="31" spans="2:13" x14ac:dyDescent="0.2">
      <c r="B31" s="2" t="s">
        <v>364</v>
      </c>
      <c r="F31" s="2" t="s">
        <v>136</v>
      </c>
      <c r="L31" s="22">
        <f>SUM(L27:L28)</f>
        <v>34046.971199204447</v>
      </c>
      <c r="M31" s="22">
        <f>SUM(M27:M28)</f>
        <v>27896.482963107457</v>
      </c>
    </row>
    <row r="52" spans="2:2" x14ac:dyDescent="0.2">
      <c r="B52" s="4" t="s">
        <v>62</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B76C7-50FC-4ED3-A6C6-B0E14F2C3532}">
  <sheetPr>
    <tabColor rgb="FFFFFFCC"/>
  </sheetPr>
  <dimension ref="B2:O29"/>
  <sheetViews>
    <sheetView showGridLines="0" zoomScale="130" zoomScaleNormal="130" workbookViewId="0">
      <pane xSplit="6" ySplit="8" topLeftCell="G9" activePane="bottomRight" state="frozen"/>
      <selection activeCell="E15" sqref="E15"/>
      <selection pane="topRight" activeCell="E15" sqref="E15"/>
      <selection pane="bottomLeft" activeCell="E15" sqref="E15"/>
      <selection pane="bottomRight" activeCell="G9" sqref="G9"/>
    </sheetView>
  </sheetViews>
  <sheetFormatPr defaultColWidth="9.140625" defaultRowHeight="12.75" x14ac:dyDescent="0.2"/>
  <cols>
    <col min="1" max="1" width="4.5703125" style="2" customWidth="1"/>
    <col min="2" max="2" width="50.710937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21.7109375" style="2" customWidth="1"/>
    <col min="14" max="14" width="2.7109375" style="2" customWidth="1"/>
    <col min="15" max="15" width="30.7109375" style="2" customWidth="1"/>
    <col min="16" max="16" width="2.7109375" style="2" customWidth="1"/>
    <col min="17" max="26" width="12.5703125" style="2" customWidth="1"/>
    <col min="27" max="29" width="2.7109375" style="2" customWidth="1"/>
    <col min="30" max="44" width="13.7109375" style="2" customWidth="1"/>
    <col min="45" max="16384" width="9.140625" style="2"/>
  </cols>
  <sheetData>
    <row r="2" spans="2:15" s="14" customFormat="1" ht="18" x14ac:dyDescent="0.2">
      <c r="B2" s="14" t="s">
        <v>400</v>
      </c>
    </row>
    <row r="4" spans="2:15" x14ac:dyDescent="0.2">
      <c r="B4" s="20" t="s">
        <v>138</v>
      </c>
      <c r="C4" s="1"/>
      <c r="D4" s="1"/>
    </row>
    <row r="5" spans="2:15" x14ac:dyDescent="0.2">
      <c r="B5" s="2" t="s">
        <v>163</v>
      </c>
      <c r="C5" s="3"/>
      <c r="D5" s="3"/>
      <c r="H5" s="15"/>
    </row>
    <row r="6" spans="2:15" x14ac:dyDescent="0.2">
      <c r="C6" s="3"/>
      <c r="D6" s="3"/>
      <c r="H6" s="15"/>
    </row>
    <row r="7" spans="2:15" s="8" customFormat="1" x14ac:dyDescent="0.2">
      <c r="B7" s="8" t="s">
        <v>73</v>
      </c>
      <c r="F7" s="8" t="s">
        <v>74</v>
      </c>
      <c r="H7" s="8" t="s">
        <v>35</v>
      </c>
      <c r="J7" s="8" t="s">
        <v>36</v>
      </c>
      <c r="L7" s="8" t="s">
        <v>75</v>
      </c>
      <c r="M7" s="8" t="s">
        <v>76</v>
      </c>
      <c r="O7" s="8" t="s">
        <v>37</v>
      </c>
    </row>
    <row r="10" spans="2:15" s="8" customFormat="1" x14ac:dyDescent="0.2">
      <c r="B10" s="8" t="s">
        <v>149</v>
      </c>
    </row>
    <row r="11" spans="2:15" x14ac:dyDescent="0.2">
      <c r="H11"/>
    </row>
    <row r="12" spans="2:15" x14ac:dyDescent="0.2">
      <c r="B12" s="1" t="s">
        <v>401</v>
      </c>
      <c r="K12"/>
    </row>
    <row r="13" spans="2:15" x14ac:dyDescent="0.2">
      <c r="B13" s="2" t="s">
        <v>402</v>
      </c>
      <c r="F13" s="2" t="s">
        <v>136</v>
      </c>
      <c r="L13" s="58">
        <f>'Data ACM'!L21</f>
        <v>1480799.0022814726</v>
      </c>
      <c r="M13" s="58">
        <f>'Data ACM'!M21</f>
        <v>944422.0419940562</v>
      </c>
    </row>
    <row r="14" spans="2:15" x14ac:dyDescent="0.2">
      <c r="M14"/>
    </row>
    <row r="15" spans="2:15" x14ac:dyDescent="0.2">
      <c r="B15" s="1" t="s">
        <v>148</v>
      </c>
    </row>
    <row r="16" spans="2:15" s="21" customFormat="1" x14ac:dyDescent="0.2">
      <c r="B16" s="21" t="s">
        <v>34</v>
      </c>
      <c r="F16" s="21" t="s">
        <v>111</v>
      </c>
      <c r="L16" s="21" t="s">
        <v>112</v>
      </c>
      <c r="M16" s="21" t="s">
        <v>113</v>
      </c>
    </row>
    <row r="17" spans="2:15" x14ac:dyDescent="0.2">
      <c r="B17" s="2" t="s">
        <v>403</v>
      </c>
      <c r="F17" s="2" t="s">
        <v>111</v>
      </c>
      <c r="L17" s="58">
        <f>'Data ACM'!L26</f>
        <v>9582599.6674191542</v>
      </c>
      <c r="M17" s="58">
        <f>'Data ACM'!M26</f>
        <v>13575.699999999999</v>
      </c>
    </row>
    <row r="18" spans="2:15" x14ac:dyDescent="0.2">
      <c r="B18" s="2" t="s">
        <v>373</v>
      </c>
      <c r="F18" s="2" t="s">
        <v>111</v>
      </c>
      <c r="L18" s="58">
        <f>'Historical data'!L16</f>
        <v>10066747.063000001</v>
      </c>
      <c r="M18" s="58">
        <f>'Historical data'!M16</f>
        <v>13255.715384615383</v>
      </c>
    </row>
    <row r="20" spans="2:15" x14ac:dyDescent="0.2">
      <c r="B20" s="2" t="s">
        <v>404</v>
      </c>
      <c r="F20" s="2" t="s">
        <v>136</v>
      </c>
      <c r="L20" s="70"/>
      <c r="M20" s="30">
        <f>'Data ACM'!M45</f>
        <v>0</v>
      </c>
    </row>
    <row r="21" spans="2:15" x14ac:dyDescent="0.2">
      <c r="M21"/>
    </row>
    <row r="22" spans="2:15" s="8" customFormat="1" x14ac:dyDescent="0.2">
      <c r="B22" s="8" t="s">
        <v>400</v>
      </c>
    </row>
    <row r="23" spans="2:15" x14ac:dyDescent="0.2">
      <c r="M23"/>
    </row>
    <row r="24" spans="2:15" x14ac:dyDescent="0.2">
      <c r="B24" s="20" t="s">
        <v>405</v>
      </c>
      <c r="M24"/>
    </row>
    <row r="25" spans="2:15" x14ac:dyDescent="0.2">
      <c r="B25" s="2" t="s">
        <v>406</v>
      </c>
      <c r="F25" s="2" t="s">
        <v>136</v>
      </c>
      <c r="L25" s="46">
        <f>L13/L17*L18</f>
        <v>1555614.2930392444</v>
      </c>
      <c r="M25" s="46">
        <f>M13/M17*M18</f>
        <v>922161.64114045596</v>
      </c>
    </row>
    <row r="26" spans="2:15" x14ac:dyDescent="0.2">
      <c r="B26" s="36" t="s">
        <v>363</v>
      </c>
      <c r="F26" s="2" t="s">
        <v>136</v>
      </c>
      <c r="L26" s="22">
        <f>L13-L25</f>
        <v>-74815.290757771814</v>
      </c>
      <c r="M26" s="22">
        <f>M13-M25+M20</f>
        <v>22260.400853600237</v>
      </c>
      <c r="O26" s="2" t="s">
        <v>407</v>
      </c>
    </row>
    <row r="29" spans="2:15" x14ac:dyDescent="0.2">
      <c r="B29" s="4" t="s">
        <v>62</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078A4-864D-4B33-8E0F-BB4E6EC6F954}">
  <sheetPr>
    <tabColor rgb="FFFFFFCC"/>
  </sheetPr>
  <dimension ref="B2:O58"/>
  <sheetViews>
    <sheetView showGridLines="0" zoomScale="115" zoomScaleNormal="115" workbookViewId="0">
      <pane xSplit="6" ySplit="8" topLeftCell="G9" activePane="bottomRight" state="frozen"/>
      <selection activeCell="E15" sqref="E15"/>
      <selection pane="topRight" activeCell="E15" sqref="E15"/>
      <selection pane="bottomLeft" activeCell="E15" sqref="E15"/>
      <selection pane="bottomRight" activeCell="G9" sqref="G9"/>
    </sheetView>
  </sheetViews>
  <sheetFormatPr defaultColWidth="9.140625" defaultRowHeight="12.75" x14ac:dyDescent="0.2"/>
  <cols>
    <col min="1" max="1" width="4.5703125" style="2" customWidth="1"/>
    <col min="2" max="2" width="50.710937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21.7109375" style="2" customWidth="1"/>
    <col min="14" max="14" width="2.7109375" style="2" customWidth="1"/>
    <col min="15" max="15" width="30.7109375" style="2" customWidth="1"/>
    <col min="16" max="16" width="2.7109375" style="2" customWidth="1"/>
    <col min="17" max="26" width="12.5703125" style="2" customWidth="1"/>
    <col min="27" max="29" width="2.7109375" style="2" customWidth="1"/>
    <col min="30" max="44" width="13.7109375" style="2" customWidth="1"/>
    <col min="45" max="16384" width="9.140625" style="2"/>
  </cols>
  <sheetData>
    <row r="2" spans="2:15" s="14" customFormat="1" ht="18" x14ac:dyDescent="0.2">
      <c r="B2" s="14" t="s">
        <v>408</v>
      </c>
    </row>
    <row r="4" spans="2:15" x14ac:dyDescent="0.2">
      <c r="B4" s="20" t="s">
        <v>138</v>
      </c>
      <c r="C4" s="1"/>
      <c r="D4" s="1"/>
    </row>
    <row r="5" spans="2:15" x14ac:dyDescent="0.2">
      <c r="B5" s="2" t="s">
        <v>409</v>
      </c>
      <c r="C5" s="3"/>
      <c r="D5" s="3"/>
      <c r="H5" s="15"/>
    </row>
    <row r="7" spans="2:15" s="8" customFormat="1" x14ac:dyDescent="0.2">
      <c r="B7" s="8" t="s">
        <v>73</v>
      </c>
      <c r="F7" s="8" t="s">
        <v>74</v>
      </c>
      <c r="H7" s="8" t="s">
        <v>35</v>
      </c>
      <c r="J7" s="8" t="s">
        <v>36</v>
      </c>
      <c r="L7" s="8" t="s">
        <v>75</v>
      </c>
      <c r="M7" s="8" t="s">
        <v>76</v>
      </c>
      <c r="O7" s="8" t="s">
        <v>37</v>
      </c>
    </row>
    <row r="10" spans="2:15" s="8" customFormat="1" x14ac:dyDescent="0.2">
      <c r="B10" s="8" t="s">
        <v>151</v>
      </c>
    </row>
    <row r="12" spans="2:15" x14ac:dyDescent="0.2">
      <c r="B12" s="1" t="s">
        <v>95</v>
      </c>
    </row>
    <row r="13" spans="2:15" x14ac:dyDescent="0.2">
      <c r="B13" s="2" t="s">
        <v>410</v>
      </c>
      <c r="F13" s="71" t="s">
        <v>99</v>
      </c>
      <c r="L13" s="57">
        <f>Parameters!H29</f>
        <v>8.3799999999999999E-2</v>
      </c>
      <c r="M13" s="57">
        <f>Parameters!H30</f>
        <v>7.2800000000000004E-2</v>
      </c>
    </row>
    <row r="14" spans="2:15" x14ac:dyDescent="0.2">
      <c r="B14" s="2" t="s">
        <v>150</v>
      </c>
      <c r="F14" s="71" t="s">
        <v>99</v>
      </c>
      <c r="H14" s="73">
        <f>Parameters!H38</f>
        <v>0.5</v>
      </c>
    </row>
    <row r="15" spans="2:15" x14ac:dyDescent="0.2">
      <c r="F15" s="71"/>
    </row>
    <row r="16" spans="2:15" x14ac:dyDescent="0.2">
      <c r="B16" s="1" t="s">
        <v>411</v>
      </c>
    </row>
    <row r="17" spans="2:13" x14ac:dyDescent="0.2">
      <c r="B17" s="2" t="s">
        <v>412</v>
      </c>
      <c r="F17" s="2" t="s">
        <v>136</v>
      </c>
      <c r="L17" s="30">
        <f>'Data ACM'!L15</f>
        <v>1514845.973480677</v>
      </c>
      <c r="M17" s="30">
        <f>'Data ACM'!M15</f>
        <v>943194.91567609692</v>
      </c>
    </row>
    <row r="18" spans="2:13" x14ac:dyDescent="0.2">
      <c r="B18" s="2" t="s">
        <v>413</v>
      </c>
      <c r="F18" s="2" t="s">
        <v>136</v>
      </c>
      <c r="L18" s="74">
        <f>'Data ACM'!L16</f>
        <v>4.1266178872495632E-2</v>
      </c>
      <c r="M18" s="74">
        <f>'Data ACM'!M16</f>
        <v>43.255728710360408</v>
      </c>
    </row>
    <row r="20" spans="2:13" x14ac:dyDescent="0.2">
      <c r="B20" s="20" t="s">
        <v>414</v>
      </c>
    </row>
    <row r="21" spans="2:13" x14ac:dyDescent="0.2">
      <c r="B21" s="2" t="s">
        <v>380</v>
      </c>
      <c r="F21" s="2" t="s">
        <v>136</v>
      </c>
      <c r="L21" s="30">
        <f>'Financial data'!L19</f>
        <v>3235369.3203914971</v>
      </c>
      <c r="M21" s="30">
        <f>'Financial data'!M19</f>
        <v>3472536.8323471323</v>
      </c>
    </row>
    <row r="22" spans="2:13" x14ac:dyDescent="0.2">
      <c r="B22" s="2" t="s">
        <v>381</v>
      </c>
      <c r="F22" s="2" t="s">
        <v>136</v>
      </c>
      <c r="L22" s="30">
        <f>'Financial data'!L20</f>
        <v>228826.27682314429</v>
      </c>
      <c r="M22" s="30">
        <f>'Financial data'!M20</f>
        <v>324623.64702570753</v>
      </c>
    </row>
    <row r="23" spans="2:13" x14ac:dyDescent="0.2">
      <c r="B23" s="2" t="s">
        <v>378</v>
      </c>
      <c r="F23" s="2" t="s">
        <v>136</v>
      </c>
      <c r="L23" s="30">
        <f>'Financial data'!L15</f>
        <v>1934620.9000000004</v>
      </c>
      <c r="M23" s="30">
        <f>'Financial data'!M15</f>
        <v>1152169.6499999999</v>
      </c>
    </row>
    <row r="24" spans="2:13" x14ac:dyDescent="0.2">
      <c r="B24" s="2" t="s">
        <v>379</v>
      </c>
      <c r="F24" s="2" t="s">
        <v>136</v>
      </c>
      <c r="L24" s="30">
        <f>'Financial data'!L16</f>
        <v>54423.085000000006</v>
      </c>
      <c r="M24" s="30">
        <f>'Financial data'!M16</f>
        <v>122032.63500000001</v>
      </c>
    </row>
    <row r="26" spans="2:13" x14ac:dyDescent="0.2">
      <c r="B26" s="1" t="s">
        <v>132</v>
      </c>
    </row>
    <row r="27" spans="2:13" x14ac:dyDescent="0.2">
      <c r="B27" s="21" t="s">
        <v>34</v>
      </c>
      <c r="F27" s="21" t="s">
        <v>111</v>
      </c>
      <c r="L27" s="4" t="s">
        <v>112</v>
      </c>
      <c r="M27" s="4" t="s">
        <v>113</v>
      </c>
    </row>
    <row r="28" spans="2:13" x14ac:dyDescent="0.2">
      <c r="B28" s="2" t="s">
        <v>373</v>
      </c>
      <c r="F28" s="2" t="s">
        <v>111</v>
      </c>
      <c r="L28" s="30">
        <f>'Historical data'!L16</f>
        <v>10066747.063000001</v>
      </c>
      <c r="M28" s="30">
        <f>'Historical data'!M16</f>
        <v>13255.715384615383</v>
      </c>
    </row>
    <row r="30" spans="2:13" x14ac:dyDescent="0.2">
      <c r="B30" s="72" t="s">
        <v>152</v>
      </c>
    </row>
    <row r="31" spans="2:13" x14ac:dyDescent="0.2">
      <c r="B31" s="2" t="s">
        <v>415</v>
      </c>
      <c r="F31" s="2" t="s">
        <v>394</v>
      </c>
      <c r="L31" s="62">
        <f>'Data ACM'!L31</f>
        <v>0.38763160115607675</v>
      </c>
      <c r="M31" s="49"/>
    </row>
    <row r="32" spans="2:13" x14ac:dyDescent="0.2">
      <c r="B32" s="2" t="s">
        <v>416</v>
      </c>
      <c r="F32" s="2" t="s">
        <v>394</v>
      </c>
      <c r="L32" s="62">
        <f>'Data ACM'!L32</f>
        <v>0.34147783458514192</v>
      </c>
      <c r="M32" s="49"/>
    </row>
    <row r="33" spans="2:15" x14ac:dyDescent="0.2">
      <c r="B33" s="2" t="s">
        <v>417</v>
      </c>
      <c r="F33" s="2" t="s">
        <v>394</v>
      </c>
      <c r="L33" s="52">
        <f>(L31+L32)/2</f>
        <v>0.36455471787060933</v>
      </c>
      <c r="M33" s="49"/>
      <c r="O33" s="2" t="s">
        <v>418</v>
      </c>
    </row>
    <row r="34" spans="2:15" x14ac:dyDescent="0.2">
      <c r="B34" s="2" t="s">
        <v>391</v>
      </c>
      <c r="F34" s="2" t="s">
        <v>99</v>
      </c>
      <c r="L34" s="49"/>
      <c r="M34" s="57">
        <f>'Data ACM'!M28</f>
        <v>7.1099335923111406E-2</v>
      </c>
    </row>
    <row r="35" spans="2:15" x14ac:dyDescent="0.2">
      <c r="B35" s="2" t="s">
        <v>374</v>
      </c>
      <c r="F35" s="2" t="s">
        <v>99</v>
      </c>
      <c r="L35" s="49"/>
      <c r="M35" s="57">
        <f>'Historical data'!M18</f>
        <v>6.7655029327884503E-2</v>
      </c>
    </row>
    <row r="37" spans="2:15" s="8" customFormat="1" x14ac:dyDescent="0.2">
      <c r="B37" s="8" t="s">
        <v>419</v>
      </c>
    </row>
    <row r="39" spans="2:15" x14ac:dyDescent="0.2">
      <c r="B39" s="20" t="s">
        <v>420</v>
      </c>
    </row>
    <row r="40" spans="2:15" x14ac:dyDescent="0.2">
      <c r="B40" s="2" t="s">
        <v>421</v>
      </c>
      <c r="F40" s="2" t="s">
        <v>136</v>
      </c>
      <c r="L40" s="31">
        <f>L21*L13+L22</f>
        <v>499950.22587195173</v>
      </c>
      <c r="M40" s="31">
        <f>M21*M13+M22</f>
        <v>577424.32842057873</v>
      </c>
    </row>
    <row r="41" spans="2:15" x14ac:dyDescent="0.2">
      <c r="B41" s="2" t="s">
        <v>422</v>
      </c>
      <c r="F41" s="2" t="s">
        <v>136</v>
      </c>
      <c r="L41" s="31">
        <f>L23-L24</f>
        <v>1880197.8150000004</v>
      </c>
      <c r="M41" s="31">
        <f>M23-M24</f>
        <v>1030137.0149999999</v>
      </c>
    </row>
    <row r="43" spans="2:15" x14ac:dyDescent="0.2">
      <c r="B43" s="20" t="s">
        <v>423</v>
      </c>
    </row>
    <row r="44" spans="2:15" x14ac:dyDescent="0.2">
      <c r="B44" s="2" t="s">
        <v>424</v>
      </c>
      <c r="F44" s="2" t="s">
        <v>136</v>
      </c>
      <c r="L44" s="31">
        <f>L17+L18*L28</f>
        <v>1930262.1584466051</v>
      </c>
      <c r="M44" s="31">
        <f>M17+M18*M28</f>
        <v>1516580.5442147707</v>
      </c>
    </row>
    <row r="45" spans="2:15" x14ac:dyDescent="0.2">
      <c r="B45" s="2" t="s">
        <v>425</v>
      </c>
      <c r="F45" s="2" t="s">
        <v>136</v>
      </c>
      <c r="L45" s="31">
        <f>SUM(L40:L41)</f>
        <v>2380148.0408719522</v>
      </c>
      <c r="M45" s="31">
        <f>SUM(M40:M41)</f>
        <v>1607561.3434205786</v>
      </c>
    </row>
    <row r="46" spans="2:15" x14ac:dyDescent="0.2">
      <c r="B46" s="2" t="s">
        <v>426</v>
      </c>
      <c r="F46" s="2" t="s">
        <v>136</v>
      </c>
      <c r="L46" s="31">
        <f>L44-L45</f>
        <v>-449885.88242534711</v>
      </c>
      <c r="M46" s="31">
        <f>M44-M45</f>
        <v>-90980.799205807969</v>
      </c>
    </row>
    <row r="47" spans="2:15" x14ac:dyDescent="0.2">
      <c r="B47" s="2" t="s">
        <v>427</v>
      </c>
      <c r="F47" s="2" t="s">
        <v>136</v>
      </c>
      <c r="L47" s="22">
        <f>L46*$H$14*(-1)</f>
        <v>224942.94121267356</v>
      </c>
      <c r="M47" s="22">
        <f>M46*$H$14*(-1)</f>
        <v>45490.399602903984</v>
      </c>
    </row>
    <row r="49" spans="2:13" s="8" customFormat="1" x14ac:dyDescent="0.2">
      <c r="B49" s="8" t="s">
        <v>428</v>
      </c>
    </row>
    <row r="51" spans="2:13" x14ac:dyDescent="0.2">
      <c r="B51" s="1" t="s">
        <v>429</v>
      </c>
    </row>
    <row r="52" spans="2:13" x14ac:dyDescent="0.2">
      <c r="B52" s="2" t="s">
        <v>430</v>
      </c>
      <c r="F52" s="2" t="s">
        <v>136</v>
      </c>
      <c r="L52" s="70"/>
      <c r="M52" s="31">
        <f>L33*L28*M34</f>
        <v>260926.0405462601</v>
      </c>
    </row>
    <row r="53" spans="2:13" x14ac:dyDescent="0.2">
      <c r="B53" s="2" t="s">
        <v>431</v>
      </c>
      <c r="F53" s="2" t="s">
        <v>136</v>
      </c>
      <c r="L53" s="70"/>
      <c r="M53" s="31">
        <f>L33*L28*M35</f>
        <v>248285.84819211756</v>
      </c>
    </row>
    <row r="54" spans="2:13" x14ac:dyDescent="0.2">
      <c r="B54" s="2" t="s">
        <v>432</v>
      </c>
      <c r="F54" s="2" t="s">
        <v>136</v>
      </c>
      <c r="L54" s="70"/>
      <c r="M54" s="31">
        <f>M52-M53</f>
        <v>12640.192354142549</v>
      </c>
    </row>
    <row r="55" spans="2:13" x14ac:dyDescent="0.2">
      <c r="B55" s="2" t="s">
        <v>433</v>
      </c>
      <c r="F55" s="2" t="s">
        <v>136</v>
      </c>
      <c r="L55" s="70"/>
      <c r="M55" s="22">
        <f>M54*H14*(-1)</f>
        <v>-6320.0961770712747</v>
      </c>
    </row>
    <row r="58" spans="2:13" x14ac:dyDescent="0.2">
      <c r="B58" s="4" t="s">
        <v>62</v>
      </c>
    </row>
  </sheetData>
  <phoneticPr fontId="32"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CCBAF-EA15-44C9-82F1-422451B088BF}">
  <sheetPr>
    <tabColor rgb="FFFFFFCC"/>
  </sheetPr>
  <dimension ref="B2:O48"/>
  <sheetViews>
    <sheetView showGridLines="0" zoomScaleNormal="100" workbookViewId="0">
      <pane xSplit="6" ySplit="8" topLeftCell="G9" activePane="bottomRight" state="frozen"/>
      <selection activeCell="E15" sqref="E15"/>
      <selection pane="topRight" activeCell="E15" sqref="E15"/>
      <selection pane="bottomLeft" activeCell="E15" sqref="E15"/>
      <selection pane="bottomRight" activeCell="G9" sqref="G9"/>
    </sheetView>
  </sheetViews>
  <sheetFormatPr defaultColWidth="9.140625" defaultRowHeight="12.75" x14ac:dyDescent="0.2"/>
  <cols>
    <col min="1" max="1" width="4.5703125" style="2" customWidth="1"/>
    <col min="2" max="2" width="50.710937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21.7109375" style="2" customWidth="1"/>
    <col min="14" max="14" width="2.7109375" style="2" customWidth="1"/>
    <col min="15" max="15" width="30.7109375" style="2" customWidth="1"/>
    <col min="16" max="16" width="2.7109375" style="2" customWidth="1"/>
    <col min="17" max="26" width="12.5703125" style="2" customWidth="1"/>
    <col min="27" max="29" width="2.7109375" style="2" customWidth="1"/>
    <col min="30" max="44" width="13.7109375" style="2" customWidth="1"/>
    <col min="45" max="16384" width="9.140625" style="2"/>
  </cols>
  <sheetData>
    <row r="2" spans="2:15" s="14" customFormat="1" ht="18" x14ac:dyDescent="0.2">
      <c r="B2" s="14" t="s">
        <v>153</v>
      </c>
    </row>
    <row r="4" spans="2:15" x14ac:dyDescent="0.2">
      <c r="B4" s="20" t="s">
        <v>11</v>
      </c>
      <c r="C4" s="1"/>
      <c r="D4" s="1"/>
    </row>
    <row r="5" spans="2:15" x14ac:dyDescent="0.2">
      <c r="B5" s="2" t="s">
        <v>302</v>
      </c>
      <c r="C5" s="3"/>
      <c r="D5" s="3"/>
      <c r="H5" s="15"/>
    </row>
    <row r="6" spans="2:15" x14ac:dyDescent="0.2">
      <c r="C6" s="3"/>
      <c r="D6" s="3"/>
      <c r="H6" s="15"/>
    </row>
    <row r="7" spans="2:15" s="8" customFormat="1" x14ac:dyDescent="0.2">
      <c r="B7" s="8" t="s">
        <v>73</v>
      </c>
      <c r="F7" s="8" t="s">
        <v>74</v>
      </c>
      <c r="H7" s="8" t="s">
        <v>35</v>
      </c>
      <c r="J7" s="8" t="s">
        <v>36</v>
      </c>
      <c r="L7" s="8" t="s">
        <v>75</v>
      </c>
      <c r="M7" s="8" t="s">
        <v>76</v>
      </c>
      <c r="O7" s="8" t="s">
        <v>37</v>
      </c>
    </row>
    <row r="10" spans="2:15" s="8" customFormat="1" x14ac:dyDescent="0.2">
      <c r="B10" s="8" t="s">
        <v>154</v>
      </c>
    </row>
    <row r="12" spans="2:15" x14ac:dyDescent="0.2">
      <c r="B12" s="20" t="s">
        <v>95</v>
      </c>
    </row>
    <row r="13" spans="2:15" x14ac:dyDescent="0.2">
      <c r="B13" s="2" t="s">
        <v>348</v>
      </c>
      <c r="F13" s="2" t="s">
        <v>99</v>
      </c>
      <c r="H13" s="57">
        <f>Parameters!H23</f>
        <v>0.03</v>
      </c>
    </row>
    <row r="14" spans="2:15" x14ac:dyDescent="0.2">
      <c r="B14" s="2" t="s">
        <v>434</v>
      </c>
      <c r="F14" s="2" t="s">
        <v>99</v>
      </c>
      <c r="H14" s="57">
        <f>Parameters!H24</f>
        <v>6.0899999999999954E-2</v>
      </c>
    </row>
    <row r="16" spans="2:15" x14ac:dyDescent="0.2">
      <c r="B16" s="1" t="s">
        <v>259</v>
      </c>
    </row>
    <row r="17" spans="2:15" x14ac:dyDescent="0.2">
      <c r="B17" s="2" t="s">
        <v>367</v>
      </c>
      <c r="F17" s="2" t="s">
        <v>136</v>
      </c>
      <c r="L17" s="30">
        <f>'Historical data'!L23</f>
        <v>76340.874737990089</v>
      </c>
      <c r="M17" s="49"/>
    </row>
    <row r="18" spans="2:15" x14ac:dyDescent="0.2">
      <c r="B18" s="2" t="s">
        <v>472</v>
      </c>
      <c r="F18" s="2" t="s">
        <v>199</v>
      </c>
      <c r="L18" s="30">
        <f>'Historical data'!L24</f>
        <v>201864.64152301988</v>
      </c>
      <c r="M18" s="49"/>
    </row>
    <row r="19" spans="2:15" x14ac:dyDescent="0.2">
      <c r="B19" s="2" t="s">
        <v>349</v>
      </c>
      <c r="F19" s="2" t="s">
        <v>199</v>
      </c>
      <c r="L19" s="49"/>
      <c r="M19" s="30">
        <f>'Historical data'!M25</f>
        <v>19482.779163796091</v>
      </c>
    </row>
    <row r="21" spans="2:15" x14ac:dyDescent="0.2">
      <c r="B21" s="1" t="s">
        <v>155</v>
      </c>
    </row>
    <row r="22" spans="2:15" x14ac:dyDescent="0.2">
      <c r="B22" s="36" t="s">
        <v>363</v>
      </c>
      <c r="F22" s="2" t="s">
        <v>136</v>
      </c>
      <c r="L22" s="30">
        <f>'Volume-effect 2024'!L26</f>
        <v>-74815.290757771814</v>
      </c>
      <c r="M22" s="30">
        <f>'Volume-effect 2024'!M26</f>
        <v>22260.400853600237</v>
      </c>
    </row>
    <row r="23" spans="2:15" x14ac:dyDescent="0.2">
      <c r="B23" s="36" t="s">
        <v>364</v>
      </c>
      <c r="F23" s="2" t="s">
        <v>87</v>
      </c>
      <c r="L23" s="30">
        <f>'WACC correction 2024'!L31</f>
        <v>34046.971199204447</v>
      </c>
      <c r="M23" s="30">
        <f>'WACC correction 2024'!M31</f>
        <v>27896.482963107457</v>
      </c>
    </row>
    <row r="24" spans="2:15" x14ac:dyDescent="0.2">
      <c r="B24" s="2" t="s">
        <v>427</v>
      </c>
      <c r="F24" s="2" t="s">
        <v>87</v>
      </c>
      <c r="L24" s="30">
        <f>'Profit Sharing 2024'!L47</f>
        <v>224942.94121267356</v>
      </c>
      <c r="M24" s="30">
        <f>'Profit Sharing 2024'!M47</f>
        <v>45490.399602903984</v>
      </c>
    </row>
    <row r="25" spans="2:15" x14ac:dyDescent="0.2">
      <c r="B25" s="2" t="s">
        <v>433</v>
      </c>
      <c r="F25" s="2" t="s">
        <v>87</v>
      </c>
      <c r="L25" s="70"/>
      <c r="M25" s="30">
        <f>'Profit Sharing 2024'!M55</f>
        <v>-6320.0961770712747</v>
      </c>
    </row>
    <row r="27" spans="2:15" x14ac:dyDescent="0.2">
      <c r="B27" s="1" t="s">
        <v>147</v>
      </c>
    </row>
    <row r="28" spans="2:15" x14ac:dyDescent="0.2">
      <c r="B28" s="2" t="s">
        <v>303</v>
      </c>
      <c r="F28" s="2" t="s">
        <v>112</v>
      </c>
      <c r="L28" s="30">
        <f>Estimates!L16</f>
        <v>10496712.624645166</v>
      </c>
    </row>
    <row r="29" spans="2:15" x14ac:dyDescent="0.2">
      <c r="B29" s="2" t="s">
        <v>304</v>
      </c>
      <c r="F29" s="2" t="s">
        <v>112</v>
      </c>
      <c r="L29" s="31">
        <f>L28/2</f>
        <v>5248356.312322583</v>
      </c>
      <c r="O29" s="2" t="s">
        <v>305</v>
      </c>
    </row>
    <row r="31" spans="2:15" s="8" customFormat="1" x14ac:dyDescent="0.2">
      <c r="B31" s="8" t="s">
        <v>306</v>
      </c>
    </row>
    <row r="33" spans="2:15" x14ac:dyDescent="0.2">
      <c r="B33" s="1" t="s">
        <v>156</v>
      </c>
    </row>
    <row r="34" spans="2:15" x14ac:dyDescent="0.2">
      <c r="B34" s="2" t="s">
        <v>129</v>
      </c>
      <c r="F34" s="2" t="s">
        <v>273</v>
      </c>
      <c r="L34" s="31">
        <f>L17*(1+$H$14)+L18*(1+H13)</f>
        <v>288910.61477824417</v>
      </c>
      <c r="M34" s="49"/>
    </row>
    <row r="35" spans="2:15" x14ac:dyDescent="0.2">
      <c r="B35" s="36" t="s">
        <v>363</v>
      </c>
      <c r="F35" s="2" t="s">
        <v>273</v>
      </c>
      <c r="L35" s="31">
        <f t="shared" ref="L35:M37" si="0">L22*(1+$H$14)</f>
        <v>-79371.541964920121</v>
      </c>
      <c r="M35" s="31">
        <f t="shared" si="0"/>
        <v>23616.059265584488</v>
      </c>
    </row>
    <row r="36" spans="2:15" x14ac:dyDescent="0.2">
      <c r="B36" s="36" t="s">
        <v>364</v>
      </c>
      <c r="F36" s="2" t="s">
        <v>273</v>
      </c>
      <c r="L36" s="31">
        <f t="shared" si="0"/>
        <v>36120.431745235997</v>
      </c>
      <c r="M36" s="31">
        <f t="shared" si="0"/>
        <v>29595.378775560701</v>
      </c>
    </row>
    <row r="37" spans="2:15" x14ac:dyDescent="0.2">
      <c r="B37" s="2" t="s">
        <v>427</v>
      </c>
      <c r="F37" s="2" t="s">
        <v>273</v>
      </c>
      <c r="L37" s="31">
        <f t="shared" si="0"/>
        <v>238641.96633252536</v>
      </c>
      <c r="M37" s="31">
        <f t="shared" si="0"/>
        <v>48260.764938720837</v>
      </c>
    </row>
    <row r="39" spans="2:15" x14ac:dyDescent="0.2">
      <c r="B39" s="1" t="s">
        <v>157</v>
      </c>
    </row>
    <row r="40" spans="2:15" x14ac:dyDescent="0.2">
      <c r="B40" s="2" t="s">
        <v>349</v>
      </c>
      <c r="F40" s="2" t="s">
        <v>273</v>
      </c>
      <c r="L40" s="49"/>
      <c r="M40" s="31">
        <f>M19*(1+$H$13)</f>
        <v>20067.262538709972</v>
      </c>
    </row>
    <row r="41" spans="2:15" x14ac:dyDescent="0.2">
      <c r="B41" s="2" t="s">
        <v>433</v>
      </c>
      <c r="F41" s="2" t="s">
        <v>273</v>
      </c>
      <c r="L41" s="49"/>
      <c r="M41" s="31">
        <f>M25*(1+$H$14)</f>
        <v>-6704.9900342549154</v>
      </c>
    </row>
    <row r="43" spans="2:15" x14ac:dyDescent="0.2">
      <c r="B43" s="1" t="s">
        <v>226</v>
      </c>
    </row>
    <row r="44" spans="2:15" x14ac:dyDescent="0.2">
      <c r="B44" s="2" t="s">
        <v>350</v>
      </c>
      <c r="F44" s="2" t="s">
        <v>307</v>
      </c>
      <c r="L44" s="49"/>
      <c r="M44" s="104">
        <f>M40/L29</f>
        <v>3.8235328061843234E-3</v>
      </c>
      <c r="O44" s="2" t="s">
        <v>351</v>
      </c>
    </row>
    <row r="45" spans="2:15" x14ac:dyDescent="0.2">
      <c r="B45" s="2" t="s">
        <v>467</v>
      </c>
      <c r="F45" s="2" t="s">
        <v>307</v>
      </c>
      <c r="L45" s="49"/>
      <c r="M45" s="104">
        <f>M41/L28</f>
        <v>-6.3877046786174857E-4</v>
      </c>
    </row>
    <row r="48" spans="2:15" x14ac:dyDescent="0.2">
      <c r="B48" s="4" t="s">
        <v>62</v>
      </c>
    </row>
  </sheetData>
  <phoneticPr fontId="32"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B2:B3"/>
  <sheetViews>
    <sheetView showGridLines="0" zoomScale="85" zoomScaleNormal="85" workbookViewId="0"/>
  </sheetViews>
  <sheetFormatPr defaultColWidth="9.140625" defaultRowHeight="12.75" x14ac:dyDescent="0.2"/>
  <cols>
    <col min="1" max="16384" width="9.140625" style="16"/>
  </cols>
  <sheetData>
    <row r="2" spans="2:2" x14ac:dyDescent="0.2">
      <c r="B2" s="37" t="s">
        <v>64</v>
      </c>
    </row>
    <row r="3" spans="2:2" x14ac:dyDescent="0.2">
      <c r="B3" s="37"/>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CC"/>
  </sheetPr>
  <dimension ref="B2:O50"/>
  <sheetViews>
    <sheetView showGridLines="0" zoomScale="115" zoomScaleNormal="115" workbookViewId="0">
      <pane xSplit="6" ySplit="9" topLeftCell="G10" activePane="bottomRight" state="frozen"/>
      <selection activeCell="E15" sqref="E15"/>
      <selection pane="topRight" activeCell="E15" sqref="E15"/>
      <selection pane="bottomLeft" activeCell="E15" sqref="E15"/>
      <selection pane="bottomRight" activeCell="G10" sqref="G10"/>
    </sheetView>
  </sheetViews>
  <sheetFormatPr defaultColWidth="9.140625" defaultRowHeight="12.75" x14ac:dyDescent="0.2"/>
  <cols>
    <col min="1" max="1" width="4.5703125" style="2" customWidth="1"/>
    <col min="2" max="2" width="50.710937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21.7109375" style="2" customWidth="1"/>
    <col min="14" max="14" width="2.7109375" style="2" customWidth="1"/>
    <col min="15" max="15" width="30.7109375" style="2" customWidth="1"/>
    <col min="16" max="16" width="2.7109375" style="2" customWidth="1"/>
    <col min="17" max="26" width="12.5703125" style="2" customWidth="1"/>
    <col min="27" max="29" width="2.7109375" style="2" customWidth="1"/>
    <col min="30" max="44" width="13.7109375" style="2" customWidth="1"/>
    <col min="45" max="16384" width="9.140625" style="2"/>
  </cols>
  <sheetData>
    <row r="2" spans="2:15" s="14" customFormat="1" ht="18" x14ac:dyDescent="0.2">
      <c r="B2" s="14" t="s">
        <v>164</v>
      </c>
    </row>
    <row r="4" spans="2:15" x14ac:dyDescent="0.2">
      <c r="B4" s="1" t="s">
        <v>138</v>
      </c>
      <c r="C4" s="1"/>
      <c r="D4" s="1"/>
    </row>
    <row r="5" spans="2:15" x14ac:dyDescent="0.2">
      <c r="B5" s="2" t="s">
        <v>217</v>
      </c>
      <c r="C5" s="3"/>
      <c r="D5" s="3"/>
      <c r="H5" s="15"/>
    </row>
    <row r="6" spans="2:15" x14ac:dyDescent="0.2">
      <c r="B6" s="2" t="s">
        <v>466</v>
      </c>
      <c r="C6" s="3"/>
      <c r="D6" s="3"/>
      <c r="H6" s="15"/>
    </row>
    <row r="7" spans="2:15" x14ac:dyDescent="0.2">
      <c r="C7" s="3"/>
      <c r="D7" s="3"/>
      <c r="H7" s="15"/>
    </row>
    <row r="8" spans="2:15" s="8" customFormat="1" x14ac:dyDescent="0.2">
      <c r="B8" s="8" t="s">
        <v>73</v>
      </c>
      <c r="F8" s="8" t="s">
        <v>74</v>
      </c>
      <c r="H8" s="8" t="s">
        <v>35</v>
      </c>
      <c r="J8" s="8" t="s">
        <v>36</v>
      </c>
      <c r="L8" s="8" t="s">
        <v>75</v>
      </c>
      <c r="M8" s="8" t="s">
        <v>76</v>
      </c>
      <c r="O8" s="8" t="s">
        <v>37</v>
      </c>
    </row>
    <row r="11" spans="2:15" s="8" customFormat="1" x14ac:dyDescent="0.2">
      <c r="B11" s="8" t="s">
        <v>130</v>
      </c>
    </row>
    <row r="13" spans="2:15" x14ac:dyDescent="0.2">
      <c r="B13" s="1" t="s">
        <v>95</v>
      </c>
    </row>
    <row r="14" spans="2:15" x14ac:dyDescent="0.2">
      <c r="B14" s="2" t="s">
        <v>200</v>
      </c>
      <c r="F14" s="2" t="s">
        <v>99</v>
      </c>
      <c r="H14" s="56">
        <f>Parameters!H19</f>
        <v>1.9E-2</v>
      </c>
    </row>
    <row r="15" spans="2:15" x14ac:dyDescent="0.2">
      <c r="B15" s="2" t="s">
        <v>282</v>
      </c>
      <c r="F15" s="2" t="s">
        <v>99</v>
      </c>
      <c r="H15" s="56">
        <f>Parameters!H20</f>
        <v>3.5000000000000003E-2</v>
      </c>
    </row>
    <row r="16" spans="2:15" x14ac:dyDescent="0.2">
      <c r="B16" s="2" t="s">
        <v>286</v>
      </c>
      <c r="F16" s="2" t="s">
        <v>99</v>
      </c>
      <c r="L16" s="57">
        <f>Parameters!H33</f>
        <v>8.8900000000000007E-2</v>
      </c>
      <c r="M16" s="57">
        <f>Parameters!H34</f>
        <v>8.0799999999999997E-2</v>
      </c>
    </row>
    <row r="18" spans="2:13" x14ac:dyDescent="0.2">
      <c r="B18" s="20" t="s">
        <v>131</v>
      </c>
    </row>
    <row r="19" spans="2:13" x14ac:dyDescent="0.2">
      <c r="B19" s="2" t="s">
        <v>378</v>
      </c>
      <c r="F19" s="2" t="s">
        <v>136</v>
      </c>
      <c r="L19" s="58">
        <f>'Financial data'!L15</f>
        <v>1934620.9000000004</v>
      </c>
      <c r="M19" s="58">
        <f>'Financial data'!M15</f>
        <v>1152169.6499999999</v>
      </c>
    </row>
    <row r="20" spans="2:13" x14ac:dyDescent="0.2">
      <c r="B20" s="2" t="s">
        <v>212</v>
      </c>
      <c r="F20" s="2" t="s">
        <v>136</v>
      </c>
      <c r="L20" s="58">
        <f>'Financial data'!L16</f>
        <v>54423.085000000006</v>
      </c>
      <c r="M20" s="58">
        <f>'Financial data'!M16</f>
        <v>122032.63500000001</v>
      </c>
    </row>
    <row r="21" spans="2:13" x14ac:dyDescent="0.2">
      <c r="B21" s="2" t="s">
        <v>213</v>
      </c>
      <c r="F21" s="2" t="s">
        <v>106</v>
      </c>
      <c r="L21" s="58">
        <f>'Financial data'!L19</f>
        <v>3235369.3203914971</v>
      </c>
      <c r="M21" s="58">
        <f>'Financial data'!M19</f>
        <v>3472536.8323471323</v>
      </c>
    </row>
    <row r="22" spans="2:13" x14ac:dyDescent="0.2">
      <c r="B22" s="2" t="s">
        <v>214</v>
      </c>
      <c r="F22" s="2" t="s">
        <v>106</v>
      </c>
      <c r="L22" s="58">
        <f>'Financial data'!L20</f>
        <v>228826.27682314429</v>
      </c>
      <c r="M22" s="58">
        <f>'Financial data'!M20</f>
        <v>324623.64702570753</v>
      </c>
    </row>
    <row r="24" spans="2:13" x14ac:dyDescent="0.2">
      <c r="B24" s="2" t="s">
        <v>215</v>
      </c>
      <c r="F24" s="2" t="s">
        <v>99</v>
      </c>
      <c r="L24" s="59">
        <f>'Financial data'!L23</f>
        <v>0.25</v>
      </c>
      <c r="M24" s="59">
        <f>'Financial data'!M23</f>
        <v>0.25</v>
      </c>
    </row>
    <row r="25" spans="2:13" x14ac:dyDescent="0.2">
      <c r="B25" s="2" t="s">
        <v>216</v>
      </c>
      <c r="F25" s="2" t="s">
        <v>99</v>
      </c>
      <c r="L25" s="59">
        <f>'Financial data'!L24</f>
        <v>0</v>
      </c>
      <c r="M25" s="59">
        <f>'Financial data'!M24</f>
        <v>0.5</v>
      </c>
    </row>
    <row r="27" spans="2:13" x14ac:dyDescent="0.2">
      <c r="B27" s="1" t="s">
        <v>132</v>
      </c>
    </row>
    <row r="28" spans="2:13" s="21" customFormat="1" x14ac:dyDescent="0.2">
      <c r="B28" s="21" t="s">
        <v>34</v>
      </c>
      <c r="C28" s="2"/>
      <c r="D28" s="2"/>
      <c r="E28" s="2"/>
      <c r="F28" s="21" t="s">
        <v>111</v>
      </c>
      <c r="L28" s="21" t="s">
        <v>112</v>
      </c>
      <c r="M28" s="21" t="s">
        <v>113</v>
      </c>
    </row>
    <row r="29" spans="2:13" x14ac:dyDescent="0.2">
      <c r="B29" s="2" t="s">
        <v>210</v>
      </c>
      <c r="F29" s="2" t="s">
        <v>111</v>
      </c>
      <c r="L29" s="58">
        <f>'Historical data'!L16</f>
        <v>10066747.063000001</v>
      </c>
      <c r="M29" s="58">
        <f>'Historical data'!M16</f>
        <v>13255.715384615383</v>
      </c>
    </row>
    <row r="32" spans="2:13" s="8" customFormat="1" x14ac:dyDescent="0.2">
      <c r="B32" s="8" t="s">
        <v>133</v>
      </c>
    </row>
    <row r="33" spans="2:15" x14ac:dyDescent="0.2">
      <c r="M33" s="60"/>
    </row>
    <row r="34" spans="2:15" x14ac:dyDescent="0.2">
      <c r="B34" s="1" t="s">
        <v>134</v>
      </c>
      <c r="M34" s="60"/>
    </row>
    <row r="35" spans="2:15" x14ac:dyDescent="0.2">
      <c r="B35" s="2" t="s">
        <v>308</v>
      </c>
      <c r="F35" s="2" t="s">
        <v>136</v>
      </c>
      <c r="L35" s="46">
        <f>L19*(1-L24)-L20</f>
        <v>1396542.5900000003</v>
      </c>
      <c r="M35" s="46">
        <f>M19*(1-M24)-M20</f>
        <v>742094.60249999992</v>
      </c>
      <c r="O35" s="2" t="s">
        <v>165</v>
      </c>
    </row>
    <row r="36" spans="2:15" x14ac:dyDescent="0.2">
      <c r="B36" s="2" t="s">
        <v>309</v>
      </c>
      <c r="F36" s="2" t="s">
        <v>136</v>
      </c>
      <c r="L36" s="46">
        <f>L19*L24</f>
        <v>483655.22500000009</v>
      </c>
      <c r="M36" s="46">
        <f>M19*M24</f>
        <v>288042.41249999998</v>
      </c>
    </row>
    <row r="37" spans="2:15" x14ac:dyDescent="0.2">
      <c r="B37" s="2" t="s">
        <v>310</v>
      </c>
      <c r="F37" s="2" t="s">
        <v>388</v>
      </c>
      <c r="L37" s="52">
        <f>L36/L29</f>
        <v>4.8044837321646737E-2</v>
      </c>
      <c r="M37" s="75">
        <f>M36/M29</f>
        <v>21.729676908596176</v>
      </c>
    </row>
    <row r="38" spans="2:15" x14ac:dyDescent="0.2">
      <c r="M38" s="60"/>
    </row>
    <row r="39" spans="2:15" x14ac:dyDescent="0.2">
      <c r="B39" s="1" t="s">
        <v>218</v>
      </c>
      <c r="M39" s="60"/>
    </row>
    <row r="40" spans="2:15" x14ac:dyDescent="0.2">
      <c r="B40" s="2" t="s">
        <v>246</v>
      </c>
      <c r="F40" s="2" t="s">
        <v>106</v>
      </c>
      <c r="L40" s="105">
        <f>$L$16*L21+L22</f>
        <v>516450.60940594843</v>
      </c>
      <c r="M40" s="105">
        <f>$M$16*M21+M22</f>
        <v>605204.62307935581</v>
      </c>
    </row>
    <row r="41" spans="2:15" x14ac:dyDescent="0.2">
      <c r="B41" s="2" t="s">
        <v>311</v>
      </c>
      <c r="F41" s="2" t="s">
        <v>106</v>
      </c>
      <c r="L41" s="105">
        <f>L40*(1-L25)</f>
        <v>516450.60940594843</v>
      </c>
      <c r="M41" s="105">
        <f>M40*(1-M25)</f>
        <v>302602.3115396779</v>
      </c>
    </row>
    <row r="42" spans="2:15" x14ac:dyDescent="0.2">
      <c r="B42" s="2" t="s">
        <v>312</v>
      </c>
      <c r="F42" s="2" t="s">
        <v>106</v>
      </c>
      <c r="L42" s="75">
        <f>L40*L25</f>
        <v>0</v>
      </c>
      <c r="M42" s="105">
        <f>M40*M25</f>
        <v>302602.3115396779</v>
      </c>
    </row>
    <row r="43" spans="2:15" x14ac:dyDescent="0.2">
      <c r="B43" s="2" t="s">
        <v>313</v>
      </c>
      <c r="F43" s="2" t="s">
        <v>135</v>
      </c>
      <c r="L43" s="31">
        <f>L42/L29</f>
        <v>0</v>
      </c>
      <c r="M43" s="75">
        <f>M42/M29</f>
        <v>22.828063424692939</v>
      </c>
    </row>
    <row r="44" spans="2:15" x14ac:dyDescent="0.2">
      <c r="M44" s="60"/>
    </row>
    <row r="45" spans="2:15" x14ac:dyDescent="0.2">
      <c r="B45" s="1" t="s">
        <v>219</v>
      </c>
      <c r="M45" s="60"/>
    </row>
    <row r="46" spans="2:15" x14ac:dyDescent="0.2">
      <c r="B46" s="2" t="s">
        <v>314</v>
      </c>
      <c r="F46" s="2" t="s">
        <v>273</v>
      </c>
      <c r="L46" s="31">
        <f>L35*(1+$H$14)*(1+$H$15)+L41</f>
        <v>1989335.2000882984</v>
      </c>
      <c r="M46" s="31">
        <f>M35*(1+$H$14)*(1+$H$15)+M41</f>
        <v>1085263.5154853403</v>
      </c>
    </row>
    <row r="47" spans="2:15" x14ac:dyDescent="0.2">
      <c r="B47" s="2" t="s">
        <v>315</v>
      </c>
      <c r="F47" s="2" t="s">
        <v>316</v>
      </c>
      <c r="L47" s="75">
        <f>L37*(1+$H$14)*(1+$H$15)+L43</f>
        <v>5.0671208353834547E-2</v>
      </c>
      <c r="M47" s="75">
        <f>M37*(1+$H$14)*(1+$H$15)+M43</f>
        <v>45.745593121497521</v>
      </c>
    </row>
    <row r="48" spans="2:15" x14ac:dyDescent="0.2">
      <c r="M48" s="60"/>
    </row>
    <row r="50" spans="2:2" x14ac:dyDescent="0.2">
      <c r="B50" s="4" t="s">
        <v>62</v>
      </c>
    </row>
  </sheetData>
  <phoneticPr fontId="32"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3A9FA-C3AB-4C05-92FD-049B0E08EBD6}">
  <sheetPr>
    <tabColor rgb="FFFFFFCC"/>
  </sheetPr>
  <dimension ref="B2:O36"/>
  <sheetViews>
    <sheetView showGridLines="0" zoomScale="130" zoomScaleNormal="130" workbookViewId="0">
      <pane xSplit="6" ySplit="9" topLeftCell="G10" activePane="bottomRight" state="frozen"/>
      <selection activeCell="E15" sqref="E15"/>
      <selection pane="topRight" activeCell="E15" sqref="E15"/>
      <selection pane="bottomLeft" activeCell="E15" sqref="E15"/>
      <selection pane="bottomRight" activeCell="G10" sqref="G10"/>
    </sheetView>
  </sheetViews>
  <sheetFormatPr defaultColWidth="9.140625" defaultRowHeight="12.75" x14ac:dyDescent="0.2"/>
  <cols>
    <col min="1" max="1" width="4.5703125" style="2" customWidth="1"/>
    <col min="2" max="2" width="50.710937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21.7109375" style="2" customWidth="1"/>
    <col min="14" max="14" width="2.7109375" style="2" customWidth="1"/>
    <col min="15" max="15" width="30.7109375" style="2" customWidth="1"/>
    <col min="16" max="16" width="2.7109375" style="2" customWidth="1"/>
    <col min="17" max="26" width="12.5703125" style="2" customWidth="1"/>
    <col min="27" max="29" width="2.7109375" style="2" customWidth="1"/>
    <col min="30" max="44" width="13.7109375" style="2" customWidth="1"/>
    <col min="45" max="16384" width="9.140625" style="2"/>
  </cols>
  <sheetData>
    <row r="2" spans="2:15" s="14" customFormat="1" ht="18" x14ac:dyDescent="0.2">
      <c r="B2" s="14" t="s">
        <v>164</v>
      </c>
    </row>
    <row r="4" spans="2:15" x14ac:dyDescent="0.2">
      <c r="B4" s="1" t="s">
        <v>138</v>
      </c>
      <c r="C4" s="1"/>
      <c r="D4" s="1"/>
    </row>
    <row r="5" spans="2:15" x14ac:dyDescent="0.2">
      <c r="B5" s="2" t="s">
        <v>317</v>
      </c>
      <c r="C5" s="3"/>
      <c r="D5" s="3"/>
      <c r="H5" s="15"/>
    </row>
    <row r="6" spans="2:15" x14ac:dyDescent="0.2">
      <c r="B6" s="2" t="s">
        <v>318</v>
      </c>
      <c r="C6" s="3"/>
      <c r="D6" s="3"/>
      <c r="H6" s="15"/>
    </row>
    <row r="8" spans="2:15" s="8" customFormat="1" x14ac:dyDescent="0.2">
      <c r="B8" s="8" t="s">
        <v>73</v>
      </c>
      <c r="F8" s="8" t="s">
        <v>74</v>
      </c>
      <c r="H8" s="8" t="s">
        <v>35</v>
      </c>
      <c r="J8" s="8" t="s">
        <v>36</v>
      </c>
      <c r="L8" s="8" t="s">
        <v>75</v>
      </c>
      <c r="M8" s="8" t="s">
        <v>76</v>
      </c>
      <c r="O8" s="8" t="s">
        <v>37</v>
      </c>
    </row>
    <row r="11" spans="2:15" s="8" customFormat="1" x14ac:dyDescent="0.2">
      <c r="B11" s="8" t="s">
        <v>130</v>
      </c>
    </row>
    <row r="13" spans="2:15" s="1" customFormat="1" x14ac:dyDescent="0.2">
      <c r="B13" s="1" t="s">
        <v>147</v>
      </c>
    </row>
    <row r="14" spans="2:15" x14ac:dyDescent="0.2">
      <c r="B14" s="21" t="s">
        <v>34</v>
      </c>
      <c r="F14" s="21" t="s">
        <v>111</v>
      </c>
      <c r="L14" s="21" t="s">
        <v>112</v>
      </c>
      <c r="M14" s="21" t="s">
        <v>113</v>
      </c>
    </row>
    <row r="15" spans="2:15" x14ac:dyDescent="0.2">
      <c r="B15" s="2" t="s">
        <v>303</v>
      </c>
      <c r="L15" s="30">
        <f>Estimates!L16</f>
        <v>10496712.624645166</v>
      </c>
      <c r="M15" s="30">
        <f>Estimates!M44</f>
        <v>14331.399999999998</v>
      </c>
    </row>
    <row r="17" spans="2:15" x14ac:dyDescent="0.2">
      <c r="B17" s="1" t="s">
        <v>220</v>
      </c>
    </row>
    <row r="18" spans="2:15" x14ac:dyDescent="0.2">
      <c r="B18" s="2" t="s">
        <v>314</v>
      </c>
      <c r="F18" s="2" t="s">
        <v>273</v>
      </c>
      <c r="L18" s="30">
        <f>'Fixed-variable costs'!L46</f>
        <v>1989335.2000882984</v>
      </c>
      <c r="M18" s="30">
        <f>'Fixed-variable costs'!M46</f>
        <v>1085263.5154853403</v>
      </c>
    </row>
    <row r="19" spans="2:15" x14ac:dyDescent="0.2">
      <c r="B19" s="2" t="s">
        <v>315</v>
      </c>
      <c r="F19" s="2" t="s">
        <v>316</v>
      </c>
      <c r="L19" s="74">
        <f>'Fixed-variable costs'!L47</f>
        <v>5.0671208353834547E-2</v>
      </c>
      <c r="M19" s="74">
        <f>'Fixed-variable costs'!M47</f>
        <v>45.745593121497521</v>
      </c>
    </row>
    <row r="21" spans="2:15" x14ac:dyDescent="0.2">
      <c r="B21" s="20" t="s">
        <v>156</v>
      </c>
    </row>
    <row r="22" spans="2:15" x14ac:dyDescent="0.2">
      <c r="B22" s="2" t="s">
        <v>202</v>
      </c>
      <c r="F22" s="2" t="s">
        <v>273</v>
      </c>
      <c r="L22" s="30">
        <f>'Overview corrections'!L34</f>
        <v>288910.61477824417</v>
      </c>
      <c r="M22" s="49"/>
    </row>
    <row r="23" spans="2:15" x14ac:dyDescent="0.2">
      <c r="B23" s="36" t="s">
        <v>201</v>
      </c>
      <c r="F23" s="2" t="s">
        <v>273</v>
      </c>
      <c r="L23" s="30">
        <f>'Overview corrections'!L35</f>
        <v>-79371.541964920121</v>
      </c>
      <c r="M23" s="30">
        <f>'Overview corrections'!M35</f>
        <v>23616.059265584488</v>
      </c>
    </row>
    <row r="24" spans="2:15" x14ac:dyDescent="0.2">
      <c r="B24" s="36" t="s">
        <v>254</v>
      </c>
      <c r="F24" s="2" t="s">
        <v>273</v>
      </c>
      <c r="L24" s="30">
        <f>'Overview corrections'!L36</f>
        <v>36120.431745235997</v>
      </c>
      <c r="M24" s="30">
        <f>'Overview corrections'!M36</f>
        <v>29595.378775560701</v>
      </c>
    </row>
    <row r="25" spans="2:15" x14ac:dyDescent="0.2">
      <c r="B25" s="2" t="s">
        <v>221</v>
      </c>
      <c r="F25" s="2" t="s">
        <v>273</v>
      </c>
      <c r="L25" s="30">
        <f>'Overview corrections'!L37</f>
        <v>238641.96633252536</v>
      </c>
      <c r="M25" s="30">
        <f>'Overview corrections'!M37</f>
        <v>48260.764938720837</v>
      </c>
    </row>
    <row r="27" spans="2:15" s="8" customFormat="1" x14ac:dyDescent="0.2">
      <c r="B27" s="8" t="s">
        <v>222</v>
      </c>
    </row>
    <row r="29" spans="2:15" x14ac:dyDescent="0.2">
      <c r="B29" s="1" t="s">
        <v>319</v>
      </c>
    </row>
    <row r="30" spans="2:15" x14ac:dyDescent="0.2">
      <c r="B30" s="2" t="s">
        <v>320</v>
      </c>
      <c r="F30" s="2" t="s">
        <v>273</v>
      </c>
      <c r="L30" s="31">
        <f>L18+L19*L15</f>
        <v>2521216.3125220193</v>
      </c>
      <c r="M30" s="31">
        <f>M18+M19*M15</f>
        <v>1740861.9087467697</v>
      </c>
      <c r="O30" s="2" t="s">
        <v>321</v>
      </c>
    </row>
    <row r="31" spans="2:15" x14ac:dyDescent="0.2">
      <c r="B31" s="2" t="s">
        <v>322</v>
      </c>
      <c r="F31" s="2" t="s">
        <v>273</v>
      </c>
      <c r="L31" s="22">
        <f>L30+SUM(L22:L25)</f>
        <v>3005517.7834131047</v>
      </c>
      <c r="M31" s="22">
        <f>M30+SUM(M22:M25)</f>
        <v>1842334.1117266356</v>
      </c>
    </row>
    <row r="32" spans="2:15" x14ac:dyDescent="0.2">
      <c r="L32" s="110"/>
      <c r="M32" s="110"/>
    </row>
    <row r="33" spans="2:12" x14ac:dyDescent="0.2">
      <c r="L33" s="111"/>
    </row>
    <row r="34" spans="2:12" x14ac:dyDescent="0.2">
      <c r="L34" s="110"/>
    </row>
    <row r="36" spans="2:12" x14ac:dyDescent="0.2">
      <c r="B36" s="4" t="s">
        <v>62</v>
      </c>
    </row>
  </sheetData>
  <phoneticPr fontId="3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B2:H49"/>
  <sheetViews>
    <sheetView showGridLines="0" zoomScale="85" zoomScaleNormal="85" workbookViewId="0">
      <pane ySplit="3" topLeftCell="A4" activePane="bottomLeft" state="frozen"/>
      <selection activeCell="O39" sqref="O39"/>
      <selection pane="bottomLeft" activeCell="A4" sqref="A4"/>
    </sheetView>
  </sheetViews>
  <sheetFormatPr defaultColWidth="9.140625" defaultRowHeight="12.75" x14ac:dyDescent="0.2"/>
  <cols>
    <col min="1" max="1" width="4.7109375" style="2" customWidth="1"/>
    <col min="2" max="2" width="27.85546875" style="2" customWidth="1"/>
    <col min="3" max="3" width="7.140625" style="2" customWidth="1"/>
    <col min="4" max="4" width="56.85546875" style="2" customWidth="1"/>
    <col min="5" max="5" width="29.85546875" style="2" customWidth="1"/>
    <col min="6" max="6" width="24.7109375" style="2" customWidth="1"/>
    <col min="7" max="7" width="37.28515625" style="2" customWidth="1"/>
    <col min="8" max="16384" width="9.140625" style="2"/>
  </cols>
  <sheetData>
    <row r="2" spans="2:8" s="7" customFormat="1" ht="18" x14ac:dyDescent="0.2">
      <c r="B2" s="7" t="s">
        <v>44</v>
      </c>
    </row>
    <row r="3" spans="2:8" x14ac:dyDescent="0.2">
      <c r="B3" s="33"/>
    </row>
    <row r="4" spans="2:8" x14ac:dyDescent="0.2">
      <c r="B4" s="33"/>
    </row>
    <row r="5" spans="2:8" s="8" customFormat="1" x14ac:dyDescent="0.2">
      <c r="B5" s="8" t="s">
        <v>65</v>
      </c>
    </row>
    <row r="7" spans="2:8" x14ac:dyDescent="0.2">
      <c r="B7" s="2" t="s">
        <v>352</v>
      </c>
    </row>
    <row r="8" spans="2:8" x14ac:dyDescent="0.2">
      <c r="B8" s="2" t="s">
        <v>353</v>
      </c>
      <c r="H8" s="23"/>
    </row>
    <row r="11" spans="2:8" s="8" customFormat="1" x14ac:dyDescent="0.2">
      <c r="B11" s="8" t="s">
        <v>45</v>
      </c>
    </row>
    <row r="13" spans="2:8" x14ac:dyDescent="0.2">
      <c r="B13" s="20" t="s">
        <v>10</v>
      </c>
      <c r="D13" s="20" t="s">
        <v>11</v>
      </c>
      <c r="F13" s="5"/>
    </row>
    <row r="15" spans="2:8" x14ac:dyDescent="0.2">
      <c r="B15" s="26">
        <v>123</v>
      </c>
      <c r="D15" s="2" t="s">
        <v>12</v>
      </c>
    </row>
    <row r="16" spans="2:8" x14ac:dyDescent="0.2">
      <c r="B16" s="30">
        <f>B15</f>
        <v>123</v>
      </c>
      <c r="D16" s="2" t="s">
        <v>46</v>
      </c>
    </row>
    <row r="17" spans="2:7" x14ac:dyDescent="0.2">
      <c r="B17" s="31">
        <f>B16+B15</f>
        <v>246</v>
      </c>
      <c r="D17" s="2" t="s">
        <v>13</v>
      </c>
    </row>
    <row r="18" spans="2:7" x14ac:dyDescent="0.2">
      <c r="B18" s="22">
        <f>B16+B17</f>
        <v>369</v>
      </c>
      <c r="D18" s="2" t="s">
        <v>47</v>
      </c>
      <c r="E18" s="5"/>
      <c r="F18" s="5"/>
    </row>
    <row r="19" spans="2:7" x14ac:dyDescent="0.2">
      <c r="B19" s="10"/>
      <c r="D19" s="2" t="s">
        <v>14</v>
      </c>
      <c r="E19" s="5"/>
    </row>
    <row r="21" spans="2:7" x14ac:dyDescent="0.2">
      <c r="B21" s="21" t="s">
        <v>26</v>
      </c>
    </row>
    <row r="22" spans="2:7" x14ac:dyDescent="0.2">
      <c r="B22" s="24">
        <f>B18+16</f>
        <v>385</v>
      </c>
      <c r="D22" s="2" t="s">
        <v>15</v>
      </c>
    </row>
    <row r="23" spans="2:7" x14ac:dyDescent="0.2">
      <c r="B23" s="25">
        <f>B16*PI()</f>
        <v>386.41589639154455</v>
      </c>
      <c r="C23" s="11"/>
      <c r="D23" s="2" t="s">
        <v>48</v>
      </c>
    </row>
    <row r="24" spans="2:7" x14ac:dyDescent="0.2">
      <c r="B24" s="11"/>
      <c r="C24" s="11"/>
    </row>
    <row r="25" spans="2:7" x14ac:dyDescent="0.2">
      <c r="B25" s="21" t="s">
        <v>16</v>
      </c>
      <c r="C25" s="12"/>
      <c r="D25" s="32"/>
    </row>
    <row r="26" spans="2:7" x14ac:dyDescent="0.2">
      <c r="B26" s="29">
        <v>123</v>
      </c>
      <c r="C26" s="12"/>
      <c r="D26" s="2" t="s">
        <v>49</v>
      </c>
      <c r="G26" s="5"/>
    </row>
    <row r="27" spans="2:7" x14ac:dyDescent="0.2">
      <c r="B27" s="27">
        <v>124</v>
      </c>
      <c r="C27" s="12"/>
      <c r="D27" s="2" t="s">
        <v>50</v>
      </c>
    </row>
    <row r="28" spans="2:7" x14ac:dyDescent="0.2">
      <c r="B28" s="28">
        <f>B26-B27</f>
        <v>-1</v>
      </c>
      <c r="C28" s="13"/>
      <c r="D28" s="2" t="s">
        <v>51</v>
      </c>
    </row>
    <row r="31" spans="2:7" x14ac:dyDescent="0.2">
      <c r="B31" s="20" t="s">
        <v>17</v>
      </c>
    </row>
    <row r="32" spans="2:7" x14ac:dyDescent="0.2">
      <c r="B32" s="1"/>
    </row>
    <row r="33" spans="2:4" x14ac:dyDescent="0.2">
      <c r="B33" s="21" t="s">
        <v>21</v>
      </c>
    </row>
    <row r="34" spans="2:4" x14ac:dyDescent="0.2">
      <c r="B34" s="22" t="s">
        <v>22</v>
      </c>
      <c r="D34" s="2" t="s">
        <v>18</v>
      </c>
    </row>
    <row r="35" spans="2:4" x14ac:dyDescent="0.2">
      <c r="B35" s="26" t="s">
        <v>1</v>
      </c>
      <c r="D35" s="2" t="s">
        <v>19</v>
      </c>
    </row>
    <row r="36" spans="2:4" x14ac:dyDescent="0.2">
      <c r="B36" s="31" t="s">
        <v>23</v>
      </c>
      <c r="D36" s="2" t="s">
        <v>20</v>
      </c>
    </row>
    <row r="37" spans="2:4" x14ac:dyDescent="0.2">
      <c r="B37" s="25" t="s">
        <v>23</v>
      </c>
      <c r="D37" s="2" t="s">
        <v>52</v>
      </c>
    </row>
    <row r="38" spans="2:4" x14ac:dyDescent="0.2">
      <c r="D38" s="3"/>
    </row>
    <row r="39" spans="2:4" x14ac:dyDescent="0.2">
      <c r="B39" s="21" t="s">
        <v>24</v>
      </c>
      <c r="D39" s="3"/>
    </row>
    <row r="40" spans="2:4" x14ac:dyDescent="0.2">
      <c r="B40" s="16" t="s">
        <v>2</v>
      </c>
      <c r="D40" s="2" t="s">
        <v>53</v>
      </c>
    </row>
    <row r="41" spans="2:4" x14ac:dyDescent="0.2">
      <c r="B41" s="34" t="s">
        <v>25</v>
      </c>
      <c r="D41" s="2" t="s">
        <v>63</v>
      </c>
    </row>
    <row r="49" spans="2:2" x14ac:dyDescent="0.2">
      <c r="B49" s="4" t="s">
        <v>62</v>
      </c>
    </row>
  </sheetData>
  <pageMargins left="0.75" right="0.75" top="1" bottom="1" header="0.5" footer="0.5"/>
  <pageSetup paperSize="9"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0FA26-594E-4EC3-8022-E9CAABF61C3E}">
  <sheetPr>
    <tabColor rgb="FFFFFFCC"/>
  </sheetPr>
  <dimension ref="A2:J42"/>
  <sheetViews>
    <sheetView showGridLines="0" zoomScale="145" zoomScaleNormal="145" workbookViewId="0">
      <pane xSplit="6" ySplit="8" topLeftCell="G9" activePane="bottomRight" state="frozen"/>
      <selection activeCell="R6" sqref="R6"/>
      <selection pane="topRight" activeCell="R6" sqref="R6"/>
      <selection pane="bottomLeft" activeCell="R6" sqref="R6"/>
      <selection pane="bottomRight" activeCell="G9" sqref="G9"/>
    </sheetView>
  </sheetViews>
  <sheetFormatPr defaultColWidth="9.140625" defaultRowHeight="12.75" x14ac:dyDescent="0.2"/>
  <cols>
    <col min="1" max="1" width="4" style="2" customWidth="1"/>
    <col min="2" max="2" width="41.42578125" style="2" customWidth="1"/>
    <col min="3" max="5" width="4.5703125" style="2" customWidth="1"/>
    <col min="6" max="6" width="16.28515625" style="2" customWidth="1"/>
    <col min="7" max="7" width="2.7109375" style="2" customWidth="1"/>
    <col min="8" max="8" width="17.85546875" style="2" customWidth="1"/>
    <col min="9" max="9" width="2.7109375" style="2" customWidth="1"/>
    <col min="10" max="10" width="56.85546875" style="2" customWidth="1"/>
    <col min="11" max="24" width="13.7109375" style="2" customWidth="1"/>
    <col min="25" max="16384" width="9.140625" style="2"/>
  </cols>
  <sheetData>
    <row r="2" spans="1:10" s="14" customFormat="1" ht="18" x14ac:dyDescent="0.2">
      <c r="B2" s="14" t="s">
        <v>228</v>
      </c>
    </row>
    <row r="4" spans="1:10" x14ac:dyDescent="0.2">
      <c r="B4" s="1" t="s">
        <v>137</v>
      </c>
      <c r="C4" s="1"/>
      <c r="D4" s="1"/>
    </row>
    <row r="5" spans="1:10" x14ac:dyDescent="0.2">
      <c r="B5" s="2" t="s">
        <v>323</v>
      </c>
      <c r="C5" s="3"/>
      <c r="D5" s="3"/>
      <c r="H5" s="15"/>
    </row>
    <row r="6" spans="1:10" x14ac:dyDescent="0.2">
      <c r="C6" s="3"/>
      <c r="D6" s="3"/>
      <c r="H6" s="15"/>
    </row>
    <row r="7" spans="1:10" s="8" customFormat="1" x14ac:dyDescent="0.2">
      <c r="B7" s="8" t="s">
        <v>73</v>
      </c>
      <c r="F7" s="8" t="s">
        <v>74</v>
      </c>
      <c r="H7" s="8" t="s">
        <v>77</v>
      </c>
      <c r="J7" s="8" t="s">
        <v>37</v>
      </c>
    </row>
    <row r="10" spans="1:10" s="8" customFormat="1" ht="12.75" customHeight="1" x14ac:dyDescent="0.2">
      <c r="B10" s="8" t="s">
        <v>78</v>
      </c>
    </row>
    <row r="11" spans="1:10" ht="12.75" customHeight="1" x14ac:dyDescent="0.2">
      <c r="A11" s="45"/>
    </row>
    <row r="12" spans="1:10" ht="12.75" customHeight="1" x14ac:dyDescent="0.2">
      <c r="A12" s="45"/>
      <c r="B12" s="1" t="s">
        <v>239</v>
      </c>
    </row>
    <row r="13" spans="1:10" ht="12.75" customHeight="1" x14ac:dyDescent="0.2">
      <c r="A13" s="45"/>
      <c r="B13" s="2" t="s">
        <v>324</v>
      </c>
      <c r="F13" s="2" t="s">
        <v>273</v>
      </c>
      <c r="H13" s="107">
        <f>'Income level'!L31</f>
        <v>3005517.7834131047</v>
      </c>
    </row>
    <row r="14" spans="1:10" ht="12.75" customHeight="1" x14ac:dyDescent="0.2">
      <c r="A14" s="45"/>
      <c r="B14" s="2" t="s">
        <v>325</v>
      </c>
      <c r="F14" s="2" t="s">
        <v>112</v>
      </c>
      <c r="H14" s="107">
        <f>Estimates!L16</f>
        <v>10496712.624645166</v>
      </c>
    </row>
    <row r="15" spans="1:10" ht="12.75" customHeight="1" x14ac:dyDescent="0.2">
      <c r="A15" s="45"/>
      <c r="B15" s="2" t="s">
        <v>326</v>
      </c>
      <c r="F15" s="2" t="s">
        <v>268</v>
      </c>
      <c r="H15" s="104">
        <f>H13/H14</f>
        <v>0.28632943387975279</v>
      </c>
      <c r="J15" s="2" t="s">
        <v>243</v>
      </c>
    </row>
    <row r="16" spans="1:10" ht="12.75" customHeight="1" x14ac:dyDescent="0.2">
      <c r="A16" s="45"/>
      <c r="B16" s="2" t="s">
        <v>327</v>
      </c>
      <c r="F16" s="2" t="s">
        <v>268</v>
      </c>
      <c r="H16" s="39">
        <f>ROUND(H15,4)</f>
        <v>0.2863</v>
      </c>
      <c r="J16" s="2" t="s">
        <v>255</v>
      </c>
    </row>
    <row r="17" spans="1:10" ht="12.75" customHeight="1" x14ac:dyDescent="0.2"/>
    <row r="18" spans="1:10" ht="12.75" customHeight="1" x14ac:dyDescent="0.2">
      <c r="B18" s="1" t="s">
        <v>223</v>
      </c>
    </row>
    <row r="19" spans="1:10" ht="12.75" customHeight="1" x14ac:dyDescent="0.2">
      <c r="A19" s="45"/>
      <c r="B19" s="2" t="s">
        <v>328</v>
      </c>
      <c r="F19" s="2" t="s">
        <v>115</v>
      </c>
      <c r="H19" s="61">
        <f>Estimates!L18</f>
        <v>0.27131856147939853</v>
      </c>
    </row>
    <row r="20" spans="1:10" ht="12.75" customHeight="1" x14ac:dyDescent="0.2">
      <c r="A20" s="45"/>
      <c r="B20" s="2" t="s">
        <v>329</v>
      </c>
      <c r="F20" s="2" t="s">
        <v>99</v>
      </c>
      <c r="H20" s="59">
        <f>Estimates!L17</f>
        <v>0.69016008439436116</v>
      </c>
    </row>
    <row r="21" spans="1:10" ht="12.75" customHeight="1" x14ac:dyDescent="0.2">
      <c r="A21" s="45"/>
      <c r="B21" s="2" t="s">
        <v>116</v>
      </c>
      <c r="F21" s="2" t="s">
        <v>119</v>
      </c>
      <c r="H21" s="62">
        <f>'Historical data'!H30</f>
        <v>0.87464724815259365</v>
      </c>
    </row>
    <row r="22" spans="1:10" ht="12.75" customHeight="1" x14ac:dyDescent="0.2">
      <c r="A22" s="45"/>
      <c r="B22" s="2" t="s">
        <v>330</v>
      </c>
      <c r="F22" s="2" t="s">
        <v>268</v>
      </c>
      <c r="H22" s="39">
        <f>H19*H20*H21</f>
        <v>0.16378053220053376</v>
      </c>
      <c r="J22" s="2" t="s">
        <v>229</v>
      </c>
    </row>
    <row r="23" spans="1:10" ht="12.75" customHeight="1" x14ac:dyDescent="0.2">
      <c r="A23" s="45"/>
    </row>
    <row r="24" spans="1:10" ht="12.75" customHeight="1" x14ac:dyDescent="0.2">
      <c r="A24" s="45"/>
      <c r="B24" s="1" t="s">
        <v>240</v>
      </c>
    </row>
    <row r="25" spans="1:10" ht="12.75" customHeight="1" x14ac:dyDescent="0.2">
      <c r="A25" s="45"/>
      <c r="B25" s="2" t="s">
        <v>331</v>
      </c>
      <c r="F25" s="2" t="s">
        <v>268</v>
      </c>
      <c r="H25" s="104">
        <f>H15+H22</f>
        <v>0.45010996608028653</v>
      </c>
    </row>
    <row r="26" spans="1:10" ht="12.75" customHeight="1" x14ac:dyDescent="0.2">
      <c r="A26" s="45"/>
      <c r="B26" s="2" t="s">
        <v>332</v>
      </c>
      <c r="F26" s="2" t="s">
        <v>268</v>
      </c>
      <c r="H26" s="39">
        <f>ROUND(H25,4)</f>
        <v>0.4501</v>
      </c>
      <c r="J26" s="2" t="s">
        <v>255</v>
      </c>
    </row>
    <row r="27" spans="1:10" ht="12.75" customHeight="1" x14ac:dyDescent="0.2">
      <c r="A27" s="45"/>
    </row>
    <row r="28" spans="1:10" s="8" customFormat="1" ht="12.75" customHeight="1" x14ac:dyDescent="0.2">
      <c r="B28" s="8" t="s">
        <v>83</v>
      </c>
    </row>
    <row r="30" spans="1:10" x14ac:dyDescent="0.2">
      <c r="B30" s="1" t="s">
        <v>225</v>
      </c>
    </row>
    <row r="31" spans="1:10" x14ac:dyDescent="0.2">
      <c r="B31" s="2" t="s">
        <v>350</v>
      </c>
      <c r="F31" s="2" t="s">
        <v>307</v>
      </c>
      <c r="H31" s="106">
        <f>'Overview corrections'!M44</f>
        <v>3.8235328061843234E-3</v>
      </c>
    </row>
    <row r="32" spans="1:10" x14ac:dyDescent="0.2">
      <c r="B32" s="2" t="s">
        <v>227</v>
      </c>
      <c r="F32" s="2" t="s">
        <v>307</v>
      </c>
      <c r="H32" s="106">
        <f>'Overview corrections'!M45</f>
        <v>-6.3877046786174857E-4</v>
      </c>
    </row>
    <row r="34" spans="2:10" x14ac:dyDescent="0.2">
      <c r="B34" s="1" t="s">
        <v>158</v>
      </c>
    </row>
    <row r="35" spans="2:10" x14ac:dyDescent="0.2">
      <c r="B35" s="2" t="s">
        <v>265</v>
      </c>
      <c r="F35" s="2" t="s">
        <v>99</v>
      </c>
      <c r="H35" s="101">
        <f>Estimates!M21</f>
        <v>5.4024539402881537E-2</v>
      </c>
    </row>
    <row r="37" spans="2:10" x14ac:dyDescent="0.2">
      <c r="B37" s="1" t="s">
        <v>224</v>
      </c>
    </row>
    <row r="38" spans="2:10" x14ac:dyDescent="0.2">
      <c r="B38" s="2" t="s">
        <v>333</v>
      </c>
      <c r="F38" s="2" t="s">
        <v>268</v>
      </c>
      <c r="H38" s="104">
        <f>(H25+H31+H32)/(1-H35)</f>
        <v>0.47918233326314874</v>
      </c>
      <c r="J38" s="2" t="s">
        <v>260</v>
      </c>
    </row>
    <row r="39" spans="2:10" x14ac:dyDescent="0.2">
      <c r="B39" s="2" t="s">
        <v>334</v>
      </c>
      <c r="F39" s="2" t="s">
        <v>268</v>
      </c>
      <c r="H39" s="39">
        <f>ROUND(H38,4)</f>
        <v>0.47920000000000001</v>
      </c>
      <c r="J39" s="2" t="s">
        <v>255</v>
      </c>
    </row>
    <row r="42" spans="2:10" x14ac:dyDescent="0.2">
      <c r="B42" s="4" t="s">
        <v>62</v>
      </c>
    </row>
  </sheetData>
  <phoneticPr fontId="32"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518B0-6C0F-461E-86CC-047C90A48FCD}">
  <sheetPr>
    <tabColor rgb="FFFFFFCC"/>
  </sheetPr>
  <dimension ref="A2:J58"/>
  <sheetViews>
    <sheetView showGridLines="0" zoomScale="115" zoomScaleNormal="11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ColWidth="9.140625" defaultRowHeight="12.75" x14ac:dyDescent="0.2"/>
  <cols>
    <col min="1" max="1" width="4" style="2" customWidth="1"/>
    <col min="2" max="2" width="41.42578125" style="2" customWidth="1"/>
    <col min="3" max="5" width="4.5703125" style="2" customWidth="1"/>
    <col min="6" max="6" width="22.28515625" style="2" customWidth="1"/>
    <col min="7" max="7" width="2.7109375" style="2" customWidth="1"/>
    <col min="8" max="8" width="21.7109375" style="2" customWidth="1"/>
    <col min="9" max="9" width="2.7109375" style="2" customWidth="1"/>
    <col min="10" max="10" width="8" style="2" bestFit="1" customWidth="1"/>
    <col min="11" max="24" width="13.7109375" style="2" customWidth="1"/>
    <col min="25" max="16384" width="9.140625" style="2"/>
  </cols>
  <sheetData>
    <row r="2" spans="1:10" s="14" customFormat="1" ht="18" x14ac:dyDescent="0.2">
      <c r="B2" s="14" t="s">
        <v>235</v>
      </c>
    </row>
    <row r="4" spans="1:10" x14ac:dyDescent="0.2">
      <c r="B4" s="1" t="s">
        <v>137</v>
      </c>
      <c r="C4" s="1"/>
      <c r="D4" s="1"/>
    </row>
    <row r="5" spans="1:10" x14ac:dyDescent="0.2">
      <c r="B5" s="2" t="s">
        <v>335</v>
      </c>
      <c r="C5" s="3"/>
      <c r="D5" s="3"/>
    </row>
    <row r="6" spans="1:10" x14ac:dyDescent="0.2">
      <c r="B6" s="2" t="s">
        <v>241</v>
      </c>
      <c r="C6" s="3"/>
      <c r="D6" s="3"/>
    </row>
    <row r="7" spans="1:10" x14ac:dyDescent="0.2">
      <c r="C7" s="3"/>
      <c r="D7" s="3"/>
    </row>
    <row r="8" spans="1:10" s="8" customFormat="1" x14ac:dyDescent="0.2">
      <c r="B8" s="8" t="s">
        <v>73</v>
      </c>
      <c r="F8" s="8" t="s">
        <v>74</v>
      </c>
      <c r="H8" s="8" t="s">
        <v>35</v>
      </c>
      <c r="J8" s="8" t="s">
        <v>37</v>
      </c>
    </row>
    <row r="11" spans="1:10" s="8" customFormat="1" ht="12.75" customHeight="1" x14ac:dyDescent="0.2">
      <c r="B11" s="8" t="s">
        <v>230</v>
      </c>
    </row>
    <row r="12" spans="1:10" ht="12.75" customHeight="1" x14ac:dyDescent="0.2">
      <c r="A12" s="45"/>
    </row>
    <row r="13" spans="1:10" ht="12.75" customHeight="1" x14ac:dyDescent="0.2">
      <c r="A13" s="45"/>
      <c r="B13" s="1" t="s">
        <v>319</v>
      </c>
    </row>
    <row r="14" spans="1:10" ht="12.75" customHeight="1" x14ac:dyDescent="0.2">
      <c r="A14" s="45"/>
      <c r="B14" s="2" t="s">
        <v>336</v>
      </c>
      <c r="F14" s="2" t="s">
        <v>273</v>
      </c>
      <c r="H14" s="107">
        <f>'Income level'!M31</f>
        <v>1842334.1117266356</v>
      </c>
    </row>
    <row r="15" spans="1:10" ht="12.75" customHeight="1" x14ac:dyDescent="0.2">
      <c r="A15" s="45"/>
      <c r="B15" s="2" t="s">
        <v>337</v>
      </c>
      <c r="F15" s="2" t="s">
        <v>113</v>
      </c>
      <c r="H15" s="107">
        <f>Estimates!M44</f>
        <v>14331.399999999998</v>
      </c>
    </row>
    <row r="16" spans="1:10" ht="12.75" customHeight="1" x14ac:dyDescent="0.2">
      <c r="A16" s="45"/>
      <c r="B16" s="2" t="s">
        <v>338</v>
      </c>
      <c r="F16" s="2" t="s">
        <v>339</v>
      </c>
      <c r="H16" s="103">
        <f>H14/H15/12</f>
        <v>10.712689803081787</v>
      </c>
      <c r="J16" s="2" t="s">
        <v>340</v>
      </c>
    </row>
    <row r="17" spans="1:10" ht="12.75" customHeight="1" x14ac:dyDescent="0.2">
      <c r="A17" s="45"/>
      <c r="H17" s="78"/>
    </row>
    <row r="18" spans="1:10" ht="12.75" customHeight="1" x14ac:dyDescent="0.2">
      <c r="A18" s="45"/>
      <c r="B18" s="20" t="s">
        <v>84</v>
      </c>
      <c r="H18" s="78"/>
      <c r="J18" s="2" t="s">
        <v>242</v>
      </c>
    </row>
    <row r="19" spans="1:10" ht="12.75" customHeight="1" x14ac:dyDescent="0.2">
      <c r="A19" s="45"/>
      <c r="B19" s="40">
        <f>Estimates!B26</f>
        <v>3.2</v>
      </c>
      <c r="F19" s="2" t="s">
        <v>272</v>
      </c>
      <c r="H19" s="103">
        <f t="shared" ref="H19:H35" si="0">B19*$H$16</f>
        <v>34.28060736986172</v>
      </c>
    </row>
    <row r="20" spans="1:10" ht="12.75" customHeight="1" x14ac:dyDescent="0.2">
      <c r="A20" s="45"/>
      <c r="B20" s="40">
        <f>Estimates!B27</f>
        <v>7.7</v>
      </c>
      <c r="F20" s="2" t="s">
        <v>272</v>
      </c>
      <c r="H20" s="103">
        <f t="shared" si="0"/>
        <v>82.487711483729768</v>
      </c>
    </row>
    <row r="21" spans="1:10" ht="12.75" customHeight="1" x14ac:dyDescent="0.2">
      <c r="A21" s="45"/>
      <c r="B21" s="40">
        <f>Estimates!B28</f>
        <v>13.3</v>
      </c>
      <c r="F21" s="2" t="s">
        <v>272</v>
      </c>
      <c r="H21" s="103">
        <f t="shared" si="0"/>
        <v>142.47877438098777</v>
      </c>
    </row>
    <row r="22" spans="1:10" ht="12.75" customHeight="1" x14ac:dyDescent="0.2">
      <c r="A22" s="45"/>
      <c r="B22" s="40">
        <f>Estimates!B29</f>
        <v>18.3</v>
      </c>
      <c r="F22" s="2" t="s">
        <v>272</v>
      </c>
      <c r="H22" s="103">
        <f t="shared" si="0"/>
        <v>196.04222339639671</v>
      </c>
    </row>
    <row r="23" spans="1:10" ht="12.75" customHeight="1" x14ac:dyDescent="0.2">
      <c r="A23" s="45"/>
      <c r="B23" s="40">
        <f>Estimates!B30</f>
        <v>23.3</v>
      </c>
      <c r="F23" s="2" t="s">
        <v>272</v>
      </c>
      <c r="H23" s="103">
        <f t="shared" si="0"/>
        <v>249.60567241180564</v>
      </c>
    </row>
    <row r="24" spans="1:10" ht="12.75" customHeight="1" x14ac:dyDescent="0.2">
      <c r="A24" s="45"/>
      <c r="B24" s="40">
        <f>Estimates!B31</f>
        <v>28.3</v>
      </c>
      <c r="F24" s="2" t="s">
        <v>272</v>
      </c>
      <c r="H24" s="103">
        <f t="shared" si="0"/>
        <v>303.16912142721458</v>
      </c>
    </row>
    <row r="25" spans="1:10" ht="12.75" customHeight="1" x14ac:dyDescent="0.2">
      <c r="A25" s="45"/>
      <c r="B25" s="40">
        <f>Estimates!B32</f>
        <v>38.299999999999997</v>
      </c>
      <c r="F25" s="2" t="s">
        <v>272</v>
      </c>
      <c r="H25" s="103">
        <f t="shared" si="0"/>
        <v>410.29601945803239</v>
      </c>
    </row>
    <row r="26" spans="1:10" ht="12.75" customHeight="1" x14ac:dyDescent="0.2">
      <c r="A26" s="45"/>
      <c r="B26" s="40">
        <f>Estimates!B33</f>
        <v>48.3</v>
      </c>
      <c r="F26" s="2" t="s">
        <v>272</v>
      </c>
      <c r="H26" s="103">
        <f t="shared" si="0"/>
        <v>517.42291748885032</v>
      </c>
    </row>
    <row r="27" spans="1:10" ht="12.75" customHeight="1" x14ac:dyDescent="0.2">
      <c r="A27" s="45"/>
      <c r="B27" s="40">
        <f>Estimates!B34</f>
        <v>63.3</v>
      </c>
      <c r="F27" s="2" t="s">
        <v>272</v>
      </c>
      <c r="H27" s="103">
        <f t="shared" si="0"/>
        <v>678.11326453507706</v>
      </c>
    </row>
    <row r="28" spans="1:10" ht="12.75" customHeight="1" x14ac:dyDescent="0.2">
      <c r="A28" s="45"/>
      <c r="B28" s="40">
        <f>Estimates!B35</f>
        <v>78.3</v>
      </c>
      <c r="F28" s="2" t="s">
        <v>272</v>
      </c>
      <c r="H28" s="103">
        <f t="shared" si="0"/>
        <v>838.80361158130393</v>
      </c>
    </row>
    <row r="29" spans="1:10" ht="12.75" customHeight="1" x14ac:dyDescent="0.2">
      <c r="A29" s="45"/>
      <c r="B29" s="40">
        <f>Estimates!B36</f>
        <v>83.3</v>
      </c>
      <c r="F29" s="2" t="s">
        <v>272</v>
      </c>
      <c r="H29" s="103">
        <f t="shared" si="0"/>
        <v>892.3670605967128</v>
      </c>
    </row>
    <row r="30" spans="1:10" ht="12.75" customHeight="1" x14ac:dyDescent="0.2">
      <c r="A30" s="45"/>
      <c r="B30" s="40">
        <f>Estimates!B37</f>
        <v>93.3</v>
      </c>
      <c r="F30" s="2" t="s">
        <v>272</v>
      </c>
      <c r="H30" s="103">
        <f t="shared" si="0"/>
        <v>999.49395862753067</v>
      </c>
    </row>
    <row r="31" spans="1:10" ht="12.75" customHeight="1" x14ac:dyDescent="0.2">
      <c r="A31" s="45"/>
      <c r="B31" s="40">
        <f>Estimates!B38</f>
        <v>98.3</v>
      </c>
      <c r="F31" s="2" t="s">
        <v>272</v>
      </c>
      <c r="H31" s="103">
        <f t="shared" si="0"/>
        <v>1053.0574076429396</v>
      </c>
    </row>
    <row r="32" spans="1:10" ht="12.75" customHeight="1" x14ac:dyDescent="0.2">
      <c r="A32" s="45"/>
      <c r="B32" s="40">
        <f>Estimates!B39</f>
        <v>100</v>
      </c>
      <c r="F32" s="2" t="s">
        <v>272</v>
      </c>
      <c r="H32" s="103">
        <f t="shared" si="0"/>
        <v>1071.2689803081787</v>
      </c>
    </row>
    <row r="33" spans="1:8" ht="12.75" customHeight="1" x14ac:dyDescent="0.2">
      <c r="A33" s="45"/>
      <c r="B33" s="40">
        <f>Estimates!B40</f>
        <v>125</v>
      </c>
      <c r="F33" s="2" t="s">
        <v>272</v>
      </c>
      <c r="H33" s="103">
        <f t="shared" si="0"/>
        <v>1339.0862253852233</v>
      </c>
    </row>
    <row r="34" spans="1:8" ht="12.75" customHeight="1" x14ac:dyDescent="0.2">
      <c r="A34" s="45"/>
      <c r="B34" s="40">
        <f>Estimates!B41</f>
        <v>150</v>
      </c>
      <c r="F34" s="2" t="s">
        <v>272</v>
      </c>
      <c r="H34" s="103">
        <f t="shared" si="0"/>
        <v>1606.9034704622682</v>
      </c>
    </row>
    <row r="35" spans="1:8" ht="12.75" customHeight="1" x14ac:dyDescent="0.2">
      <c r="A35" s="45"/>
      <c r="B35" s="40">
        <f>Estimates!B42</f>
        <v>350</v>
      </c>
      <c r="F35" s="2" t="s">
        <v>272</v>
      </c>
      <c r="H35" s="103">
        <f t="shared" si="0"/>
        <v>3749.4414310786256</v>
      </c>
    </row>
    <row r="36" spans="1:8" ht="12.75" customHeight="1" x14ac:dyDescent="0.2">
      <c r="A36" s="45"/>
      <c r="B36" s="41"/>
    </row>
    <row r="37" spans="1:8" s="8" customFormat="1" ht="12.75" customHeight="1" x14ac:dyDescent="0.2">
      <c r="B37" s="8" t="s">
        <v>231</v>
      </c>
    </row>
    <row r="38" spans="1:8" ht="12.75" customHeight="1" x14ac:dyDescent="0.2">
      <c r="A38" s="45"/>
      <c r="B38" s="41"/>
    </row>
    <row r="39" spans="1:8" ht="12.75" customHeight="1" x14ac:dyDescent="0.2">
      <c r="A39" s="45"/>
      <c r="B39" s="20" t="s">
        <v>95</v>
      </c>
    </row>
    <row r="40" spans="1:8" ht="12.75" customHeight="1" x14ac:dyDescent="0.2">
      <c r="A40" s="45"/>
      <c r="B40" s="2" t="s">
        <v>282</v>
      </c>
      <c r="F40" s="2" t="s">
        <v>99</v>
      </c>
      <c r="H40" s="64">
        <f>Parameters!H20</f>
        <v>3.5000000000000003E-2</v>
      </c>
    </row>
    <row r="41" spans="1:8" ht="12.75" customHeight="1" x14ac:dyDescent="0.2">
      <c r="A41" s="45"/>
    </row>
    <row r="42" spans="1:8" ht="12.75" customHeight="1" x14ac:dyDescent="0.2">
      <c r="A42" s="45"/>
      <c r="B42" s="20" t="s">
        <v>234</v>
      </c>
    </row>
    <row r="43" spans="1:8" ht="12.75" customHeight="1" x14ac:dyDescent="0.2">
      <c r="A43" s="45"/>
      <c r="B43" s="2" t="s">
        <v>86</v>
      </c>
      <c r="F43" s="2" t="s">
        <v>199</v>
      </c>
      <c r="H43" s="102">
        <f>'Data ACM'!M41</f>
        <v>25</v>
      </c>
    </row>
    <row r="44" spans="1:8" ht="12.75" customHeight="1" x14ac:dyDescent="0.2">
      <c r="A44" s="45"/>
    </row>
    <row r="45" spans="1:8" ht="12.75" customHeight="1" x14ac:dyDescent="0.2">
      <c r="A45" s="45"/>
      <c r="B45" s="1" t="s">
        <v>233</v>
      </c>
    </row>
    <row r="46" spans="1:8" ht="12.75" customHeight="1" x14ac:dyDescent="0.2">
      <c r="A46" s="45"/>
      <c r="B46" s="2" t="s">
        <v>90</v>
      </c>
      <c r="F46" s="2" t="s">
        <v>199</v>
      </c>
      <c r="H46" s="74">
        <f>'Data ACM'!M37</f>
        <v>297.53198609667521</v>
      </c>
    </row>
    <row r="47" spans="1:8" ht="12.75" customHeight="1" x14ac:dyDescent="0.2">
      <c r="A47" s="45"/>
      <c r="B47" s="2" t="s">
        <v>91</v>
      </c>
      <c r="F47" s="2" t="s">
        <v>199</v>
      </c>
      <c r="H47" s="74">
        <f>'Data ACM'!M38</f>
        <v>333.59064159841341</v>
      </c>
    </row>
    <row r="48" spans="1:8" ht="12.75" customHeight="1" x14ac:dyDescent="0.2">
      <c r="A48" s="45"/>
      <c r="B48" s="2" t="s">
        <v>92</v>
      </c>
      <c r="F48" s="2" t="s">
        <v>199</v>
      </c>
      <c r="H48" s="74">
        <f>'Data ACM'!M39</f>
        <v>94.906381280574749</v>
      </c>
    </row>
    <row r="49" spans="1:10" ht="12.75" customHeight="1" x14ac:dyDescent="0.2">
      <c r="A49" s="45"/>
    </row>
    <row r="50" spans="1:10" ht="12.75" customHeight="1" x14ac:dyDescent="0.2">
      <c r="A50" s="45"/>
      <c r="B50" s="1" t="s">
        <v>341</v>
      </c>
    </row>
    <row r="51" spans="1:10" ht="12.75" customHeight="1" x14ac:dyDescent="0.2">
      <c r="A51" s="45"/>
      <c r="B51" s="2" t="s">
        <v>86</v>
      </c>
      <c r="F51" s="2" t="s">
        <v>273</v>
      </c>
      <c r="H51" s="65">
        <f>H43</f>
        <v>25</v>
      </c>
      <c r="J51" s="2" t="s">
        <v>232</v>
      </c>
    </row>
    <row r="53" spans="1:10" ht="12.75" customHeight="1" x14ac:dyDescent="0.2">
      <c r="A53" s="45"/>
      <c r="B53" s="1" t="s">
        <v>342</v>
      </c>
    </row>
    <row r="54" spans="1:10" ht="12.75" customHeight="1" x14ac:dyDescent="0.2">
      <c r="B54" s="2" t="s">
        <v>90</v>
      </c>
      <c r="F54" s="2" t="s">
        <v>273</v>
      </c>
      <c r="H54" s="65">
        <f>H46*(1+$H$40)</f>
        <v>307.94560561005881</v>
      </c>
    </row>
    <row r="55" spans="1:10" ht="12.75" customHeight="1" x14ac:dyDescent="0.2">
      <c r="B55" s="2" t="s">
        <v>91</v>
      </c>
      <c r="F55" s="2" t="s">
        <v>273</v>
      </c>
      <c r="H55" s="65">
        <f>H47*(1+$H$40)</f>
        <v>345.26631405435785</v>
      </c>
    </row>
    <row r="56" spans="1:10" ht="12.75" customHeight="1" x14ac:dyDescent="0.2">
      <c r="B56" s="2" t="s">
        <v>92</v>
      </c>
      <c r="F56" s="2" t="s">
        <v>273</v>
      </c>
      <c r="H56" s="65">
        <f>H48*(1+$H$40)</f>
        <v>98.228104625394863</v>
      </c>
    </row>
    <row r="58" spans="1:10" x14ac:dyDescent="0.2">
      <c r="B58" s="4" t="s">
        <v>62</v>
      </c>
    </row>
  </sheetData>
  <phoneticPr fontId="3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C8D9"/>
  </sheetPr>
  <dimension ref="B2:E45"/>
  <sheetViews>
    <sheetView showGridLines="0" zoomScale="85" zoomScaleNormal="85" workbookViewId="0">
      <pane ySplit="3" topLeftCell="A4" activePane="bottomLeft" state="frozen"/>
      <selection activeCell="O39" sqref="O39"/>
      <selection pane="bottomLeft" activeCell="A4" sqref="A4"/>
    </sheetView>
  </sheetViews>
  <sheetFormatPr defaultColWidth="9.140625" defaultRowHeight="12.75" x14ac:dyDescent="0.2"/>
  <cols>
    <col min="1" max="1" width="4.7109375" style="2" customWidth="1"/>
    <col min="2" max="2" width="7.5703125" style="2" customWidth="1"/>
    <col min="3" max="3" width="44" style="2" customWidth="1"/>
    <col min="4" max="4" width="58.28515625" style="2" customWidth="1"/>
    <col min="5" max="5" width="94.42578125" style="2" customWidth="1"/>
    <col min="6" max="6" width="40.7109375" style="2" customWidth="1"/>
    <col min="7" max="7" width="34.140625" style="2" customWidth="1"/>
    <col min="8" max="8" width="11.85546875" style="2" customWidth="1"/>
    <col min="9" max="9" width="28.7109375" style="2" customWidth="1"/>
    <col min="10" max="10" width="18.42578125" style="2" customWidth="1"/>
    <col min="11" max="12" width="58.42578125" style="2" customWidth="1"/>
    <col min="13" max="16384" width="9.140625" style="2"/>
  </cols>
  <sheetData>
    <row r="2" spans="2:5" s="7" customFormat="1" ht="18" x14ac:dyDescent="0.2">
      <c r="B2" s="7" t="s">
        <v>27</v>
      </c>
    </row>
    <row r="5" spans="2:5" s="8" customFormat="1" x14ac:dyDescent="0.2">
      <c r="B5" s="8" t="s">
        <v>28</v>
      </c>
    </row>
    <row r="7" spans="2:5" x14ac:dyDescent="0.2">
      <c r="B7" s="4" t="s">
        <v>56</v>
      </c>
    </row>
    <row r="8" spans="2:5" x14ac:dyDescent="0.2">
      <c r="B8" s="4" t="s">
        <v>29</v>
      </c>
    </row>
    <row r="10" spans="2:5" x14ac:dyDescent="0.2">
      <c r="B10" s="35" t="s">
        <v>66</v>
      </c>
      <c r="C10" s="35" t="s">
        <v>30</v>
      </c>
      <c r="D10" s="35" t="s">
        <v>31</v>
      </c>
      <c r="E10" s="35" t="s">
        <v>67</v>
      </c>
    </row>
    <row r="11" spans="2:5" x14ac:dyDescent="0.2">
      <c r="B11" s="17"/>
      <c r="C11" s="17" t="s">
        <v>32</v>
      </c>
      <c r="D11" s="17" t="s">
        <v>33</v>
      </c>
      <c r="E11" s="17" t="s">
        <v>68</v>
      </c>
    </row>
    <row r="12" spans="2:5" ht="12" customHeight="1" x14ac:dyDescent="0.2">
      <c r="B12" s="6">
        <v>1</v>
      </c>
      <c r="C12" s="6" t="s">
        <v>69</v>
      </c>
      <c r="D12" s="6" t="s">
        <v>70</v>
      </c>
      <c r="E12" s="38"/>
    </row>
    <row r="13" spans="2:5" ht="12" customHeight="1" x14ac:dyDescent="0.2">
      <c r="B13" s="6">
        <v>2</v>
      </c>
      <c r="C13" s="6" t="s">
        <v>71</v>
      </c>
      <c r="D13" s="6"/>
      <c r="E13" s="38"/>
    </row>
    <row r="14" spans="2:5" ht="12" customHeight="1" x14ac:dyDescent="0.2">
      <c r="B14" s="6">
        <v>3</v>
      </c>
      <c r="C14" s="6" t="s">
        <v>354</v>
      </c>
      <c r="D14" s="6" t="s">
        <v>355</v>
      </c>
      <c r="E14" s="38"/>
    </row>
    <row r="15" spans="2:5" ht="12" customHeight="1" x14ac:dyDescent="0.2">
      <c r="B15" s="6">
        <v>4</v>
      </c>
      <c r="C15" s="6" t="s">
        <v>356</v>
      </c>
      <c r="D15" s="6" t="s">
        <v>355</v>
      </c>
      <c r="E15" s="38"/>
    </row>
    <row r="16" spans="2:5" ht="12" customHeight="1" x14ac:dyDescent="0.2">
      <c r="B16" s="6">
        <v>5</v>
      </c>
      <c r="C16" s="6" t="s">
        <v>263</v>
      </c>
      <c r="D16" s="6" t="s">
        <v>264</v>
      </c>
      <c r="E16" s="38"/>
    </row>
    <row r="17" spans="2:5" ht="12.75" customHeight="1" x14ac:dyDescent="0.2">
      <c r="B17" s="6">
        <v>6</v>
      </c>
      <c r="C17" s="6" t="s">
        <v>436</v>
      </c>
      <c r="D17" s="6"/>
      <c r="E17" s="38"/>
    </row>
    <row r="18" spans="2:5" ht="12" customHeight="1" x14ac:dyDescent="0.2">
      <c r="B18" s="6">
        <v>7</v>
      </c>
      <c r="C18" s="6" t="s">
        <v>437</v>
      </c>
      <c r="D18" s="6" t="s">
        <v>438</v>
      </c>
      <c r="E18" s="38"/>
    </row>
    <row r="19" spans="2:5" ht="12" customHeight="1" x14ac:dyDescent="0.2">
      <c r="B19" s="6">
        <v>8</v>
      </c>
      <c r="C19" s="6" t="s">
        <v>445</v>
      </c>
      <c r="D19" s="6" t="s">
        <v>446</v>
      </c>
      <c r="E19" s="38"/>
    </row>
    <row r="20" spans="2:5" ht="12" customHeight="1" x14ac:dyDescent="0.2">
      <c r="B20" s="6">
        <v>9</v>
      </c>
      <c r="C20" s="6" t="s">
        <v>453</v>
      </c>
      <c r="D20" s="6" t="s">
        <v>454</v>
      </c>
      <c r="E20" s="38"/>
    </row>
    <row r="21" spans="2:5" x14ac:dyDescent="0.2">
      <c r="B21" s="6">
        <v>10</v>
      </c>
      <c r="C21" s="6"/>
      <c r="D21" s="6"/>
      <c r="E21" s="38"/>
    </row>
    <row r="22" spans="2:5" x14ac:dyDescent="0.2">
      <c r="B22" s="6">
        <v>11</v>
      </c>
      <c r="C22" s="6"/>
      <c r="D22" s="6"/>
      <c r="E22" s="6"/>
    </row>
    <row r="23" spans="2:5" x14ac:dyDescent="0.2">
      <c r="B23" s="6">
        <v>12</v>
      </c>
      <c r="C23" s="6"/>
      <c r="D23" s="6"/>
      <c r="E23" s="6"/>
    </row>
    <row r="24" spans="2:5" x14ac:dyDescent="0.2">
      <c r="B24" s="6">
        <v>13</v>
      </c>
      <c r="C24" s="6"/>
      <c r="D24" s="6"/>
      <c r="E24" s="6"/>
    </row>
    <row r="25" spans="2:5" x14ac:dyDescent="0.2">
      <c r="B25" s="6">
        <v>14</v>
      </c>
      <c r="C25" s="6"/>
      <c r="D25" s="6"/>
      <c r="E25" s="6"/>
    </row>
    <row r="26" spans="2:5" ht="12.75" customHeight="1" x14ac:dyDescent="0.2">
      <c r="B26" s="6">
        <v>15</v>
      </c>
      <c r="C26" s="6"/>
      <c r="D26" s="6"/>
      <c r="E26" s="6"/>
    </row>
    <row r="27" spans="2:5" x14ac:dyDescent="0.2">
      <c r="B27" s="6">
        <v>16</v>
      </c>
      <c r="C27" s="6"/>
      <c r="D27" s="6"/>
      <c r="E27" s="6"/>
    </row>
    <row r="28" spans="2:5" x14ac:dyDescent="0.2">
      <c r="B28" s="6">
        <v>17</v>
      </c>
      <c r="C28" s="6"/>
      <c r="D28" s="6"/>
      <c r="E28" s="6"/>
    </row>
    <row r="29" spans="2:5" x14ac:dyDescent="0.2">
      <c r="B29" s="6">
        <v>18</v>
      </c>
      <c r="C29" s="6"/>
      <c r="D29" s="6"/>
      <c r="E29" s="6"/>
    </row>
    <row r="30" spans="2:5" x14ac:dyDescent="0.2">
      <c r="B30" s="6">
        <v>19</v>
      </c>
      <c r="C30" s="6"/>
      <c r="D30" s="6"/>
      <c r="E30" s="6"/>
    </row>
    <row r="31" spans="2:5" x14ac:dyDescent="0.2">
      <c r="B31" s="6">
        <v>20</v>
      </c>
      <c r="C31" s="6"/>
      <c r="D31" s="6"/>
      <c r="E31" s="6"/>
    </row>
    <row r="32" spans="2:5" x14ac:dyDescent="0.2">
      <c r="B32" s="6">
        <v>21</v>
      </c>
      <c r="C32" s="6"/>
      <c r="D32" s="6"/>
      <c r="E32" s="6"/>
    </row>
    <row r="33" spans="2:5" x14ac:dyDescent="0.2">
      <c r="B33" s="6">
        <v>22</v>
      </c>
      <c r="C33" s="6"/>
      <c r="D33" s="6"/>
      <c r="E33" s="6"/>
    </row>
    <row r="36" spans="2:5" s="8" customFormat="1" x14ac:dyDescent="0.2">
      <c r="B36" s="8" t="s">
        <v>57</v>
      </c>
    </row>
    <row r="38" spans="2:5" x14ac:dyDescent="0.2">
      <c r="B38" s="21" t="s">
        <v>58</v>
      </c>
    </row>
    <row r="39" spans="2:5" x14ac:dyDescent="0.2">
      <c r="B39" s="21" t="s">
        <v>54</v>
      </c>
    </row>
    <row r="40" spans="2:5" x14ac:dyDescent="0.2">
      <c r="B40" s="21"/>
    </row>
    <row r="45" spans="2:5" x14ac:dyDescent="0.2">
      <c r="B45" s="4" t="s">
        <v>62</v>
      </c>
    </row>
  </sheetData>
  <phoneticPr fontId="32"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sheetPr>
  <dimension ref="B2:N52"/>
  <sheetViews>
    <sheetView showGridLines="0" zoomScale="115" zoomScaleNormal="115" workbookViewId="0">
      <pane xSplit="6" ySplit="8" topLeftCell="G9" activePane="bottomRight" state="frozen"/>
      <selection activeCell="O39" sqref="O39"/>
      <selection pane="topRight" activeCell="O39" sqref="O39"/>
      <selection pane="bottomLeft" activeCell="O39" sqref="O39"/>
      <selection pane="bottomRight" activeCell="G9" sqref="G9"/>
    </sheetView>
  </sheetViews>
  <sheetFormatPr defaultColWidth="9.140625" defaultRowHeight="12.75" x14ac:dyDescent="0.2"/>
  <cols>
    <col min="1" max="1" width="4" style="2" customWidth="1"/>
    <col min="2" max="2" width="41.42578125" style="2" customWidth="1"/>
    <col min="3" max="5" width="4.5703125" style="2" customWidth="1"/>
    <col min="6" max="6" width="21" style="2" customWidth="1"/>
    <col min="7" max="7" width="2.7109375" style="2" customWidth="1"/>
    <col min="8" max="8" width="19.140625" style="2" customWidth="1"/>
    <col min="9" max="9" width="2.7109375" style="2" customWidth="1"/>
    <col min="10" max="10" width="13.7109375" style="2" customWidth="1"/>
    <col min="11" max="11" width="2.7109375" style="2" customWidth="1"/>
    <col min="12" max="12" width="21.140625" style="2" customWidth="1"/>
    <col min="13" max="13" width="2.7109375" style="2" customWidth="1"/>
    <col min="14" max="14" width="13.7109375" style="2" customWidth="1"/>
    <col min="15" max="15" width="2.7109375" style="2" customWidth="1"/>
    <col min="16" max="30" width="13.7109375" style="2" customWidth="1"/>
    <col min="31" max="16384" width="9.140625" style="2"/>
  </cols>
  <sheetData>
    <row r="2" spans="2:14" s="14" customFormat="1" ht="18" x14ac:dyDescent="0.2">
      <c r="B2" s="14" t="s">
        <v>266</v>
      </c>
    </row>
    <row r="4" spans="2:14" x14ac:dyDescent="0.2">
      <c r="B4" s="20" t="s">
        <v>11</v>
      </c>
      <c r="C4" s="1"/>
      <c r="D4" s="1"/>
    </row>
    <row r="5" spans="2:14" x14ac:dyDescent="0.2">
      <c r="B5" s="2" t="s">
        <v>139</v>
      </c>
      <c r="C5" s="3"/>
      <c r="D5" s="3"/>
      <c r="H5" s="15"/>
    </row>
    <row r="7" spans="2:14" s="8" customFormat="1" x14ac:dyDescent="0.2">
      <c r="B7" s="8" t="s">
        <v>11</v>
      </c>
      <c r="F7" s="8" t="s">
        <v>34</v>
      </c>
      <c r="H7" s="8" t="s">
        <v>35</v>
      </c>
      <c r="J7" s="8" t="s">
        <v>36</v>
      </c>
      <c r="L7" s="8" t="s">
        <v>140</v>
      </c>
      <c r="N7" s="8" t="s">
        <v>37</v>
      </c>
    </row>
    <row r="10" spans="2:14" s="8" customFormat="1" x14ac:dyDescent="0.2">
      <c r="B10" s="8" t="s">
        <v>267</v>
      </c>
    </row>
    <row r="12" spans="2:14" x14ac:dyDescent="0.2">
      <c r="B12" s="1" t="s">
        <v>78</v>
      </c>
      <c r="N12" s="66"/>
    </row>
    <row r="13" spans="2:14" x14ac:dyDescent="0.2">
      <c r="B13" s="2" t="s">
        <v>79</v>
      </c>
      <c r="F13" s="2" t="s">
        <v>268</v>
      </c>
      <c r="H13" s="39">
        <f>'Variable tariffs'!H16</f>
        <v>0.2863</v>
      </c>
      <c r="L13" s="2" t="s">
        <v>269</v>
      </c>
      <c r="N13" s="15"/>
    </row>
    <row r="14" spans="2:14" x14ac:dyDescent="0.2">
      <c r="B14" s="2" t="s">
        <v>80</v>
      </c>
      <c r="F14" s="2" t="s">
        <v>268</v>
      </c>
      <c r="H14" s="39">
        <f>'Variable tariffs'!H22</f>
        <v>0.16378053220053376</v>
      </c>
      <c r="L14" s="2" t="s">
        <v>159</v>
      </c>
    </row>
    <row r="15" spans="2:14" x14ac:dyDescent="0.2">
      <c r="B15" s="2" t="s">
        <v>81</v>
      </c>
      <c r="F15" s="2" t="s">
        <v>268</v>
      </c>
      <c r="H15" s="39">
        <f>'Variable tariffs'!H26</f>
        <v>0.4501</v>
      </c>
      <c r="L15" s="2" t="s">
        <v>159</v>
      </c>
    </row>
    <row r="17" spans="2:12" s="8" customFormat="1" x14ac:dyDescent="0.2">
      <c r="B17" s="8" t="s">
        <v>270</v>
      </c>
    </row>
    <row r="19" spans="2:12" x14ac:dyDescent="0.2">
      <c r="B19" s="1" t="s">
        <v>82</v>
      </c>
    </row>
    <row r="20" spans="2:12" x14ac:dyDescent="0.2">
      <c r="B20" s="2" t="s">
        <v>83</v>
      </c>
      <c r="F20" s="2" t="s">
        <v>268</v>
      </c>
      <c r="H20" s="39">
        <f>'Variable tariffs'!H39</f>
        <v>0.47920000000000001</v>
      </c>
      <c r="L20" s="2" t="s">
        <v>271</v>
      </c>
    </row>
    <row r="22" spans="2:12" x14ac:dyDescent="0.2">
      <c r="B22" s="20" t="s">
        <v>84</v>
      </c>
    </row>
    <row r="23" spans="2:12" x14ac:dyDescent="0.2">
      <c r="B23" s="2" t="s">
        <v>85</v>
      </c>
      <c r="F23" s="2" t="s">
        <v>272</v>
      </c>
      <c r="H23" s="77">
        <f>'Fixed tariffs'!H16</f>
        <v>10.712689803081787</v>
      </c>
      <c r="L23" s="2" t="s">
        <v>269</v>
      </c>
    </row>
    <row r="25" spans="2:12" x14ac:dyDescent="0.2">
      <c r="B25" s="40">
        <f>'Fixed tariffs'!B19</f>
        <v>3.2</v>
      </c>
      <c r="F25" s="2" t="s">
        <v>272</v>
      </c>
      <c r="H25" s="65">
        <f>'Fixed tariffs'!H19</f>
        <v>34.28060736986172</v>
      </c>
      <c r="L25" s="2" t="s">
        <v>269</v>
      </c>
    </row>
    <row r="26" spans="2:12" x14ac:dyDescent="0.2">
      <c r="B26" s="40">
        <f>'Fixed tariffs'!B20</f>
        <v>7.7</v>
      </c>
      <c r="F26" s="2" t="s">
        <v>272</v>
      </c>
      <c r="H26" s="65">
        <f>'Fixed tariffs'!H20</f>
        <v>82.487711483729768</v>
      </c>
      <c r="L26" s="2" t="s">
        <v>269</v>
      </c>
    </row>
    <row r="27" spans="2:12" x14ac:dyDescent="0.2">
      <c r="B27" s="40">
        <f>'Fixed tariffs'!B21</f>
        <v>13.3</v>
      </c>
      <c r="F27" s="2" t="s">
        <v>272</v>
      </c>
      <c r="H27" s="65">
        <f>'Fixed tariffs'!H21</f>
        <v>142.47877438098777</v>
      </c>
      <c r="L27" s="2" t="s">
        <v>269</v>
      </c>
    </row>
    <row r="28" spans="2:12" x14ac:dyDescent="0.2">
      <c r="B28" s="40">
        <f>'Fixed tariffs'!B22</f>
        <v>18.3</v>
      </c>
      <c r="F28" s="2" t="s">
        <v>272</v>
      </c>
      <c r="H28" s="65">
        <f>'Fixed tariffs'!H22</f>
        <v>196.04222339639671</v>
      </c>
      <c r="L28" s="2" t="s">
        <v>269</v>
      </c>
    </row>
    <row r="29" spans="2:12" x14ac:dyDescent="0.2">
      <c r="B29" s="40">
        <f>'Fixed tariffs'!B23</f>
        <v>23.3</v>
      </c>
      <c r="F29" s="2" t="s">
        <v>272</v>
      </c>
      <c r="H29" s="65">
        <f>'Fixed tariffs'!H23</f>
        <v>249.60567241180564</v>
      </c>
      <c r="L29" s="2" t="s">
        <v>269</v>
      </c>
    </row>
    <row r="30" spans="2:12" x14ac:dyDescent="0.2">
      <c r="B30" s="40">
        <f>'Fixed tariffs'!B24</f>
        <v>28.3</v>
      </c>
      <c r="F30" s="2" t="s">
        <v>272</v>
      </c>
      <c r="H30" s="65">
        <f>'Fixed tariffs'!H24</f>
        <v>303.16912142721458</v>
      </c>
      <c r="L30" s="2" t="s">
        <v>269</v>
      </c>
    </row>
    <row r="31" spans="2:12" x14ac:dyDescent="0.2">
      <c r="B31" s="40">
        <f>'Fixed tariffs'!B25</f>
        <v>38.299999999999997</v>
      </c>
      <c r="F31" s="2" t="s">
        <v>272</v>
      </c>
      <c r="H31" s="65">
        <f>'Fixed tariffs'!H25</f>
        <v>410.29601945803239</v>
      </c>
      <c r="L31" s="2" t="s">
        <v>269</v>
      </c>
    </row>
    <row r="32" spans="2:12" x14ac:dyDescent="0.2">
      <c r="B32" s="40">
        <f>'Fixed tariffs'!B26</f>
        <v>48.3</v>
      </c>
      <c r="F32" s="2" t="s">
        <v>272</v>
      </c>
      <c r="H32" s="65">
        <f>'Fixed tariffs'!H26</f>
        <v>517.42291748885032</v>
      </c>
      <c r="L32" s="2" t="s">
        <v>269</v>
      </c>
    </row>
    <row r="33" spans="2:14" x14ac:dyDescent="0.2">
      <c r="B33" s="40">
        <f>'Fixed tariffs'!B27</f>
        <v>63.3</v>
      </c>
      <c r="F33" s="2" t="s">
        <v>272</v>
      </c>
      <c r="H33" s="65">
        <f>'Fixed tariffs'!H27</f>
        <v>678.11326453507706</v>
      </c>
      <c r="L33" s="2" t="s">
        <v>269</v>
      </c>
    </row>
    <row r="34" spans="2:14" x14ac:dyDescent="0.2">
      <c r="B34" s="40">
        <f>'Fixed tariffs'!B28</f>
        <v>78.3</v>
      </c>
      <c r="F34" s="2" t="s">
        <v>272</v>
      </c>
      <c r="H34" s="65">
        <f>'Fixed tariffs'!H28</f>
        <v>838.80361158130393</v>
      </c>
      <c r="L34" s="2" t="s">
        <v>269</v>
      </c>
    </row>
    <row r="35" spans="2:14" x14ac:dyDescent="0.2">
      <c r="B35" s="40">
        <f>'Fixed tariffs'!B29</f>
        <v>83.3</v>
      </c>
      <c r="F35" s="2" t="s">
        <v>272</v>
      </c>
      <c r="H35" s="65">
        <f>'Fixed tariffs'!H29</f>
        <v>892.3670605967128</v>
      </c>
      <c r="L35" s="2" t="s">
        <v>269</v>
      </c>
    </row>
    <row r="36" spans="2:14" x14ac:dyDescent="0.2">
      <c r="B36" s="40">
        <f>'Fixed tariffs'!B30</f>
        <v>93.3</v>
      </c>
      <c r="F36" s="2" t="s">
        <v>272</v>
      </c>
      <c r="H36" s="65">
        <f>'Fixed tariffs'!H30</f>
        <v>999.49395862753067</v>
      </c>
      <c r="L36" s="2" t="s">
        <v>269</v>
      </c>
    </row>
    <row r="37" spans="2:14" x14ac:dyDescent="0.2">
      <c r="B37" s="40">
        <f>'Fixed tariffs'!B31</f>
        <v>98.3</v>
      </c>
      <c r="F37" s="2" t="s">
        <v>272</v>
      </c>
      <c r="H37" s="65">
        <f>'Fixed tariffs'!H31</f>
        <v>1053.0574076429396</v>
      </c>
      <c r="L37" s="2" t="s">
        <v>269</v>
      </c>
    </row>
    <row r="38" spans="2:14" x14ac:dyDescent="0.2">
      <c r="B38" s="40">
        <f>'Fixed tariffs'!B32</f>
        <v>100</v>
      </c>
      <c r="F38" s="2" t="s">
        <v>272</v>
      </c>
      <c r="H38" s="65">
        <f>'Fixed tariffs'!H32</f>
        <v>1071.2689803081787</v>
      </c>
      <c r="L38" s="2" t="s">
        <v>269</v>
      </c>
    </row>
    <row r="39" spans="2:14" x14ac:dyDescent="0.2">
      <c r="B39" s="40">
        <f>'Fixed tariffs'!B33</f>
        <v>125</v>
      </c>
      <c r="F39" s="2" t="s">
        <v>272</v>
      </c>
      <c r="H39" s="65">
        <f>'Fixed tariffs'!H33</f>
        <v>1339.0862253852233</v>
      </c>
      <c r="L39" s="2" t="s">
        <v>269</v>
      </c>
    </row>
    <row r="40" spans="2:14" x14ac:dyDescent="0.2">
      <c r="B40" s="40">
        <f>'Fixed tariffs'!B34</f>
        <v>150</v>
      </c>
      <c r="F40" s="2" t="s">
        <v>272</v>
      </c>
      <c r="H40" s="65">
        <f>'Fixed tariffs'!H34</f>
        <v>1606.9034704622682</v>
      </c>
      <c r="L40" s="2" t="s">
        <v>269</v>
      </c>
    </row>
    <row r="41" spans="2:14" x14ac:dyDescent="0.2">
      <c r="B41" s="40">
        <f>'Fixed tariffs'!B35</f>
        <v>350</v>
      </c>
      <c r="F41" s="2" t="s">
        <v>272</v>
      </c>
      <c r="H41" s="65">
        <f>'Fixed tariffs'!H35</f>
        <v>3749.4414310786256</v>
      </c>
      <c r="L41" s="2" t="s">
        <v>269</v>
      </c>
    </row>
    <row r="42" spans="2:14" x14ac:dyDescent="0.2">
      <c r="B42" s="41"/>
    </row>
    <row r="43" spans="2:14" x14ac:dyDescent="0.2">
      <c r="B43" s="20" t="s">
        <v>86</v>
      </c>
    </row>
    <row r="44" spans="2:14" x14ac:dyDescent="0.2">
      <c r="B44" s="2" t="s">
        <v>86</v>
      </c>
      <c r="F44" s="2" t="s">
        <v>273</v>
      </c>
      <c r="H44" s="65">
        <f>'Fixed tariffs'!H43</f>
        <v>25</v>
      </c>
      <c r="L44" s="2" t="s">
        <v>269</v>
      </c>
      <c r="N44" s="2" t="s">
        <v>88</v>
      </c>
    </row>
    <row r="46" spans="2:14" x14ac:dyDescent="0.2">
      <c r="B46" s="1" t="s">
        <v>89</v>
      </c>
    </row>
    <row r="47" spans="2:14" x14ac:dyDescent="0.2">
      <c r="B47" s="2" t="s">
        <v>90</v>
      </c>
      <c r="F47" s="2" t="s">
        <v>273</v>
      </c>
      <c r="H47" s="65">
        <f>'Fixed tariffs'!H54</f>
        <v>307.94560561005881</v>
      </c>
      <c r="L47" s="2" t="s">
        <v>269</v>
      </c>
    </row>
    <row r="48" spans="2:14" x14ac:dyDescent="0.2">
      <c r="B48" s="2" t="s">
        <v>91</v>
      </c>
      <c r="F48" s="2" t="s">
        <v>273</v>
      </c>
      <c r="H48" s="65">
        <f>'Fixed tariffs'!H55</f>
        <v>345.26631405435785</v>
      </c>
      <c r="L48" s="2" t="s">
        <v>269</v>
      </c>
    </row>
    <row r="49" spans="2:12" x14ac:dyDescent="0.2">
      <c r="B49" s="2" t="s">
        <v>92</v>
      </c>
      <c r="F49" s="2" t="s">
        <v>273</v>
      </c>
      <c r="H49" s="65">
        <f>'Fixed tariffs'!H56</f>
        <v>98.228104625394863</v>
      </c>
      <c r="L49" s="2" t="s">
        <v>269</v>
      </c>
    </row>
    <row r="52" spans="2:12" x14ac:dyDescent="0.2">
      <c r="B52" s="4" t="s">
        <v>62</v>
      </c>
    </row>
  </sheetData>
  <phoneticPr fontId="3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5ADD9-741A-4B01-AC2E-B0FE0AD4D861}">
  <sheetPr>
    <tabColor rgb="FFCCFFFF"/>
  </sheetPr>
  <dimension ref="A1:K114"/>
  <sheetViews>
    <sheetView showGridLines="0" zoomScale="85" zoomScaleNormal="85" workbookViewId="0"/>
  </sheetViews>
  <sheetFormatPr defaultColWidth="9.140625" defaultRowHeight="12.75" x14ac:dyDescent="0.2"/>
  <cols>
    <col min="1" max="2" width="4" style="2" customWidth="1"/>
    <col min="3" max="3" width="43.42578125" style="2" customWidth="1"/>
    <col min="4" max="6" width="4.5703125" style="2" customWidth="1"/>
    <col min="7" max="7" width="25.28515625" style="2" customWidth="1"/>
    <col min="8" max="8" width="2.7109375" style="2" customWidth="1"/>
    <col min="9" max="10" width="13.7109375" style="2" customWidth="1"/>
    <col min="11" max="11" width="4" style="2" customWidth="1"/>
    <col min="12" max="12" width="2.7109375" style="2" customWidth="1"/>
    <col min="13" max="14" width="21.7109375" style="2" customWidth="1"/>
    <col min="15" max="15" width="2.7109375" style="2" customWidth="1"/>
    <col min="16" max="22" width="12.5703125" style="2" customWidth="1"/>
    <col min="23" max="25" width="2.7109375" style="2" customWidth="1"/>
    <col min="26" max="40" width="13.7109375" style="2" customWidth="1"/>
    <col min="41" max="16384" width="9.140625" style="2"/>
  </cols>
  <sheetData>
    <row r="1" spans="1:10" x14ac:dyDescent="0.2">
      <c r="A1" s="45"/>
      <c r="B1" s="45"/>
    </row>
    <row r="2" spans="1:10" s="14" customFormat="1" ht="18" x14ac:dyDescent="0.2">
      <c r="A2" s="7"/>
      <c r="B2" s="7"/>
      <c r="C2" s="14" t="s">
        <v>166</v>
      </c>
    </row>
    <row r="3" spans="1:10" ht="12.75" customHeight="1" x14ac:dyDescent="0.2">
      <c r="A3" s="45"/>
      <c r="B3" s="45"/>
    </row>
    <row r="4" spans="1:10" ht="12.75" customHeight="1" x14ac:dyDescent="0.2">
      <c r="A4" s="45"/>
      <c r="B4" s="45"/>
      <c r="C4" s="1" t="s">
        <v>73</v>
      </c>
      <c r="D4" s="1"/>
      <c r="E4" s="1"/>
    </row>
    <row r="5" spans="1:10" ht="12.75" customHeight="1" x14ac:dyDescent="0.2">
      <c r="A5" s="45"/>
      <c r="B5" s="45"/>
      <c r="C5" s="2" t="s">
        <v>274</v>
      </c>
      <c r="I5" s="15"/>
    </row>
    <row r="6" spans="1:10" ht="12.75" customHeight="1" x14ac:dyDescent="0.2">
      <c r="A6" s="45"/>
      <c r="B6" s="45"/>
    </row>
    <row r="7" spans="1:10" s="8" customFormat="1" ht="12.75" customHeight="1" x14ac:dyDescent="0.2">
      <c r="C7" s="8" t="s">
        <v>167</v>
      </c>
      <c r="G7" s="8" t="s">
        <v>34</v>
      </c>
    </row>
    <row r="8" spans="1:10" ht="12.75" customHeight="1" x14ac:dyDescent="0.2">
      <c r="A8" s="45"/>
      <c r="B8" s="45"/>
    </row>
    <row r="9" spans="1:10" ht="12.75" customHeight="1" x14ac:dyDescent="0.2">
      <c r="C9" s="20" t="s">
        <v>168</v>
      </c>
      <c r="G9" s="2" t="s">
        <v>275</v>
      </c>
      <c r="I9" s="80">
        <f>Result!H13</f>
        <v>0.2863</v>
      </c>
    </row>
    <row r="10" spans="1:10" ht="12.75" customHeight="1" thickBot="1" x14ac:dyDescent="0.25"/>
    <row r="11" spans="1:10" ht="12.75" customHeight="1" x14ac:dyDescent="0.2">
      <c r="B11" s="81"/>
      <c r="C11" s="82"/>
      <c r="D11" s="82"/>
      <c r="E11" s="82"/>
      <c r="F11" s="82"/>
      <c r="G11" s="82"/>
      <c r="H11" s="82"/>
      <c r="I11" s="82"/>
      <c r="J11" s="83"/>
    </row>
    <row r="12" spans="1:10" s="8" customFormat="1" ht="12.75" customHeight="1" x14ac:dyDescent="0.2">
      <c r="B12" s="84"/>
      <c r="C12" s="8" t="s">
        <v>276</v>
      </c>
      <c r="G12" s="8" t="s">
        <v>34</v>
      </c>
      <c r="J12" s="85"/>
    </row>
    <row r="13" spans="1:10" ht="12.75" customHeight="1" x14ac:dyDescent="0.2">
      <c r="B13" s="86"/>
      <c r="J13" s="87"/>
    </row>
    <row r="14" spans="1:10" ht="12.75" customHeight="1" x14ac:dyDescent="0.2">
      <c r="B14" s="86"/>
      <c r="C14" s="20" t="s">
        <v>169</v>
      </c>
      <c r="G14" s="2" t="s">
        <v>275</v>
      </c>
      <c r="I14" s="80">
        <f>Result!H20</f>
        <v>0.47920000000000001</v>
      </c>
      <c r="J14" s="87"/>
    </row>
    <row r="15" spans="1:10" ht="12.75" customHeight="1" x14ac:dyDescent="0.2">
      <c r="B15" s="86"/>
      <c r="J15" s="87"/>
    </row>
    <row r="16" spans="1:10" ht="12.75" customHeight="1" x14ac:dyDescent="0.2">
      <c r="B16" s="86"/>
      <c r="C16" s="20" t="s">
        <v>170</v>
      </c>
      <c r="J16" s="87"/>
    </row>
    <row r="17" spans="2:10" ht="12.75" customHeight="1" x14ac:dyDescent="0.2">
      <c r="B17" s="86"/>
      <c r="C17" s="2" t="s">
        <v>85</v>
      </c>
      <c r="G17" s="2" t="s">
        <v>277</v>
      </c>
      <c r="I17" s="88">
        <f>Result!H23</f>
        <v>10.712689803081787</v>
      </c>
      <c r="J17" s="87"/>
    </row>
    <row r="18" spans="2:10" ht="12.75" customHeight="1" x14ac:dyDescent="0.2">
      <c r="B18" s="86"/>
      <c r="C18" s="2" t="s">
        <v>171</v>
      </c>
      <c r="G18" s="2" t="s">
        <v>277</v>
      </c>
      <c r="I18" s="88">
        <f>Result!H25</f>
        <v>34.28060736986172</v>
      </c>
      <c r="J18" s="87"/>
    </row>
    <row r="19" spans="2:10" ht="12.75" customHeight="1" x14ac:dyDescent="0.2">
      <c r="B19" s="86"/>
      <c r="C19" s="2" t="s">
        <v>172</v>
      </c>
      <c r="G19" s="2" t="s">
        <v>277</v>
      </c>
      <c r="I19" s="88">
        <f>Result!H26</f>
        <v>82.487711483729768</v>
      </c>
      <c r="J19" s="87"/>
    </row>
    <row r="20" spans="2:10" ht="12.75" customHeight="1" x14ac:dyDescent="0.2">
      <c r="B20" s="86"/>
      <c r="C20" s="2" t="s">
        <v>173</v>
      </c>
      <c r="G20" s="2" t="s">
        <v>277</v>
      </c>
      <c r="I20" s="88">
        <f>Result!H27</f>
        <v>142.47877438098777</v>
      </c>
      <c r="J20" s="87"/>
    </row>
    <row r="21" spans="2:10" ht="12.75" customHeight="1" x14ac:dyDescent="0.2">
      <c r="B21" s="86"/>
      <c r="C21" s="2" t="s">
        <v>174</v>
      </c>
      <c r="G21" s="2" t="s">
        <v>277</v>
      </c>
      <c r="I21" s="88">
        <f>Result!H28</f>
        <v>196.04222339639671</v>
      </c>
      <c r="J21" s="87"/>
    </row>
    <row r="22" spans="2:10" ht="12.75" customHeight="1" x14ac:dyDescent="0.2">
      <c r="B22" s="86"/>
      <c r="C22" s="2" t="s">
        <v>175</v>
      </c>
      <c r="G22" s="2" t="s">
        <v>277</v>
      </c>
      <c r="I22" s="88">
        <f>Result!H29</f>
        <v>249.60567241180564</v>
      </c>
      <c r="J22" s="87"/>
    </row>
    <row r="23" spans="2:10" ht="12.75" customHeight="1" x14ac:dyDescent="0.2">
      <c r="B23" s="86"/>
      <c r="C23" s="2" t="s">
        <v>176</v>
      </c>
      <c r="G23" s="2" t="s">
        <v>277</v>
      </c>
      <c r="I23" s="88">
        <f>Result!H30</f>
        <v>303.16912142721458</v>
      </c>
      <c r="J23" s="87"/>
    </row>
    <row r="24" spans="2:10" ht="12.75" customHeight="1" x14ac:dyDescent="0.2">
      <c r="B24" s="86"/>
      <c r="C24" s="2" t="s">
        <v>177</v>
      </c>
      <c r="G24" s="2" t="s">
        <v>277</v>
      </c>
      <c r="I24" s="88">
        <f>Result!H31</f>
        <v>410.29601945803239</v>
      </c>
      <c r="J24" s="87"/>
    </row>
    <row r="25" spans="2:10" ht="12.75" customHeight="1" x14ac:dyDescent="0.2">
      <c r="B25" s="86"/>
      <c r="C25" s="2" t="s">
        <v>178</v>
      </c>
      <c r="G25" s="2" t="s">
        <v>277</v>
      </c>
      <c r="I25" s="88">
        <f>Result!H32</f>
        <v>517.42291748885032</v>
      </c>
      <c r="J25" s="87"/>
    </row>
    <row r="26" spans="2:10" ht="12.75" customHeight="1" x14ac:dyDescent="0.2">
      <c r="B26" s="86"/>
      <c r="C26" s="2" t="s">
        <v>179</v>
      </c>
      <c r="G26" s="2" t="s">
        <v>277</v>
      </c>
      <c r="I26" s="88">
        <f>Result!H33</f>
        <v>678.11326453507706</v>
      </c>
      <c r="J26" s="87"/>
    </row>
    <row r="27" spans="2:10" ht="12.75" customHeight="1" x14ac:dyDescent="0.2">
      <c r="B27" s="86"/>
      <c r="C27" s="2" t="s">
        <v>180</v>
      </c>
      <c r="G27" s="2" t="s">
        <v>277</v>
      </c>
      <c r="I27" s="88">
        <f>Result!H34</f>
        <v>838.80361158130393</v>
      </c>
      <c r="J27" s="87"/>
    </row>
    <row r="28" spans="2:10" ht="12.75" customHeight="1" x14ac:dyDescent="0.2">
      <c r="B28" s="86"/>
      <c r="C28" s="2" t="s">
        <v>181</v>
      </c>
      <c r="G28" s="2" t="s">
        <v>277</v>
      </c>
      <c r="I28" s="88">
        <f>Result!H35</f>
        <v>892.3670605967128</v>
      </c>
      <c r="J28" s="87"/>
    </row>
    <row r="29" spans="2:10" ht="12.75" customHeight="1" x14ac:dyDescent="0.2">
      <c r="B29" s="86"/>
      <c r="C29" s="2" t="s">
        <v>182</v>
      </c>
      <c r="G29" s="2" t="s">
        <v>277</v>
      </c>
      <c r="I29" s="88">
        <f>Result!H36</f>
        <v>999.49395862753067</v>
      </c>
      <c r="J29" s="87"/>
    </row>
    <row r="30" spans="2:10" ht="12.75" customHeight="1" x14ac:dyDescent="0.2">
      <c r="B30" s="86"/>
      <c r="C30" s="2" t="s">
        <v>183</v>
      </c>
      <c r="G30" s="2" t="s">
        <v>277</v>
      </c>
      <c r="I30" s="88">
        <f>Result!H37</f>
        <v>1053.0574076429396</v>
      </c>
      <c r="J30" s="87"/>
    </row>
    <row r="31" spans="2:10" ht="12.75" customHeight="1" x14ac:dyDescent="0.2">
      <c r="B31" s="86"/>
      <c r="C31" s="2" t="s">
        <v>184</v>
      </c>
      <c r="G31" s="2" t="s">
        <v>277</v>
      </c>
      <c r="I31" s="88">
        <f>Result!H38</f>
        <v>1071.2689803081787</v>
      </c>
      <c r="J31" s="87"/>
    </row>
    <row r="32" spans="2:10" ht="12.75" customHeight="1" x14ac:dyDescent="0.2">
      <c r="B32" s="86"/>
      <c r="C32" s="2" t="s">
        <v>185</v>
      </c>
      <c r="G32" s="2" t="s">
        <v>277</v>
      </c>
      <c r="I32" s="88">
        <f>Result!H39</f>
        <v>1339.0862253852233</v>
      </c>
      <c r="J32" s="87"/>
    </row>
    <row r="33" spans="2:11" ht="12.75" customHeight="1" x14ac:dyDescent="0.2">
      <c r="B33" s="86"/>
      <c r="C33" s="2" t="s">
        <v>186</v>
      </c>
      <c r="G33" s="2" t="s">
        <v>277</v>
      </c>
      <c r="I33" s="88">
        <f>Result!H40</f>
        <v>1606.9034704622682</v>
      </c>
      <c r="J33" s="87"/>
    </row>
    <row r="34" spans="2:11" ht="12.75" customHeight="1" x14ac:dyDescent="0.2">
      <c r="B34" s="86"/>
      <c r="C34" s="2" t="s">
        <v>187</v>
      </c>
      <c r="G34" s="2" t="s">
        <v>277</v>
      </c>
      <c r="I34" s="88">
        <f>Result!H41</f>
        <v>3749.4414310786256</v>
      </c>
      <c r="J34" s="87"/>
    </row>
    <row r="35" spans="2:11" ht="12.75" customHeight="1" x14ac:dyDescent="0.2">
      <c r="B35" s="86"/>
      <c r="J35" s="87"/>
    </row>
    <row r="36" spans="2:11" ht="12.75" customHeight="1" x14ac:dyDescent="0.2">
      <c r="B36" s="86"/>
      <c r="C36" s="20" t="s">
        <v>86</v>
      </c>
      <c r="J36" s="87"/>
    </row>
    <row r="37" spans="2:11" ht="12.75" customHeight="1" x14ac:dyDescent="0.2">
      <c r="B37" s="86"/>
      <c r="C37" s="2" t="s">
        <v>86</v>
      </c>
      <c r="G37" s="2" t="s">
        <v>273</v>
      </c>
      <c r="I37" s="88">
        <f>Result!H44</f>
        <v>25</v>
      </c>
      <c r="J37" s="87"/>
    </row>
    <row r="38" spans="2:11" ht="12.75" customHeight="1" x14ac:dyDescent="0.2">
      <c r="B38" s="86"/>
      <c r="J38" s="87"/>
    </row>
    <row r="39" spans="2:11" ht="12.75" customHeight="1" x14ac:dyDescent="0.2">
      <c r="B39" s="86"/>
      <c r="C39" s="20" t="s">
        <v>89</v>
      </c>
      <c r="J39" s="87"/>
    </row>
    <row r="40" spans="2:11" ht="12.75" customHeight="1" x14ac:dyDescent="0.2">
      <c r="B40" s="86"/>
      <c r="C40" s="2" t="s">
        <v>90</v>
      </c>
      <c r="G40" s="2" t="s">
        <v>273</v>
      </c>
      <c r="I40" s="88">
        <f>Result!H47</f>
        <v>307.94560561005881</v>
      </c>
      <c r="J40" s="87"/>
    </row>
    <row r="41" spans="2:11" ht="12.75" customHeight="1" x14ac:dyDescent="0.2">
      <c r="B41" s="86"/>
      <c r="C41" s="2" t="s">
        <v>91</v>
      </c>
      <c r="G41" s="2" t="s">
        <v>273</v>
      </c>
      <c r="I41" s="88">
        <f>Result!H48</f>
        <v>345.26631405435785</v>
      </c>
      <c r="J41" s="87"/>
    </row>
    <row r="42" spans="2:11" ht="12.75" customHeight="1" x14ac:dyDescent="0.2">
      <c r="B42" s="86"/>
      <c r="C42" s="2" t="s">
        <v>92</v>
      </c>
      <c r="G42" s="2" t="s">
        <v>278</v>
      </c>
      <c r="I42" s="88">
        <f>Result!H49</f>
        <v>98.228104625394863</v>
      </c>
      <c r="J42" s="87"/>
    </row>
    <row r="43" spans="2:11" ht="12.75" customHeight="1" thickBot="1" x14ac:dyDescent="0.25">
      <c r="B43" s="89"/>
      <c r="C43" s="90"/>
      <c r="D43" s="90"/>
      <c r="E43" s="90"/>
      <c r="F43" s="90"/>
      <c r="G43" s="90"/>
      <c r="H43" s="90"/>
      <c r="I43" s="90"/>
      <c r="J43" s="91"/>
    </row>
    <row r="44" spans="2:11" ht="12.75" customHeight="1" thickBot="1" x14ac:dyDescent="0.25"/>
    <row r="45" spans="2:11" ht="12.75" customHeight="1" x14ac:dyDescent="0.2">
      <c r="B45" s="81"/>
      <c r="C45" s="82"/>
      <c r="D45" s="82"/>
      <c r="E45" s="82"/>
      <c r="F45" s="82"/>
      <c r="G45" s="82"/>
      <c r="H45" s="82"/>
      <c r="I45" s="82"/>
      <c r="J45" s="82"/>
      <c r="K45" s="83"/>
    </row>
    <row r="46" spans="2:11" s="8" customFormat="1" ht="12.75" customHeight="1" x14ac:dyDescent="0.2">
      <c r="B46" s="84"/>
      <c r="C46" s="8" t="s">
        <v>279</v>
      </c>
      <c r="G46" s="8" t="s">
        <v>34</v>
      </c>
      <c r="K46" s="85"/>
    </row>
    <row r="47" spans="2:11" ht="12.75" customHeight="1" x14ac:dyDescent="0.2">
      <c r="B47" s="86"/>
      <c r="K47" s="87"/>
    </row>
    <row r="48" spans="2:11" ht="12.75" customHeight="1" x14ac:dyDescent="0.2">
      <c r="B48" s="86"/>
      <c r="C48" s="20" t="s">
        <v>95</v>
      </c>
      <c r="K48" s="87"/>
    </row>
    <row r="49" spans="2:11" ht="12.75" customHeight="1" x14ac:dyDescent="0.2">
      <c r="B49" s="86"/>
      <c r="C49" s="36" t="s">
        <v>357</v>
      </c>
      <c r="G49" s="2" t="s">
        <v>99</v>
      </c>
      <c r="I49" s="92">
        <f>Parameters!H29</f>
        <v>8.3799999999999999E-2</v>
      </c>
      <c r="K49" s="87"/>
    </row>
    <row r="50" spans="2:11" ht="12.75" customHeight="1" x14ac:dyDescent="0.2">
      <c r="B50" s="86"/>
      <c r="C50" s="36" t="s">
        <v>358</v>
      </c>
      <c r="G50" s="2" t="s">
        <v>99</v>
      </c>
      <c r="I50" s="92">
        <f>Parameters!H30</f>
        <v>7.2800000000000004E-2</v>
      </c>
      <c r="K50" s="87"/>
    </row>
    <row r="51" spans="2:11" ht="12.75" customHeight="1" x14ac:dyDescent="0.2">
      <c r="B51" s="86"/>
      <c r="C51" s="2" t="s">
        <v>280</v>
      </c>
      <c r="G51" s="2" t="s">
        <v>99</v>
      </c>
      <c r="I51" s="92">
        <f>Parameters!H33</f>
        <v>8.8900000000000007E-2</v>
      </c>
      <c r="K51" s="87"/>
    </row>
    <row r="52" spans="2:11" ht="12.75" customHeight="1" x14ac:dyDescent="0.2">
      <c r="B52" s="86"/>
      <c r="C52" s="2" t="s">
        <v>281</v>
      </c>
      <c r="G52" s="2" t="s">
        <v>99</v>
      </c>
      <c r="I52" s="92">
        <f>Parameters!H34</f>
        <v>8.0799999999999997E-2</v>
      </c>
      <c r="K52" s="87"/>
    </row>
    <row r="53" spans="2:11" ht="12.75" customHeight="1" x14ac:dyDescent="0.2">
      <c r="B53" s="86"/>
      <c r="K53" s="87"/>
    </row>
    <row r="54" spans="2:11" ht="12.75" customHeight="1" x14ac:dyDescent="0.2">
      <c r="B54" s="86"/>
      <c r="C54" s="2" t="s">
        <v>200</v>
      </c>
      <c r="G54" s="2" t="s">
        <v>99</v>
      </c>
      <c r="I54" s="93">
        <f>Parameters!H19</f>
        <v>1.9E-2</v>
      </c>
      <c r="K54" s="87"/>
    </row>
    <row r="55" spans="2:11" ht="12.75" customHeight="1" x14ac:dyDescent="0.2">
      <c r="B55" s="86"/>
      <c r="C55" s="2" t="s">
        <v>282</v>
      </c>
      <c r="I55" s="93">
        <f>Parameters!H20</f>
        <v>3.5000000000000003E-2</v>
      </c>
      <c r="K55" s="87"/>
    </row>
    <row r="56" spans="2:11" ht="12.75" customHeight="1" x14ac:dyDescent="0.2">
      <c r="B56" s="86"/>
      <c r="C56" s="2" t="s">
        <v>101</v>
      </c>
      <c r="G56" s="2" t="s">
        <v>99</v>
      </c>
      <c r="I56" s="93">
        <f>Parameters!H23</f>
        <v>0.03</v>
      </c>
      <c r="K56" s="87"/>
    </row>
    <row r="57" spans="2:11" ht="12.75" customHeight="1" x14ac:dyDescent="0.2">
      <c r="B57" s="86"/>
      <c r="K57" s="87"/>
    </row>
    <row r="58" spans="2:11" s="20" customFormat="1" ht="12.75" customHeight="1" x14ac:dyDescent="0.2">
      <c r="B58" s="94"/>
      <c r="I58" s="95" t="s">
        <v>75</v>
      </c>
      <c r="J58" s="95" t="s">
        <v>76</v>
      </c>
      <c r="K58" s="96"/>
    </row>
    <row r="59" spans="2:11" ht="12.75" customHeight="1" x14ac:dyDescent="0.2">
      <c r="B59" s="86"/>
      <c r="C59" s="2" t="s">
        <v>359</v>
      </c>
      <c r="G59" s="2" t="s">
        <v>99</v>
      </c>
      <c r="I59" s="97">
        <f>'Financial data'!L23</f>
        <v>0.25</v>
      </c>
      <c r="J59" s="97">
        <f>'Financial data'!M23</f>
        <v>0.25</v>
      </c>
      <c r="K59" s="87"/>
    </row>
    <row r="60" spans="2:11" ht="12.75" customHeight="1" x14ac:dyDescent="0.2">
      <c r="B60" s="86"/>
      <c r="C60" s="2" t="s">
        <v>360</v>
      </c>
      <c r="G60" s="2" t="s">
        <v>99</v>
      </c>
      <c r="I60" s="97">
        <f>'Financial data'!L24</f>
        <v>0</v>
      </c>
      <c r="J60" s="97">
        <f>'Financial data'!M24</f>
        <v>0.5</v>
      </c>
      <c r="K60" s="87"/>
    </row>
    <row r="61" spans="2:11" ht="12.75" customHeight="1" x14ac:dyDescent="0.2">
      <c r="B61" s="86"/>
      <c r="K61" s="87"/>
    </row>
    <row r="62" spans="2:11" s="20" customFormat="1" ht="12.75" customHeight="1" x14ac:dyDescent="0.2">
      <c r="B62" s="94"/>
      <c r="C62" s="20" t="s">
        <v>361</v>
      </c>
      <c r="I62" s="95" t="s">
        <v>75</v>
      </c>
      <c r="J62" s="95" t="s">
        <v>76</v>
      </c>
      <c r="K62" s="96"/>
    </row>
    <row r="63" spans="2:11" ht="12.75" customHeight="1" x14ac:dyDescent="0.2">
      <c r="B63" s="86"/>
      <c r="C63" s="2" t="s">
        <v>188</v>
      </c>
      <c r="G63" s="2" t="s">
        <v>136</v>
      </c>
      <c r="I63" s="98">
        <f>'Financial data'!L15</f>
        <v>1934620.9000000004</v>
      </c>
      <c r="J63" s="98">
        <f>'Financial data'!M15</f>
        <v>1152169.6499999999</v>
      </c>
      <c r="K63" s="87"/>
    </row>
    <row r="64" spans="2:11" ht="12.75" customHeight="1" x14ac:dyDescent="0.2">
      <c r="B64" s="86"/>
      <c r="C64" s="2" t="s">
        <v>362</v>
      </c>
      <c r="G64" s="2" t="s">
        <v>106</v>
      </c>
      <c r="I64" s="98">
        <f>'Financial data'!L19</f>
        <v>3235369.3203914971</v>
      </c>
      <c r="J64" s="98">
        <f>'Financial data'!M19</f>
        <v>3472536.8323471323</v>
      </c>
      <c r="K64" s="87"/>
    </row>
    <row r="65" spans="2:11" ht="12.75" customHeight="1" x14ac:dyDescent="0.2">
      <c r="B65" s="86"/>
      <c r="C65" s="2" t="s">
        <v>258</v>
      </c>
      <c r="G65" s="2" t="s">
        <v>106</v>
      </c>
      <c r="I65" s="98">
        <f>'Financial data'!L20</f>
        <v>228826.27682314429</v>
      </c>
      <c r="J65" s="98">
        <f>'Financial data'!M20</f>
        <v>324623.64702570753</v>
      </c>
      <c r="K65" s="87"/>
    </row>
    <row r="66" spans="2:11" ht="12.75" customHeight="1" x14ac:dyDescent="0.2">
      <c r="B66" s="86"/>
      <c r="K66" s="87"/>
    </row>
    <row r="67" spans="2:11" ht="12.75" customHeight="1" x14ac:dyDescent="0.2">
      <c r="B67" s="86"/>
      <c r="C67" s="20" t="s">
        <v>189</v>
      </c>
      <c r="K67" s="87"/>
    </row>
    <row r="68" spans="2:11" ht="12.75" customHeight="1" x14ac:dyDescent="0.2">
      <c r="B68" s="86"/>
      <c r="C68" s="2" t="s">
        <v>190</v>
      </c>
      <c r="G68" s="2" t="s">
        <v>136</v>
      </c>
      <c r="I68" s="98">
        <f>'Financial data'!L16</f>
        <v>54423.085000000006</v>
      </c>
      <c r="J68" s="98">
        <f>'Financial data'!M16</f>
        <v>122032.63500000001</v>
      </c>
      <c r="K68" s="87"/>
    </row>
    <row r="69" spans="2:11" ht="12.75" customHeight="1" x14ac:dyDescent="0.2">
      <c r="B69" s="86"/>
      <c r="K69" s="87"/>
    </row>
    <row r="70" spans="2:11" ht="12.75" customHeight="1" x14ac:dyDescent="0.2">
      <c r="B70" s="86"/>
      <c r="C70" s="20" t="s">
        <v>128</v>
      </c>
      <c r="K70" s="87"/>
    </row>
    <row r="71" spans="2:11" ht="12.75" customHeight="1" x14ac:dyDescent="0.2">
      <c r="B71" s="86"/>
      <c r="C71" s="2" t="s">
        <v>363</v>
      </c>
      <c r="G71" s="2" t="s">
        <v>273</v>
      </c>
      <c r="I71" s="98">
        <f>'Overview corrections'!L35</f>
        <v>-79371.541964920121</v>
      </c>
      <c r="J71" s="98">
        <f>'Overview corrections'!M35</f>
        <v>23616.059265584488</v>
      </c>
      <c r="K71" s="87"/>
    </row>
    <row r="72" spans="2:11" ht="12.75" customHeight="1" x14ac:dyDescent="0.2">
      <c r="B72" s="86"/>
      <c r="C72" s="36" t="s">
        <v>364</v>
      </c>
      <c r="G72" s="2" t="s">
        <v>273</v>
      </c>
      <c r="I72" s="98">
        <f>'Overview corrections'!L36</f>
        <v>36120.431745235997</v>
      </c>
      <c r="J72" s="98">
        <f>'Overview corrections'!M36</f>
        <v>29595.378775560701</v>
      </c>
      <c r="K72" s="87"/>
    </row>
    <row r="73" spans="2:11" ht="12.75" customHeight="1" x14ac:dyDescent="0.2">
      <c r="B73" s="86"/>
      <c r="C73" s="2" t="s">
        <v>365</v>
      </c>
      <c r="G73" s="2" t="s">
        <v>273</v>
      </c>
      <c r="I73" s="98">
        <f>'Overview corrections'!L37</f>
        <v>238641.96633252536</v>
      </c>
      <c r="J73" s="98">
        <f>'Overview corrections'!M37</f>
        <v>48260.764938720837</v>
      </c>
      <c r="K73" s="87"/>
    </row>
    <row r="74" spans="2:11" ht="12.75" customHeight="1" x14ac:dyDescent="0.2">
      <c r="B74" s="86"/>
      <c r="C74" s="2" t="s">
        <v>366</v>
      </c>
      <c r="G74" s="2" t="s">
        <v>273</v>
      </c>
      <c r="J74" s="98">
        <f>'Overview corrections'!M41</f>
        <v>-6704.9900342549154</v>
      </c>
      <c r="K74" s="87"/>
    </row>
    <row r="75" spans="2:11" ht="12.75" customHeight="1" x14ac:dyDescent="0.2">
      <c r="B75" s="86"/>
      <c r="C75" s="36" t="s">
        <v>367</v>
      </c>
      <c r="G75" s="2" t="s">
        <v>273</v>
      </c>
      <c r="I75" s="98">
        <f>'Overview corrections'!L34</f>
        <v>288910.61477824417</v>
      </c>
      <c r="K75" s="87"/>
    </row>
    <row r="76" spans="2:11" ht="12.75" customHeight="1" x14ac:dyDescent="0.2">
      <c r="B76" s="86"/>
      <c r="C76" s="36" t="s">
        <v>343</v>
      </c>
      <c r="G76" s="2" t="s">
        <v>273</v>
      </c>
      <c r="J76" s="98">
        <f>'Overview corrections'!M40</f>
        <v>20067.262538709972</v>
      </c>
      <c r="K76" s="87"/>
    </row>
    <row r="77" spans="2:11" ht="12.75" customHeight="1" x14ac:dyDescent="0.2">
      <c r="B77" s="86"/>
      <c r="K77" s="87"/>
    </row>
    <row r="78" spans="2:11" ht="12.75" customHeight="1" x14ac:dyDescent="0.2">
      <c r="B78" s="86"/>
      <c r="C78" s="20" t="s">
        <v>283</v>
      </c>
      <c r="K78" s="87"/>
    </row>
    <row r="79" spans="2:11" ht="12.75" customHeight="1" x14ac:dyDescent="0.2">
      <c r="B79" s="86"/>
      <c r="C79" s="2" t="s">
        <v>284</v>
      </c>
      <c r="G79" s="2" t="s">
        <v>112</v>
      </c>
      <c r="I79" s="98">
        <f>Estimates!L16</f>
        <v>10496712.624645166</v>
      </c>
      <c r="K79" s="87"/>
    </row>
    <row r="80" spans="2:11" ht="12.75" customHeight="1" x14ac:dyDescent="0.2">
      <c r="B80" s="86"/>
      <c r="C80" s="2" t="s">
        <v>191</v>
      </c>
      <c r="G80" s="2" t="s">
        <v>112</v>
      </c>
      <c r="I80" s="98">
        <f>Estimates!L13</f>
        <v>3342549.3872114113</v>
      </c>
      <c r="K80" s="87"/>
    </row>
    <row r="81" spans="2:11" ht="12.75" customHeight="1" x14ac:dyDescent="0.2">
      <c r="B81" s="86"/>
      <c r="C81" s="2" t="s">
        <v>192</v>
      </c>
      <c r="G81" s="2" t="s">
        <v>112</v>
      </c>
      <c r="I81" s="98">
        <f>Estimates!L14</f>
        <v>7445438.921776427</v>
      </c>
      <c r="K81" s="87"/>
    </row>
    <row r="82" spans="2:11" ht="12.75" customHeight="1" x14ac:dyDescent="0.2">
      <c r="B82" s="86"/>
      <c r="C82" s="2" t="s">
        <v>193</v>
      </c>
      <c r="G82" s="2" t="s">
        <v>112</v>
      </c>
      <c r="I82" s="98">
        <f>Estimates!L15</f>
        <v>291275.68434267165</v>
      </c>
      <c r="K82" s="87"/>
    </row>
    <row r="83" spans="2:11" ht="12.75" customHeight="1" x14ac:dyDescent="0.2">
      <c r="B83" s="86"/>
      <c r="C83" s="2" t="s">
        <v>285</v>
      </c>
      <c r="G83" s="2" t="s">
        <v>194</v>
      </c>
      <c r="I83" s="99">
        <f>Estimates!L18</f>
        <v>0.27131856147939853</v>
      </c>
      <c r="K83" s="87"/>
    </row>
    <row r="84" spans="2:11" ht="12.75" customHeight="1" x14ac:dyDescent="0.2">
      <c r="B84" s="86"/>
      <c r="C84" s="2" t="s">
        <v>116</v>
      </c>
      <c r="G84" s="2" t="s">
        <v>119</v>
      </c>
      <c r="I84" s="80">
        <f>'Historical data'!H30</f>
        <v>0.87464724815259365</v>
      </c>
      <c r="K84" s="87"/>
    </row>
    <row r="85" spans="2:11" ht="12.75" customHeight="1" x14ac:dyDescent="0.2">
      <c r="B85" s="86"/>
      <c r="K85" s="87"/>
    </row>
    <row r="86" spans="2:11" ht="12.75" customHeight="1" x14ac:dyDescent="0.2">
      <c r="B86" s="86"/>
      <c r="C86" s="2" t="s">
        <v>158</v>
      </c>
      <c r="G86" s="2" t="s">
        <v>99</v>
      </c>
      <c r="J86" s="92">
        <f>Estimates!M21</f>
        <v>5.4024539402881537E-2</v>
      </c>
      <c r="K86" s="87"/>
    </row>
    <row r="87" spans="2:11" ht="12.75" customHeight="1" x14ac:dyDescent="0.2">
      <c r="B87" s="86"/>
      <c r="C87" s="2" t="s">
        <v>195</v>
      </c>
      <c r="G87" s="2" t="s">
        <v>113</v>
      </c>
      <c r="J87" s="98">
        <f>Estimates!M44</f>
        <v>14331.399999999998</v>
      </c>
      <c r="K87" s="87"/>
    </row>
    <row r="88" spans="2:11" ht="12.75" customHeight="1" x14ac:dyDescent="0.2">
      <c r="B88" s="86"/>
      <c r="K88" s="87"/>
    </row>
    <row r="89" spans="2:11" ht="12.75" customHeight="1" x14ac:dyDescent="0.2">
      <c r="B89" s="86"/>
      <c r="C89" s="2" t="s">
        <v>196</v>
      </c>
      <c r="K89" s="87"/>
    </row>
    <row r="90" spans="2:11" ht="12.75" customHeight="1" thickBot="1" x14ac:dyDescent="0.25">
      <c r="B90" s="89"/>
      <c r="C90" s="90"/>
      <c r="D90" s="90"/>
      <c r="E90" s="90"/>
      <c r="F90" s="90"/>
      <c r="G90" s="90"/>
      <c r="H90" s="90"/>
      <c r="I90" s="90"/>
      <c r="J90" s="90"/>
      <c r="K90" s="91"/>
    </row>
    <row r="91" spans="2:11" ht="12.75" customHeight="1" x14ac:dyDescent="0.2"/>
    <row r="92" spans="2:11" ht="12.75" customHeight="1" x14ac:dyDescent="0.2"/>
    <row r="93" spans="2:11" ht="12.75" customHeight="1" x14ac:dyDescent="0.2"/>
    <row r="94" spans="2:11" ht="12.75" customHeight="1" x14ac:dyDescent="0.2"/>
    <row r="95" spans="2:11" ht="12.75" customHeight="1" x14ac:dyDescent="0.2"/>
    <row r="96" spans="2:11" ht="12.75" customHeight="1" x14ac:dyDescent="0.2"/>
    <row r="97" spans="3:3" ht="12.75" customHeight="1" x14ac:dyDescent="0.2"/>
    <row r="98" spans="3:3" ht="12.75" customHeight="1" x14ac:dyDescent="0.2">
      <c r="C98" s="36"/>
    </row>
    <row r="99" spans="3:3" ht="12.75" customHeight="1" x14ac:dyDescent="0.2">
      <c r="C99" s="36"/>
    </row>
    <row r="100" spans="3:3" ht="12.75" customHeight="1" x14ac:dyDescent="0.2"/>
    <row r="101" spans="3:3" ht="12.75" customHeight="1" x14ac:dyDescent="0.2"/>
    <row r="102" spans="3:3" ht="12.75" customHeight="1" x14ac:dyDescent="0.2"/>
    <row r="103" spans="3:3" ht="12.75" customHeight="1" x14ac:dyDescent="0.2"/>
    <row r="104" spans="3:3" ht="12.75" customHeight="1" x14ac:dyDescent="0.2"/>
    <row r="105" spans="3:3" ht="12.75" customHeight="1" x14ac:dyDescent="0.2"/>
    <row r="106" spans="3:3" ht="12.75" customHeight="1" x14ac:dyDescent="0.2"/>
    <row r="107" spans="3:3" ht="12.75" customHeight="1" x14ac:dyDescent="0.2"/>
    <row r="108" spans="3:3" ht="12.75" customHeight="1" x14ac:dyDescent="0.2"/>
    <row r="109" spans="3:3" ht="12.75" customHeight="1" x14ac:dyDescent="0.2"/>
    <row r="110" spans="3:3" ht="12.75" customHeight="1" x14ac:dyDescent="0.2"/>
    <row r="111" spans="3:3" ht="12.75" customHeight="1" x14ac:dyDescent="0.2"/>
    <row r="112" spans="3:3" ht="12.75" customHeight="1" x14ac:dyDescent="0.2"/>
    <row r="113" ht="12.75" customHeight="1" x14ac:dyDescent="0.2"/>
    <row r="114" ht="12.75" customHeight="1" x14ac:dyDescent="0.2"/>
  </sheetData>
  <phoneticPr fontId="32"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B2:B8"/>
  <sheetViews>
    <sheetView showGridLines="0" zoomScale="85" zoomScaleNormal="85" workbookViewId="0"/>
  </sheetViews>
  <sheetFormatPr defaultColWidth="9.140625" defaultRowHeight="12.75" x14ac:dyDescent="0.2"/>
  <cols>
    <col min="1" max="16384" width="9.140625" style="16"/>
  </cols>
  <sheetData>
    <row r="2" spans="2:2" x14ac:dyDescent="0.2">
      <c r="B2" s="37" t="s">
        <v>64</v>
      </c>
    </row>
    <row r="3" spans="2:2" x14ac:dyDescent="0.2">
      <c r="B3" s="37"/>
    </row>
    <row r="7" spans="2:2" x14ac:dyDescent="0.2">
      <c r="B7" s="37"/>
    </row>
    <row r="8" spans="2:2" x14ac:dyDescent="0.2">
      <c r="B8" s="3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1FFE1"/>
  </sheetPr>
  <dimension ref="A2:N42"/>
  <sheetViews>
    <sheetView showGridLines="0" zoomScale="85" zoomScaleNormal="85" workbookViewId="0">
      <pane xSplit="6" ySplit="14" topLeftCell="G15" activePane="bottomRight" state="frozen"/>
      <selection activeCell="R6" sqref="R6"/>
      <selection pane="topRight" activeCell="R6" sqref="R6"/>
      <selection pane="bottomLeft" activeCell="R6" sqref="R6"/>
      <selection pane="bottomRight" activeCell="G15" sqref="G15"/>
    </sheetView>
  </sheetViews>
  <sheetFormatPr defaultColWidth="9.140625" defaultRowHeight="12.75" x14ac:dyDescent="0.2"/>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2" width="36.7109375" style="2" customWidth="1"/>
    <col min="13" max="13" width="2.7109375" style="2" customWidth="1"/>
    <col min="14" max="14" width="13.7109375" style="2" customWidth="1"/>
    <col min="15" max="15" width="2.7109375" style="2" customWidth="1"/>
    <col min="16" max="30" width="13.7109375" style="2" customWidth="1"/>
    <col min="31" max="16384" width="9.140625" style="2"/>
  </cols>
  <sheetData>
    <row r="2" spans="2:14" s="14" customFormat="1" ht="18" x14ac:dyDescent="0.2">
      <c r="B2" s="14" t="s">
        <v>95</v>
      </c>
    </row>
    <row r="4" spans="2:14" x14ac:dyDescent="0.2">
      <c r="B4" s="20" t="s">
        <v>96</v>
      </c>
      <c r="C4" s="1"/>
      <c r="D4" s="1"/>
    </row>
    <row r="5" spans="2:14" x14ac:dyDescent="0.2">
      <c r="B5" s="2" t="s">
        <v>160</v>
      </c>
      <c r="C5" s="3"/>
      <c r="D5" s="3"/>
      <c r="H5" s="15"/>
    </row>
    <row r="6" spans="2:14" x14ac:dyDescent="0.2">
      <c r="C6" s="3"/>
      <c r="D6" s="3"/>
      <c r="H6" s="15"/>
    </row>
    <row r="7" spans="2:14" x14ac:dyDescent="0.2">
      <c r="B7" s="21" t="s">
        <v>65</v>
      </c>
      <c r="C7" s="3"/>
      <c r="D7" s="3"/>
      <c r="H7" s="15"/>
    </row>
    <row r="8" spans="2:14" x14ac:dyDescent="0.2">
      <c r="B8" s="2" t="s">
        <v>97</v>
      </c>
      <c r="C8" s="3"/>
      <c r="D8" s="3"/>
    </row>
    <row r="9" spans="2:14" x14ac:dyDescent="0.2">
      <c r="B9" s="2" t="s">
        <v>98</v>
      </c>
      <c r="C9" s="3"/>
      <c r="D9" s="3"/>
    </row>
    <row r="10" spans="2:14" x14ac:dyDescent="0.2">
      <c r="C10" s="3"/>
      <c r="D10" s="3"/>
    </row>
    <row r="11" spans="2:14" x14ac:dyDescent="0.2">
      <c r="B11" s="4" t="s">
        <v>470</v>
      </c>
      <c r="C11" s="3"/>
      <c r="D11" s="3"/>
    </row>
    <row r="13" spans="2:14" s="8" customFormat="1" x14ac:dyDescent="0.2">
      <c r="B13" s="8" t="s">
        <v>11</v>
      </c>
      <c r="F13" s="8" t="s">
        <v>34</v>
      </c>
      <c r="H13" s="8" t="s">
        <v>35</v>
      </c>
      <c r="J13" s="8" t="s">
        <v>36</v>
      </c>
      <c r="L13" s="8" t="s">
        <v>38</v>
      </c>
      <c r="N13" s="8" t="s">
        <v>94</v>
      </c>
    </row>
    <row r="16" spans="2:14" s="8" customFormat="1" x14ac:dyDescent="0.2">
      <c r="B16" s="8" t="s">
        <v>238</v>
      </c>
    </row>
    <row r="18" spans="1:14" x14ac:dyDescent="0.2">
      <c r="A18" s="45"/>
      <c r="B18" s="1" t="s">
        <v>203</v>
      </c>
    </row>
    <row r="19" spans="1:14" x14ac:dyDescent="0.2">
      <c r="A19" s="45"/>
      <c r="B19" s="2" t="s">
        <v>200</v>
      </c>
      <c r="F19" s="2" t="s">
        <v>99</v>
      </c>
      <c r="H19" s="109">
        <v>1.9E-2</v>
      </c>
      <c r="L19" s="2" t="s">
        <v>69</v>
      </c>
    </row>
    <row r="20" spans="1:14" x14ac:dyDescent="0.2">
      <c r="A20" s="45"/>
      <c r="B20" s="2" t="s">
        <v>282</v>
      </c>
      <c r="F20" s="2" t="s">
        <v>99</v>
      </c>
      <c r="H20" s="112">
        <v>3.5000000000000003E-2</v>
      </c>
      <c r="L20" s="2" t="s">
        <v>69</v>
      </c>
      <c r="N20" s="19"/>
    </row>
    <row r="22" spans="1:14" x14ac:dyDescent="0.2">
      <c r="B22" s="1" t="s">
        <v>204</v>
      </c>
    </row>
    <row r="23" spans="1:14" x14ac:dyDescent="0.2">
      <c r="B23" s="2" t="s">
        <v>101</v>
      </c>
      <c r="F23" s="2" t="s">
        <v>99</v>
      </c>
      <c r="H23" s="42">
        <v>0.03</v>
      </c>
      <c r="L23" s="2" t="s">
        <v>71</v>
      </c>
    </row>
    <row r="24" spans="1:14" x14ac:dyDescent="0.2">
      <c r="B24" s="2" t="s">
        <v>434</v>
      </c>
      <c r="F24" s="2" t="s">
        <v>99</v>
      </c>
      <c r="H24" s="43">
        <f>((1+$H$23)^2)-1</f>
        <v>6.0899999999999954E-2</v>
      </c>
    </row>
    <row r="26" spans="1:14" s="8" customFormat="1" x14ac:dyDescent="0.2">
      <c r="B26" s="8" t="s">
        <v>100</v>
      </c>
    </row>
    <row r="28" spans="1:14" x14ac:dyDescent="0.2">
      <c r="B28" s="1" t="s">
        <v>368</v>
      </c>
    </row>
    <row r="29" spans="1:14" x14ac:dyDescent="0.2">
      <c r="B29" s="2" t="s">
        <v>369</v>
      </c>
      <c r="F29" s="2" t="s">
        <v>99</v>
      </c>
      <c r="H29" s="109">
        <v>8.3799999999999999E-2</v>
      </c>
      <c r="L29" s="2" t="s">
        <v>247</v>
      </c>
      <c r="N29" s="2" t="s">
        <v>370</v>
      </c>
    </row>
    <row r="30" spans="1:14" x14ac:dyDescent="0.2">
      <c r="B30" s="2" t="s">
        <v>371</v>
      </c>
      <c r="F30" s="2" t="s">
        <v>99</v>
      </c>
      <c r="H30" s="109">
        <v>7.2800000000000004E-2</v>
      </c>
      <c r="L30" s="2" t="s">
        <v>247</v>
      </c>
    </row>
    <row r="32" spans="1:14" x14ac:dyDescent="0.2">
      <c r="B32" s="1" t="s">
        <v>286</v>
      </c>
      <c r="N32" s="2" t="s">
        <v>287</v>
      </c>
    </row>
    <row r="33" spans="2:12" x14ac:dyDescent="0.2">
      <c r="B33" s="2" t="s">
        <v>288</v>
      </c>
      <c r="F33" s="2" t="s">
        <v>99</v>
      </c>
      <c r="H33" s="109">
        <v>8.8900000000000007E-2</v>
      </c>
      <c r="J33" s="76"/>
      <c r="L33" s="2" t="s">
        <v>468</v>
      </c>
    </row>
    <row r="34" spans="2:12" x14ac:dyDescent="0.2">
      <c r="B34" s="2" t="s">
        <v>289</v>
      </c>
      <c r="F34" s="2" t="s">
        <v>99</v>
      </c>
      <c r="H34" s="109">
        <v>8.0799999999999997E-2</v>
      </c>
      <c r="J34" s="76"/>
      <c r="L34" s="2" t="s">
        <v>468</v>
      </c>
    </row>
    <row r="36" spans="2:12" s="8" customFormat="1" x14ac:dyDescent="0.2">
      <c r="B36" s="8" t="s">
        <v>205</v>
      </c>
    </row>
    <row r="38" spans="2:12" x14ac:dyDescent="0.2">
      <c r="B38" s="2" t="s">
        <v>143</v>
      </c>
      <c r="F38" s="2" t="s">
        <v>99</v>
      </c>
      <c r="H38" s="44">
        <v>0.5</v>
      </c>
      <c r="L38" s="2" t="s">
        <v>435</v>
      </c>
    </row>
    <row r="42" spans="2:12" x14ac:dyDescent="0.2">
      <c r="B42" s="4" t="s">
        <v>62</v>
      </c>
    </row>
  </sheetData>
  <phoneticPr fontId="32"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B016B-2352-454E-BB3E-B93CD33EA33B}">
  <sheetPr>
    <tabColor rgb="FFE1FFE1"/>
  </sheetPr>
  <dimension ref="A2:Q50"/>
  <sheetViews>
    <sheetView showGridLines="0" zoomScale="85" zoomScaleNormal="85" workbookViewId="0">
      <pane xSplit="6" ySplit="10" topLeftCell="G11" activePane="bottomRight" state="frozen"/>
      <selection activeCell="R6" sqref="R6"/>
      <selection pane="topRight" activeCell="R6" sqref="R6"/>
      <selection pane="bottomLeft" activeCell="R6" sqref="R6"/>
      <selection pane="bottomRight" activeCell="G11" sqref="G11"/>
    </sheetView>
  </sheetViews>
  <sheetFormatPr defaultColWidth="9.140625" defaultRowHeight="12.75" x14ac:dyDescent="0.2"/>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21.7109375" style="2" customWidth="1"/>
    <col min="14" max="14" width="2.7109375" style="2" customWidth="1"/>
    <col min="15" max="15" width="39.7109375" style="2" customWidth="1"/>
    <col min="16" max="16" width="2.7109375" style="2" customWidth="1"/>
    <col min="17" max="17" width="13.7109375" style="2" customWidth="1"/>
    <col min="18" max="18" width="2.7109375" style="2" customWidth="1"/>
    <col min="19" max="33" width="13.7109375" style="2" customWidth="1"/>
    <col min="34" max="16384" width="9.140625" style="2"/>
  </cols>
  <sheetData>
    <row r="2" spans="1:17" s="14" customFormat="1" ht="18" x14ac:dyDescent="0.2">
      <c r="B2" s="14" t="s">
        <v>142</v>
      </c>
    </row>
    <row r="4" spans="1:17" x14ac:dyDescent="0.2">
      <c r="B4" s="1" t="s">
        <v>102</v>
      </c>
      <c r="C4" s="1"/>
      <c r="D4" s="1"/>
    </row>
    <row r="5" spans="1:17" x14ac:dyDescent="0.2">
      <c r="B5" s="79" t="s">
        <v>161</v>
      </c>
      <c r="C5" s="1"/>
      <c r="D5" s="1"/>
    </row>
    <row r="6" spans="1:17" x14ac:dyDescent="0.2">
      <c r="B6" s="2" t="s">
        <v>209</v>
      </c>
      <c r="C6" s="3"/>
      <c r="D6" s="3"/>
      <c r="H6" s="15"/>
    </row>
    <row r="7" spans="1:17" x14ac:dyDescent="0.2">
      <c r="C7" s="3"/>
      <c r="D7" s="3"/>
      <c r="H7" s="15"/>
    </row>
    <row r="9" spans="1:17" s="8" customFormat="1" x14ac:dyDescent="0.2">
      <c r="B9" s="8" t="s">
        <v>11</v>
      </c>
      <c r="F9" s="8" t="s">
        <v>34</v>
      </c>
      <c r="H9" s="8" t="s">
        <v>35</v>
      </c>
      <c r="J9" s="8" t="s">
        <v>36</v>
      </c>
      <c r="L9" s="8" t="s">
        <v>93</v>
      </c>
      <c r="M9" s="8" t="s">
        <v>76</v>
      </c>
      <c r="O9" s="8" t="s">
        <v>38</v>
      </c>
      <c r="Q9" s="8" t="s">
        <v>94</v>
      </c>
    </row>
    <row r="12" spans="1:17" s="8" customFormat="1" x14ac:dyDescent="0.2">
      <c r="B12" s="8" t="s">
        <v>372</v>
      </c>
    </row>
    <row r="14" spans="1:17" x14ac:dyDescent="0.2">
      <c r="A14" s="45"/>
      <c r="B14" s="20" t="s">
        <v>110</v>
      </c>
    </row>
    <row r="15" spans="1:17" s="21" customFormat="1" x14ac:dyDescent="0.2">
      <c r="A15" s="45"/>
      <c r="B15" s="21" t="s">
        <v>34</v>
      </c>
      <c r="F15" s="21" t="s">
        <v>111</v>
      </c>
      <c r="I15" s="2"/>
      <c r="L15" s="21" t="s">
        <v>112</v>
      </c>
      <c r="M15" s="21" t="s">
        <v>113</v>
      </c>
    </row>
    <row r="16" spans="1:17" x14ac:dyDescent="0.2">
      <c r="A16" s="45"/>
      <c r="B16" s="2" t="s">
        <v>373</v>
      </c>
      <c r="F16" s="2" t="s">
        <v>111</v>
      </c>
      <c r="L16" s="26">
        <v>10066747.063000001</v>
      </c>
      <c r="M16" s="47">
        <v>13255.715384615383</v>
      </c>
      <c r="O16" s="2" t="s">
        <v>441</v>
      </c>
      <c r="Q16" s="2" t="s">
        <v>439</v>
      </c>
    </row>
    <row r="17" spans="1:17" x14ac:dyDescent="0.2">
      <c r="A17" s="45"/>
    </row>
    <row r="18" spans="1:17" x14ac:dyDescent="0.2">
      <c r="A18" s="45"/>
      <c r="B18" s="2" t="s">
        <v>374</v>
      </c>
      <c r="F18" s="2" t="s">
        <v>99</v>
      </c>
      <c r="L18" s="55"/>
      <c r="M18" s="67">
        <v>6.7655029327884503E-2</v>
      </c>
      <c r="O18" s="2" t="s">
        <v>440</v>
      </c>
      <c r="Q18" s="2" t="s">
        <v>256</v>
      </c>
    </row>
    <row r="20" spans="1:17" s="8" customFormat="1" x14ac:dyDescent="0.2">
      <c r="B20" s="8" t="s">
        <v>207</v>
      </c>
      <c r="O20" s="53"/>
    </row>
    <row r="21" spans="1:17" s="60" customFormat="1" x14ac:dyDescent="0.2"/>
    <row r="22" spans="1:17" x14ac:dyDescent="0.2">
      <c r="A22" s="45"/>
      <c r="B22" s="1" t="s">
        <v>208</v>
      </c>
      <c r="P22" s="15"/>
      <c r="Q22" s="79" t="s">
        <v>244</v>
      </c>
    </row>
    <row r="23" spans="1:17" x14ac:dyDescent="0.2">
      <c r="A23" s="45"/>
      <c r="B23" s="2" t="s">
        <v>367</v>
      </c>
      <c r="F23" s="2" t="s">
        <v>136</v>
      </c>
      <c r="L23" s="47">
        <v>76340.874737990089</v>
      </c>
      <c r="M23" s="55"/>
      <c r="O23" s="2" t="s">
        <v>442</v>
      </c>
      <c r="P23" s="15"/>
      <c r="Q23" s="15"/>
    </row>
    <row r="24" spans="1:17" x14ac:dyDescent="0.2">
      <c r="A24" s="45"/>
      <c r="B24" s="2" t="s">
        <v>472</v>
      </c>
      <c r="F24" s="2" t="s">
        <v>199</v>
      </c>
      <c r="L24" s="47">
        <v>201864.64152301988</v>
      </c>
      <c r="M24" s="55"/>
      <c r="O24" s="2" t="s">
        <v>473</v>
      </c>
      <c r="P24" s="15"/>
      <c r="Q24" s="15"/>
    </row>
    <row r="25" spans="1:17" x14ac:dyDescent="0.2">
      <c r="A25" s="45"/>
      <c r="B25" s="2" t="s">
        <v>343</v>
      </c>
      <c r="F25" s="2" t="s">
        <v>199</v>
      </c>
      <c r="L25" s="55"/>
      <c r="M25" s="47">
        <v>19482.779163796091</v>
      </c>
      <c r="O25" s="2" t="s">
        <v>443</v>
      </c>
      <c r="P25" s="15"/>
      <c r="Q25" s="15"/>
    </row>
    <row r="26" spans="1:17" x14ac:dyDescent="0.2">
      <c r="A26" s="45"/>
    </row>
    <row r="27" spans="1:17" x14ac:dyDescent="0.2">
      <c r="B27" s="1" t="s">
        <v>116</v>
      </c>
    </row>
    <row r="28" spans="1:17" ht="12.75" customHeight="1" x14ac:dyDescent="0.2">
      <c r="A28" s="45"/>
      <c r="B28" s="2" t="s">
        <v>127</v>
      </c>
      <c r="F28" s="2" t="s">
        <v>117</v>
      </c>
      <c r="H28" s="69">
        <v>3.3109000000000002</v>
      </c>
      <c r="N28" s="19"/>
      <c r="O28" s="2" t="s">
        <v>257</v>
      </c>
      <c r="Q28" s="2" t="s">
        <v>444</v>
      </c>
    </row>
    <row r="29" spans="1:17" x14ac:dyDescent="0.2">
      <c r="A29" s="45"/>
      <c r="B29" s="2" t="s">
        <v>118</v>
      </c>
      <c r="H29" s="51">
        <v>3.7854117839999999</v>
      </c>
    </row>
    <row r="30" spans="1:17" ht="12.75" customHeight="1" x14ac:dyDescent="0.2">
      <c r="A30" s="45"/>
      <c r="B30" s="2" t="s">
        <v>126</v>
      </c>
      <c r="F30" s="2" t="s">
        <v>119</v>
      </c>
      <c r="H30" s="52">
        <f>H28/H29</f>
        <v>0.87464724815259365</v>
      </c>
      <c r="Q30" s="2" t="s">
        <v>120</v>
      </c>
    </row>
    <row r="50" spans="2:2" x14ac:dyDescent="0.2">
      <c r="B50" s="4" t="s">
        <v>62</v>
      </c>
    </row>
  </sheetData>
  <phoneticPr fontId="32"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DB546-EA87-46A4-A940-79910C75B6E8}">
  <sheetPr>
    <tabColor rgb="FFE1FFE1"/>
  </sheetPr>
  <dimension ref="A2:Q49"/>
  <sheetViews>
    <sheetView showGridLines="0" zoomScaleNormal="100" workbookViewId="0">
      <pane xSplit="6" ySplit="10" topLeftCell="G11" activePane="bottomRight" state="frozen"/>
      <selection activeCell="R6" sqref="R6"/>
      <selection pane="topRight" activeCell="R6" sqref="R6"/>
      <selection pane="bottomLeft" activeCell="R6" sqref="R6"/>
      <selection pane="bottomRight" activeCell="G11" sqref="G11"/>
    </sheetView>
  </sheetViews>
  <sheetFormatPr defaultColWidth="9.140625" defaultRowHeight="12.75" x14ac:dyDescent="0.2"/>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21.7109375" style="2" customWidth="1"/>
    <col min="14" max="14" width="2.7109375" style="2" customWidth="1"/>
    <col min="15" max="15" width="36.7109375" style="2" customWidth="1"/>
    <col min="16" max="16" width="2.7109375" style="2" customWidth="1"/>
    <col min="17" max="17" width="13.7109375" style="2" customWidth="1"/>
    <col min="18" max="18" width="2.7109375" style="2" customWidth="1"/>
    <col min="19" max="33" width="13.7109375" style="2" customWidth="1"/>
    <col min="34" max="16384" width="9.140625" style="2"/>
  </cols>
  <sheetData>
    <row r="2" spans="2:17" s="14" customFormat="1" ht="18" x14ac:dyDescent="0.2">
      <c r="B2" s="14" t="s">
        <v>236</v>
      </c>
    </row>
    <row r="4" spans="2:17" x14ac:dyDescent="0.2">
      <c r="B4" s="1" t="s">
        <v>102</v>
      </c>
      <c r="C4" s="1"/>
      <c r="D4" s="1"/>
    </row>
    <row r="5" spans="2:17" x14ac:dyDescent="0.2">
      <c r="B5" s="2" t="s">
        <v>237</v>
      </c>
      <c r="C5" s="3"/>
      <c r="D5" s="3"/>
      <c r="H5" s="15"/>
    </row>
    <row r="6" spans="2:17" x14ac:dyDescent="0.2">
      <c r="B6" s="2" t="s">
        <v>384</v>
      </c>
      <c r="C6" s="3"/>
      <c r="D6" s="3"/>
      <c r="H6" s="15"/>
    </row>
    <row r="7" spans="2:17" x14ac:dyDescent="0.2">
      <c r="B7" s="2" t="s">
        <v>345</v>
      </c>
      <c r="C7" s="3"/>
      <c r="D7" s="3"/>
      <c r="H7" s="15"/>
    </row>
    <row r="9" spans="2:17" s="8" customFormat="1" x14ac:dyDescent="0.2">
      <c r="B9" s="8" t="s">
        <v>11</v>
      </c>
      <c r="F9" s="8" t="s">
        <v>34</v>
      </c>
      <c r="H9" s="8" t="s">
        <v>35</v>
      </c>
      <c r="J9" s="8" t="s">
        <v>36</v>
      </c>
      <c r="L9" s="8" t="s">
        <v>93</v>
      </c>
      <c r="M9" s="8" t="s">
        <v>76</v>
      </c>
      <c r="O9" s="8" t="s">
        <v>38</v>
      </c>
      <c r="Q9" s="8" t="s">
        <v>94</v>
      </c>
    </row>
    <row r="12" spans="2:17" s="8" customFormat="1" x14ac:dyDescent="0.2">
      <c r="B12" s="8" t="s">
        <v>385</v>
      </c>
    </row>
    <row r="14" spans="2:17" x14ac:dyDescent="0.2">
      <c r="B14" s="1" t="s">
        <v>146</v>
      </c>
    </row>
    <row r="15" spans="2:17" x14ac:dyDescent="0.2">
      <c r="B15" s="2" t="s">
        <v>386</v>
      </c>
      <c r="F15" s="2" t="s">
        <v>136</v>
      </c>
      <c r="L15" s="26">
        <v>1514845.973480677</v>
      </c>
      <c r="M15" s="26">
        <v>943194.91567609692</v>
      </c>
      <c r="O15" s="2" t="s">
        <v>462</v>
      </c>
      <c r="Q15" s="2" t="s">
        <v>469</v>
      </c>
    </row>
    <row r="16" spans="2:17" x14ac:dyDescent="0.2">
      <c r="B16" s="2" t="s">
        <v>387</v>
      </c>
      <c r="F16" s="2" t="s">
        <v>388</v>
      </c>
      <c r="L16" s="63">
        <v>4.1266178872495632E-2</v>
      </c>
      <c r="M16" s="63">
        <v>43.255728710360408</v>
      </c>
      <c r="O16" s="2" t="s">
        <v>463</v>
      </c>
      <c r="Q16" s="2" t="s">
        <v>469</v>
      </c>
    </row>
    <row r="18" spans="2:15" s="8" customFormat="1" x14ac:dyDescent="0.2">
      <c r="B18" s="8" t="s">
        <v>389</v>
      </c>
    </row>
    <row r="20" spans="2:15" x14ac:dyDescent="0.2">
      <c r="B20" s="1" t="s">
        <v>146</v>
      </c>
    </row>
    <row r="21" spans="2:15" x14ac:dyDescent="0.2">
      <c r="B21" s="2" t="s">
        <v>386</v>
      </c>
      <c r="F21" s="2" t="s">
        <v>136</v>
      </c>
      <c r="L21" s="26">
        <v>1480799.0022814726</v>
      </c>
      <c r="M21" s="26">
        <v>944422.0419940562</v>
      </c>
      <c r="O21" s="2" t="s">
        <v>459</v>
      </c>
    </row>
    <row r="22" spans="2:15" x14ac:dyDescent="0.2">
      <c r="B22" s="2" t="s">
        <v>387</v>
      </c>
      <c r="F22" s="2" t="s">
        <v>388</v>
      </c>
      <c r="L22" s="63">
        <v>4.1266178872495632E-2</v>
      </c>
      <c r="M22" s="63">
        <v>41.058668164320949</v>
      </c>
      <c r="O22" s="2" t="s">
        <v>460</v>
      </c>
    </row>
    <row r="24" spans="2:15" x14ac:dyDescent="0.2">
      <c r="B24" s="1" t="s">
        <v>147</v>
      </c>
    </row>
    <row r="25" spans="2:15" x14ac:dyDescent="0.2">
      <c r="B25" s="4" t="s">
        <v>34</v>
      </c>
      <c r="F25" s="4" t="s">
        <v>111</v>
      </c>
      <c r="L25" s="4" t="s">
        <v>112</v>
      </c>
      <c r="M25" s="4" t="s">
        <v>113</v>
      </c>
    </row>
    <row r="26" spans="2:15" x14ac:dyDescent="0.2">
      <c r="B26" s="2" t="s">
        <v>390</v>
      </c>
      <c r="F26" s="4" t="s">
        <v>111</v>
      </c>
      <c r="L26" s="26">
        <v>9582599.6674191542</v>
      </c>
      <c r="M26" s="26">
        <v>13575.699999999999</v>
      </c>
      <c r="O26" s="2" t="s">
        <v>464</v>
      </c>
    </row>
    <row r="28" spans="2:15" x14ac:dyDescent="0.2">
      <c r="B28" s="2" t="s">
        <v>391</v>
      </c>
      <c r="F28" s="2" t="s">
        <v>99</v>
      </c>
      <c r="L28" s="49"/>
      <c r="M28" s="67">
        <v>7.1099335923111406E-2</v>
      </c>
      <c r="O28" s="2" t="s">
        <v>465</v>
      </c>
    </row>
    <row r="30" spans="2:15" x14ac:dyDescent="0.2">
      <c r="B30" s="1" t="s">
        <v>392</v>
      </c>
    </row>
    <row r="31" spans="2:15" x14ac:dyDescent="0.2">
      <c r="B31" s="2" t="s">
        <v>393</v>
      </c>
      <c r="F31" s="2" t="s">
        <v>394</v>
      </c>
      <c r="L31" s="69">
        <v>0.38763160115607675</v>
      </c>
      <c r="M31" s="49"/>
      <c r="O31" s="2" t="s">
        <v>461</v>
      </c>
    </row>
    <row r="32" spans="2:15" x14ac:dyDescent="0.2">
      <c r="B32" s="2" t="s">
        <v>395</v>
      </c>
      <c r="F32" s="2" t="s">
        <v>394</v>
      </c>
      <c r="L32" s="108">
        <v>0.34147783458514192</v>
      </c>
      <c r="M32" s="49"/>
      <c r="O32" s="2" t="s">
        <v>471</v>
      </c>
    </row>
    <row r="34" spans="1:17" s="8" customFormat="1" x14ac:dyDescent="0.2">
      <c r="B34" s="8" t="s">
        <v>346</v>
      </c>
      <c r="O34" s="53"/>
    </row>
    <row r="35" spans="1:17" x14ac:dyDescent="0.2">
      <c r="A35" s="45"/>
      <c r="O35" s="15"/>
    </row>
    <row r="36" spans="1:17" x14ac:dyDescent="0.2">
      <c r="A36" s="45"/>
      <c r="B36" s="1" t="s">
        <v>347</v>
      </c>
      <c r="H36" s="15"/>
      <c r="O36" s="15"/>
    </row>
    <row r="37" spans="1:17" x14ac:dyDescent="0.2">
      <c r="A37" s="45"/>
      <c r="B37" s="2" t="s">
        <v>90</v>
      </c>
      <c r="F37" s="2" t="s">
        <v>199</v>
      </c>
      <c r="H37" s="15"/>
      <c r="L37" s="49"/>
      <c r="M37" s="63">
        <v>297.53198609667521</v>
      </c>
      <c r="O37" s="2" t="s">
        <v>455</v>
      </c>
      <c r="P37" s="15"/>
      <c r="Q37" s="15"/>
    </row>
    <row r="38" spans="1:17" x14ac:dyDescent="0.2">
      <c r="A38" s="45"/>
      <c r="B38" s="2" t="s">
        <v>91</v>
      </c>
      <c r="F38" s="2" t="s">
        <v>199</v>
      </c>
      <c r="H38" s="15"/>
      <c r="L38" s="49"/>
      <c r="M38" s="63">
        <v>333.59064159841341</v>
      </c>
      <c r="O38" s="2" t="s">
        <v>456</v>
      </c>
      <c r="P38" s="15"/>
      <c r="Q38" s="15"/>
    </row>
    <row r="39" spans="1:17" x14ac:dyDescent="0.2">
      <c r="A39" s="45"/>
      <c r="B39" s="2" t="s">
        <v>122</v>
      </c>
      <c r="F39" s="2" t="s">
        <v>199</v>
      </c>
      <c r="L39" s="49"/>
      <c r="M39" s="63">
        <v>94.906381280574749</v>
      </c>
      <c r="O39" s="2" t="s">
        <v>457</v>
      </c>
      <c r="P39" s="15"/>
      <c r="Q39" s="15"/>
    </row>
    <row r="40" spans="1:17" x14ac:dyDescent="0.2">
      <c r="A40" s="45"/>
      <c r="P40" s="15"/>
      <c r="Q40" s="15"/>
    </row>
    <row r="41" spans="1:17" x14ac:dyDescent="0.2">
      <c r="A41" s="45"/>
      <c r="B41" s="2" t="s">
        <v>123</v>
      </c>
      <c r="F41" s="2" t="s">
        <v>199</v>
      </c>
      <c r="L41" s="49"/>
      <c r="M41" s="26">
        <v>25</v>
      </c>
      <c r="O41" s="2" t="s">
        <v>458</v>
      </c>
      <c r="P41" s="15"/>
    </row>
    <row r="43" spans="1:17" s="8" customFormat="1" x14ac:dyDescent="0.2">
      <c r="B43" s="8" t="s">
        <v>145</v>
      </c>
    </row>
    <row r="45" spans="1:17" x14ac:dyDescent="0.2">
      <c r="A45" s="45"/>
      <c r="B45" s="2" t="s">
        <v>145</v>
      </c>
      <c r="F45" s="2" t="s">
        <v>136</v>
      </c>
      <c r="L45" s="49"/>
      <c r="M45" s="26">
        <v>0</v>
      </c>
      <c r="Q45" s="2" t="s">
        <v>396</v>
      </c>
    </row>
    <row r="49" spans="2:2" x14ac:dyDescent="0.2">
      <c r="B49" s="4" t="s">
        <v>62</v>
      </c>
    </row>
  </sheetData>
  <phoneticPr fontId="32"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Document" ma:contentTypeID="0x010100F459BCFB3BA7984093AF6B5FDACCE3FF" ma:contentTypeVersion="3" ma:contentTypeDescription="Een nieuw document maken." ma:contentTypeScope="" ma:versionID="5ca2a2452ccfef2a6add69ec11766239">
  <xsd:schema xmlns:xsd="http://www.w3.org/2001/XMLSchema" xmlns:xs="http://www.w3.org/2001/XMLSchema" xmlns:p="http://schemas.microsoft.com/office/2006/metadata/properties" xmlns:ns2="5e7bef76-b888-41a2-a261-5f525b37d47e" xmlns:ns3="94b38974-1436-4631-a0be-797faa579778" targetNamespace="http://schemas.microsoft.com/office/2006/metadata/properties" ma:root="true" ma:fieldsID="5142b64c9d09e650d70bec54211324f3" ns2:_="" ns3:_="">
    <xsd:import namespace="5e7bef76-b888-41a2-a261-5f525b37d47e"/>
    <xsd:import namespace="94b38974-1436-4631-a0be-797faa579778"/>
    <xsd:element name="properties">
      <xsd:complexType>
        <xsd:sequence>
          <xsd:element name="documentManagement">
            <xsd:complexType>
              <xsd:all>
                <xsd:element ref="ns2:_dlc_DocId" minOccurs="0"/>
                <xsd:element ref="ns2:_dlc_DocIdUrl" minOccurs="0"/>
                <xsd:element ref="ns2:_dlc_DocIdPersistId"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b38974-1436-4631-a0be-797faa579778" elementFormDefault="qualified">
    <xsd:import namespace="http://schemas.microsoft.com/office/2006/documentManagement/types"/>
    <xsd:import namespace="http://schemas.microsoft.com/office/infopath/2007/PartnerControls"/>
    <xsd:element name="Status" ma:index="11" nillable="true" ma:displayName="Status" ma:default="Actueel" ma:format="RadioButtons" ma:internalName="Status">
      <xsd:simpleType>
        <xsd:restriction base="dms:Choice">
          <xsd:enumeration value="Actueel"/>
          <xsd:enumeration value="Archief"/>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5e7bef76-b888-41a2-a261-5f525b37d47e">ECT67VDXDTCW-640230012-2</_dlc_DocId>
    <_dlc_DocIdUrl xmlns="5e7bef76-b888-41a2-a261-5f525b37d47e">
      <Url>https://intranet.acm.local/project/excellent-in-excel/_layouts/15/DocIdRedir.aspx?ID=ECT67VDXDTCW-640230012-2</Url>
      <Description>ECT67VDXDTCW-640230012-2</Description>
    </_dlc_DocIdUrl>
    <Status xmlns="94b38974-1436-4631-a0be-797faa579778">Actueel</Status>
  </documentManagement>
</p:properties>
</file>

<file path=customXml/itemProps1.xml><?xml version="1.0" encoding="utf-8"?>
<ds:datastoreItem xmlns:ds="http://schemas.openxmlformats.org/officeDocument/2006/customXml" ds:itemID="{29821432-9D6D-4FB8-B669-75517133F53E}">
  <ds:schemaRefs>
    <ds:schemaRef ds:uri="http://schemas.microsoft.com/sharepoint/events"/>
  </ds:schemaRefs>
</ds:datastoreItem>
</file>

<file path=customXml/itemProps2.xml><?xml version="1.0" encoding="utf-8"?>
<ds:datastoreItem xmlns:ds="http://schemas.openxmlformats.org/officeDocument/2006/customXml" ds:itemID="{82835401-F49D-4D00-8F07-BF5788AC8903}">
  <ds:schemaRefs>
    <ds:schemaRef ds:uri="http://schemas.microsoft.com/sharepoint/v3/contenttype/forms"/>
  </ds:schemaRefs>
</ds:datastoreItem>
</file>

<file path=customXml/itemProps3.xml><?xml version="1.0" encoding="utf-8"?>
<ds:datastoreItem xmlns:ds="http://schemas.openxmlformats.org/officeDocument/2006/customXml" ds:itemID="{BDF34196-3C60-4FBD-A6D7-F3FCE358BA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94b38974-1436-4631-a0be-797faa579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CDAB9D1-B815-4B0E-93E7-4496A7FE99F6}">
  <ds:schemaRefs>
    <ds:schemaRef ds:uri="http://schemas.microsoft.com/office/2006/metadata/properties"/>
    <ds:schemaRef ds:uri="http://schemas.microsoft.com/office/infopath/2007/PartnerControls"/>
    <ds:schemaRef ds:uri="5e7bef76-b888-41a2-a261-5f525b37d47e"/>
    <ds:schemaRef ds:uri="94b38974-1436-4631-a0be-797faa57977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21</vt:i4>
      </vt:variant>
    </vt:vector>
  </HeadingPairs>
  <TitlesOfParts>
    <vt:vector size="21" baseType="lpstr">
      <vt:lpstr>Cover sheet</vt:lpstr>
      <vt:lpstr>Explanation</vt:lpstr>
      <vt:lpstr>Sources and specifics</vt:lpstr>
      <vt:lpstr>Result</vt:lpstr>
      <vt:lpstr>Dictum</vt:lpstr>
      <vt:lpstr>Input --&gt;</vt:lpstr>
      <vt:lpstr>Parameters</vt:lpstr>
      <vt:lpstr>Historical data</vt:lpstr>
      <vt:lpstr>Data ACM</vt:lpstr>
      <vt:lpstr>Estimates</vt:lpstr>
      <vt:lpstr>Financial data</vt:lpstr>
      <vt:lpstr>Calculation corrections--&gt;</vt:lpstr>
      <vt:lpstr>WACC correction 2024</vt:lpstr>
      <vt:lpstr>Volume-effect 2024</vt:lpstr>
      <vt:lpstr>Profit Sharing 2024</vt:lpstr>
      <vt:lpstr>Overview corrections</vt:lpstr>
      <vt:lpstr>Calculation tariffs --&gt;</vt:lpstr>
      <vt:lpstr>Fixed-variable costs</vt:lpstr>
      <vt:lpstr>Income level</vt:lpstr>
      <vt:lpstr>Variable tariffs</vt:lpstr>
      <vt:lpstr>Fixed tariffs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2018-05-15T11:27:11Z</dcterms:created>
  <dcterms:modified xsi:type="dcterms:W3CDTF">2025-12-18T13:43:29Z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0x010100F459BCFB3BA7984093AF6B5FDACCE3FF</vt:lpwstr>
  </property>
  <property fmtid="{D5CDD505-2E9C-101B-9397-08002B2CF9AE}" pid="3" name="_dlc_DocIdItemGuid">
    <vt:lpwstr>e0efd16f-45ee-4b9d-aa02-521177c04c12</vt:lpwstr>
  </property>
</Properties>
</file>