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8_{E86EF89E-EFBA-41AE-BD58-449F0629D74B}" xr6:coauthVersionLast="47" xr6:coauthVersionMax="47" xr10:uidLastSave="{00000000-0000-0000-0000-000000000000}"/>
  <bookViews>
    <workbookView xWindow="28680" yWindow="-120" windowWidth="29040" windowHeight="17520" tabRatio="818" xr2:uid="{00000000-000D-0000-FFFF-FFFF00000000}"/>
  </bookViews>
  <sheets>
    <sheet name="Cover sheet" sheetId="9" r:id="rId1"/>
    <sheet name="Explanation" sheetId="10" r:id="rId2"/>
    <sheet name="Sources and specifics" sheetId="11" r:id="rId3"/>
    <sheet name="Production price 2026" sheetId="27" r:id="rId4"/>
    <sheet name="Dictum and Appendix" sheetId="28" r:id="rId5"/>
    <sheet name="Input --&gt;" sheetId="29" r:id="rId6"/>
    <sheet name="Parameters" sheetId="30" r:id="rId7"/>
    <sheet name="Est. and realized costs 2024" sheetId="31" r:id="rId8"/>
    <sheet name="Production and fuel costs" sheetId="32" r:id="rId9"/>
    <sheet name="Est. production and costs 2026" sheetId="33" r:id="rId10"/>
    <sheet name="Calculations --&gt;" sheetId="34" r:id="rId11"/>
    <sheet name="Calculation RAB" sheetId="35" r:id="rId12"/>
    <sheet name="Fuel costs and income 2024" sheetId="36" r:id="rId13"/>
    <sheet name="Volume and PS corrections 2024" sheetId="37" r:id="rId14"/>
    <sheet name="Total income 2026" sheetId="38"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2" i="38" l="1"/>
  <c r="H55" i="38"/>
  <c r="H33" i="38"/>
  <c r="E37" i="28"/>
  <c r="E36" i="28"/>
  <c r="H330" i="35" l="1"/>
  <c r="H329" i="35"/>
  <c r="H328" i="35"/>
  <c r="H54" i="38"/>
  <c r="H27" i="38"/>
  <c r="H100" i="33"/>
  <c r="H99" i="33"/>
  <c r="H101" i="33" s="1"/>
  <c r="H196" i="35" l="1"/>
  <c r="H197" i="35"/>
  <c r="H480" i="35" s="1"/>
  <c r="H195" i="35"/>
  <c r="H477" i="35" s="1"/>
  <c r="H38" i="33"/>
  <c r="H37" i="33"/>
  <c r="H36" i="33"/>
  <c r="H476" i="35" l="1"/>
  <c r="Z25" i="32"/>
  <c r="AA25" i="32"/>
  <c r="AB25" i="32"/>
  <c r="AC25" i="32"/>
  <c r="AD25" i="32"/>
  <c r="AE25" i="32"/>
  <c r="AF25" i="32"/>
  <c r="AG25" i="32"/>
  <c r="AH25" i="32"/>
  <c r="AI25" i="32"/>
  <c r="H478" i="35" l="1"/>
  <c r="H479" i="35" s="1"/>
  <c r="H481" i="35" s="1"/>
  <c r="H531" i="35" s="1"/>
  <c r="H482" i="35"/>
  <c r="H532" i="35" s="1"/>
  <c r="H168" i="35"/>
  <c r="H169" i="35"/>
  <c r="H411" i="35" s="1"/>
  <c r="H172" i="35"/>
  <c r="H173" i="35"/>
  <c r="H174" i="35"/>
  <c r="H177" i="35"/>
  <c r="H178" i="35"/>
  <c r="H179" i="35"/>
  <c r="H182" i="35"/>
  <c r="H183" i="35"/>
  <c r="H184" i="35"/>
  <c r="H187" i="35"/>
  <c r="H188" i="35"/>
  <c r="H189" i="35"/>
  <c r="H190" i="35"/>
  <c r="H167" i="35"/>
  <c r="H463" i="35" l="1"/>
  <c r="H421" i="35"/>
  <c r="H434" i="35"/>
  <c r="H435" i="35" s="1"/>
  <c r="H460" i="35"/>
  <c r="H447" i="35"/>
  <c r="H408" i="35"/>
  <c r="H424" i="35"/>
  <c r="H450" i="35"/>
  <c r="H437" i="35"/>
  <c r="H433" i="35"/>
  <c r="H441" i="35" s="1"/>
  <c r="H446" i="35"/>
  <c r="H448" i="35" s="1"/>
  <c r="H420" i="35"/>
  <c r="H422" i="35" s="1"/>
  <c r="H407" i="35"/>
  <c r="H459" i="35"/>
  <c r="H49" i="36"/>
  <c r="H423" i="35" l="1"/>
  <c r="H425" i="35" s="1"/>
  <c r="H468" i="35"/>
  <c r="H471" i="35"/>
  <c r="H527" i="35" s="1"/>
  <c r="H409" i="35"/>
  <c r="H410" i="35" s="1"/>
  <c r="H412" i="35" s="1"/>
  <c r="H465" i="35"/>
  <c r="H467" i="35"/>
  <c r="H442" i="35"/>
  <c r="H443" i="35" s="1"/>
  <c r="H455" i="35"/>
  <c r="H428" i="35"/>
  <c r="H429" i="35"/>
  <c r="H449" i="35"/>
  <c r="H451" i="35" s="1"/>
  <c r="H454" i="35"/>
  <c r="H461" i="35"/>
  <c r="H462" i="35" s="1"/>
  <c r="H464" i="35" s="1"/>
  <c r="H469" i="35"/>
  <c r="H470" i="35" s="1"/>
  <c r="H436" i="35"/>
  <c r="H438" i="35" s="1"/>
  <c r="H415" i="35"/>
  <c r="H416" i="35"/>
  <c r="H439" i="35"/>
  <c r="H452" i="35"/>
  <c r="H426" i="35"/>
  <c r="H413" i="35"/>
  <c r="AI35" i="36"/>
  <c r="AH35" i="36"/>
  <c r="AG35" i="36"/>
  <c r="AF35" i="36"/>
  <c r="AE35" i="36"/>
  <c r="AD35" i="36"/>
  <c r="AC35" i="36"/>
  <c r="AC41" i="36" s="1"/>
  <c r="AC42" i="36" s="1"/>
  <c r="AB35" i="36"/>
  <c r="AA35" i="36"/>
  <c r="AF41" i="36"/>
  <c r="AF42" i="36" s="1"/>
  <c r="AF47" i="36" s="1"/>
  <c r="AD41" i="36"/>
  <c r="AD42" i="36" s="1"/>
  <c r="AD47" i="36" s="1"/>
  <c r="Z35" i="36"/>
  <c r="Z16" i="36"/>
  <c r="AA16" i="36"/>
  <c r="AB16" i="36"/>
  <c r="AC16" i="36"/>
  <c r="AD16" i="36"/>
  <c r="AE16" i="36"/>
  <c r="AF16" i="36"/>
  <c r="AG16" i="36"/>
  <c r="AG45" i="36" s="1"/>
  <c r="AH16" i="36"/>
  <c r="AI16" i="36"/>
  <c r="Z17" i="36"/>
  <c r="AA17" i="36"/>
  <c r="AA45" i="36" s="1"/>
  <c r="AB17" i="36"/>
  <c r="AC17" i="36"/>
  <c r="AD17" i="36"/>
  <c r="AE17" i="36"/>
  <c r="AE45" i="36" s="1"/>
  <c r="AF17" i="36"/>
  <c r="AG17" i="36"/>
  <c r="AH17" i="36"/>
  <c r="AI17" i="36"/>
  <c r="AI45" i="36" s="1"/>
  <c r="Z20" i="36"/>
  <c r="AA20" i="36"/>
  <c r="AB20" i="36"/>
  <c r="AB23" i="36" s="1"/>
  <c r="AC20" i="36"/>
  <c r="AD20" i="36"/>
  <c r="AE20" i="36"/>
  <c r="AF20" i="36"/>
  <c r="AF23" i="36" s="1"/>
  <c r="AG20" i="36"/>
  <c r="AG23" i="36" s="1"/>
  <c r="AH20" i="36"/>
  <c r="AI20" i="36"/>
  <c r="Z21" i="36"/>
  <c r="Z23" i="36" s="1"/>
  <c r="AA21" i="36"/>
  <c r="AA23" i="36" s="1"/>
  <c r="AB21" i="36"/>
  <c r="AC21" i="36"/>
  <c r="AD21" i="36"/>
  <c r="AD23" i="36" s="1"/>
  <c r="AE21" i="36"/>
  <c r="AE23" i="36" s="1"/>
  <c r="AF21" i="36"/>
  <c r="AG21" i="36"/>
  <c r="AH21" i="36"/>
  <c r="AI21" i="36"/>
  <c r="AI23" i="36" s="1"/>
  <c r="AH23" i="36"/>
  <c r="Z31" i="36"/>
  <c r="AA31" i="36"/>
  <c r="AA41" i="36" s="1"/>
  <c r="AA42" i="36" s="1"/>
  <c r="AB31" i="36"/>
  <c r="AC31" i="36"/>
  <c r="AD31" i="36"/>
  <c r="AE31" i="36"/>
  <c r="AE41" i="36" s="1"/>
  <c r="AE42" i="36" s="1"/>
  <c r="AF31" i="36"/>
  <c r="AG31" i="36"/>
  <c r="AH31" i="36"/>
  <c r="AH41" i="36" s="1"/>
  <c r="AI31" i="36"/>
  <c r="AI41" i="36" s="1"/>
  <c r="Z32" i="36"/>
  <c r="AA32" i="36"/>
  <c r="AB32" i="36"/>
  <c r="AC32" i="36"/>
  <c r="AD32" i="36"/>
  <c r="AE32" i="36"/>
  <c r="AF32" i="36"/>
  <c r="AG32" i="36"/>
  <c r="AH32" i="36"/>
  <c r="AI32" i="36"/>
  <c r="Z41" i="36"/>
  <c r="Z42" i="36" s="1"/>
  <c r="Z47" i="36" s="1"/>
  <c r="AB41" i="36"/>
  <c r="AB42" i="36" s="1"/>
  <c r="AB47" i="36" s="1"/>
  <c r="Z45" i="36"/>
  <c r="AB45" i="36"/>
  <c r="AC45" i="36"/>
  <c r="AD45" i="36"/>
  <c r="AF45" i="36"/>
  <c r="H430" i="35" l="1"/>
  <c r="H417" i="35"/>
  <c r="AI42" i="36"/>
  <c r="AI47" i="36" s="1"/>
  <c r="AH42" i="36"/>
  <c r="AH47" i="36" s="1"/>
  <c r="AH45" i="36"/>
  <c r="AG41" i="36"/>
  <c r="AG42" i="36" s="1"/>
  <c r="AG47" i="36" s="1"/>
  <c r="AC23" i="36"/>
  <c r="AE47" i="36"/>
  <c r="AC47" i="36"/>
  <c r="AA47" i="36"/>
  <c r="H50" i="36" l="1"/>
  <c r="H66" i="38" s="1"/>
  <c r="H37" i="31"/>
  <c r="H16" i="37" l="1"/>
  <c r="H34" i="33"/>
  <c r="H39" i="33" s="1"/>
  <c r="H112" i="35" s="1"/>
  <c r="H326" i="35" s="1"/>
  <c r="E31" i="28" l="1"/>
  <c r="H28" i="38" l="1"/>
  <c r="H53" i="38" s="1"/>
  <c r="E35" i="28" s="1"/>
  <c r="H135" i="35"/>
  <c r="H140" i="35"/>
  <c r="H145" i="35"/>
  <c r="H150" i="35"/>
  <c r="H155" i="35"/>
  <c r="H160" i="35"/>
  <c r="H130" i="35"/>
  <c r="H83" i="33"/>
  <c r="H162" i="35" s="1"/>
  <c r="H78" i="33"/>
  <c r="H157" i="35" s="1"/>
  <c r="H73" i="33"/>
  <c r="H152" i="35" s="1"/>
  <c r="H68" i="33"/>
  <c r="H147" i="35" s="1"/>
  <c r="H63" i="33"/>
  <c r="H142" i="35" s="1"/>
  <c r="H58" i="33"/>
  <c r="H137" i="35" s="1"/>
  <c r="H53" i="33"/>
  <c r="H132" i="35" s="1"/>
  <c r="H59" i="31"/>
  <c r="H60" i="31" s="1"/>
  <c r="H66" i="31" s="1"/>
  <c r="H77" i="33" s="1"/>
  <c r="H156" i="35" s="1"/>
  <c r="H135" i="31"/>
  <c r="H141" i="31" s="1"/>
  <c r="H82" i="33" s="1"/>
  <c r="H161" i="35" s="1"/>
  <c r="H398" i="35" l="1"/>
  <c r="H402" i="35" s="1"/>
  <c r="H391" i="35"/>
  <c r="H395" i="35" s="1"/>
  <c r="H62" i="31"/>
  <c r="H64" i="31"/>
  <c r="H67" i="33" s="1"/>
  <c r="H146" i="35" s="1"/>
  <c r="H377" i="35" s="1"/>
  <c r="H381" i="35" s="1"/>
  <c r="H139" i="31"/>
  <c r="H72" i="33" s="1"/>
  <c r="H151" i="35" s="1"/>
  <c r="H384" i="35" s="1"/>
  <c r="H388" i="35" s="1"/>
  <c r="H137" i="31"/>
  <c r="H62" i="33" s="1"/>
  <c r="H141" i="35" s="1"/>
  <c r="H370" i="35" s="1"/>
  <c r="H374" i="35" s="1"/>
  <c r="H386" i="35" l="1"/>
  <c r="H399" i="35"/>
  <c r="H378" i="35"/>
  <c r="H392" i="35"/>
  <c r="H393" i="35"/>
  <c r="H400" i="35"/>
  <c r="H371" i="35"/>
  <c r="H385" i="35"/>
  <c r="H379" i="35"/>
  <c r="H372" i="35"/>
  <c r="H57" i="33"/>
  <c r="H136" i="35" s="1"/>
  <c r="H363" i="35" s="1"/>
  <c r="H52" i="33"/>
  <c r="H131" i="35" s="1"/>
  <c r="H356" i="35" s="1"/>
  <c r="H360" i="35" s="1"/>
  <c r="H387" i="35" l="1"/>
  <c r="H401" i="35"/>
  <c r="H380" i="35"/>
  <c r="H394" i="35"/>
  <c r="H373" i="35"/>
  <c r="H367" i="35"/>
  <c r="H522" i="35" s="1"/>
  <c r="H365" i="35"/>
  <c r="H364" i="35"/>
  <c r="H358" i="35"/>
  <c r="H357" i="35"/>
  <c r="H366" i="35" l="1"/>
  <c r="H359" i="35"/>
  <c r="E44" i="28"/>
  <c r="H521" i="35" l="1"/>
  <c r="H19" i="35"/>
  <c r="H64" i="38" l="1"/>
  <c r="H86" i="35" l="1"/>
  <c r="H25" i="38"/>
  <c r="H17" i="33" l="1"/>
  <c r="H16" i="33"/>
  <c r="E22" i="28"/>
  <c r="E21" i="28"/>
  <c r="E24" i="28"/>
  <c r="E23" i="28"/>
  <c r="H14" i="38" l="1"/>
  <c r="H15" i="38"/>
  <c r="H118" i="35" l="1"/>
  <c r="H119" i="35"/>
  <c r="H117" i="35"/>
  <c r="H99" i="35"/>
  <c r="H100" i="35"/>
  <c r="H101" i="35"/>
  <c r="H98" i="35"/>
  <c r="H94" i="35"/>
  <c r="H95" i="35"/>
  <c r="H96" i="35"/>
  <c r="H93" i="35"/>
  <c r="H301" i="35" l="1"/>
  <c r="H306" i="35" s="1"/>
  <c r="H308" i="35" l="1"/>
  <c r="H302" i="35"/>
  <c r="H303" i="35"/>
  <c r="H309" i="35"/>
  <c r="H312" i="35"/>
  <c r="H304" i="35" l="1"/>
  <c r="H305" i="35" s="1"/>
  <c r="H310" i="35"/>
  <c r="H311" i="35" s="1"/>
  <c r="N25" i="32"/>
  <c r="H46" i="38" l="1"/>
  <c r="H30" i="38"/>
  <c r="H17" i="38"/>
  <c r="H18" i="38" s="1"/>
  <c r="H30" i="37"/>
  <c r="H22" i="37"/>
  <c r="H17" i="37"/>
  <c r="H48" i="37" s="1"/>
  <c r="H20" i="37"/>
  <c r="Y35" i="36"/>
  <c r="X35" i="36"/>
  <c r="W35" i="36"/>
  <c r="V35" i="36"/>
  <c r="U35" i="36"/>
  <c r="T35" i="36"/>
  <c r="S35" i="36"/>
  <c r="R35" i="36"/>
  <c r="Q35" i="36"/>
  <c r="P35" i="36"/>
  <c r="O35" i="36"/>
  <c r="N35" i="36"/>
  <c r="Y32" i="36"/>
  <c r="X32" i="36"/>
  <c r="W32" i="36"/>
  <c r="V32" i="36"/>
  <c r="U32" i="36"/>
  <c r="T32" i="36"/>
  <c r="S32" i="36"/>
  <c r="R32" i="36"/>
  <c r="Q32" i="36"/>
  <c r="P32" i="36"/>
  <c r="O32" i="36"/>
  <c r="N32" i="36"/>
  <c r="Y31" i="36"/>
  <c r="Y41" i="36" s="1"/>
  <c r="Y42" i="36" s="1"/>
  <c r="X31" i="36"/>
  <c r="X41" i="36" s="1"/>
  <c r="X42" i="36" s="1"/>
  <c r="W31" i="36"/>
  <c r="W41" i="36" s="1"/>
  <c r="V31" i="36"/>
  <c r="U31" i="36"/>
  <c r="U41" i="36" s="1"/>
  <c r="U42" i="36" s="1"/>
  <c r="T31" i="36"/>
  <c r="T41" i="36" s="1"/>
  <c r="T42" i="36" s="1"/>
  <c r="S31" i="36"/>
  <c r="S41" i="36" s="1"/>
  <c r="S42" i="36" s="1"/>
  <c r="R31" i="36"/>
  <c r="R41" i="36" s="1"/>
  <c r="R42" i="36" s="1"/>
  <c r="Q31" i="36"/>
  <c r="Q41" i="36" s="1"/>
  <c r="Q42" i="36" s="1"/>
  <c r="P31" i="36"/>
  <c r="P41" i="36" s="1"/>
  <c r="P42" i="36" s="1"/>
  <c r="O31" i="36"/>
  <c r="O41" i="36" s="1"/>
  <c r="O42" i="36" s="1"/>
  <c r="N31" i="36"/>
  <c r="N41" i="36" s="1"/>
  <c r="N42" i="36" s="1"/>
  <c r="Y21" i="36"/>
  <c r="X21" i="36"/>
  <c r="W21" i="36"/>
  <c r="V21" i="36"/>
  <c r="U21" i="36"/>
  <c r="T21" i="36"/>
  <c r="S21" i="36"/>
  <c r="R21" i="36"/>
  <c r="Q21" i="36"/>
  <c r="P21" i="36"/>
  <c r="O21" i="36"/>
  <c r="N21" i="36"/>
  <c r="Y20" i="36"/>
  <c r="Y23" i="36" s="1"/>
  <c r="X20" i="36"/>
  <c r="X23" i="36" s="1"/>
  <c r="W20" i="36"/>
  <c r="V20" i="36"/>
  <c r="V23" i="36" s="1"/>
  <c r="U20" i="36"/>
  <c r="T20" i="36"/>
  <c r="T23" i="36" s="1"/>
  <c r="S20" i="36"/>
  <c r="S23" i="36" s="1"/>
  <c r="R20" i="36"/>
  <c r="Q20" i="36"/>
  <c r="Q23" i="36" s="1"/>
  <c r="P20" i="36"/>
  <c r="P23" i="36" s="1"/>
  <c r="O20" i="36"/>
  <c r="O23" i="36" s="1"/>
  <c r="N20" i="36"/>
  <c r="N23" i="36" s="1"/>
  <c r="Y17" i="36"/>
  <c r="X17" i="36"/>
  <c r="W17" i="36"/>
  <c r="V17" i="36"/>
  <c r="U17" i="36"/>
  <c r="T17" i="36"/>
  <c r="S17" i="36"/>
  <c r="R17" i="36"/>
  <c r="Q17" i="36"/>
  <c r="P17" i="36"/>
  <c r="O17" i="36"/>
  <c r="N17" i="36"/>
  <c r="Y16" i="36"/>
  <c r="Y45" i="36" s="1"/>
  <c r="X16" i="36"/>
  <c r="X45" i="36" s="1"/>
  <c r="W16" i="36"/>
  <c r="W45" i="36" s="1"/>
  <c r="V16" i="36"/>
  <c r="V45" i="36" s="1"/>
  <c r="U16" i="36"/>
  <c r="U45" i="36" s="1"/>
  <c r="T16" i="36"/>
  <c r="T45" i="36" s="1"/>
  <c r="S16" i="36"/>
  <c r="S45" i="36" s="1"/>
  <c r="R16" i="36"/>
  <c r="R45" i="36" s="1"/>
  <c r="Q16" i="36"/>
  <c r="Q45" i="36" s="1"/>
  <c r="P16" i="36"/>
  <c r="P45" i="36" s="1"/>
  <c r="O16" i="36"/>
  <c r="O45" i="36" s="1"/>
  <c r="N16" i="36"/>
  <c r="N45" i="36" s="1"/>
  <c r="H124" i="35"/>
  <c r="H123" i="35"/>
  <c r="H122" i="35"/>
  <c r="H114" i="35"/>
  <c r="H113" i="35"/>
  <c r="H109" i="35"/>
  <c r="H107" i="35"/>
  <c r="H88" i="35"/>
  <c r="H87" i="35"/>
  <c r="H84" i="35"/>
  <c r="H83" i="35"/>
  <c r="H82" i="35"/>
  <c r="H77" i="35"/>
  <c r="H76" i="35"/>
  <c r="H75" i="35"/>
  <c r="H70" i="35"/>
  <c r="H69" i="35"/>
  <c r="H68" i="35"/>
  <c r="H63" i="35"/>
  <c r="H62" i="35"/>
  <c r="H61" i="35"/>
  <c r="H56" i="35"/>
  <c r="H55" i="35"/>
  <c r="H54" i="35"/>
  <c r="H51" i="35"/>
  <c r="H50" i="35"/>
  <c r="H49" i="35"/>
  <c r="H42" i="35"/>
  <c r="H41" i="35"/>
  <c r="H40" i="35"/>
  <c r="H37" i="35"/>
  <c r="H36" i="35"/>
  <c r="H35" i="35"/>
  <c r="H28" i="35"/>
  <c r="H27" i="35"/>
  <c r="H26" i="35"/>
  <c r="H25" i="35"/>
  <c r="H20" i="35"/>
  <c r="H30" i="33"/>
  <c r="H108" i="35" s="1"/>
  <c r="H38" i="38"/>
  <c r="Y25" i="32"/>
  <c r="X25" i="32"/>
  <c r="W25" i="32"/>
  <c r="V25" i="32"/>
  <c r="U25" i="32"/>
  <c r="T25" i="32"/>
  <c r="S25" i="32"/>
  <c r="R25" i="32"/>
  <c r="Q25" i="32"/>
  <c r="P25" i="32"/>
  <c r="O25" i="32"/>
  <c r="J23" i="32"/>
  <c r="J22" i="32"/>
  <c r="E53" i="28"/>
  <c r="E48" i="28"/>
  <c r="E47" i="28"/>
  <c r="E26" i="28"/>
  <c r="E25" i="28"/>
  <c r="H523" i="35" l="1"/>
  <c r="H533" i="35"/>
  <c r="H49" i="37"/>
  <c r="H25" i="36"/>
  <c r="H45" i="38" s="1"/>
  <c r="W23" i="36"/>
  <c r="U23" i="36"/>
  <c r="W42" i="36"/>
  <c r="H50" i="37"/>
  <c r="H36" i="37"/>
  <c r="H37" i="37" s="1"/>
  <c r="H346" i="35"/>
  <c r="H350" i="35" s="1"/>
  <c r="H318" i="35"/>
  <c r="E49" i="28"/>
  <c r="E50" i="28" s="1"/>
  <c r="H287" i="35"/>
  <c r="H334" i="35"/>
  <c r="V41" i="36"/>
  <c r="V42" i="36" s="1"/>
  <c r="V47" i="36" s="1"/>
  <c r="T47" i="36"/>
  <c r="S47" i="36"/>
  <c r="P47" i="36"/>
  <c r="R23" i="36"/>
  <c r="J25" i="32"/>
  <c r="H28" i="37" s="1"/>
  <c r="O47" i="36"/>
  <c r="W47" i="36"/>
  <c r="X47" i="36"/>
  <c r="H204" i="35"/>
  <c r="H248" i="35"/>
  <c r="H249" i="35" s="1"/>
  <c r="H221" i="35"/>
  <c r="H273" i="35"/>
  <c r="H277" i="35" s="1"/>
  <c r="H325" i="35"/>
  <c r="H331" i="35" s="1"/>
  <c r="H24" i="38"/>
  <c r="H52" i="38" s="1"/>
  <c r="H25" i="37"/>
  <c r="H39" i="38"/>
  <c r="Q47" i="36"/>
  <c r="U47" i="36"/>
  <c r="Y47" i="36"/>
  <c r="H262" i="35"/>
  <c r="H264" i="35" s="1"/>
  <c r="N47" i="36"/>
  <c r="R47" i="36"/>
  <c r="H327" i="35" l="1"/>
  <c r="H347" i="35"/>
  <c r="H320" i="35"/>
  <c r="H322" i="35"/>
  <c r="H343" i="35"/>
  <c r="H338" i="35"/>
  <c r="H348" i="35"/>
  <c r="H336" i="35"/>
  <c r="H335" i="35"/>
  <c r="H319" i="35"/>
  <c r="H292" i="35"/>
  <c r="H295" i="35"/>
  <c r="H294" i="35"/>
  <c r="H288" i="35"/>
  <c r="H289" i="35"/>
  <c r="H275" i="35"/>
  <c r="H268" i="35"/>
  <c r="H279" i="35"/>
  <c r="H269" i="35"/>
  <c r="H274" i="35"/>
  <c r="H263" i="35"/>
  <c r="H280" i="35"/>
  <c r="H222" i="35"/>
  <c r="H52" i="37"/>
  <c r="H53" i="37" s="1"/>
  <c r="E51" i="28"/>
  <c r="H38" i="37"/>
  <c r="H205" i="35"/>
  <c r="H206" i="35" s="1"/>
  <c r="H75" i="38"/>
  <c r="H41" i="37"/>
  <c r="H341" i="35"/>
  <c r="H340" i="35"/>
  <c r="H298" i="35"/>
  <c r="H512" i="35" s="1"/>
  <c r="H40" i="38"/>
  <c r="E52" i="28" s="1"/>
  <c r="H507" i="35"/>
  <c r="H266" i="35"/>
  <c r="H517" i="35" l="1"/>
  <c r="H349" i="35"/>
  <c r="H497" i="35"/>
  <c r="H337" i="35"/>
  <c r="H296" i="35"/>
  <c r="H297" i="35" s="1"/>
  <c r="H511" i="35" s="1"/>
  <c r="H513" i="35" s="1"/>
  <c r="H290" i="35"/>
  <c r="H291" i="35" s="1"/>
  <c r="H489" i="35" s="1"/>
  <c r="H270" i="35"/>
  <c r="H81" i="38"/>
  <c r="H208" i="35"/>
  <c r="H321" i="35"/>
  <c r="H16" i="27"/>
  <c r="H42" i="37"/>
  <c r="H62" i="38" s="1"/>
  <c r="H342" i="35"/>
  <c r="H276" i="35"/>
  <c r="H281" i="35"/>
  <c r="H28" i="27"/>
  <c r="E34" i="28"/>
  <c r="H265" i="35"/>
  <c r="H65" i="38"/>
  <c r="E43" i="28"/>
  <c r="H506" i="35" l="1"/>
  <c r="H508" i="35" s="1"/>
  <c r="H212" i="35"/>
  <c r="H209" i="35"/>
  <c r="H213" i="35"/>
  <c r="H210" i="35"/>
  <c r="H516" i="35"/>
  <c r="E41" i="28"/>
  <c r="E58" i="28"/>
  <c r="H518" i="35" l="1"/>
  <c r="H456" i="35"/>
  <c r="H526" i="35" s="1"/>
  <c r="H528" i="35" s="1"/>
  <c r="H211" i="35"/>
  <c r="H214" i="35"/>
  <c r="H496" i="35" s="1"/>
  <c r="H20" i="27"/>
  <c r="E54" i="28" s="1"/>
  <c r="H498" i="35" l="1"/>
  <c r="B17" i="10" l="1"/>
  <c r="B18" i="10" l="1"/>
  <c r="B19" i="10" l="1"/>
  <c r="B23" i="10" s="1"/>
  <c r="H250" i="35"/>
  <c r="H251" i="35" l="1"/>
  <c r="H255" i="35" s="1"/>
  <c r="H487" i="35" s="1"/>
  <c r="H256" i="35"/>
  <c r="H488" i="35" s="1"/>
  <c r="H501" i="35" l="1"/>
  <c r="H535" i="35" s="1"/>
  <c r="H502" i="35"/>
  <c r="H536" i="35" s="1"/>
  <c r="E29" i="28" l="1"/>
  <c r="H503" i="35"/>
  <c r="E30" i="28"/>
  <c r="H490" i="35"/>
  <c r="H26" i="37" s="1"/>
  <c r="H56" i="37" s="1"/>
  <c r="H59" i="37" s="1"/>
  <c r="H60" i="37" s="1"/>
  <c r="H537" i="35" l="1"/>
  <c r="H63" i="38"/>
  <c r="H67" i="38" s="1"/>
  <c r="E42" i="28"/>
  <c r="H56" i="38" l="1"/>
  <c r="H74" i="38"/>
  <c r="E38" i="28"/>
  <c r="H59" i="38"/>
  <c r="H70" i="38" s="1"/>
  <c r="H15" i="27" s="1"/>
  <c r="H17" i="27" s="1"/>
  <c r="H18" i="27" s="1"/>
  <c r="E11" i="28" s="1"/>
  <c r="H27" i="27" l="1"/>
  <c r="H22" i="27"/>
  <c r="H23" i="27" s="1"/>
  <c r="E55"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23" authorId="0" shapeId="0" xr:uid="{00000000-0006-0000-0400-000001000000}">
      <text>
        <r>
          <rPr>
            <sz val="8"/>
            <color indexed="81"/>
            <rFont val="Tahoma"/>
            <family val="2"/>
          </rPr>
          <t>At all times a (group of) pink cell(s) needs an explanantion on its special nature. This explanation will be added through this remark box.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O19" authorId="0" shapeId="0" xr:uid="{DAB5F6C7-3956-47FA-B3FC-D6CD2E78068C}">
      <text>
        <r>
          <rPr>
            <sz val="9"/>
            <color indexed="81"/>
            <rFont val="Tahoma"/>
            <family val="2"/>
          </rPr>
          <t>Figure differs from the source, due to error in the source. CGB confirmed this in the answer to the second information request.</t>
        </r>
      </text>
    </comment>
  </commentList>
</comments>
</file>

<file path=xl/sharedStrings.xml><?xml version="1.0" encoding="utf-8"?>
<sst xmlns="http://schemas.openxmlformats.org/spreadsheetml/2006/main" count="1746" uniqueCount="623">
  <si>
    <t>Disclaimer</t>
  </si>
  <si>
    <t>Data</t>
  </si>
  <si>
    <t>Input --&gt;</t>
  </si>
  <si>
    <t>About this file</t>
  </si>
  <si>
    <t>Case number</t>
  </si>
  <si>
    <t>File title</t>
  </si>
  <si>
    <t>Subtitle</t>
  </si>
  <si>
    <t>Other remarks</t>
  </si>
  <si>
    <t>About the status of this file</t>
  </si>
  <si>
    <t>Final version? (y/n)</t>
  </si>
  <si>
    <t>Is this file legally part of the decision(s) listed above? (y/n)</t>
  </si>
  <si>
    <t>Cell colors (for numbers)</t>
  </si>
  <si>
    <t>Description</t>
  </si>
  <si>
    <t>Data and input (source required)</t>
  </si>
  <si>
    <t>Calculated value</t>
  </si>
  <si>
    <t>Empty cell (not zero) used in a formula range</t>
  </si>
  <si>
    <t>Value or calculation that needs special attention or explanation</t>
  </si>
  <si>
    <t>Sheet tab colors</t>
  </si>
  <si>
    <t>Sheet with result/output</t>
  </si>
  <si>
    <t>Sheet with input</t>
  </si>
  <si>
    <t>Sheet with calculations</t>
  </si>
  <si>
    <t>Model sheets</t>
  </si>
  <si>
    <t>Result</t>
  </si>
  <si>
    <t>Calculation</t>
  </si>
  <si>
    <t>Explanatory sheets</t>
  </si>
  <si>
    <t>Explanation</t>
  </si>
  <si>
    <t>Special attention:</t>
  </si>
  <si>
    <t>Source overview and specific applications</t>
  </si>
  <si>
    <t>Source overview</t>
  </si>
  <si>
    <t>Each input sheet contains a column 'Source', in which the sources are referred to by their shortened name. These sources are further explained in the table below.</t>
  </si>
  <si>
    <t>No.</t>
  </si>
  <si>
    <t>Shortened name</t>
  </si>
  <si>
    <t>As referred to in Source column</t>
  </si>
  <si>
    <t>Date received, email, URL, file location</t>
  </si>
  <si>
    <t>Explanantory notes</t>
  </si>
  <si>
    <t>Unit</t>
  </si>
  <si>
    <t>Constant</t>
  </si>
  <si>
    <t>Row total</t>
  </si>
  <si>
    <t>Remarks</t>
  </si>
  <si>
    <t>Source</t>
  </si>
  <si>
    <t>Cover sheet</t>
  </si>
  <si>
    <t>Belongs to decision(s):</t>
  </si>
  <si>
    <t>If applicable</t>
  </si>
  <si>
    <t>Remarks about previous versions of this file</t>
  </si>
  <si>
    <t>Objections and appeals can be filed against the decision to which this file belongs.</t>
  </si>
  <si>
    <t xml:space="preserve">If there are any substantive differences between the calculation in this file and the calculation that follows from the relevant decision, the decision's calculation is authentic. </t>
  </si>
  <si>
    <t>Explanatory notes to this file</t>
  </si>
  <si>
    <t xml:space="preserve">Explanation about how this file works </t>
  </si>
  <si>
    <t>Legend for the cell and sheet colors</t>
  </si>
  <si>
    <t>Value that is taken from another sheet or cell without calculation</t>
  </si>
  <si>
    <t>Result/calculated value that is used in another sheet</t>
  </si>
  <si>
    <t xml:space="preserve">Empty sheet used for indexing </t>
  </si>
  <si>
    <t>Standardized sheets with general information abouyt this file</t>
  </si>
  <si>
    <t>Additional information about this source</t>
  </si>
  <si>
    <t xml:space="preserve">If ACM does use cell or range references, macros, or other more complex functions in Excel, these will be explained on this sheet. </t>
  </si>
  <si>
    <t>Relationship to other calculation files</t>
  </si>
  <si>
    <t>in the overview below, ACM lists the sources that are used for data and calculations in this file.</t>
  </si>
  <si>
    <t>Explanation of the use of specific Excel-applications and other details</t>
  </si>
  <si>
    <t xml:space="preserve">In its calculation files, ACM seeks to use simple and easy-to-follow calculations as much as possible, and seeks to avoid the use of complex formulas or specific applications. </t>
  </si>
  <si>
    <t>When final, will this file be published?</t>
  </si>
  <si>
    <t>When published, date of this file:</t>
  </si>
  <si>
    <t>When published, doe this file contain business-confidential information? (y/n)</t>
  </si>
  <si>
    <t>This calculation is developed in the standardized format used by the Energy Department of ACM (based on version 5, june 2021)</t>
  </si>
  <si>
    <t>[ END OF SHEET ]</t>
  </si>
  <si>
    <t>This sheet seperates different types of sheets and is intentially left blank</t>
  </si>
  <si>
    <t>No texts, data or calculations may be included on this sheet</t>
  </si>
  <si>
    <t>ACM case number and/or reference</t>
  </si>
  <si>
    <t>Description result</t>
  </si>
  <si>
    <t>Remark</t>
  </si>
  <si>
    <t>Calculation production price</t>
  </si>
  <si>
    <t>kWh</t>
  </si>
  <si>
    <t>This is the production price set in the Dictum</t>
  </si>
  <si>
    <t>This fuel component is not rounded (as it is not set in the Dictum, but follows from the formula)</t>
  </si>
  <si>
    <t>This production price is rounded to 5 decimals as this is used in the tariff calculation for WEB.</t>
  </si>
  <si>
    <t>Other relevant information</t>
  </si>
  <si>
    <t xml:space="preserve">Dictum and Appendix 1 Tariff Decision: tariffs and key figures Electricity </t>
  </si>
  <si>
    <t>Dictum</t>
  </si>
  <si>
    <t>Please note that all numbers are displayed in Dutch decimal system</t>
  </si>
  <si>
    <t>General parameters</t>
  </si>
  <si>
    <t>%</t>
  </si>
  <si>
    <t>Estimated inflation 2024 for Bonaire</t>
  </si>
  <si>
    <t>Profit sharing percentage</t>
  </si>
  <si>
    <t>USD</t>
  </si>
  <si>
    <t>Total OPEX estimation regular</t>
  </si>
  <si>
    <t>Total capital costs estimation</t>
  </si>
  <si>
    <t>Parameters on production</t>
  </si>
  <si>
    <t>liter / kWh</t>
  </si>
  <si>
    <t>USD / liter</t>
  </si>
  <si>
    <t>Relevant parameters on variable costs</t>
  </si>
  <si>
    <t xml:space="preserve">Parameters </t>
  </si>
  <si>
    <t>Description data</t>
  </si>
  <si>
    <t>This sheet shows the CPI, legal fixed interest rate and WACC used. Also, input for profit sharing is included.</t>
  </si>
  <si>
    <t>Explanatory notes</t>
  </si>
  <si>
    <t xml:space="preserve">The development of the CPI of Q3 year T and Q3 year T-1 will be used as the estimated inflation for the year T+1. The estimated inflation is rounded to one decimal. </t>
  </si>
  <si>
    <t xml:space="preserve">See Source overview for URL to relevant tables by CBS: CPI gegevens CBS (2017 = 100). </t>
  </si>
  <si>
    <t>CPI for Bonaire</t>
  </si>
  <si>
    <t>CPI data CBS (2017=100)</t>
  </si>
  <si>
    <t>Estimated inflation 2024</t>
  </si>
  <si>
    <t>Interest rate for time-value of tariff corrections</t>
  </si>
  <si>
    <t>Wettelijke rente CNL ('legal fixed interest rate')</t>
  </si>
  <si>
    <t>Wettelijke rente CNL</t>
  </si>
  <si>
    <t>WACC for electricity production only</t>
  </si>
  <si>
    <t>Profit sharing parameter</t>
  </si>
  <si>
    <t>Based on choice in method decision</t>
  </si>
  <si>
    <t>For the realized operational costs, the CPI is used to translate costs over years, as these are expected to develop with CPI. So price level is always mentioned in the Unit column.</t>
  </si>
  <si>
    <t>Regular OPEX (excl. fuel)</t>
  </si>
  <si>
    <t>Personnel expenses</t>
  </si>
  <si>
    <t>Other operating expenses</t>
  </si>
  <si>
    <t>Non-variable fuel costs</t>
  </si>
  <si>
    <t>Total regular OPEX</t>
  </si>
  <si>
    <t>Specific cost categories</t>
  </si>
  <si>
    <t>Penalties and late fees</t>
  </si>
  <si>
    <t>Part 1: RAB power plant (initial investment)</t>
  </si>
  <si>
    <t>Initial costs power plant (value 20 Aug 2010)</t>
  </si>
  <si>
    <t>Transaction costs financing</t>
  </si>
  <si>
    <t>Residual value power plant (value 20 Aug 2025)</t>
  </si>
  <si>
    <t>PPA period in years</t>
  </si>
  <si>
    <t>Years</t>
  </si>
  <si>
    <t>Part 2: yearly investments (regular add-ons)</t>
  </si>
  <si>
    <t>RAB investments 2016</t>
  </si>
  <si>
    <t xml:space="preserve">Office </t>
  </si>
  <si>
    <t>Investment</t>
  </si>
  <si>
    <t>Depreciation period</t>
  </si>
  <si>
    <t>years</t>
  </si>
  <si>
    <t xml:space="preserve">Investment date </t>
  </si>
  <si>
    <t>date</t>
  </si>
  <si>
    <t>Software</t>
  </si>
  <si>
    <t>RAB investments 2017</t>
  </si>
  <si>
    <t>RAB investments 2018</t>
  </si>
  <si>
    <t>Software / computer equipment</t>
  </si>
  <si>
    <t>RAB investments 2019</t>
  </si>
  <si>
    <t>Computer equipment</t>
  </si>
  <si>
    <t>RAB investments 2020</t>
  </si>
  <si>
    <t>No regular capital additions in 2021</t>
  </si>
  <si>
    <t>No regular capital additions in 2022</t>
  </si>
  <si>
    <t>Part 3: expansion investments (capacity add-on realized in 2019)</t>
  </si>
  <si>
    <t>Investment batteries</t>
  </si>
  <si>
    <t>Investment extra HFO generators</t>
  </si>
  <si>
    <t>All production volumes are net volumes.</t>
  </si>
  <si>
    <t xml:space="preserve">Year: 
Month: </t>
  </si>
  <si>
    <t>LSD fuel data</t>
  </si>
  <si>
    <t>Weighted average purchasing price</t>
  </si>
  <si>
    <t>Fuel volume consumed for production</t>
  </si>
  <si>
    <t>liter</t>
  </si>
  <si>
    <t>Production volumes</t>
  </si>
  <si>
    <t>Total net production with generators (fuel)</t>
  </si>
  <si>
    <t>Total net production by renewable sources</t>
  </si>
  <si>
    <t xml:space="preserve">Total production </t>
  </si>
  <si>
    <t>Information from monthly invoice to WEB</t>
  </si>
  <si>
    <t>Production price as calculated by CGB</t>
  </si>
  <si>
    <t>USD / kWh</t>
  </si>
  <si>
    <t>Volume sold to WEB</t>
  </si>
  <si>
    <t>Production price excluding fuel component</t>
  </si>
  <si>
    <t>Production by fuel</t>
  </si>
  <si>
    <t>This is net production; fuel production calculated as difference between total demand and estimated renewable production.</t>
  </si>
  <si>
    <t>Production by wind</t>
  </si>
  <si>
    <t>Production by solar</t>
  </si>
  <si>
    <t>Spare parts and special tools for the BESS</t>
  </si>
  <si>
    <t>Total investment</t>
  </si>
  <si>
    <t xml:space="preserve">USD </t>
  </si>
  <si>
    <t>The depreciation period is calculated such that the spare parts are fully depreciated when the BESS project is fully depreciated (1 April 2038).</t>
  </si>
  <si>
    <t>Commercial operation date</t>
  </si>
  <si>
    <t>Investment in 6 MW peakers</t>
  </si>
  <si>
    <t>30 kV project</t>
  </si>
  <si>
    <t>Data on variable costs</t>
  </si>
  <si>
    <t>Percentage of operational costs regarded as variable</t>
  </si>
  <si>
    <t>Description calculation</t>
  </si>
  <si>
    <t>Data on RAB</t>
  </si>
  <si>
    <t>Office</t>
  </si>
  <si>
    <t>Computer equipment is left out, as it is fully depreciated</t>
  </si>
  <si>
    <t>Investment BESS</t>
  </si>
  <si>
    <t>Share of BBT in capital costs</t>
  </si>
  <si>
    <t>Investment PV-plant</t>
  </si>
  <si>
    <t>RAB calculation</t>
  </si>
  <si>
    <t>Initial costs power plant excluding transaction costs (value 20 Aug 2010)</t>
  </si>
  <si>
    <t>Decrease in value during PPA-period</t>
  </si>
  <si>
    <t>Yearly depreciation</t>
  </si>
  <si>
    <t>RAB value of Powerplant (initial investment) ultimo 2015</t>
  </si>
  <si>
    <t>Part 2: yearly investments (regular add-ons and replacements)</t>
  </si>
  <si>
    <t>Yearly depreciation investments in this category</t>
  </si>
  <si>
    <t xml:space="preserve">Asset has been fully depreciated </t>
  </si>
  <si>
    <t>Totals Part 2 RAB value</t>
  </si>
  <si>
    <t>Investment batteries (2019)</t>
  </si>
  <si>
    <t>Investment extra HFO generators (2019)</t>
  </si>
  <si>
    <t>Investment BESS (2023)</t>
  </si>
  <si>
    <t>Calculation based on pro rato attribution in 2024</t>
  </si>
  <si>
    <t>Investment PV-plant (2023)</t>
  </si>
  <si>
    <t>Spare parts and special tools for the BESS (2024)</t>
  </si>
  <si>
    <t>Initial investment at COD</t>
  </si>
  <si>
    <t>months</t>
  </si>
  <si>
    <t>Investment in 6 MW peakers (2024)</t>
  </si>
  <si>
    <t>Investment in blackstart unit (2023)</t>
  </si>
  <si>
    <t>Total realized capital costs for profit sharing</t>
  </si>
  <si>
    <t xml:space="preserve">    4) realized fuel yields of LSD (compared to assumed fuel yield), 5) actual monthly fuel prices (compared to fuel component on T-2 basis).</t>
  </si>
  <si>
    <t>Data on fuel and production</t>
  </si>
  <si>
    <t>LSD</t>
  </si>
  <si>
    <t>Data on income from production</t>
  </si>
  <si>
    <t xml:space="preserve">Production price as calculated by CGB </t>
  </si>
  <si>
    <t>Production price as set in production price decision</t>
  </si>
  <si>
    <t>Production price excluding fuel component CGB (as set for full year)</t>
  </si>
  <si>
    <t>Fuel income</t>
  </si>
  <si>
    <t>Calculation realized fuel component</t>
  </si>
  <si>
    <t>Total income from fuel component</t>
  </si>
  <si>
    <t>Fuel costs</t>
  </si>
  <si>
    <t>Costs LSD fuel</t>
  </si>
  <si>
    <t>Total fuel cost correction per month</t>
  </si>
  <si>
    <t xml:space="preserve">On this sheet ACM calculates the correction for the volume effect and the profit sharing effect. From the 2020 tariff decision on, ACM refined the calculation method by taking into account the share of total costs that can be considered as 'variable'. </t>
  </si>
  <si>
    <t>The volume correction is made to correct the realized income for over- or undercovering the fixed costs. When realized volume is higher than estimated volume, the cost cover of fixed costs is more than 100%, which means the production price was too high (in hindsight).</t>
  </si>
  <si>
    <t xml:space="preserve">The profit sharing of 50% is calculated over the difference between realized costs and expected costs, where the expected costs are corrected for higher or lower realized volume. </t>
  </si>
  <si>
    <t>Total costs considered as variable</t>
  </si>
  <si>
    <t>Note: all capital costs are regarded as fixed (based on lumpy character and lack of direct relation with kWh)</t>
  </si>
  <si>
    <t>Estimated variable costs per unit output (excl. fuel)</t>
  </si>
  <si>
    <t>Estimated costs divided by estimated production</t>
  </si>
  <si>
    <t>Total estimated costs for profit sharing</t>
  </si>
  <si>
    <t>Total realized costs</t>
  </si>
  <si>
    <t>Total realized costs for profit sharing</t>
  </si>
  <si>
    <t>Calculation volume correction</t>
  </si>
  <si>
    <t>Calculation of profit sharing correction</t>
  </si>
  <si>
    <t>Profit sharing</t>
  </si>
  <si>
    <t>Profit sharing amount</t>
  </si>
  <si>
    <r>
      <t xml:space="preserve">As of the tariff decision for 2022, ACM applies two different interest rates when translating amounts in USD to different price levels (years). For </t>
    </r>
    <r>
      <rPr>
        <u/>
        <sz val="10"/>
        <rFont val="Arial"/>
        <family val="2"/>
      </rPr>
      <t>cost estimations (only OPEX)</t>
    </r>
    <r>
      <rPr>
        <sz val="10"/>
        <rFont val="Arial"/>
        <family val="2"/>
      </rPr>
      <t xml:space="preserve"> ACM uses the cpi (as we did before 2022); for </t>
    </r>
    <r>
      <rPr>
        <u/>
        <sz val="10"/>
        <rFont val="Arial"/>
        <family val="2"/>
      </rPr>
      <t>tariff corrections</t>
    </r>
    <r>
      <rPr>
        <sz val="10"/>
        <rFont val="Arial"/>
        <family val="2"/>
      </rPr>
      <t xml:space="preserve"> ACM applies the 'wettelijke rente' (legal fixed interest rate).</t>
    </r>
  </si>
  <si>
    <t>Data on cpi and interest factors</t>
  </si>
  <si>
    <t>1+%</t>
  </si>
  <si>
    <t>Percentage of OPEX considered variable</t>
  </si>
  <si>
    <t>Expected production levels</t>
  </si>
  <si>
    <t>Information on yield and fuel price LSD production</t>
  </si>
  <si>
    <t>Yield production by LSD (kWh)</t>
  </si>
  <si>
    <t>Total OPEX estimation regular OPEX</t>
  </si>
  <si>
    <t>Regular corrections</t>
  </si>
  <si>
    <t>ACM applies 'wettelijke rente'</t>
  </si>
  <si>
    <t>Calculation of fuel costs</t>
  </si>
  <si>
    <t>Yes</t>
  </si>
  <si>
    <t>Every sheet contains specific information on the calculation made and explanatory notes on details and exemptions.</t>
  </si>
  <si>
    <t xml:space="preserve">CBS data on CPI </t>
  </si>
  <si>
    <t>https://opendata.cbs.nl/statline/#/CBS/nl/dataset/84046NED/table?ts=1571909504894</t>
  </si>
  <si>
    <t>https://wetten.overheid.nl/BWBR0030649/2011-11-18</t>
  </si>
  <si>
    <t>USD, price level 2025</t>
  </si>
  <si>
    <t>USD, pl 2025 / kWh</t>
  </si>
  <si>
    <t>Note: this figure is only relevant for profit sharing over 2025</t>
  </si>
  <si>
    <t>Estimated inflation 2025</t>
  </si>
  <si>
    <t>WACC 2025</t>
  </si>
  <si>
    <t>Recalculated WACC 2023</t>
  </si>
  <si>
    <t>Information request 2024, answer to question 6c</t>
  </si>
  <si>
    <t>No regular capital additions in 2023</t>
  </si>
  <si>
    <t>Information request 2024, answer to question 7</t>
  </si>
  <si>
    <t>Investment in blackstart unit (Generatorset 1900/2100 kVA)</t>
  </si>
  <si>
    <t>Part 5: expansion investments (capacity add-on realized in 2023)</t>
  </si>
  <si>
    <t>Investment date</t>
  </si>
  <si>
    <t>LSD price (November 2024)</t>
  </si>
  <si>
    <t>Other information and corrections in 2025</t>
  </si>
  <si>
    <t>Information request 2024, answer to question 8</t>
  </si>
  <si>
    <t>RAB calculation 2023 / 2025</t>
  </si>
  <si>
    <t>This RAB calculation follows the choices made in earlier decisions and calculations for CGB. The RAB and depreciation levels lead to a capital cost calculation over 2023 and an estimation for 2025, at the bottom of this sheet.</t>
  </si>
  <si>
    <t>This approach holds for both the profit sharing over 2023 and the cost estimation that we make for the year 2025.</t>
  </si>
  <si>
    <t>Part 4: Hybrid Concept expansions BESS and PV-plant (realized in 2023)</t>
  </si>
  <si>
    <t>Investment in blackstart unit (realized in 2023)</t>
  </si>
  <si>
    <t>Part 5: expansion investments (estimation for 2025)</t>
  </si>
  <si>
    <t>Asset has been fully depreciated</t>
  </si>
  <si>
    <t>Part 4: Hybrid Concept expansions BESS and PV-plant</t>
  </si>
  <si>
    <t>USD, pl 2025</t>
  </si>
  <si>
    <t>Information request 2025, answer to question 13</t>
  </si>
  <si>
    <t>Total CAPEX estimation existing assets</t>
  </si>
  <si>
    <t>Last update input CBS: 23 October 2024</t>
  </si>
  <si>
    <t>CGB has reported that this investment will have a COD in December 2024, but given that the depreciation period is linked to the BESS project, ACM chooses not to adjust the COD.</t>
  </si>
  <si>
    <t>Information request 2024, answer to question 14</t>
  </si>
  <si>
    <t>USD, pl 2024</t>
  </si>
  <si>
    <t>Other information:</t>
  </si>
  <si>
    <t>Vehicle and land leases</t>
  </si>
  <si>
    <t xml:space="preserve">These costs are presented outside of operational costs in the audited financial statements of CGB, so ACM adds these separately. </t>
  </si>
  <si>
    <t>For the realized capital costs, ACM will not apply CPI to the RAB level of investments to translate depreciation costs or costs of capital over years. By using a nominal WACC, ContourGlobal is fully compensated for costs of inflation on the invested assets. As the RAB is not indexed, depreciation levels are constant over time, and do not need to be indexed with CPI.</t>
  </si>
  <si>
    <t>As in the tariff decisions for earlier years, ACM still uses the assumption of 'continuous replacement' for the assets in part 2 of the asset base (estimation based on ultimo T-2 value); the capital costs of the other parts of the RAB are estimated using the 'medio forward-looking value' (which proofs to be very precise, as this reflects the actual costs in year T).</t>
  </si>
  <si>
    <t>Investments with expected COD in 2024</t>
  </si>
  <si>
    <t>Investments with expected COD in 2025</t>
  </si>
  <si>
    <t>Expected investment date 'Generator Maintenance Q1 - part 3: extra HFO generators</t>
  </si>
  <si>
    <t>Remaining depreciation for this investment</t>
  </si>
  <si>
    <t>Expected investment date 'Generator Maintenance Q2 - part 3: extra HFO generators</t>
  </si>
  <si>
    <t>Expected investment date 'Generator Maintenance Q3 - part 3: extra HFO generators</t>
  </si>
  <si>
    <t>End of depreciation investment - part 1: RAB power plant (initial investment)</t>
  </si>
  <si>
    <t>End of depreciation investment - part 3: investment extra HFO generators</t>
  </si>
  <si>
    <t xml:space="preserve">Initial investment date </t>
  </si>
  <si>
    <t>Full depreciation period</t>
  </si>
  <si>
    <t>Infrastructure, BOP improvements and equipment - part 1: RAB power plant (initial investment)</t>
  </si>
  <si>
    <t>Generator maintenance Q1 - part 1: RAB power plant (initial investment)</t>
  </si>
  <si>
    <t>Generator maintenance Q1 - part 3: extra HFO generators</t>
  </si>
  <si>
    <t>Expected investment date 'Generator Maintenance Q1 - part 1: RAB power plant</t>
  </si>
  <si>
    <t>Expected investment date 'Generator Maintenance Q2 - part 1: RAB power plant</t>
  </si>
  <si>
    <t>Generator maintenance Q2 - part 1: RAB power plant (initial investment)</t>
  </si>
  <si>
    <t>Generator maintenance Q2 - part 3: extra HFO generators</t>
  </si>
  <si>
    <t>Generator maintenance Q3 - part 1: RAB power plant (initial investment)</t>
  </si>
  <si>
    <t>Generator maintenance Q3 - part 3: extra HFO generators</t>
  </si>
  <si>
    <t>Additional CAPEX 2025</t>
  </si>
  <si>
    <t>Part 6: Main Generation Facilities Improvement Plan (estimation for 2025)</t>
  </si>
  <si>
    <t>For part 5 and 6 of the RAB, we calculate the RAB and depreciation based on the expected Commercial operation date. In later years this calculation may be adjusted based on actual/realized amounts and COD.</t>
  </si>
  <si>
    <t>Additional OPEX estimation</t>
  </si>
  <si>
    <t>Details on 2025 CAPEX and OPEX investments, part 2</t>
  </si>
  <si>
    <t>Total estimated production volume</t>
  </si>
  <si>
    <t>Sources: see production price calculation for 2024</t>
  </si>
  <si>
    <t>Source: Details on 2025 CAPEX and OPEX Investments, part 2</t>
  </si>
  <si>
    <t xml:space="preserve">Additional investment - Infrastructure, BOP improvements and equipment </t>
  </si>
  <si>
    <t>Total investment (incl. additional investment)</t>
  </si>
  <si>
    <t>These investments will labeled as part 6 - Main Generation Facilities Improvement Plan</t>
  </si>
  <si>
    <t>Equal to estimation for 2020-2024</t>
  </si>
  <si>
    <t xml:space="preserve">In addition to parts 1 - 4 of the RAB, which are similar to the decision for 2023, ACM includes in this RAB calculation the preliminary calculation of the investments belonging to part 5 and 6 of the RAB, as these are accepted as major occurrences in 2024 and 2025, respectively. </t>
  </si>
  <si>
    <t>30 kV project (2025)</t>
  </si>
  <si>
    <t>Expected investment date 'Generator Maintenance Q3 - part 1: RAB power plant</t>
  </si>
  <si>
    <t>ACM/25/197166</t>
  </si>
  <si>
    <t>Calculation production price ContourGlobal Bonaire 2026</t>
  </si>
  <si>
    <t>Production price electricity CGB 2026</t>
  </si>
  <si>
    <t xml:space="preserve">The file 'Calculation production price 2024 after WACC adjustment' is an input to this file. </t>
  </si>
  <si>
    <t xml:space="preserve">This document contains the calculation of the production price for electricity of ContourGlobal B.V for 2026. The production price is based on an estimation of the cost of ContourGlobal in 2026 and several corrections (including profit sharing results) over 2024. </t>
  </si>
  <si>
    <t>ACM estimates the cost of 2026 with the cost of 2024 as can be found in the annual account of ContourGlobal and other relevant information, for instance on major occurrences.</t>
  </si>
  <si>
    <t>Result: calculation of production price 2026</t>
  </si>
  <si>
    <t>On this sheet the production price of ContourGlobal is calculated for 2026, consisting of the non-fuel part, which covers all costs excluding fuel, and the fuel component that applies for January 2026.</t>
  </si>
  <si>
    <t>Calculation production price 2026</t>
  </si>
  <si>
    <t>Total income level for 2026, after corrections</t>
  </si>
  <si>
    <t>Production price 2026 excl. fuel component (not rounded)</t>
  </si>
  <si>
    <t>Production price 2026 excl. fuel component (rounded to 5 decimals)</t>
  </si>
  <si>
    <t>Fuel component (for January 2026)</t>
  </si>
  <si>
    <t>Production price CGB 2026 (based on fuel component for January 2026)</t>
  </si>
  <si>
    <t>Production price CGB 2026 (used in usage tariff decision for WEB 2026)</t>
  </si>
  <si>
    <t>Total estimated costs for 2026</t>
  </si>
  <si>
    <t>Costs considered as variable in the cost estimation for 2026</t>
  </si>
  <si>
    <t xml:space="preserve">On this sheet all the relevant information to include in the appendix of the decision on the tariffs of 2026 is shown. </t>
  </si>
  <si>
    <t>Production price electricity excl. fuel 2026</t>
  </si>
  <si>
    <t>USD, price level 2026</t>
  </si>
  <si>
    <t>Key figures production price decision - Electricity CG Bonaire 2026</t>
  </si>
  <si>
    <t>WACC 2026</t>
  </si>
  <si>
    <t>Estimated inflation 2026 for Bonaire</t>
  </si>
  <si>
    <t>Legal fixed interest rate (2020 - 2026)</t>
  </si>
  <si>
    <t>Estimation of RAB average/ultimo 2026 (existing assets)</t>
  </si>
  <si>
    <t>Estimated depreciation in 2026 (existing assets)</t>
  </si>
  <si>
    <t>Total expected costs for 2026 (for setting income level)</t>
  </si>
  <si>
    <t>Total expected costs 2026 (= income level 2026 before corrections)</t>
  </si>
  <si>
    <t>(Regular) Corrections reimbursed in production price 2026</t>
  </si>
  <si>
    <t>Expected production by wind in 2026</t>
  </si>
  <si>
    <t>Expected production by solar in 2026</t>
  </si>
  <si>
    <t>Expected production by fuel in 2026</t>
  </si>
  <si>
    <t>Total net production in 2026</t>
  </si>
  <si>
    <t>Estimated LSD fuel yield for 2026</t>
  </si>
  <si>
    <t>Estimated share of fuel production in total net production for 2026</t>
  </si>
  <si>
    <t>LSD Price used for fuel component January 2026</t>
  </si>
  <si>
    <t>Fuel component in production price (January 2026)</t>
  </si>
  <si>
    <t>USD, price level 2026 / kWh</t>
  </si>
  <si>
    <t xml:space="preserve">Production price electricity January 2026 incl. fuel </t>
  </si>
  <si>
    <t>Costs considered as variable in the costs estimation for 2026</t>
  </si>
  <si>
    <t>Estimated inflation 2026</t>
  </si>
  <si>
    <t>The ACM uses the WACC 2026 to calculate the estimated capital costs for 2026.</t>
  </si>
  <si>
    <t>Residual value power plant (value 20 Aug 2026)</t>
  </si>
  <si>
    <t>Details on 2026 Capex and Opex Investments, part 2</t>
  </si>
  <si>
    <t>Estimated production and cost developments for 2026</t>
  </si>
  <si>
    <t>On this sheet ACM presents the relevant data that is taken into account when estimating the production and costs for 2026: volumes and LSD price for production, and additional costs related to major occurrences.</t>
  </si>
  <si>
    <t>Estimated production amounts 2026 and fuel information</t>
  </si>
  <si>
    <t>Estimated production for 2026</t>
  </si>
  <si>
    <t>Total amount of renewables production by ContourGlobal in 2026</t>
  </si>
  <si>
    <t>Total amount of production by ContourGlobal in 2026</t>
  </si>
  <si>
    <t>Cost estimations for major occurrences in 2026</t>
  </si>
  <si>
    <t>USD, pl 2026</t>
  </si>
  <si>
    <t>New Pillar 2 tax due over 2026</t>
  </si>
  <si>
    <t>Positive amount means: income was lower than costs for that month, so add positive amount to income in 2026</t>
  </si>
  <si>
    <t>Cost cover was higher than estimated fixed costs: subtract this amount from tariff income 2026</t>
  </si>
  <si>
    <t>Negative realized economic profit: profit sharing gives 50% of difference back to CGB. Add this amount to tariff income 2026.</t>
  </si>
  <si>
    <t>Calculation total income 2026</t>
  </si>
  <si>
    <t>On this sheet the total income level for 2026 is calculated, including the effect of all regular corrections.The fuel component (valid for January 2026) is calculated as well. Both figures are used to calculate the production price for 2026 (January 2026) on the result sheet.</t>
  </si>
  <si>
    <t>Wettelijke rente CNL (legal fixed interest rate) for period 2020-2026</t>
  </si>
  <si>
    <t>Data on cost estimation 2026</t>
  </si>
  <si>
    <t>OPEX estimation for 2026</t>
  </si>
  <si>
    <t>Additional OPEX estimated for 2026:</t>
  </si>
  <si>
    <t>Expected capital costs for 2026</t>
  </si>
  <si>
    <t>Data on fuel component 2026</t>
  </si>
  <si>
    <t>Estimated production volume with fuel in 2026</t>
  </si>
  <si>
    <t>Estimated production by renewables in 2026</t>
  </si>
  <si>
    <t>Total amount of estimated production by ContourGlobal in 2026</t>
  </si>
  <si>
    <t>Calculation expected costs for 2026 and income level 2026</t>
  </si>
  <si>
    <t>Calculation expected costs for 2026 (excluding fuel)</t>
  </si>
  <si>
    <t>Total expected costs 2026</t>
  </si>
  <si>
    <t>Income level for 2026</t>
  </si>
  <si>
    <t xml:space="preserve">Income level for 2026 before corrections </t>
  </si>
  <si>
    <t>Total effect of regular corrections (in price level 2026)</t>
  </si>
  <si>
    <t>Total income level for 2026</t>
  </si>
  <si>
    <t>Other relevant information for result sheet (profit sharing over 2026)</t>
  </si>
  <si>
    <t>OPEX considered as variable (as part of the total costs of 2026)</t>
  </si>
  <si>
    <t>Calculation fuel component 2026</t>
  </si>
  <si>
    <t>Fuel component for January 2026</t>
  </si>
  <si>
    <t>Notes: 1) this figure is only relevant for profit sharing over 2026, 2) the lease fee invoiced by BBT and the new Pillar 2 tax are excluded from the estimation, since CGB should be able to fully pass on these costs in the production price.</t>
  </si>
  <si>
    <t>USD, pl 2026 / kWh</t>
  </si>
  <si>
    <t>Compound 'wettelijke rente' interest factor (1+%) for tariff corrections 2024 to 2026</t>
  </si>
  <si>
    <t>Regular OPEX 2024</t>
  </si>
  <si>
    <t>Specific costs in regular OPEX 2024: penalties and late fees</t>
  </si>
  <si>
    <t>Correction on income 2026 for volume effect 2024</t>
  </si>
  <si>
    <t>Correction on income 2026 for profit sharing over 2024</t>
  </si>
  <si>
    <t>Correction on income 2026 for fuel price difference in 2024</t>
  </si>
  <si>
    <t>Correction on income 2026 for capital cost correction over 2024</t>
  </si>
  <si>
    <t>Correction for volume effect and profit sharing effect over 2024</t>
  </si>
  <si>
    <t>Data on cost estimation 2024 and costs realization 2024</t>
  </si>
  <si>
    <t>Cost estimation for tariff 2024 before WACC adjustment</t>
  </si>
  <si>
    <t>Total estimated cost level 2024</t>
  </si>
  <si>
    <t>OPEX considered as variable (as part of the total costs of 2024)</t>
  </si>
  <si>
    <t>Estimated costs after WACC adjustment and production 2024</t>
  </si>
  <si>
    <t>Estimated production volume for 2024 (net)</t>
  </si>
  <si>
    <t>Realized costs and production 2024</t>
  </si>
  <si>
    <t>Realized capital costs 2024</t>
  </si>
  <si>
    <t>Realized production volume 2024 (net)</t>
  </si>
  <si>
    <t>Estimated costs 2024 before WACC adjustment</t>
  </si>
  <si>
    <t>Estimated fixed costs 2024</t>
  </si>
  <si>
    <t>Cost covering of fixed costs 2024</t>
  </si>
  <si>
    <t>Total realized income for covering fixed costs in 2024, based on realized volumes</t>
  </si>
  <si>
    <t>Over- or under covering of estimated fixed costs 2024</t>
  </si>
  <si>
    <t>Estimated costs 2024 after WACC adjustment</t>
  </si>
  <si>
    <t>Cost estimation variable costs corrected for realized volume 2024</t>
  </si>
  <si>
    <t>Cost estimation total costs corrected for realized volume 2024</t>
  </si>
  <si>
    <t>Realized costs 2024</t>
  </si>
  <si>
    <t>Realized economic profit over 2024 (after volume correction)</t>
  </si>
  <si>
    <t>USD, pl 2024 / kWh</t>
  </si>
  <si>
    <t>Costs of fuel and income from fuel component 2024</t>
  </si>
  <si>
    <t>On this sheet the fuel correction over 2024 is calculated. This fuel correction reflects the difference between the monthly income from the fuel component in 2024 and the actual monthly fuel costs in 2024.</t>
  </si>
  <si>
    <t xml:space="preserve">This correction reimburses the positive and negative effects of differences in 1) monthly production needed (based on island demand and production by WEB), 2) availability of renewable sources (i.e. wind), 3) realized production mix between HFO and LSD (not applicable for 2024), </t>
  </si>
  <si>
    <t>Calculation fuel correction 2024</t>
  </si>
  <si>
    <t>Cumulative fuel correction 2024</t>
  </si>
  <si>
    <t>Correction amount in price level 2024</t>
  </si>
  <si>
    <t>2024
January</t>
  </si>
  <si>
    <t>2024
February</t>
  </si>
  <si>
    <t>2024
March</t>
  </si>
  <si>
    <t>2024
April</t>
  </si>
  <si>
    <t>2024
May</t>
  </si>
  <si>
    <t>2024
June</t>
  </si>
  <si>
    <t>2024
July</t>
  </si>
  <si>
    <t>2024
August</t>
  </si>
  <si>
    <t>2024
September</t>
  </si>
  <si>
    <t>2024
October</t>
  </si>
  <si>
    <t>2024
November</t>
  </si>
  <si>
    <t>2024
December</t>
  </si>
  <si>
    <t>On this sheet all relevant data on fuel use, fuel prices and invoiced income are presented. The data are used to calculate the fuel correction over 2024, which compensates for differences in fuel prices, volumes used and realized yield (see sheet 'fuel correction 2024').</t>
  </si>
  <si>
    <t>Data on fuel and production 2024</t>
  </si>
  <si>
    <t>Data on income from production price 2024</t>
  </si>
  <si>
    <t>Production price CGB for 2024, sheet 'production price 2024'</t>
  </si>
  <si>
    <t>Data on cost estimation for 2024 and realized costs of 2024</t>
  </si>
  <si>
    <t>The first part of this sheet concerns the cost data that were used for setting the tariff for 2024. These were mainly based on the 2021 realizations.</t>
  </si>
  <si>
    <t>Then the realized costs of 2024 are presented. The source of the cost data is the annual account of 2024 plus additional data from CGB. The source of the production data is an information request by ACM to ContourGlobal.</t>
  </si>
  <si>
    <t>On June 7 of 2024, ContourGlobal lost the MAN12 engine due to a fire incident. ContourGlobal included a one time write-off in the operational expenses for 2024, but as ACM intends to keep the engine in the RAB, ACM subtracts the write-off from the operational expenses to not inflate the cost base for the realized costs in 2024 and the estimated costs in 2026. The same holds for the operating expenses related to the replacement engine, since these costs are fully covered by insurance.</t>
  </si>
  <si>
    <t>As of the production price decision for 2026, ACM applies a regulator correction to the estimated capital costs in year t-2 as a result of the recalculation of the risk-free rate in the WACC for 2024-2026 (see WACC decision 2024-2026). In addition, the capital costs in 2024 have been underestimated based on the expectation that BBT would acquire a 50% share in the BESS and PV project at the time of COD. The effect of both corrections will be added to the total income for 2026.</t>
  </si>
  <si>
    <t>Cost estimation 2024</t>
  </si>
  <si>
    <t>Cost estimation for tariff 2024 after WACC adjustment</t>
  </si>
  <si>
    <t>Estimated production volume for 2024</t>
  </si>
  <si>
    <t>Realized costs 2024: Operational costs</t>
  </si>
  <si>
    <t xml:space="preserve">Realized costs 2024: Capital cotss  </t>
  </si>
  <si>
    <t>Correction capital costs 2024 after adjustment to WACC 2024 and share BBT</t>
  </si>
  <si>
    <t>Realized costs 2024: Asset base</t>
  </si>
  <si>
    <t>Calculation production price for CGB 2024, sheet 'production price 2024', cell H27</t>
  </si>
  <si>
    <t>Calculation production price for CGB 2024, sheet 'production price 2024', cell H28</t>
  </si>
  <si>
    <t>Calculation production price CGB 2024 after WACC adjustment, sheet 'production price 2024', cell H27</t>
  </si>
  <si>
    <t>Calculation production price CGB for 2024, sheet 'Est. production and costs 2024', cell H18</t>
  </si>
  <si>
    <t>Report on the annual accounts 2024</t>
  </si>
  <si>
    <t xml:space="preserve">The ACM uses the adjusted WACC 2024 to calculate realized capital costs in 2024 which are included in the profit sharing calculation. </t>
  </si>
  <si>
    <t>Adjusted WACC 2024</t>
  </si>
  <si>
    <t>USD, price level 2024</t>
  </si>
  <si>
    <t>Recalculated WACC 2024</t>
  </si>
  <si>
    <t>Summary of cost data 2024 / 2026</t>
  </si>
  <si>
    <t>Regular OPEX realized in 2024</t>
  </si>
  <si>
    <t>Volume effect over 2024 (excl. fuel)</t>
  </si>
  <si>
    <t>Profit sharing effect over 2024</t>
  </si>
  <si>
    <t>Fuel cost correction over 2024</t>
  </si>
  <si>
    <t>Correction capital costs 2024 after adjustment to WACC and share BBT</t>
  </si>
  <si>
    <t>The ACM also included the amount of variable costs, as this is information that will be used in the profit sharing calculation over 2026 (expected in tariffs for 2028).</t>
  </si>
  <si>
    <t>Amount is multiplied by 1000 because the source is in mWh instead of kWh.</t>
  </si>
  <si>
    <t>Realized fuel yield for 2024</t>
  </si>
  <si>
    <t>2025
January</t>
  </si>
  <si>
    <t>2025
February</t>
  </si>
  <si>
    <t>2025
March</t>
  </si>
  <si>
    <t>Realized production levels and fuel costs 2024 and 2025</t>
  </si>
  <si>
    <t>2025
April</t>
  </si>
  <si>
    <t>2025
May</t>
  </si>
  <si>
    <t>2025
June</t>
  </si>
  <si>
    <t>2025
July</t>
  </si>
  <si>
    <t>2025
August</t>
  </si>
  <si>
    <t>2025
September</t>
  </si>
  <si>
    <t>2025
October</t>
  </si>
  <si>
    <t>In the 2026-2031 method decision, ACM decided to move up this correction. Because 2026 is a transition year, this decision includes an unusual amount of months.</t>
  </si>
  <si>
    <t>Production price excluding fuel component 2024</t>
  </si>
  <si>
    <t>Production price excluding fuel component 2025</t>
  </si>
  <si>
    <t>Production price CGB for 2025, sheet 'production price 2025'</t>
  </si>
  <si>
    <t>Cumulative fuel correction 2025</t>
  </si>
  <si>
    <t>Correction on income 2026 for fuel price difference in 2025</t>
  </si>
  <si>
    <t>High speed (HS) engines project (2x1275kVA)</t>
  </si>
  <si>
    <t>Commercial Operation Date</t>
  </si>
  <si>
    <t>High speed (HS) engines project (2x1900kVA)</t>
  </si>
  <si>
    <t>MAN12</t>
  </si>
  <si>
    <t>PV-plant</t>
  </si>
  <si>
    <t xml:space="preserve">Financial participation BBT </t>
  </si>
  <si>
    <t>RAB value of Powerplant (initial investment) primo 2024</t>
  </si>
  <si>
    <t>RAB value of Powerplant (initial investment) ultimo 2024</t>
  </si>
  <si>
    <t>Average RAB value of Powerplant (initial investment) during 2024</t>
  </si>
  <si>
    <t>RAB value of Powerplant (initial investment) primo 2026</t>
  </si>
  <si>
    <t>RAB value of Powerplant (initial investment) ultimo 2026</t>
  </si>
  <si>
    <t>Average RAB value of Powerplant (initial investment) during 2026</t>
  </si>
  <si>
    <t>RAB value of regular investments 2016 ultimo 2024</t>
  </si>
  <si>
    <t>(Since 2024 is last year of depreciation): RAB value ultimo 2023:</t>
  </si>
  <si>
    <t>RAB value of regular investments 2020 ultimo 2024</t>
  </si>
  <si>
    <t>RAB value of regular investments ultimo 2024</t>
  </si>
  <si>
    <t>Depreciation in 2024 on regular investments</t>
  </si>
  <si>
    <t>Depreciation in 2024 on this asset</t>
  </si>
  <si>
    <t>RAB value of investment primo 2024</t>
  </si>
  <si>
    <t>RAB value of investment ultimo 2024</t>
  </si>
  <si>
    <t>Average RAB value of investment during 2024</t>
  </si>
  <si>
    <t>RAB value of investment primo 2026</t>
  </si>
  <si>
    <t>RAB value of investment ultimo 2026</t>
  </si>
  <si>
    <t>Average RAB value of investment during 2026</t>
  </si>
  <si>
    <t>Average asset value during active months in 2024</t>
  </si>
  <si>
    <t>Average pro rato RAB value in 2024 attributable to CGB</t>
  </si>
  <si>
    <t>Depreciation in 2024 attributable to CGB</t>
  </si>
  <si>
    <t>Average pro rato RAB value in 2026 attributable to CGB</t>
  </si>
  <si>
    <t>Depreciation in 2026 attributable to CGB</t>
  </si>
  <si>
    <t>Depreciation in 2026 on this asset</t>
  </si>
  <si>
    <t>Average pro rato RAB value during active months in 2026</t>
  </si>
  <si>
    <t>Average pro rato RAB value during active months in 2024</t>
  </si>
  <si>
    <t>Calculation capital costs for profit sharing over 2024</t>
  </si>
  <si>
    <t>Total RAB value 2024</t>
  </si>
  <si>
    <t>Total depreciation 2024</t>
  </si>
  <si>
    <t xml:space="preserve">Additional financing costs 2024 for BESS and PV </t>
  </si>
  <si>
    <t>Total capital costs 2024 for profit sharing</t>
  </si>
  <si>
    <t>RAB value 2026 (year average)</t>
  </si>
  <si>
    <t>Depreciation in 2026</t>
  </si>
  <si>
    <t>Capital costs in 2026 (based on WACC for 2026)</t>
  </si>
  <si>
    <t>Total RAB estimation for 2026 (year average/ultimo)</t>
  </si>
  <si>
    <t>Total estimated depreciation in 2026</t>
  </si>
  <si>
    <t>Total estimated capital costs in 2026 (based on WACC for 2026)</t>
  </si>
  <si>
    <t>Cost base (capital costs) for estimating expected costs in 2026</t>
  </si>
  <si>
    <t>RAB value 2026 (ultimo)</t>
  </si>
  <si>
    <t>Part 5: expansion investments (estimation for 2026)</t>
  </si>
  <si>
    <t>Based on adjusted WACC 2024</t>
  </si>
  <si>
    <t>Since these costs were added as a correction to the total income of 2026, the cost base for the profit sharing over 2024 needs to be adjusted accordingly.</t>
  </si>
  <si>
    <t>Part 7: expansion investments (capacity add-on realized in 2024)</t>
  </si>
  <si>
    <t>CGB specified that there were no penalties or late fees in 2024</t>
  </si>
  <si>
    <t>New Pillar 2 tax to be paid in 2026</t>
  </si>
  <si>
    <t>Additional OPEX estimation: Pillar 2 tax</t>
  </si>
  <si>
    <t>Number of months active in 2024</t>
  </si>
  <si>
    <t>Average pro rato RAB value in 2024</t>
  </si>
  <si>
    <t>RAB value primo 2026</t>
  </si>
  <si>
    <t>RAB value ultimo 2026</t>
  </si>
  <si>
    <t>Average RAB value during 2026</t>
  </si>
  <si>
    <t>Depreciation in 2024 on this asset attributable to CGB</t>
  </si>
  <si>
    <t>Average RAB value during 2026 attributable to CGB</t>
  </si>
  <si>
    <t>BESS project</t>
  </si>
  <si>
    <t>Additional CAPEX 2026</t>
  </si>
  <si>
    <t>High speed (HS) engines project (2x1275kVA) - realized in 2024</t>
  </si>
  <si>
    <t>High speed (HS) engines project (2x1900kVA) - realized in 2024</t>
  </si>
  <si>
    <t>Investment in 6 MW peakers - remainder</t>
  </si>
  <si>
    <t>Additional OPEX 2026</t>
  </si>
  <si>
    <t>BESS project 2026</t>
  </si>
  <si>
    <t>Investments in 2026</t>
  </si>
  <si>
    <t>Average pro rato RAB value during 2026</t>
  </si>
  <si>
    <t>Number of months active in 2026</t>
  </si>
  <si>
    <t>Lease fee BBT for Solar Assets and Battery Energy System 2024 (OPEX)</t>
  </si>
  <si>
    <t>Information request 2025, answer to question 14</t>
  </si>
  <si>
    <t>This lease fee covers the costs of ownership and overhead costs of BBT as a result of its 50% share in the PV and BESS project.</t>
  </si>
  <si>
    <t>Lease fee BBT for Solar Assets and Battery Energy System 2026</t>
  </si>
  <si>
    <t>USD, pl 2027</t>
  </si>
  <si>
    <t>Additional OPEX estimation: BBT lease fee</t>
  </si>
  <si>
    <t>Notes: 1) this figure is only relevant for profit sharing over 2026, it doesn't play a role in setting the tariff for 2026.</t>
  </si>
  <si>
    <t>LSD price (24 November 2025)</t>
  </si>
  <si>
    <t>LSD price 24 november</t>
  </si>
  <si>
    <t>BBT lease fee</t>
  </si>
  <si>
    <t>Recalculation WACC 2024 and 2026</t>
  </si>
  <si>
    <t>ACM/INT/542020</t>
  </si>
  <si>
    <t>Sent to CGB alongside the tariff model</t>
  </si>
  <si>
    <t>Calculation production price for CGB 2024</t>
  </si>
  <si>
    <t>Calculation WACC correction</t>
  </si>
  <si>
    <t>ACM/INT/545740</t>
  </si>
  <si>
    <t>ACM/IN/1023516</t>
  </si>
  <si>
    <t>Received on 21 august 2025, part of information request 1</t>
  </si>
  <si>
    <t>Received on 21 august 2025</t>
  </si>
  <si>
    <t>Calculation WACC correction 2024, sheet 'production price 2024', cell J15</t>
  </si>
  <si>
    <t>Information request 2025, answer to question 3</t>
  </si>
  <si>
    <t>ACM/IN/1023510</t>
  </si>
  <si>
    <t>ACM/IN/1023506</t>
  </si>
  <si>
    <t>[12]</t>
  </si>
  <si>
    <t>ACM/IN/1056617</t>
  </si>
  <si>
    <t>Received on 10 November 2025</t>
  </si>
  <si>
    <t>LSD price 24 November 2024</t>
  </si>
  <si>
    <t>ACM/IN/1055442</t>
  </si>
  <si>
    <t>Received on 26 November 2025</t>
  </si>
  <si>
    <t>Average pro rato RAB value in 2026</t>
  </si>
  <si>
    <t>Part of total production by fuel</t>
  </si>
  <si>
    <t>Information request 2025, answer to question 3b and 15b</t>
  </si>
  <si>
    <t>Information request 2025, answer to question 1h and 16h</t>
  </si>
  <si>
    <t>Information request 2025, question 11-16</t>
  </si>
  <si>
    <t>Information request 2025, question 7</t>
  </si>
  <si>
    <t>Information request 2025, question 6</t>
  </si>
  <si>
    <t>Information request 2025 question 1-5 and 8-10</t>
  </si>
  <si>
    <t>Information request 2025, answer to question 1b and 16h</t>
  </si>
  <si>
    <t>Information request 2025, answer to question 1d, 1f, 16d and 16f</t>
  </si>
  <si>
    <t>[11]</t>
  </si>
  <si>
    <t>ACM/IN/1055248</t>
  </si>
  <si>
    <t>Recieved from WEB 20 November 2025</t>
  </si>
  <si>
    <t>[8]</t>
  </si>
  <si>
    <t>ACM/IN/872936</t>
  </si>
  <si>
    <t>Recieved from WEB 15 May 2024</t>
  </si>
  <si>
    <t>Beschikking productieprijs elektriciteit 2024 Bonaire ContourGlobal | ACM</t>
  </si>
  <si>
    <t>[13]</t>
  </si>
  <si>
    <t>Invoices WEB Jan-Apr 2024</t>
  </si>
  <si>
    <t>Invoices WEB Aug - Okt 2025</t>
  </si>
  <si>
    <t>Invoices WEB May - Okt 2024</t>
  </si>
  <si>
    <t>ACM/IN/927322</t>
  </si>
  <si>
    <t>Recieved on 8 November 2024</t>
  </si>
  <si>
    <t>Information regarding pillar 2</t>
  </si>
  <si>
    <t>Information regarding pillar two</t>
  </si>
  <si>
    <t>ACM/IN/1055471</t>
  </si>
  <si>
    <t>Received on 21 November 2025</t>
  </si>
  <si>
    <t>ACM/IN/1055457</t>
  </si>
  <si>
    <t>ACM/UIT/661058</t>
  </si>
  <si>
    <t>Bonaire capex additions 2026</t>
  </si>
  <si>
    <t>Bonaire CAPEX additions, cell K12</t>
  </si>
  <si>
    <t>Details on 2025 Capex and Opex Investments</t>
  </si>
  <si>
    <t>ACM/IN/929924</t>
  </si>
  <si>
    <t>Received on 19 November 2024</t>
  </si>
  <si>
    <t>Details on 2025 Capex and Opex Investments, part 2</t>
  </si>
  <si>
    <t>ACM/IN/934224</t>
  </si>
  <si>
    <t>Received on 27 November 2024</t>
  </si>
  <si>
    <t>Total CAPEX estimation assets realized in 2025 and 2026</t>
  </si>
  <si>
    <t>Total estimatiated capital costs for 2026</t>
  </si>
  <si>
    <t>ACM applies cpi</t>
  </si>
  <si>
    <t>(around) december 31th 2025</t>
  </si>
  <si>
    <t>Information that is regarded as business confidential has been removed in this public version of the calculation file. The deleted data is flagged/explained in pink cell formatting.</t>
  </si>
  <si>
    <t>This is a public version of the calculation file, published at acm.nl in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</si>
</sst>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 #,##0.00000_ ;_ * \-#,##0.00000_ ;_ * &quot;-&quot;??_ ;_ @_ "/>
    <numFmt numFmtId="166" formatCode="_ * #,##0.00000_ ;_ * \-#,##0.00000_ ;_ * &quot;-&quot;?????_ ;_ @_ "/>
    <numFmt numFmtId="167" formatCode="_ * #,##0.0000_ ;_ * \-#,##0.0000_ ;_ * &quot;-&quot;????_ ;_ @_ "/>
    <numFmt numFmtId="168" formatCode="_ * #,##0.0000_ ;_ * \-#,##0.0000_ ;_ * &quot;-&quot;??_ ;_ @_ "/>
    <numFmt numFmtId="169" formatCode="_ * #,##0.00_ ;_ * \-#,##0.00_ ;_ * &quot;-&quot;_ ;_ @_ "/>
    <numFmt numFmtId="170" formatCode="0.0%"/>
    <numFmt numFmtId="171" formatCode="[$-413]d/mmm/yy;@"/>
    <numFmt numFmtId="172" formatCode="_ * #,##0.0000_ ;_ * \-#,##0.0000_ ;_ * &quot;-&quot;_ ;_ @_ "/>
    <numFmt numFmtId="173" formatCode="_ * #,##0.000_ ;_ * \-#,##0.000_ ;_ * &quot;-&quot;??_ ;_ @_ "/>
    <numFmt numFmtId="174" formatCode="0.0000"/>
    <numFmt numFmtId="175" formatCode="_ * #,##0.000_ ;_ * \-#,##0.000_ ;_ * &quot;-&quot;_ ;_ @_ "/>
    <numFmt numFmtId="176" formatCode="[$-413]d/mmm/yyyy;@"/>
    <numFmt numFmtId="177" formatCode="_ * #,##0.0_ ;_ * \-#,##0.0_ ;_ * &quot;-&quot;_ ;_ @_ "/>
    <numFmt numFmtId="178" formatCode="_ * #,##0.00000_ ;_ * \-#,##0.00000_ ;_ * &quot;-&quot;_ ;_ @_ "/>
  </numFmts>
  <fonts count="37"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rgb="FF00B0F0"/>
      <name val="Arial"/>
      <family val="2"/>
    </font>
    <font>
      <sz val="10"/>
      <color rgb="FF00B0F0"/>
      <name val="Arial"/>
      <family val="2"/>
    </font>
    <font>
      <u/>
      <sz val="10"/>
      <name val="Arial"/>
      <family val="2"/>
    </font>
    <font>
      <i/>
      <sz val="10"/>
      <color theme="1"/>
      <name val="Arial"/>
      <family val="2"/>
    </font>
    <font>
      <sz val="10"/>
      <color rgb="FFFFC000"/>
      <name val="Arial"/>
      <family val="2"/>
    </font>
    <font>
      <sz val="8"/>
      <name val="Arial"/>
      <family val="2"/>
    </font>
    <font>
      <i/>
      <u/>
      <sz val="10"/>
      <name val="Arial"/>
      <family val="2"/>
    </font>
    <font>
      <sz val="9"/>
      <color indexed="81"/>
      <name val="Tahoma"/>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rgb="FFCCCCFF"/>
        <bgColor indexed="64"/>
      </patternFill>
    </fill>
    <fill>
      <patternFill patternType="solid">
        <fgColor theme="0"/>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7">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7" borderId="1">
      <alignment vertical="top"/>
    </xf>
    <xf numFmtId="49" fontId="6" fillId="0" borderId="0">
      <alignment vertical="top"/>
    </xf>
    <xf numFmtId="41" fontId="5" fillId="10" borderId="0">
      <alignment vertical="top"/>
    </xf>
    <xf numFmtId="41" fontId="5" fillId="9" borderId="0">
      <alignment vertical="top"/>
    </xf>
    <xf numFmtId="41" fontId="5" fillId="8" borderId="0">
      <alignment vertical="top"/>
    </xf>
    <xf numFmtId="41" fontId="5" fillId="44" borderId="0">
      <alignment vertical="top"/>
    </xf>
    <xf numFmtId="41" fontId="5" fillId="7" borderId="0">
      <alignment vertical="top"/>
    </xf>
    <xf numFmtId="41" fontId="5" fillId="11" borderId="0">
      <alignment vertical="top"/>
    </xf>
    <xf numFmtId="49" fontId="10" fillId="0" borderId="0">
      <alignment vertical="top"/>
    </xf>
    <xf numFmtId="49" fontId="9" fillId="0" borderId="0">
      <alignment vertical="top"/>
    </xf>
    <xf numFmtId="0" fontId="15" fillId="13" borderId="3" applyNumberFormat="0" applyAlignment="0" applyProtection="0"/>
    <xf numFmtId="0" fontId="16" fillId="14" borderId="4" applyNumberFormat="0" applyAlignment="0" applyProtection="0"/>
    <xf numFmtId="0" fontId="17" fillId="14" borderId="3" applyNumberFormat="0" applyAlignment="0" applyProtection="0"/>
    <xf numFmtId="0" fontId="18" fillId="0" borderId="5" applyNumberFormat="0" applyFill="0" applyAlignment="0" applyProtection="0"/>
    <xf numFmtId="0" fontId="12" fillId="15" borderId="6" applyNumberFormat="0" applyAlignment="0" applyProtection="0"/>
    <xf numFmtId="0" fontId="14" fillId="16" borderId="7" applyNumberFormat="0" applyFont="0" applyAlignment="0" applyProtection="0"/>
    <xf numFmtId="0" fontId="19" fillId="0" borderId="0" applyNumberForma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4" fontId="14" fillId="0" borderId="0" applyFont="0" applyFill="0" applyBorder="0" applyAlignment="0" applyProtection="0"/>
    <xf numFmtId="42"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0" borderId="9" applyNumberFormat="0" applyFill="0" applyAlignment="0" applyProtection="0"/>
    <xf numFmtId="0" fontId="24" fillId="0" borderId="10" applyNumberFormat="0" applyFill="0" applyAlignment="0" applyProtection="0"/>
    <xf numFmtId="0" fontId="24" fillId="0" borderId="0" applyNumberFormat="0" applyFill="0" applyBorder="0" applyAlignment="0" applyProtection="0"/>
    <xf numFmtId="0" fontId="13" fillId="0" borderId="0" applyNumberFormat="0" applyFill="0" applyBorder="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27" fillId="41" borderId="0" applyNumberFormat="0" applyBorder="0" applyAlignment="0" applyProtection="0"/>
    <xf numFmtId="0" fontId="28" fillId="0" borderId="0" applyNumberFormat="0" applyFill="0" applyBorder="0" applyAlignment="0" applyProtection="0"/>
    <xf numFmtId="49" fontId="20" fillId="0" borderId="0" applyFill="0" applyBorder="0" applyAlignment="0" applyProtection="0"/>
    <xf numFmtId="43" fontId="5" fillId="42" borderId="0" applyNumberFormat="0">
      <alignment vertical="top"/>
    </xf>
    <xf numFmtId="43" fontId="5" fillId="9" borderId="0" applyFont="0" applyFill="0" applyBorder="0" applyAlignment="0" applyProtection="0">
      <alignment vertical="top"/>
    </xf>
    <xf numFmtId="10" fontId="5" fillId="0" borderId="0" applyFont="0" applyFill="0" applyBorder="0" applyAlignment="0" applyProtection="0">
      <alignment vertical="top"/>
    </xf>
    <xf numFmtId="41" fontId="5" fillId="43" borderId="0">
      <alignment vertical="top"/>
    </xf>
    <xf numFmtId="41" fontId="5" fillId="45" borderId="0">
      <alignment vertical="top"/>
    </xf>
  </cellStyleXfs>
  <cellXfs count="160">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7" borderId="1" xfId="6">
      <alignment vertical="top"/>
    </xf>
    <xf numFmtId="0" fontId="5" fillId="0" borderId="0" xfId="4" applyFill="1">
      <alignment vertical="top"/>
    </xf>
    <xf numFmtId="0" fontId="5" fillId="0" borderId="2" xfId="4" applyBorder="1" applyAlignment="1">
      <alignment horizontal="left" vertical="top" wrapText="1"/>
    </xf>
    <xf numFmtId="0" fontId="10" fillId="0" borderId="0" xfId="4" applyFont="1" applyFill="1">
      <alignment vertical="top"/>
    </xf>
    <xf numFmtId="0" fontId="5" fillId="6" borderId="0" xfId="4" applyFill="1">
      <alignment vertical="top"/>
    </xf>
    <xf numFmtId="1" fontId="5" fillId="0" borderId="0" xfId="4" applyNumberFormat="1" applyFill="1">
      <alignment vertical="top"/>
    </xf>
    <xf numFmtId="49" fontId="7" fillId="17" borderId="2" xfId="6" applyFont="1" applyBorder="1">
      <alignment vertical="top"/>
    </xf>
    <xf numFmtId="0" fontId="8" fillId="5" borderId="1" xfId="5" applyNumberFormat="1">
      <alignment vertical="top"/>
    </xf>
    <xf numFmtId="0" fontId="13" fillId="0" borderId="0" xfId="4" applyFont="1">
      <alignment vertical="top"/>
    </xf>
    <xf numFmtId="0" fontId="5" fillId="12" borderId="0" xfId="4" applyFill="1">
      <alignment vertical="top"/>
    </xf>
    <xf numFmtId="0" fontId="5" fillId="0" borderId="0" xfId="4" applyFont="1">
      <alignment vertical="top"/>
    </xf>
    <xf numFmtId="49" fontId="5" fillId="17" borderId="2" xfId="6" applyFont="1" applyBorder="1">
      <alignment vertical="top"/>
    </xf>
    <xf numFmtId="0" fontId="5" fillId="0" borderId="2" xfId="4" applyFont="1" applyBorder="1">
      <alignment vertical="top"/>
    </xf>
    <xf numFmtId="0" fontId="7" fillId="0" borderId="0" xfId="4" applyFont="1" applyFill="1" applyBorder="1" applyAlignment="1">
      <alignment horizontal="left" vertical="top" wrapText="1"/>
    </xf>
    <xf numFmtId="49" fontId="10" fillId="0" borderId="0" xfId="14">
      <alignment vertical="top"/>
    </xf>
    <xf numFmtId="49" fontId="6" fillId="0" borderId="0" xfId="7">
      <alignment vertical="top"/>
    </xf>
    <xf numFmtId="49" fontId="9" fillId="0" borderId="0" xfId="15">
      <alignment vertical="top"/>
    </xf>
    <xf numFmtId="41" fontId="5" fillId="10" borderId="0" xfId="8">
      <alignment vertical="top"/>
    </xf>
    <xf numFmtId="9" fontId="5" fillId="0" borderId="0" xfId="4" applyNumberFormat="1">
      <alignment vertical="top"/>
    </xf>
    <xf numFmtId="41" fontId="5" fillId="8" borderId="0" xfId="10">
      <alignment vertical="top"/>
    </xf>
    <xf numFmtId="41" fontId="5" fillId="44" borderId="0" xfId="11">
      <alignment vertical="top"/>
    </xf>
    <xf numFmtId="10" fontId="5" fillId="0" borderId="0" xfId="64">
      <alignment vertical="top"/>
    </xf>
    <xf numFmtId="49" fontId="20" fillId="0" borderId="0" xfId="61" applyAlignment="1">
      <alignment vertical="top"/>
    </xf>
    <xf numFmtId="0" fontId="5" fillId="0" borderId="2" xfId="4" applyFont="1" applyBorder="1" applyAlignment="1">
      <alignment horizontal="left" vertical="top" wrapText="1"/>
    </xf>
    <xf numFmtId="41" fontId="5" fillId="11" borderId="0" xfId="13">
      <alignment vertical="top"/>
    </xf>
    <xf numFmtId="41" fontId="5" fillId="9" borderId="0" xfId="9">
      <alignment vertical="top"/>
    </xf>
    <xf numFmtId="49" fontId="29" fillId="0" borderId="0" xfId="14" applyFont="1">
      <alignment vertical="top"/>
    </xf>
    <xf numFmtId="0" fontId="30" fillId="0" borderId="0" xfId="4" applyFont="1">
      <alignment vertical="top"/>
    </xf>
    <xf numFmtId="49" fontId="5" fillId="17" borderId="0" xfId="6" applyFont="1" applyBorder="1">
      <alignment vertical="top"/>
    </xf>
    <xf numFmtId="49" fontId="12" fillId="5" borderId="1" xfId="5" applyFont="1">
      <alignment vertical="top"/>
    </xf>
    <xf numFmtId="0" fontId="5" fillId="0" borderId="2" xfId="4" applyFont="1" applyBorder="1" applyAlignment="1">
      <alignment horizontal="left" vertical="top" wrapText="1"/>
    </xf>
    <xf numFmtId="49" fontId="5" fillId="0" borderId="0" xfId="7" applyFont="1">
      <alignment vertical="top"/>
    </xf>
    <xf numFmtId="0" fontId="9" fillId="12" borderId="0" xfId="4" applyFont="1" applyFill="1">
      <alignment vertical="top"/>
    </xf>
    <xf numFmtId="49" fontId="6" fillId="17" borderId="1" xfId="6" applyAlignment="1">
      <alignment vertical="top" wrapText="1"/>
    </xf>
    <xf numFmtId="41" fontId="5" fillId="0" borderId="0" xfId="4" applyNumberFormat="1">
      <alignment vertical="top"/>
    </xf>
    <xf numFmtId="0" fontId="0" fillId="0" borderId="0" xfId="0" applyAlignment="1"/>
    <xf numFmtId="164" fontId="5" fillId="11" borderId="0" xfId="13" applyNumberFormat="1">
      <alignment vertical="top"/>
    </xf>
    <xf numFmtId="165" fontId="5" fillId="9" borderId="0" xfId="63" applyNumberFormat="1" applyFont="1" applyFill="1" applyAlignment="1">
      <alignment vertical="top"/>
    </xf>
    <xf numFmtId="165" fontId="5" fillId="10" borderId="0" xfId="63" applyNumberFormat="1" applyFont="1" applyFill="1" applyAlignment="1">
      <alignment vertical="top"/>
    </xf>
    <xf numFmtId="166" fontId="5" fillId="0" borderId="0" xfId="4" applyNumberFormat="1">
      <alignment vertical="top"/>
    </xf>
    <xf numFmtId="165" fontId="5" fillId="0" borderId="0" xfId="4" applyNumberFormat="1">
      <alignment vertical="top"/>
    </xf>
    <xf numFmtId="167" fontId="5" fillId="0" borderId="0" xfId="4" applyNumberFormat="1">
      <alignment vertical="top"/>
    </xf>
    <xf numFmtId="0" fontId="26" fillId="0" borderId="0" xfId="0" applyFont="1" applyAlignment="1"/>
    <xf numFmtId="165" fontId="1" fillId="12" borderId="0" xfId="63" applyNumberFormat="1" applyFont="1" applyFill="1" applyAlignment="1"/>
    <xf numFmtId="0" fontId="1" fillId="0" borderId="0" xfId="0" applyFont="1" applyAlignment="1"/>
    <xf numFmtId="0" fontId="1" fillId="0" borderId="12" xfId="0" applyFont="1" applyBorder="1" applyAlignment="1"/>
    <xf numFmtId="0" fontId="1" fillId="0" borderId="13" xfId="0" applyFont="1" applyBorder="1" applyAlignment="1"/>
    <xf numFmtId="0" fontId="1" fillId="0" borderId="14" xfId="0" applyFont="1" applyBorder="1" applyAlignment="1"/>
    <xf numFmtId="49" fontId="6" fillId="17" borderId="15" xfId="6" applyBorder="1">
      <alignment vertical="top"/>
    </xf>
    <xf numFmtId="49" fontId="6" fillId="17" borderId="16" xfId="6" applyBorder="1">
      <alignment vertical="top"/>
    </xf>
    <xf numFmtId="0" fontId="1" fillId="0" borderId="17" xfId="0" applyFont="1" applyBorder="1" applyAlignment="1"/>
    <xf numFmtId="0" fontId="1" fillId="0" borderId="18" xfId="0" applyFont="1" applyBorder="1" applyAlignment="1"/>
    <xf numFmtId="0" fontId="32" fillId="0" borderId="0" xfId="0" applyFont="1" applyAlignment="1"/>
    <xf numFmtId="10" fontId="1" fillId="12" borderId="0" xfId="64" applyFont="1" applyFill="1" applyBorder="1" applyAlignment="1"/>
    <xf numFmtId="164" fontId="1" fillId="12" borderId="0" xfId="63" applyNumberFormat="1" applyFont="1" applyFill="1" applyBorder="1" applyAlignment="1"/>
    <xf numFmtId="0" fontId="5" fillId="0" borderId="18" xfId="4" applyBorder="1">
      <alignment vertical="top"/>
    </xf>
    <xf numFmtId="168" fontId="1" fillId="12" borderId="0" xfId="63" applyNumberFormat="1" applyFont="1" applyFill="1" applyBorder="1" applyAlignment="1"/>
    <xf numFmtId="165" fontId="1" fillId="12" borderId="0" xfId="63" applyNumberFormat="1" applyFont="1" applyFill="1" applyBorder="1" applyAlignment="1"/>
    <xf numFmtId="0" fontId="1" fillId="0" borderId="19" xfId="0" applyFont="1" applyBorder="1" applyAlignment="1"/>
    <xf numFmtId="0" fontId="1" fillId="0" borderId="20" xfId="0" applyFont="1" applyBorder="1" applyAlignment="1"/>
    <xf numFmtId="0" fontId="1" fillId="0" borderId="21" xfId="0" applyFont="1" applyBorder="1" applyAlignment="1"/>
    <xf numFmtId="41" fontId="9" fillId="0" borderId="0" xfId="12" applyFont="1" applyFill="1">
      <alignment vertical="top"/>
    </xf>
    <xf numFmtId="169" fontId="5" fillId="9" borderId="0" xfId="9" applyNumberFormat="1">
      <alignment vertical="top"/>
    </xf>
    <xf numFmtId="10" fontId="5" fillId="9" borderId="0" xfId="64" applyFill="1">
      <alignment vertical="top"/>
    </xf>
    <xf numFmtId="170" fontId="5" fillId="44" borderId="0" xfId="64" applyNumberFormat="1" applyFill="1">
      <alignment vertical="top"/>
    </xf>
    <xf numFmtId="10" fontId="5" fillId="44" borderId="0" xfId="64" applyFill="1">
      <alignment vertical="top"/>
    </xf>
    <xf numFmtId="0" fontId="33" fillId="0" borderId="0" xfId="4" applyFont="1">
      <alignment vertical="top"/>
    </xf>
    <xf numFmtId="49" fontId="13" fillId="0" borderId="0" xfId="14" applyFont="1">
      <alignment vertical="top"/>
    </xf>
    <xf numFmtId="164" fontId="5" fillId="0" borderId="0" xfId="63" applyNumberFormat="1" applyFill="1">
      <alignment vertical="top"/>
    </xf>
    <xf numFmtId="164" fontId="5" fillId="0" borderId="0" xfId="4" applyNumberFormat="1">
      <alignment vertical="top"/>
    </xf>
    <xf numFmtId="0" fontId="31" fillId="0" borderId="0" xfId="4" applyFont="1">
      <alignment vertical="top"/>
    </xf>
    <xf numFmtId="14" fontId="5" fillId="44" borderId="0" xfId="11" applyNumberFormat="1">
      <alignment vertical="top"/>
    </xf>
    <xf numFmtId="164" fontId="5" fillId="44" borderId="0" xfId="11" applyNumberFormat="1">
      <alignment vertical="top"/>
    </xf>
    <xf numFmtId="0" fontId="5" fillId="0" borderId="0" xfId="4" applyAlignment="1">
      <alignment horizontal="left" vertical="top"/>
    </xf>
    <xf numFmtId="0" fontId="10" fillId="0" borderId="0" xfId="0" quotePrefix="1" applyFont="1" applyAlignment="1"/>
    <xf numFmtId="0" fontId="1" fillId="0" borderId="0" xfId="0" applyFont="1" applyAlignment="1">
      <alignment horizontal="left"/>
    </xf>
    <xf numFmtId="171" fontId="5" fillId="44" borderId="0" xfId="11" applyNumberFormat="1">
      <alignment vertical="top"/>
    </xf>
    <xf numFmtId="1" fontId="6" fillId="17" borderId="1" xfId="6" applyNumberFormat="1" applyAlignment="1">
      <alignment vertical="top" wrapText="1"/>
    </xf>
    <xf numFmtId="164" fontId="5" fillId="9" borderId="0" xfId="9" applyNumberFormat="1">
      <alignment vertical="top"/>
    </xf>
    <xf numFmtId="173" fontId="5" fillId="0" borderId="0" xfId="63" applyNumberFormat="1" applyFill="1">
      <alignment vertical="top"/>
    </xf>
    <xf numFmtId="168" fontId="5" fillId="44" borderId="0" xfId="63" applyNumberFormat="1" applyFont="1" applyFill="1" applyAlignment="1">
      <alignment vertical="top"/>
    </xf>
    <xf numFmtId="168" fontId="5" fillId="0" borderId="0" xfId="63" applyNumberFormat="1" applyFill="1">
      <alignment vertical="top"/>
    </xf>
    <xf numFmtId="15" fontId="5" fillId="44" borderId="0" xfId="11" applyNumberFormat="1">
      <alignment vertical="top"/>
    </xf>
    <xf numFmtId="41" fontId="5" fillId="0" borderId="0" xfId="12" applyFill="1">
      <alignment vertical="top"/>
    </xf>
    <xf numFmtId="170" fontId="5" fillId="44" borderId="0" xfId="11" applyNumberFormat="1">
      <alignment vertical="top"/>
    </xf>
    <xf numFmtId="10" fontId="5" fillId="11" borderId="0" xfId="13" applyNumberFormat="1">
      <alignment vertical="top"/>
    </xf>
    <xf numFmtId="14" fontId="5" fillId="11" borderId="0" xfId="13" applyNumberFormat="1">
      <alignment vertical="top"/>
    </xf>
    <xf numFmtId="169" fontId="5" fillId="11" borderId="0" xfId="13" applyNumberFormat="1">
      <alignment vertical="top"/>
    </xf>
    <xf numFmtId="14" fontId="5" fillId="0" borderId="0" xfId="13" applyNumberFormat="1" applyFill="1">
      <alignment vertical="top"/>
    </xf>
    <xf numFmtId="164" fontId="5" fillId="0" borderId="0" xfId="9" applyNumberFormat="1" applyFill="1">
      <alignment vertical="top"/>
    </xf>
    <xf numFmtId="164" fontId="5" fillId="9" borderId="0" xfId="63" applyNumberFormat="1" applyFont="1" applyFill="1" applyAlignment="1">
      <alignment vertical="top"/>
    </xf>
    <xf numFmtId="41" fontId="5" fillId="0" borderId="0" xfId="9" applyFill="1">
      <alignment vertical="top"/>
    </xf>
    <xf numFmtId="164" fontId="5" fillId="9" borderId="0" xfId="63" applyNumberFormat="1">
      <alignment vertical="top"/>
    </xf>
    <xf numFmtId="164" fontId="6" fillId="17" borderId="1" xfId="6" applyNumberFormat="1">
      <alignment vertical="top"/>
    </xf>
    <xf numFmtId="164" fontId="5" fillId="10" borderId="0" xfId="8" applyNumberFormat="1">
      <alignment vertical="top"/>
    </xf>
    <xf numFmtId="168" fontId="5" fillId="11" borderId="0" xfId="63" applyNumberFormat="1" applyFont="1" applyFill="1" applyAlignment="1">
      <alignment vertical="top"/>
    </xf>
    <xf numFmtId="164" fontId="5" fillId="11" borderId="0" xfId="63" applyNumberFormat="1" applyFont="1" applyFill="1" applyAlignment="1">
      <alignment vertical="top"/>
    </xf>
    <xf numFmtId="172" fontId="5" fillId="10" borderId="0" xfId="8" applyNumberFormat="1">
      <alignment vertical="top"/>
    </xf>
    <xf numFmtId="168" fontId="5" fillId="11" borderId="0" xfId="63" applyNumberFormat="1" applyFill="1">
      <alignment vertical="top"/>
    </xf>
    <xf numFmtId="164" fontId="5" fillId="11" borderId="0" xfId="63" applyNumberFormat="1" applyFill="1">
      <alignment vertical="top"/>
    </xf>
    <xf numFmtId="168" fontId="5" fillId="11" borderId="0" xfId="13" applyNumberFormat="1">
      <alignment vertical="top"/>
    </xf>
    <xf numFmtId="172" fontId="5" fillId="9" borderId="0" xfId="9" applyNumberFormat="1">
      <alignment vertical="top"/>
    </xf>
    <xf numFmtId="174" fontId="5" fillId="0" borderId="0" xfId="4" applyNumberFormat="1">
      <alignment vertical="top"/>
    </xf>
    <xf numFmtId="10" fontId="5" fillId="11" borderId="0" xfId="64" applyFill="1">
      <alignment vertical="top"/>
    </xf>
    <xf numFmtId="175" fontId="5" fillId="9" borderId="0" xfId="9" applyNumberFormat="1">
      <alignment vertical="top"/>
    </xf>
    <xf numFmtId="170" fontId="5" fillId="11" borderId="0" xfId="64" applyNumberFormat="1" applyFill="1">
      <alignment vertical="top"/>
    </xf>
    <xf numFmtId="43" fontId="5" fillId="0" borderId="0" xfId="63" applyFill="1">
      <alignment vertical="top"/>
    </xf>
    <xf numFmtId="0" fontId="13" fillId="0" borderId="0" xfId="0" applyFont="1" applyAlignment="1"/>
    <xf numFmtId="49" fontId="20" fillId="0" borderId="2" xfId="61" applyBorder="1" applyAlignment="1">
      <alignment vertical="top"/>
    </xf>
    <xf numFmtId="49" fontId="5" fillId="0" borderId="0" xfId="14" applyFont="1">
      <alignment vertical="top"/>
    </xf>
    <xf numFmtId="9" fontId="5" fillId="44" borderId="0" xfId="64" applyNumberFormat="1" applyFill="1">
      <alignment vertical="top"/>
    </xf>
    <xf numFmtId="0" fontId="5" fillId="0" borderId="0" xfId="4" applyAlignment="1">
      <alignment vertical="top"/>
    </xf>
    <xf numFmtId="165" fontId="5" fillId="44" borderId="0" xfId="11" applyNumberFormat="1">
      <alignment vertical="top"/>
    </xf>
    <xf numFmtId="165" fontId="5" fillId="44" borderId="0" xfId="63" applyNumberFormat="1" applyFont="1" applyFill="1" applyAlignment="1">
      <alignment vertical="top"/>
    </xf>
    <xf numFmtId="165" fontId="5" fillId="44" borderId="0" xfId="63" applyNumberFormat="1" applyFill="1">
      <alignment vertical="top"/>
    </xf>
    <xf numFmtId="169" fontId="5" fillId="0" borderId="0" xfId="4" applyNumberFormat="1" applyFill="1">
      <alignment vertical="top"/>
    </xf>
    <xf numFmtId="0" fontId="0" fillId="0" borderId="0" xfId="0" applyNumberFormat="1" applyFill="1" applyAlignment="1"/>
    <xf numFmtId="164" fontId="5" fillId="0" borderId="0" xfId="4" applyNumberFormat="1" applyFill="1">
      <alignment vertical="top"/>
    </xf>
    <xf numFmtId="41" fontId="5" fillId="0" borderId="0" xfId="13" applyFill="1">
      <alignment vertical="top"/>
    </xf>
    <xf numFmtId="0" fontId="1" fillId="0" borderId="0" xfId="0" applyFont="1" applyFill="1" applyAlignment="1"/>
    <xf numFmtId="41" fontId="1" fillId="12" borderId="0" xfId="63" applyNumberFormat="1" applyFont="1" applyFill="1" applyBorder="1" applyAlignment="1"/>
    <xf numFmtId="0" fontId="1" fillId="0" borderId="17" xfId="0" applyFont="1" applyFill="1" applyBorder="1" applyAlignment="1"/>
    <xf numFmtId="172" fontId="5" fillId="0" borderId="0" xfId="9" applyNumberFormat="1" applyFill="1">
      <alignment vertical="top"/>
    </xf>
    <xf numFmtId="41" fontId="5" fillId="0" borderId="0" xfId="8" applyFill="1">
      <alignment vertical="top"/>
    </xf>
    <xf numFmtId="171" fontId="5" fillId="0" borderId="0" xfId="11" applyNumberFormat="1" applyFill="1">
      <alignment vertical="top"/>
    </xf>
    <xf numFmtId="164" fontId="5" fillId="0" borderId="0" xfId="13" applyNumberFormat="1" applyFill="1">
      <alignment vertical="top"/>
    </xf>
    <xf numFmtId="165" fontId="5" fillId="0" borderId="0" xfId="63" applyNumberFormat="1" applyFont="1" applyFill="1" applyAlignment="1">
      <alignment vertical="top"/>
    </xf>
    <xf numFmtId="165" fontId="5" fillId="0" borderId="0" xfId="4" applyNumberFormat="1" applyFill="1">
      <alignment vertical="top"/>
    </xf>
    <xf numFmtId="167" fontId="5" fillId="0" borderId="0" xfId="4" applyNumberFormat="1" applyFill="1">
      <alignment vertical="top"/>
    </xf>
    <xf numFmtId="168" fontId="5" fillId="0" borderId="0" xfId="13" applyNumberFormat="1" applyFill="1">
      <alignment vertical="top"/>
    </xf>
    <xf numFmtId="10" fontId="5" fillId="0" borderId="0" xfId="64" applyFill="1">
      <alignment vertical="top"/>
    </xf>
    <xf numFmtId="168" fontId="5" fillId="0" borderId="0" xfId="4" applyNumberFormat="1">
      <alignment vertical="top"/>
    </xf>
    <xf numFmtId="0" fontId="33" fillId="0" borderId="0" xfId="4" applyFont="1" applyFill="1">
      <alignment vertical="top"/>
    </xf>
    <xf numFmtId="41" fontId="5" fillId="0" borderId="0" xfId="10" applyFill="1">
      <alignment vertical="top"/>
    </xf>
    <xf numFmtId="164" fontId="5" fillId="0" borderId="0" xfId="8" applyNumberFormat="1" applyFill="1">
      <alignment vertical="top"/>
    </xf>
    <xf numFmtId="176" fontId="5" fillId="9" borderId="0" xfId="9" applyNumberFormat="1">
      <alignment vertical="top"/>
    </xf>
    <xf numFmtId="169" fontId="5" fillId="0" borderId="0" xfId="4" applyNumberFormat="1">
      <alignment vertical="top"/>
    </xf>
    <xf numFmtId="177" fontId="5" fillId="9" borderId="0" xfId="9" applyNumberFormat="1">
      <alignment vertical="top"/>
    </xf>
    <xf numFmtId="176" fontId="5" fillId="11" borderId="0" xfId="13" applyNumberFormat="1">
      <alignment vertical="top"/>
    </xf>
    <xf numFmtId="177" fontId="5" fillId="11" borderId="0" xfId="13" applyNumberFormat="1">
      <alignment vertical="top"/>
    </xf>
    <xf numFmtId="0" fontId="35" fillId="0" borderId="0" xfId="4" applyFont="1">
      <alignment vertical="top"/>
    </xf>
    <xf numFmtId="41" fontId="5" fillId="44" borderId="0" xfId="11" applyFont="1">
      <alignment vertical="top"/>
    </xf>
    <xf numFmtId="3" fontId="5" fillId="0" borderId="0" xfId="4" applyNumberFormat="1">
      <alignment vertical="top"/>
    </xf>
    <xf numFmtId="178" fontId="5" fillId="44" borderId="0" xfId="11" applyNumberFormat="1">
      <alignment vertical="top"/>
    </xf>
    <xf numFmtId="1" fontId="5" fillId="44" borderId="0" xfId="11" applyNumberFormat="1">
      <alignment vertical="top"/>
    </xf>
    <xf numFmtId="1" fontId="5" fillId="9" borderId="0" xfId="9" applyNumberFormat="1">
      <alignment vertical="top"/>
    </xf>
    <xf numFmtId="41" fontId="5" fillId="9" borderId="0" xfId="9" applyNumberFormat="1">
      <alignment vertical="top"/>
    </xf>
    <xf numFmtId="0" fontId="5" fillId="46" borderId="0" xfId="4" applyFill="1">
      <alignment vertical="top"/>
    </xf>
    <xf numFmtId="0" fontId="31" fillId="46" borderId="0" xfId="4" applyFont="1" applyFill="1">
      <alignment vertical="top"/>
    </xf>
    <xf numFmtId="0" fontId="1" fillId="0" borderId="2" xfId="4" applyFont="1" applyBorder="1">
      <alignment vertical="top"/>
    </xf>
    <xf numFmtId="0" fontId="5" fillId="0" borderId="0" xfId="4" applyFont="1" applyFill="1" applyBorder="1" applyAlignment="1">
      <alignment horizontal="left" vertical="top" wrapText="1"/>
    </xf>
    <xf numFmtId="0" fontId="7" fillId="0" borderId="0" xfId="4" applyFont="1" applyFill="1" applyBorder="1" applyAlignment="1">
      <alignment horizontal="left" vertical="top" wrapText="1"/>
    </xf>
  </cellXfs>
  <cellStyles count="67">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Dataverzoek" xfId="65" xr:uid="{00000000-0005-0000-0000-00001F000000}"/>
    <cellStyle name="Cel Input" xfId="11" xr:uid="{00000000-0005-0000-0000-000020000000}"/>
    <cellStyle name="Cel input database" xfId="66" xr:uid="{8EB60F35-48A4-4179-85A4-A4C683958ECC}"/>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ACM-DE" xfId="4" xr:uid="{00000000-0005-0000-0000-000039000000}"/>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FF66FF"/>
      <color rgb="FFE1FFE1"/>
      <color rgb="FF99FF99"/>
      <color rgb="FFFFFFCC"/>
      <color rgb="FFCCC8D9"/>
      <color rgb="FFCCFFCC"/>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nl/publicaties/beschikking-productieprijs-elektriciteit-2024-bonaire-contourglobal" TargetMode="External"/><Relationship Id="rId2" Type="http://schemas.openxmlformats.org/officeDocument/2006/relationships/hyperlink" Target="https://wetten.overheid.nl/BWBR0030649/2011-11-18" TargetMode="External"/><Relationship Id="rId1" Type="http://schemas.openxmlformats.org/officeDocument/2006/relationships/hyperlink" Target="https://opendata.cbs.nl/statline/"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E45"/>
  <sheetViews>
    <sheetView showGridLines="0" tabSelected="1" zoomScale="85" zoomScaleNormal="85"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44.5703125" style="2" customWidth="1"/>
    <col min="3" max="3" width="91.85546875" style="2" customWidth="1"/>
    <col min="4" max="16384" width="9.140625" style="2"/>
  </cols>
  <sheetData>
    <row r="2" spans="2:5" s="7" customFormat="1" ht="18" x14ac:dyDescent="0.2">
      <c r="B2" s="7" t="s">
        <v>40</v>
      </c>
    </row>
    <row r="6" spans="2:5" x14ac:dyDescent="0.2">
      <c r="B6" s="3"/>
    </row>
    <row r="13" spans="2:5" s="8" customFormat="1" x14ac:dyDescent="0.2">
      <c r="B13" s="8" t="s">
        <v>3</v>
      </c>
    </row>
    <row r="14" spans="2:5" s="9" customFormat="1" x14ac:dyDescent="0.2"/>
    <row r="15" spans="2:5" x14ac:dyDescent="0.2">
      <c r="B15" s="31" t="s">
        <v>4</v>
      </c>
      <c r="C15" s="10" t="s">
        <v>305</v>
      </c>
      <c r="E15" s="22"/>
    </row>
    <row r="16" spans="2:5" x14ac:dyDescent="0.2">
      <c r="B16" s="31" t="s">
        <v>5</v>
      </c>
      <c r="C16" s="10" t="s">
        <v>306</v>
      </c>
    </row>
    <row r="17" spans="2:3" x14ac:dyDescent="0.2">
      <c r="B17" s="31" t="s">
        <v>6</v>
      </c>
      <c r="C17" s="10" t="s">
        <v>307</v>
      </c>
    </row>
    <row r="18" spans="2:3" x14ac:dyDescent="0.2">
      <c r="B18" s="31" t="s">
        <v>41</v>
      </c>
      <c r="C18" s="38" t="s">
        <v>608</v>
      </c>
    </row>
    <row r="19" spans="2:3" x14ac:dyDescent="0.2">
      <c r="B19" s="31" t="s">
        <v>55</v>
      </c>
      <c r="C19" s="31" t="s">
        <v>308</v>
      </c>
    </row>
    <row r="20" spans="2:3" x14ac:dyDescent="0.2">
      <c r="B20" s="31" t="s">
        <v>7</v>
      </c>
      <c r="C20" s="10"/>
    </row>
    <row r="22" spans="2:3" x14ac:dyDescent="0.2">
      <c r="B22" s="24" t="s">
        <v>62</v>
      </c>
    </row>
    <row r="24" spans="2:3" s="8" customFormat="1" x14ac:dyDescent="0.2">
      <c r="B24" s="8" t="s">
        <v>8</v>
      </c>
    </row>
    <row r="26" spans="2:3" x14ac:dyDescent="0.2">
      <c r="B26" s="31" t="s">
        <v>9</v>
      </c>
      <c r="C26" s="10" t="s">
        <v>231</v>
      </c>
    </row>
    <row r="27" spans="2:3" x14ac:dyDescent="0.2">
      <c r="B27" s="31" t="s">
        <v>59</v>
      </c>
      <c r="C27" s="10" t="s">
        <v>231</v>
      </c>
    </row>
    <row r="28" spans="2:3" x14ac:dyDescent="0.2">
      <c r="B28" s="38" t="s">
        <v>60</v>
      </c>
      <c r="C28" s="38" t="s">
        <v>620</v>
      </c>
    </row>
    <row r="29" spans="2:3" ht="25.5" x14ac:dyDescent="0.2">
      <c r="B29" s="31" t="s">
        <v>10</v>
      </c>
      <c r="C29" s="10" t="s">
        <v>231</v>
      </c>
    </row>
    <row r="30" spans="2:3" ht="25.5" x14ac:dyDescent="0.2">
      <c r="B30" s="31" t="s">
        <v>61</v>
      </c>
      <c r="C30" s="10" t="s">
        <v>621</v>
      </c>
    </row>
    <row r="31" spans="2:3" x14ac:dyDescent="0.2">
      <c r="B31" s="31" t="s">
        <v>43</v>
      </c>
      <c r="C31" s="10" t="s">
        <v>622</v>
      </c>
    </row>
    <row r="32" spans="2:3" x14ac:dyDescent="0.2">
      <c r="B32" s="31" t="s">
        <v>7</v>
      </c>
      <c r="C32" s="10"/>
    </row>
    <row r="34" spans="2:4" x14ac:dyDescent="0.2">
      <c r="B34" s="158" t="s">
        <v>44</v>
      </c>
      <c r="C34" s="159"/>
      <c r="D34" s="5"/>
    </row>
    <row r="35" spans="2:4" x14ac:dyDescent="0.2">
      <c r="B35" s="21"/>
      <c r="C35" s="21"/>
      <c r="D35" s="5"/>
    </row>
    <row r="37" spans="2:4" s="8" customFormat="1" x14ac:dyDescent="0.2">
      <c r="B37" s="8" t="s">
        <v>0</v>
      </c>
    </row>
    <row r="39" spans="2:4" x14ac:dyDescent="0.2">
      <c r="B39" s="2" t="s">
        <v>45</v>
      </c>
    </row>
    <row r="44" spans="2:4" x14ac:dyDescent="0.2">
      <c r="C44" s="34"/>
    </row>
    <row r="45" spans="2:4" x14ac:dyDescent="0.2">
      <c r="B45" s="4" t="s">
        <v>63</v>
      </c>
    </row>
  </sheetData>
  <mergeCells count="1">
    <mergeCell ref="B34:C34"/>
  </mergeCell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94F06-4ED4-4424-8986-664F951605A3}">
  <sheetPr>
    <tabColor rgb="FFE1FFE1"/>
  </sheetPr>
  <dimension ref="A2:R110"/>
  <sheetViews>
    <sheetView showGridLines="0" zoomScale="85" zoomScaleNormal="85" workbookViewId="0">
      <pane xSplit="6" ySplit="9" topLeftCell="G10" activePane="bottomRight" state="frozen"/>
      <selection activeCell="H18" sqref="H18"/>
      <selection pane="topRight" activeCell="H18" sqref="H18"/>
      <selection pane="bottomLeft" activeCell="H18" sqref="H18"/>
      <selection pane="bottomRight" activeCell="G10" sqref="G10"/>
    </sheetView>
  </sheetViews>
  <sheetFormatPr defaultRowHeight="12.75" x14ac:dyDescent="0.2"/>
  <cols>
    <col min="1" max="1" width="4.7109375" style="2" customWidth="1"/>
    <col min="2" max="2" width="69.8554687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73.5703125" style="2" bestFit="1" customWidth="1"/>
    <col min="11" max="11" width="2.7109375" style="2" customWidth="1"/>
    <col min="12" max="12" width="41.28515625" style="2" customWidth="1"/>
    <col min="13" max="13" width="2.7109375" style="2" customWidth="1"/>
    <col min="14" max="28" width="13.7109375" style="2" customWidth="1"/>
    <col min="29" max="16384" width="9.140625" style="2"/>
  </cols>
  <sheetData>
    <row r="2" spans="1:18" s="15" customFormat="1" ht="18" x14ac:dyDescent="0.2">
      <c r="B2" s="15" t="s">
        <v>349</v>
      </c>
    </row>
    <row r="4" spans="1:18" x14ac:dyDescent="0.2">
      <c r="B4" s="23" t="s">
        <v>90</v>
      </c>
      <c r="C4" s="1"/>
      <c r="D4" s="1"/>
    </row>
    <row r="5" spans="1:18" x14ac:dyDescent="0.2">
      <c r="B5" s="2" t="s">
        <v>350</v>
      </c>
      <c r="H5" s="16"/>
      <c r="R5" s="22"/>
    </row>
    <row r="6" spans="1:18" x14ac:dyDescent="0.2">
      <c r="B6" s="4"/>
    </row>
    <row r="8" spans="1:18" s="8" customFormat="1" x14ac:dyDescent="0.2">
      <c r="B8" s="8" t="s">
        <v>12</v>
      </c>
      <c r="F8" s="8" t="s">
        <v>35</v>
      </c>
      <c r="H8" s="8" t="s">
        <v>36</v>
      </c>
      <c r="J8" s="8" t="s">
        <v>39</v>
      </c>
      <c r="L8" s="8" t="s">
        <v>38</v>
      </c>
    </row>
    <row r="10" spans="1:18" s="8" customFormat="1" x14ac:dyDescent="0.2">
      <c r="B10" s="8" t="s">
        <v>351</v>
      </c>
    </row>
    <row r="12" spans="1:18" x14ac:dyDescent="0.2">
      <c r="B12" s="23" t="s">
        <v>352</v>
      </c>
      <c r="H12" s="42"/>
      <c r="L12" s="75"/>
    </row>
    <row r="13" spans="1:18" x14ac:dyDescent="0.2">
      <c r="A13" s="9"/>
      <c r="B13" s="2" t="s">
        <v>153</v>
      </c>
      <c r="F13" s="2" t="s">
        <v>70</v>
      </c>
      <c r="H13" s="28">
        <v>140557366.38000005</v>
      </c>
      <c r="J13" s="2" t="s">
        <v>260</v>
      </c>
      <c r="L13" s="2" t="s">
        <v>154</v>
      </c>
    </row>
    <row r="14" spans="1:18" ht="13.5" customHeight="1" x14ac:dyDescent="0.2">
      <c r="A14" s="9"/>
      <c r="B14" s="2" t="s">
        <v>155</v>
      </c>
      <c r="F14" s="2" t="s">
        <v>70</v>
      </c>
      <c r="H14" s="28">
        <v>22385968.920000002</v>
      </c>
      <c r="J14" s="2" t="s">
        <v>260</v>
      </c>
    </row>
    <row r="15" spans="1:18" ht="13.5" customHeight="1" x14ac:dyDescent="0.2">
      <c r="A15" s="9"/>
      <c r="B15" s="2" t="s">
        <v>156</v>
      </c>
      <c r="F15" s="2" t="s">
        <v>70</v>
      </c>
      <c r="H15" s="28">
        <v>8856000.0000000019</v>
      </c>
      <c r="J15" s="2" t="s">
        <v>260</v>
      </c>
    </row>
    <row r="16" spans="1:18" ht="13.5" customHeight="1" x14ac:dyDescent="0.2">
      <c r="A16" s="9"/>
      <c r="B16" s="2" t="s">
        <v>353</v>
      </c>
      <c r="F16" s="2" t="s">
        <v>70</v>
      </c>
      <c r="H16" s="33">
        <f>H14+H15</f>
        <v>31241968.920000002</v>
      </c>
    </row>
    <row r="17" spans="1:12" x14ac:dyDescent="0.2">
      <c r="A17" s="9"/>
      <c r="B17" s="2" t="s">
        <v>354</v>
      </c>
      <c r="F17" s="2" t="s">
        <v>70</v>
      </c>
      <c r="H17" s="33">
        <f>H13+H14+H15</f>
        <v>171799335.30000007</v>
      </c>
      <c r="L17" s="22"/>
    </row>
    <row r="18" spans="1:12" x14ac:dyDescent="0.2">
      <c r="A18" s="9"/>
    </row>
    <row r="19" spans="1:12" x14ac:dyDescent="0.2">
      <c r="A19" s="9"/>
      <c r="B19" s="2" t="s">
        <v>558</v>
      </c>
      <c r="F19" s="2" t="s">
        <v>87</v>
      </c>
      <c r="H19" s="151">
        <v>0.81010000000000004</v>
      </c>
      <c r="J19" s="18" t="s">
        <v>559</v>
      </c>
    </row>
    <row r="22" spans="1:12" s="8" customFormat="1" x14ac:dyDescent="0.2">
      <c r="B22" s="8" t="s">
        <v>355</v>
      </c>
    </row>
    <row r="24" spans="1:12" x14ac:dyDescent="0.2">
      <c r="B24" s="148" t="s">
        <v>290</v>
      </c>
    </row>
    <row r="26" spans="1:12" x14ac:dyDescent="0.2">
      <c r="B26" s="4" t="s">
        <v>271</v>
      </c>
    </row>
    <row r="28" spans="1:12" x14ac:dyDescent="0.2">
      <c r="A28" s="91"/>
      <c r="B28" s="1" t="s">
        <v>157</v>
      </c>
    </row>
    <row r="29" spans="1:12" x14ac:dyDescent="0.2">
      <c r="B29" s="2" t="s">
        <v>158</v>
      </c>
      <c r="F29" s="2" t="s">
        <v>159</v>
      </c>
      <c r="H29" s="28">
        <v>999050</v>
      </c>
      <c r="J29" s="2" t="s">
        <v>264</v>
      </c>
    </row>
    <row r="30" spans="1:12" x14ac:dyDescent="0.2">
      <c r="B30" s="2" t="s">
        <v>122</v>
      </c>
      <c r="F30" s="2" t="s">
        <v>123</v>
      </c>
      <c r="H30" s="70">
        <f>(6+13*12+3)/12</f>
        <v>13.75</v>
      </c>
      <c r="L30" s="2" t="s">
        <v>160</v>
      </c>
    </row>
    <row r="31" spans="1:12" x14ac:dyDescent="0.2">
      <c r="A31" s="141"/>
      <c r="B31" s="2" t="s">
        <v>161</v>
      </c>
      <c r="F31" s="2" t="s">
        <v>125</v>
      </c>
      <c r="H31" s="90">
        <v>45474</v>
      </c>
      <c r="L31" s="2" t="s">
        <v>263</v>
      </c>
    </row>
    <row r="33" spans="1:10" x14ac:dyDescent="0.2">
      <c r="B33" s="1" t="s">
        <v>545</v>
      </c>
    </row>
    <row r="34" spans="1:10" x14ac:dyDescent="0.2">
      <c r="B34" s="2" t="s">
        <v>158</v>
      </c>
      <c r="F34" s="2" t="s">
        <v>82</v>
      </c>
      <c r="H34" s="28">
        <f>6436000</f>
        <v>6436000</v>
      </c>
      <c r="J34" s="2" t="s">
        <v>264</v>
      </c>
    </row>
    <row r="35" spans="1:10" x14ac:dyDescent="0.2">
      <c r="B35" s="2" t="s">
        <v>298</v>
      </c>
      <c r="F35" s="2" t="s">
        <v>82</v>
      </c>
      <c r="H35" s="28">
        <v>260000</v>
      </c>
      <c r="J35" s="2" t="s">
        <v>294</v>
      </c>
    </row>
    <row r="36" spans="1:10" x14ac:dyDescent="0.2">
      <c r="B36" s="2" t="s">
        <v>543</v>
      </c>
      <c r="F36" s="2" t="s">
        <v>82</v>
      </c>
      <c r="H36" s="32">
        <f>'Est. and realized costs 2024'!H165</f>
        <v>1198657.3799999999</v>
      </c>
    </row>
    <row r="37" spans="1:10" x14ac:dyDescent="0.2">
      <c r="B37" s="2" t="s">
        <v>544</v>
      </c>
      <c r="F37" s="2" t="s">
        <v>82</v>
      </c>
      <c r="H37" s="32">
        <f>'Est. and realized costs 2024'!H169</f>
        <v>1313031.72</v>
      </c>
    </row>
    <row r="38" spans="1:10" x14ac:dyDescent="0.2">
      <c r="B38" s="2" t="s">
        <v>544</v>
      </c>
      <c r="F38" s="2" t="s">
        <v>82</v>
      </c>
      <c r="H38" s="32">
        <f>'Est. and realized costs 2024'!H173</f>
        <v>710580.9</v>
      </c>
    </row>
    <row r="39" spans="1:10" x14ac:dyDescent="0.2">
      <c r="B39" s="2" t="s">
        <v>299</v>
      </c>
      <c r="F39" s="2" t="s">
        <v>82</v>
      </c>
      <c r="H39" s="33">
        <f>H34+H35-SUM(H36:H38)</f>
        <v>3473730.0000000005</v>
      </c>
    </row>
    <row r="40" spans="1:10" x14ac:dyDescent="0.2">
      <c r="B40" s="2" t="s">
        <v>122</v>
      </c>
      <c r="F40" s="2" t="s">
        <v>123</v>
      </c>
      <c r="H40" s="28">
        <v>5</v>
      </c>
      <c r="J40" s="2" t="s">
        <v>264</v>
      </c>
    </row>
    <row r="41" spans="1:10" x14ac:dyDescent="0.2">
      <c r="B41" s="2" t="s">
        <v>161</v>
      </c>
      <c r="F41" s="2" t="s">
        <v>125</v>
      </c>
      <c r="H41" s="90">
        <v>46096</v>
      </c>
      <c r="J41" s="18" t="s">
        <v>610</v>
      </c>
    </row>
    <row r="43" spans="1:10" x14ac:dyDescent="0.2">
      <c r="B43" s="1" t="s">
        <v>163</v>
      </c>
    </row>
    <row r="44" spans="1:10" x14ac:dyDescent="0.2">
      <c r="B44" s="2" t="s">
        <v>158</v>
      </c>
      <c r="F44" s="2" t="s">
        <v>159</v>
      </c>
      <c r="H44" s="28">
        <v>175000</v>
      </c>
      <c r="J44" s="2" t="s">
        <v>264</v>
      </c>
    </row>
    <row r="45" spans="1:10" x14ac:dyDescent="0.2">
      <c r="B45" s="2" t="s">
        <v>122</v>
      </c>
      <c r="F45" s="2" t="s">
        <v>123</v>
      </c>
      <c r="H45" s="28">
        <v>25</v>
      </c>
    </row>
    <row r="46" spans="1:10" x14ac:dyDescent="0.2">
      <c r="A46" s="91"/>
      <c r="B46" s="2" t="s">
        <v>161</v>
      </c>
      <c r="F46" s="2" t="s">
        <v>125</v>
      </c>
      <c r="H46" s="90">
        <v>45792</v>
      </c>
    </row>
    <row r="48" spans="1:10" x14ac:dyDescent="0.2">
      <c r="B48" s="4" t="s">
        <v>272</v>
      </c>
    </row>
    <row r="50" spans="2:10" x14ac:dyDescent="0.2">
      <c r="B50" s="1" t="s">
        <v>281</v>
      </c>
    </row>
    <row r="51" spans="2:10" x14ac:dyDescent="0.2">
      <c r="B51" s="2" t="s">
        <v>158</v>
      </c>
      <c r="F51" s="2" t="s">
        <v>159</v>
      </c>
      <c r="H51" s="28">
        <v>755000</v>
      </c>
      <c r="J51" s="2" t="s">
        <v>294</v>
      </c>
    </row>
    <row r="52" spans="2:10" x14ac:dyDescent="0.2">
      <c r="B52" s="2" t="s">
        <v>122</v>
      </c>
      <c r="F52" s="2" t="s">
        <v>123</v>
      </c>
      <c r="H52" s="147">
        <f>'Est. and realized costs 2024'!H62</f>
        <v>7.0370542639131006</v>
      </c>
    </row>
    <row r="53" spans="2:10" x14ac:dyDescent="0.2">
      <c r="B53" s="2" t="s">
        <v>161</v>
      </c>
      <c r="F53" s="2" t="s">
        <v>125</v>
      </c>
      <c r="H53" s="146">
        <f>'Est. and realized costs 2024'!H61</f>
        <v>45747</v>
      </c>
    </row>
    <row r="55" spans="2:10" x14ac:dyDescent="0.2">
      <c r="B55" s="1" t="s">
        <v>282</v>
      </c>
    </row>
    <row r="56" spans="2:10" x14ac:dyDescent="0.2">
      <c r="B56" s="2" t="s">
        <v>158</v>
      </c>
      <c r="F56" s="2" t="s">
        <v>159</v>
      </c>
      <c r="H56" s="28">
        <v>400000</v>
      </c>
      <c r="J56" s="2" t="s">
        <v>294</v>
      </c>
    </row>
    <row r="57" spans="2:10" x14ac:dyDescent="0.2">
      <c r="B57" s="2" t="s">
        <v>122</v>
      </c>
      <c r="F57" s="2" t="s">
        <v>123</v>
      </c>
      <c r="H57" s="147">
        <f>'Est. and realized costs 2024'!H62</f>
        <v>7.0370542639131006</v>
      </c>
    </row>
    <row r="58" spans="2:10" x14ac:dyDescent="0.2">
      <c r="B58" s="2" t="s">
        <v>161</v>
      </c>
      <c r="F58" s="2" t="s">
        <v>125</v>
      </c>
      <c r="H58" s="146">
        <f>'Est. and realized costs 2024'!H61</f>
        <v>45747</v>
      </c>
    </row>
    <row r="60" spans="2:10" x14ac:dyDescent="0.2">
      <c r="B60" s="1" t="s">
        <v>283</v>
      </c>
    </row>
    <row r="61" spans="2:10" x14ac:dyDescent="0.2">
      <c r="B61" s="2" t="s">
        <v>158</v>
      </c>
      <c r="F61" s="2" t="s">
        <v>159</v>
      </c>
      <c r="H61" s="28">
        <v>485000</v>
      </c>
      <c r="J61" s="2" t="s">
        <v>294</v>
      </c>
    </row>
    <row r="62" spans="2:10" x14ac:dyDescent="0.2">
      <c r="B62" s="2" t="s">
        <v>122</v>
      </c>
      <c r="F62" s="2" t="s">
        <v>123</v>
      </c>
      <c r="H62" s="147">
        <f>'Est. and realized costs 2024'!H137</f>
        <v>9.6036960985626276</v>
      </c>
    </row>
    <row r="63" spans="2:10" x14ac:dyDescent="0.2">
      <c r="B63" s="2" t="s">
        <v>161</v>
      </c>
      <c r="F63" s="2" t="s">
        <v>125</v>
      </c>
      <c r="H63" s="146">
        <f>'Est. and realized costs 2024'!H136</f>
        <v>45747</v>
      </c>
    </row>
    <row r="65" spans="2:10" x14ac:dyDescent="0.2">
      <c r="B65" s="1" t="s">
        <v>286</v>
      </c>
    </row>
    <row r="66" spans="2:10" x14ac:dyDescent="0.2">
      <c r="B66" s="2" t="s">
        <v>158</v>
      </c>
      <c r="F66" s="2" t="s">
        <v>159</v>
      </c>
      <c r="H66" s="28">
        <v>2225000</v>
      </c>
      <c r="J66" s="2" t="s">
        <v>294</v>
      </c>
    </row>
    <row r="67" spans="2:10" x14ac:dyDescent="0.2">
      <c r="B67" s="2" t="s">
        <v>122</v>
      </c>
      <c r="F67" s="2" t="s">
        <v>123</v>
      </c>
      <c r="H67" s="147">
        <f>'Est. and realized costs 2024'!H64</f>
        <v>6.7879098422840798</v>
      </c>
    </row>
    <row r="68" spans="2:10" x14ac:dyDescent="0.2">
      <c r="B68" s="2" t="s">
        <v>161</v>
      </c>
      <c r="F68" s="2" t="s">
        <v>125</v>
      </c>
      <c r="H68" s="146">
        <f>'Est. and realized costs 2024'!H63</f>
        <v>45838</v>
      </c>
    </row>
    <row r="70" spans="2:10" x14ac:dyDescent="0.2">
      <c r="B70" s="1" t="s">
        <v>287</v>
      </c>
    </row>
    <row r="71" spans="2:10" x14ac:dyDescent="0.2">
      <c r="B71" s="2" t="s">
        <v>158</v>
      </c>
      <c r="F71" s="2" t="s">
        <v>159</v>
      </c>
      <c r="H71" s="28">
        <v>100000</v>
      </c>
      <c r="J71" s="2" t="s">
        <v>294</v>
      </c>
    </row>
    <row r="72" spans="2:10" x14ac:dyDescent="0.2">
      <c r="B72" s="2" t="s">
        <v>122</v>
      </c>
      <c r="F72" s="2" t="s">
        <v>123</v>
      </c>
      <c r="H72" s="147">
        <f>'Est. and realized costs 2024'!H139</f>
        <v>9.3545516769336068</v>
      </c>
    </row>
    <row r="73" spans="2:10" x14ac:dyDescent="0.2">
      <c r="B73" s="2" t="s">
        <v>161</v>
      </c>
      <c r="F73" s="2" t="s">
        <v>125</v>
      </c>
      <c r="H73" s="146">
        <f>'Est. and realized costs 2024'!H138</f>
        <v>45838</v>
      </c>
    </row>
    <row r="75" spans="2:10" x14ac:dyDescent="0.2">
      <c r="B75" s="1" t="s">
        <v>288</v>
      </c>
    </row>
    <row r="76" spans="2:10" x14ac:dyDescent="0.2">
      <c r="B76" s="2" t="s">
        <v>158</v>
      </c>
      <c r="F76" s="2" t="s">
        <v>159</v>
      </c>
      <c r="H76" s="28">
        <v>35000</v>
      </c>
      <c r="J76" s="2" t="s">
        <v>294</v>
      </c>
    </row>
    <row r="77" spans="2:10" x14ac:dyDescent="0.2">
      <c r="B77" s="2" t="s">
        <v>122</v>
      </c>
      <c r="F77" s="2" t="s">
        <v>123</v>
      </c>
      <c r="H77" s="147">
        <f>'Est. and realized costs 2024'!H66</f>
        <v>6.536027569867926</v>
      </c>
    </row>
    <row r="78" spans="2:10" x14ac:dyDescent="0.2">
      <c r="B78" s="2" t="s">
        <v>161</v>
      </c>
      <c r="F78" s="2" t="s">
        <v>125</v>
      </c>
      <c r="H78" s="146">
        <f>'Est. and realized costs 2024'!H65</f>
        <v>45930</v>
      </c>
    </row>
    <row r="80" spans="2:10" x14ac:dyDescent="0.2">
      <c r="B80" s="1" t="s">
        <v>289</v>
      </c>
    </row>
    <row r="81" spans="2:10" x14ac:dyDescent="0.2">
      <c r="B81" s="2" t="s">
        <v>158</v>
      </c>
      <c r="F81" s="2" t="s">
        <v>159</v>
      </c>
      <c r="H81" s="28">
        <v>485000</v>
      </c>
      <c r="J81" s="2" t="s">
        <v>294</v>
      </c>
    </row>
    <row r="82" spans="2:10" x14ac:dyDescent="0.2">
      <c r="B82" s="2" t="s">
        <v>122</v>
      </c>
      <c r="F82" s="2" t="s">
        <v>123</v>
      </c>
      <c r="H82" s="147">
        <f>'Est. and realized costs 2024'!H141</f>
        <v>9.102669404517453</v>
      </c>
    </row>
    <row r="83" spans="2:10" x14ac:dyDescent="0.2">
      <c r="B83" s="2" t="s">
        <v>161</v>
      </c>
      <c r="F83" s="2" t="s">
        <v>125</v>
      </c>
      <c r="H83" s="146">
        <f>'Est. and realized costs 2024'!H140</f>
        <v>45930</v>
      </c>
    </row>
    <row r="85" spans="2:10" x14ac:dyDescent="0.2">
      <c r="B85" s="4" t="s">
        <v>300</v>
      </c>
    </row>
    <row r="86" spans="2:10" x14ac:dyDescent="0.2">
      <c r="B86" s="4"/>
    </row>
    <row r="87" spans="2:10" x14ac:dyDescent="0.2">
      <c r="B87" s="148" t="s">
        <v>542</v>
      </c>
    </row>
    <row r="88" spans="2:10" x14ac:dyDescent="0.2">
      <c r="B88" s="4"/>
    </row>
    <row r="89" spans="2:10" x14ac:dyDescent="0.2">
      <c r="B89" s="1" t="s">
        <v>541</v>
      </c>
    </row>
    <row r="90" spans="2:10" x14ac:dyDescent="0.2">
      <c r="B90" s="2" t="s">
        <v>158</v>
      </c>
      <c r="C90" s="43"/>
      <c r="D90" s="43"/>
      <c r="E90" s="43"/>
      <c r="F90" s="2" t="s">
        <v>159</v>
      </c>
      <c r="H90" s="28">
        <v>7792643.8888888899</v>
      </c>
    </row>
    <row r="91" spans="2:10" x14ac:dyDescent="0.2">
      <c r="B91" s="2" t="s">
        <v>122</v>
      </c>
      <c r="C91" s="43"/>
      <c r="D91" s="43"/>
      <c r="E91" s="43"/>
      <c r="F91" s="2" t="s">
        <v>123</v>
      </c>
      <c r="H91" s="28">
        <v>15</v>
      </c>
    </row>
    <row r="92" spans="2:10" x14ac:dyDescent="0.2">
      <c r="B92" s="2" t="s">
        <v>161</v>
      </c>
      <c r="F92" s="2" t="s">
        <v>125</v>
      </c>
      <c r="H92" s="90">
        <v>46265</v>
      </c>
    </row>
    <row r="93" spans="2:10" x14ac:dyDescent="0.2">
      <c r="B93" s="4"/>
    </row>
    <row r="94" spans="2:10" x14ac:dyDescent="0.2">
      <c r="B94" s="148" t="s">
        <v>546</v>
      </c>
    </row>
    <row r="96" spans="2:10" x14ac:dyDescent="0.2">
      <c r="B96" s="2" t="s">
        <v>532</v>
      </c>
      <c r="F96" s="2" t="s">
        <v>356</v>
      </c>
      <c r="H96" s="28">
        <v>228300.18</v>
      </c>
      <c r="J96" s="2" t="s">
        <v>603</v>
      </c>
    </row>
    <row r="98" spans="2:12" x14ac:dyDescent="0.2">
      <c r="B98" s="2" t="s">
        <v>551</v>
      </c>
      <c r="F98" s="2" t="s">
        <v>265</v>
      </c>
      <c r="H98" s="28">
        <v>196000</v>
      </c>
      <c r="J98" s="2" t="s">
        <v>552</v>
      </c>
      <c r="L98" s="2" t="s">
        <v>553</v>
      </c>
    </row>
    <row r="99" spans="2:12" x14ac:dyDescent="0.2">
      <c r="B99" s="2" t="s">
        <v>239</v>
      </c>
      <c r="F99" s="2" t="s">
        <v>79</v>
      </c>
      <c r="H99" s="111">
        <f>Parameters!H18</f>
        <v>2.5000000000000001E-2</v>
      </c>
    </row>
    <row r="100" spans="2:12" x14ac:dyDescent="0.2">
      <c r="B100" s="2" t="s">
        <v>345</v>
      </c>
      <c r="F100" s="2" t="s">
        <v>79</v>
      </c>
      <c r="H100" s="111">
        <f>Parameters!H19</f>
        <v>3.3000000000000002E-2</v>
      </c>
    </row>
    <row r="101" spans="2:12" x14ac:dyDescent="0.2">
      <c r="B101" s="2" t="s">
        <v>554</v>
      </c>
      <c r="F101" s="2" t="s">
        <v>356</v>
      </c>
      <c r="H101" s="33">
        <f>H98*(1+H99)*(1+H100)</f>
        <v>207529.69999999995</v>
      </c>
    </row>
    <row r="103" spans="2:12" s="8" customFormat="1" x14ac:dyDescent="0.2">
      <c r="B103" s="8" t="s">
        <v>249</v>
      </c>
    </row>
    <row r="105" spans="2:12" x14ac:dyDescent="0.2">
      <c r="B105" s="1" t="s">
        <v>164</v>
      </c>
    </row>
    <row r="106" spans="2:12" x14ac:dyDescent="0.2">
      <c r="B106" s="2" t="s">
        <v>165</v>
      </c>
      <c r="F106" s="26" t="s">
        <v>79</v>
      </c>
      <c r="H106" s="92">
        <v>0.11</v>
      </c>
      <c r="J106" s="2" t="s">
        <v>250</v>
      </c>
      <c r="L106" s="2" t="s">
        <v>301</v>
      </c>
    </row>
    <row r="110" spans="2:12" x14ac:dyDescent="0.2">
      <c r="B110" s="4" t="s">
        <v>63</v>
      </c>
    </row>
  </sheetData>
  <phoneticPr fontId="34"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A3F60-36E3-4CBF-8718-491B3692D7E6}">
  <sheetPr>
    <tabColor theme="0" tint="-4.9989318521683403E-2"/>
  </sheetPr>
  <dimension ref="B2:B3"/>
  <sheetViews>
    <sheetView showGridLines="0" zoomScale="85" zoomScaleNormal="85" workbookViewId="0"/>
  </sheetViews>
  <sheetFormatPr defaultRowHeight="12.75" x14ac:dyDescent="0.2"/>
  <cols>
    <col min="1" max="16384" width="9.140625" style="17"/>
  </cols>
  <sheetData>
    <row r="2" spans="2:2" x14ac:dyDescent="0.2">
      <c r="B2" s="40" t="s">
        <v>64</v>
      </c>
    </row>
    <row r="3" spans="2:2" x14ac:dyDescent="0.2">
      <c r="B3" s="40" t="s">
        <v>65</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7B835-8647-4254-96FD-CA8E8AD1A58B}">
  <sheetPr>
    <tabColor rgb="FFFFFFCC"/>
  </sheetPr>
  <dimension ref="A2:M540"/>
  <sheetViews>
    <sheetView showGridLines="0" zoomScale="85" zoomScaleNormal="85" workbookViewId="0">
      <pane xSplit="6" ySplit="15" topLeftCell="G16" activePane="bottomRight" state="frozen"/>
      <selection activeCell="H18" sqref="H18"/>
      <selection pane="topRight" activeCell="H18" sqref="H18"/>
      <selection pane="bottomLeft" activeCell="H18" sqref="H18"/>
      <selection pane="bottomRight" activeCell="G16" sqref="G16"/>
    </sheetView>
  </sheetViews>
  <sheetFormatPr defaultRowHeight="12.75" x14ac:dyDescent="0.2"/>
  <cols>
    <col min="1" max="1" width="4.7109375" style="2" customWidth="1"/>
    <col min="2" max="2" width="63"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24" width="13.7109375" style="2" customWidth="1"/>
    <col min="25" max="16384" width="9.140625" style="2"/>
  </cols>
  <sheetData>
    <row r="2" spans="1:10" s="15" customFormat="1" ht="18" x14ac:dyDescent="0.2">
      <c r="B2" s="15" t="s">
        <v>251</v>
      </c>
    </row>
    <row r="4" spans="1:10" x14ac:dyDescent="0.2">
      <c r="B4" s="23" t="s">
        <v>166</v>
      </c>
      <c r="C4" s="1"/>
      <c r="D4" s="1"/>
    </row>
    <row r="5" spans="1:10" x14ac:dyDescent="0.2">
      <c r="B5" s="2" t="s">
        <v>252</v>
      </c>
      <c r="H5" s="16"/>
    </row>
    <row r="6" spans="1:10" x14ac:dyDescent="0.2">
      <c r="A6" s="9"/>
      <c r="B6" s="2" t="s">
        <v>302</v>
      </c>
      <c r="H6" s="16"/>
    </row>
    <row r="7" spans="1:10" x14ac:dyDescent="0.2">
      <c r="B7" s="16"/>
      <c r="H7" s="16"/>
    </row>
    <row r="8" spans="1:10" x14ac:dyDescent="0.2">
      <c r="B8" s="24" t="s">
        <v>34</v>
      </c>
      <c r="H8" s="16"/>
    </row>
    <row r="9" spans="1:10" x14ac:dyDescent="0.2">
      <c r="B9" s="4" t="s">
        <v>270</v>
      </c>
    </row>
    <row r="10" spans="1:10" x14ac:dyDescent="0.2">
      <c r="B10" s="4" t="s">
        <v>253</v>
      </c>
    </row>
    <row r="11" spans="1:10" x14ac:dyDescent="0.2">
      <c r="A11" s="9"/>
      <c r="B11" s="4" t="s">
        <v>292</v>
      </c>
    </row>
    <row r="14" spans="1:10" s="8" customFormat="1" x14ac:dyDescent="0.2">
      <c r="B14" s="8" t="s">
        <v>12</v>
      </c>
      <c r="F14" s="8" t="s">
        <v>35</v>
      </c>
      <c r="H14" s="8" t="s">
        <v>36</v>
      </c>
      <c r="J14" s="8" t="s">
        <v>38</v>
      </c>
    </row>
    <row r="17" spans="2:8" s="8" customFormat="1" x14ac:dyDescent="0.2">
      <c r="B17" s="8" t="s">
        <v>167</v>
      </c>
    </row>
    <row r="19" spans="2:8" x14ac:dyDescent="0.2">
      <c r="B19" s="39" t="s">
        <v>241</v>
      </c>
      <c r="F19" s="2" t="s">
        <v>79</v>
      </c>
      <c r="H19" s="93">
        <f>Parameters!H29</f>
        <v>8.3799999999999999E-2</v>
      </c>
    </row>
    <row r="20" spans="2:8" x14ac:dyDescent="0.2">
      <c r="B20" s="2" t="s">
        <v>240</v>
      </c>
      <c r="F20" s="2" t="s">
        <v>79</v>
      </c>
      <c r="H20" s="93">
        <f>Parameters!H31</f>
        <v>8.8900000000000007E-2</v>
      </c>
    </row>
    <row r="23" spans="2:8" x14ac:dyDescent="0.2">
      <c r="B23" s="1" t="s">
        <v>112</v>
      </c>
    </row>
    <row r="25" spans="2:8" x14ac:dyDescent="0.2">
      <c r="B25" s="2" t="s">
        <v>113</v>
      </c>
      <c r="F25" s="2" t="s">
        <v>82</v>
      </c>
      <c r="H25" s="32">
        <f>'Est. and realized costs 2024'!H52</f>
        <v>61734000</v>
      </c>
    </row>
    <row r="26" spans="2:8" x14ac:dyDescent="0.2">
      <c r="B26" s="2" t="s">
        <v>114</v>
      </c>
      <c r="F26" s="2" t="s">
        <v>82</v>
      </c>
      <c r="H26" s="32">
        <f>'Est. and realized costs 2024'!H53</f>
        <v>860000</v>
      </c>
    </row>
    <row r="27" spans="2:8" x14ac:dyDescent="0.2">
      <c r="B27" s="2" t="s">
        <v>115</v>
      </c>
      <c r="F27" s="2" t="s">
        <v>82</v>
      </c>
      <c r="H27" s="32">
        <f>'Est. and realized costs 2024'!H54</f>
        <v>18696000</v>
      </c>
    </row>
    <row r="28" spans="2:8" x14ac:dyDescent="0.2">
      <c r="B28" s="2" t="s">
        <v>116</v>
      </c>
      <c r="F28" s="2" t="s">
        <v>117</v>
      </c>
      <c r="H28" s="32">
        <f>'Est. and realized costs 2024'!H55</f>
        <v>15</v>
      </c>
    </row>
    <row r="31" spans="2:8" x14ac:dyDescent="0.2">
      <c r="B31" s="1" t="s">
        <v>118</v>
      </c>
    </row>
    <row r="33" spans="2:8" x14ac:dyDescent="0.2">
      <c r="B33" s="4" t="s">
        <v>119</v>
      </c>
    </row>
    <row r="34" spans="2:8" x14ac:dyDescent="0.2">
      <c r="B34" s="78" t="s">
        <v>168</v>
      </c>
    </row>
    <row r="35" spans="2:8" x14ac:dyDescent="0.2">
      <c r="B35" s="2" t="s">
        <v>121</v>
      </c>
      <c r="F35" s="2" t="s">
        <v>82</v>
      </c>
      <c r="H35" s="32">
        <f>'Est. and realized costs 2024'!H73</f>
        <v>773908</v>
      </c>
    </row>
    <row r="36" spans="2:8" x14ac:dyDescent="0.2">
      <c r="B36" s="2" t="s">
        <v>122</v>
      </c>
      <c r="F36" s="2" t="s">
        <v>123</v>
      </c>
      <c r="H36" s="32">
        <f>'Est. and realized costs 2024'!H74</f>
        <v>9.25</v>
      </c>
    </row>
    <row r="37" spans="2:8" x14ac:dyDescent="0.2">
      <c r="B37" s="2" t="s">
        <v>124</v>
      </c>
      <c r="F37" s="2" t="s">
        <v>125</v>
      </c>
      <c r="H37" s="94">
        <f>'Est. and realized costs 2024'!H75</f>
        <v>42491</v>
      </c>
    </row>
    <row r="39" spans="2:8" x14ac:dyDescent="0.2">
      <c r="B39" s="78" t="s">
        <v>126</v>
      </c>
    </row>
    <row r="40" spans="2:8" x14ac:dyDescent="0.2">
      <c r="B40" s="2" t="s">
        <v>121</v>
      </c>
      <c r="F40" s="2" t="s">
        <v>82</v>
      </c>
      <c r="H40" s="32">
        <f>'Est. and realized costs 2024'!H78</f>
        <v>59734</v>
      </c>
    </row>
    <row r="41" spans="2:8" x14ac:dyDescent="0.2">
      <c r="B41" s="2" t="s">
        <v>122</v>
      </c>
      <c r="F41" s="2" t="s">
        <v>123</v>
      </c>
      <c r="H41" s="32">
        <f>'Est. and realized costs 2024'!H79</f>
        <v>5</v>
      </c>
    </row>
    <row r="42" spans="2:8" x14ac:dyDescent="0.2">
      <c r="B42" s="2" t="s">
        <v>124</v>
      </c>
      <c r="F42" s="2" t="s">
        <v>125</v>
      </c>
      <c r="H42" s="94">
        <f>'Est. and realized costs 2024'!H80</f>
        <v>42538</v>
      </c>
    </row>
    <row r="44" spans="2:8" x14ac:dyDescent="0.2">
      <c r="B44" s="4" t="s">
        <v>169</v>
      </c>
    </row>
    <row r="47" spans="2:8" x14ac:dyDescent="0.2">
      <c r="B47" s="4" t="s">
        <v>127</v>
      </c>
    </row>
    <row r="48" spans="2:8" x14ac:dyDescent="0.2">
      <c r="B48" s="78" t="s">
        <v>126</v>
      </c>
    </row>
    <row r="49" spans="2:8" x14ac:dyDescent="0.2">
      <c r="B49" s="2" t="s">
        <v>121</v>
      </c>
      <c r="F49" s="2" t="s">
        <v>82</v>
      </c>
      <c r="H49" s="32">
        <f>'Est. and realized costs 2024'!H85</f>
        <v>6000</v>
      </c>
    </row>
    <row r="50" spans="2:8" x14ac:dyDescent="0.2">
      <c r="B50" s="2" t="s">
        <v>122</v>
      </c>
      <c r="F50" s="2" t="s">
        <v>123</v>
      </c>
      <c r="H50" s="32">
        <f>'Est. and realized costs 2024'!H86</f>
        <v>5</v>
      </c>
    </row>
    <row r="51" spans="2:8" x14ac:dyDescent="0.2">
      <c r="B51" s="2" t="s">
        <v>124</v>
      </c>
      <c r="F51" s="2" t="s">
        <v>125</v>
      </c>
      <c r="H51" s="94">
        <f>'Est. and realized costs 2024'!H87</f>
        <v>42751</v>
      </c>
    </row>
    <row r="53" spans="2:8" x14ac:dyDescent="0.2">
      <c r="B53" s="78" t="s">
        <v>126</v>
      </c>
    </row>
    <row r="54" spans="2:8" x14ac:dyDescent="0.2">
      <c r="B54" s="2" t="s">
        <v>121</v>
      </c>
      <c r="F54" s="2" t="s">
        <v>82</v>
      </c>
      <c r="H54" s="32">
        <f>'Est. and realized costs 2024'!H90</f>
        <v>4000</v>
      </c>
    </row>
    <row r="55" spans="2:8" x14ac:dyDescent="0.2">
      <c r="B55" s="2" t="s">
        <v>122</v>
      </c>
      <c r="F55" s="2" t="s">
        <v>123</v>
      </c>
      <c r="H55" s="32">
        <f>'Est. and realized costs 2024'!H91</f>
        <v>5</v>
      </c>
    </row>
    <row r="56" spans="2:8" x14ac:dyDescent="0.2">
      <c r="B56" s="2" t="s">
        <v>124</v>
      </c>
      <c r="F56" s="2" t="s">
        <v>125</v>
      </c>
      <c r="H56" s="94">
        <f>'Est. and realized costs 2024'!H92</f>
        <v>43050</v>
      </c>
    </row>
    <row r="59" spans="2:8" x14ac:dyDescent="0.2">
      <c r="B59" s="4" t="s">
        <v>128</v>
      </c>
    </row>
    <row r="60" spans="2:8" x14ac:dyDescent="0.2">
      <c r="B60" s="78" t="s">
        <v>129</v>
      </c>
    </row>
    <row r="61" spans="2:8" x14ac:dyDescent="0.2">
      <c r="B61" s="2" t="s">
        <v>121</v>
      </c>
      <c r="F61" s="2" t="s">
        <v>82</v>
      </c>
      <c r="H61" s="32">
        <f>'Est. and realized costs 2024'!H97</f>
        <v>7636</v>
      </c>
    </row>
    <row r="62" spans="2:8" x14ac:dyDescent="0.2">
      <c r="B62" s="2" t="s">
        <v>122</v>
      </c>
      <c r="F62" s="2" t="s">
        <v>123</v>
      </c>
      <c r="H62" s="32">
        <f>'Est. and realized costs 2024'!H98</f>
        <v>4</v>
      </c>
    </row>
    <row r="63" spans="2:8" x14ac:dyDescent="0.2">
      <c r="B63" s="2" t="s">
        <v>124</v>
      </c>
      <c r="F63" s="2" t="s">
        <v>125</v>
      </c>
      <c r="H63" s="94">
        <f>'Est. and realized costs 2024'!H99</f>
        <v>43451</v>
      </c>
    </row>
    <row r="66" spans="2:8" x14ac:dyDescent="0.2">
      <c r="B66" s="4" t="s">
        <v>130</v>
      </c>
    </row>
    <row r="67" spans="2:8" x14ac:dyDescent="0.2">
      <c r="B67" s="78" t="s">
        <v>131</v>
      </c>
    </row>
    <row r="68" spans="2:8" x14ac:dyDescent="0.2">
      <c r="B68" s="2" t="s">
        <v>121</v>
      </c>
      <c r="F68" s="2" t="s">
        <v>82</v>
      </c>
      <c r="H68" s="32">
        <f>'Est. and realized costs 2024'!H104</f>
        <v>12195</v>
      </c>
    </row>
    <row r="69" spans="2:8" x14ac:dyDescent="0.2">
      <c r="B69" s="2" t="s">
        <v>122</v>
      </c>
      <c r="F69" s="2" t="s">
        <v>123</v>
      </c>
      <c r="H69" s="32">
        <f>'Est. and realized costs 2024'!H105</f>
        <v>4</v>
      </c>
    </row>
    <row r="70" spans="2:8" x14ac:dyDescent="0.2">
      <c r="B70" s="2" t="s">
        <v>124</v>
      </c>
      <c r="F70" s="2" t="s">
        <v>125</v>
      </c>
      <c r="H70" s="94">
        <f>'Est. and realized costs 2024'!H106</f>
        <v>43647</v>
      </c>
    </row>
    <row r="73" spans="2:8" x14ac:dyDescent="0.2">
      <c r="B73" s="4" t="s">
        <v>132</v>
      </c>
    </row>
    <row r="74" spans="2:8" x14ac:dyDescent="0.2">
      <c r="B74" s="78" t="s">
        <v>131</v>
      </c>
    </row>
    <row r="75" spans="2:8" x14ac:dyDescent="0.2">
      <c r="B75" s="2" t="s">
        <v>121</v>
      </c>
      <c r="F75" s="2" t="s">
        <v>82</v>
      </c>
      <c r="H75" s="32">
        <f>'Est. and realized costs 2024'!H111</f>
        <v>4379</v>
      </c>
    </row>
    <row r="76" spans="2:8" x14ac:dyDescent="0.2">
      <c r="B76" s="2" t="s">
        <v>122</v>
      </c>
      <c r="F76" s="2" t="s">
        <v>123</v>
      </c>
      <c r="H76" s="32">
        <f>'Est. and realized costs 2024'!H112</f>
        <v>4</v>
      </c>
    </row>
    <row r="77" spans="2:8" x14ac:dyDescent="0.2">
      <c r="B77" s="2" t="s">
        <v>124</v>
      </c>
      <c r="F77" s="2" t="s">
        <v>125</v>
      </c>
      <c r="H77" s="94">
        <f>'Est. and realized costs 2024'!H113</f>
        <v>43921</v>
      </c>
    </row>
    <row r="80" spans="2:8" x14ac:dyDescent="0.2">
      <c r="B80" s="1" t="s">
        <v>135</v>
      </c>
    </row>
    <row r="82" spans="1:8" x14ac:dyDescent="0.2">
      <c r="B82" s="2" t="s">
        <v>136</v>
      </c>
      <c r="F82" s="2" t="s">
        <v>82</v>
      </c>
      <c r="H82" s="32">
        <f>'Est. and realized costs 2024'!H127</f>
        <v>7200000</v>
      </c>
    </row>
    <row r="83" spans="1:8" x14ac:dyDescent="0.2">
      <c r="B83" s="2" t="s">
        <v>122</v>
      </c>
      <c r="F83" s="2" t="s">
        <v>123</v>
      </c>
      <c r="H83" s="32">
        <f>'Est. and realized costs 2024'!H128</f>
        <v>15</v>
      </c>
    </row>
    <row r="84" spans="1:8" x14ac:dyDescent="0.2">
      <c r="B84" s="2" t="s">
        <v>124</v>
      </c>
      <c r="F84" s="2" t="s">
        <v>125</v>
      </c>
      <c r="H84" s="94">
        <f>'Est. and realized costs 2024'!H129</f>
        <v>43538</v>
      </c>
    </row>
    <row r="86" spans="1:8" x14ac:dyDescent="0.2">
      <c r="A86" s="9"/>
      <c r="B86" s="2" t="s">
        <v>137</v>
      </c>
      <c r="F86" s="2" t="s">
        <v>82</v>
      </c>
      <c r="H86" s="32">
        <f>'Est. and realized costs 2024'!H131</f>
        <v>14790000</v>
      </c>
    </row>
    <row r="87" spans="1:8" x14ac:dyDescent="0.2">
      <c r="B87" s="2" t="s">
        <v>122</v>
      </c>
      <c r="F87" s="2" t="s">
        <v>123</v>
      </c>
      <c r="H87" s="32">
        <f>'Est. and realized costs 2024'!H132</f>
        <v>15</v>
      </c>
    </row>
    <row r="88" spans="1:8" x14ac:dyDescent="0.2">
      <c r="B88" s="2" t="s">
        <v>124</v>
      </c>
      <c r="F88" s="2" t="s">
        <v>125</v>
      </c>
      <c r="H88" s="94">
        <f>'Est. and realized costs 2024'!H133</f>
        <v>43776</v>
      </c>
    </row>
    <row r="91" spans="1:8" x14ac:dyDescent="0.2">
      <c r="B91" s="1" t="s">
        <v>254</v>
      </c>
    </row>
    <row r="93" spans="1:8" x14ac:dyDescent="0.2">
      <c r="B93" s="2" t="s">
        <v>170</v>
      </c>
      <c r="F93" s="2" t="s">
        <v>82</v>
      </c>
      <c r="H93" s="32">
        <f>'Est. and realized costs 2024'!H146</f>
        <v>7989192.0999999996</v>
      </c>
    </row>
    <row r="94" spans="1:8" x14ac:dyDescent="0.2">
      <c r="B94" s="2" t="s">
        <v>122</v>
      </c>
      <c r="F94" s="2" t="s">
        <v>123</v>
      </c>
      <c r="H94" s="32">
        <f>'Est. and realized costs 2024'!H147</f>
        <v>15</v>
      </c>
    </row>
    <row r="95" spans="1:8" x14ac:dyDescent="0.2">
      <c r="B95" s="2" t="s">
        <v>124</v>
      </c>
      <c r="F95" s="2" t="s">
        <v>125</v>
      </c>
      <c r="H95" s="94">
        <f>'Est. and realized costs 2024'!H148</f>
        <v>45017</v>
      </c>
    </row>
    <row r="96" spans="1:8" x14ac:dyDescent="0.2">
      <c r="B96" s="2" t="s">
        <v>171</v>
      </c>
      <c r="F96" s="2" t="s">
        <v>79</v>
      </c>
      <c r="H96" s="111">
        <f>'Est. and realized costs 2024'!H149</f>
        <v>0.5</v>
      </c>
    </row>
    <row r="98" spans="1:8" x14ac:dyDescent="0.2">
      <c r="B98" s="2" t="s">
        <v>172</v>
      </c>
      <c r="F98" s="2" t="s">
        <v>82</v>
      </c>
      <c r="H98" s="32">
        <f>'Est. and realized costs 2024'!H151</f>
        <v>10545179.35</v>
      </c>
    </row>
    <row r="99" spans="1:8" x14ac:dyDescent="0.2">
      <c r="B99" s="2" t="s">
        <v>122</v>
      </c>
      <c r="F99" s="2" t="s">
        <v>123</v>
      </c>
      <c r="H99" s="32">
        <f>'Est. and realized costs 2024'!H152</f>
        <v>25</v>
      </c>
    </row>
    <row r="100" spans="1:8" x14ac:dyDescent="0.2">
      <c r="B100" s="2" t="s">
        <v>124</v>
      </c>
      <c r="F100" s="2" t="s">
        <v>125</v>
      </c>
      <c r="H100" s="94">
        <f>'Est. and realized costs 2024'!H153</f>
        <v>45139</v>
      </c>
    </row>
    <row r="101" spans="1:8" x14ac:dyDescent="0.2">
      <c r="B101" s="2" t="s">
        <v>171</v>
      </c>
      <c r="F101" s="2" t="s">
        <v>79</v>
      </c>
      <c r="H101" s="111">
        <f>'Est. and realized costs 2024'!H154</f>
        <v>0.5</v>
      </c>
    </row>
    <row r="104" spans="1:8" x14ac:dyDescent="0.2">
      <c r="B104" s="1" t="s">
        <v>256</v>
      </c>
    </row>
    <row r="106" spans="1:8" x14ac:dyDescent="0.2">
      <c r="B106" s="78" t="s">
        <v>157</v>
      </c>
    </row>
    <row r="107" spans="1:8" x14ac:dyDescent="0.2">
      <c r="B107" s="2" t="s">
        <v>158</v>
      </c>
      <c r="F107" s="2" t="s">
        <v>82</v>
      </c>
      <c r="H107" s="32">
        <f>'Est. production and costs 2026'!H29</f>
        <v>999050</v>
      </c>
    </row>
    <row r="108" spans="1:8" x14ac:dyDescent="0.2">
      <c r="B108" s="2" t="s">
        <v>122</v>
      </c>
      <c r="F108" s="2" t="s">
        <v>123</v>
      </c>
      <c r="H108" s="95">
        <f>'Est. production and costs 2026'!H30</f>
        <v>13.75</v>
      </c>
    </row>
    <row r="109" spans="1:8" x14ac:dyDescent="0.2">
      <c r="B109" s="2" t="s">
        <v>161</v>
      </c>
      <c r="F109" s="2" t="s">
        <v>125</v>
      </c>
      <c r="H109" s="94">
        <f>'Est. production and costs 2026'!H31</f>
        <v>45474</v>
      </c>
    </row>
    <row r="111" spans="1:8" x14ac:dyDescent="0.2">
      <c r="A111" s="155"/>
      <c r="B111" s="156" t="s">
        <v>162</v>
      </c>
    </row>
    <row r="112" spans="1:8" x14ac:dyDescent="0.2">
      <c r="A112" s="155"/>
      <c r="B112" s="155" t="s">
        <v>158</v>
      </c>
      <c r="F112" s="2" t="s">
        <v>82</v>
      </c>
      <c r="H112" s="32">
        <f>'Est. production and costs 2026'!H39</f>
        <v>3473730.0000000005</v>
      </c>
    </row>
    <row r="113" spans="1:8" x14ac:dyDescent="0.2">
      <c r="A113" s="155"/>
      <c r="B113" s="155" t="s">
        <v>122</v>
      </c>
      <c r="F113" s="2" t="s">
        <v>123</v>
      </c>
      <c r="H113" s="32">
        <f>'Est. production and costs 2026'!H40</f>
        <v>5</v>
      </c>
    </row>
    <row r="114" spans="1:8" x14ac:dyDescent="0.2">
      <c r="A114" s="155"/>
      <c r="B114" s="155" t="s">
        <v>161</v>
      </c>
      <c r="F114" s="2" t="s">
        <v>125</v>
      </c>
      <c r="H114" s="94">
        <f>'Est. production and costs 2026'!H41</f>
        <v>46096</v>
      </c>
    </row>
    <row r="115" spans="1:8" x14ac:dyDescent="0.2">
      <c r="A115" s="155"/>
      <c r="B115" s="155"/>
      <c r="H115" s="42"/>
    </row>
    <row r="116" spans="1:8" x14ac:dyDescent="0.2">
      <c r="A116" s="155"/>
      <c r="B116" s="156" t="s">
        <v>255</v>
      </c>
      <c r="H116" s="42"/>
    </row>
    <row r="117" spans="1:8" x14ac:dyDescent="0.2">
      <c r="B117" s="2" t="s">
        <v>158</v>
      </c>
      <c r="F117" s="2" t="s">
        <v>82</v>
      </c>
      <c r="H117" s="32">
        <f>'Est. and realized costs 2024'!H159</f>
        <v>248127.58</v>
      </c>
    </row>
    <row r="118" spans="1:8" x14ac:dyDescent="0.2">
      <c r="B118" s="2" t="s">
        <v>122</v>
      </c>
      <c r="F118" s="2" t="s">
        <v>123</v>
      </c>
      <c r="H118" s="32">
        <f>'Est. and realized costs 2024'!H160</f>
        <v>5</v>
      </c>
    </row>
    <row r="119" spans="1:8" x14ac:dyDescent="0.2">
      <c r="B119" s="2" t="s">
        <v>161</v>
      </c>
      <c r="F119" s="2" t="s">
        <v>125</v>
      </c>
      <c r="H119" s="94">
        <f>'Est. and realized costs 2024'!H161</f>
        <v>45139</v>
      </c>
    </row>
    <row r="120" spans="1:8" x14ac:dyDescent="0.2">
      <c r="H120" s="96"/>
    </row>
    <row r="121" spans="1:8" x14ac:dyDescent="0.2">
      <c r="B121" s="78" t="s">
        <v>163</v>
      </c>
      <c r="H121" s="42"/>
    </row>
    <row r="122" spans="1:8" x14ac:dyDescent="0.2">
      <c r="B122" s="2" t="s">
        <v>158</v>
      </c>
      <c r="F122" s="2" t="s">
        <v>82</v>
      </c>
      <c r="H122" s="32">
        <f>'Est. production and costs 2026'!H44</f>
        <v>175000</v>
      </c>
    </row>
    <row r="123" spans="1:8" x14ac:dyDescent="0.2">
      <c r="B123" s="2" t="s">
        <v>122</v>
      </c>
      <c r="F123" s="2" t="s">
        <v>123</v>
      </c>
      <c r="H123" s="32">
        <f>'Est. production and costs 2026'!H45</f>
        <v>25</v>
      </c>
    </row>
    <row r="124" spans="1:8" x14ac:dyDescent="0.2">
      <c r="B124" s="2" t="s">
        <v>161</v>
      </c>
      <c r="F124" s="2" t="s">
        <v>125</v>
      </c>
      <c r="H124" s="94">
        <f>'Est. production and costs 2026'!H46</f>
        <v>45792</v>
      </c>
    </row>
    <row r="127" spans="1:8" x14ac:dyDescent="0.2">
      <c r="B127" s="1" t="s">
        <v>291</v>
      </c>
    </row>
    <row r="129" spans="2:8" x14ac:dyDescent="0.2">
      <c r="B129" s="78" t="s">
        <v>281</v>
      </c>
    </row>
    <row r="130" spans="2:8" x14ac:dyDescent="0.2">
      <c r="B130" s="2" t="s">
        <v>158</v>
      </c>
      <c r="F130" s="2" t="s">
        <v>159</v>
      </c>
      <c r="H130" s="32">
        <f>'Est. production and costs 2026'!H51</f>
        <v>755000</v>
      </c>
    </row>
    <row r="131" spans="2:8" x14ac:dyDescent="0.2">
      <c r="B131" s="2" t="s">
        <v>122</v>
      </c>
      <c r="F131" s="2" t="s">
        <v>123</v>
      </c>
      <c r="H131" s="147">
        <f>'Est. production and costs 2026'!H52</f>
        <v>7.0370542639131006</v>
      </c>
    </row>
    <row r="132" spans="2:8" x14ac:dyDescent="0.2">
      <c r="B132" s="2" t="s">
        <v>161</v>
      </c>
      <c r="F132" s="2" t="s">
        <v>125</v>
      </c>
      <c r="H132" s="94">
        <f>'Est. production and costs 2026'!H53</f>
        <v>45747</v>
      </c>
    </row>
    <row r="133" spans="2:8" x14ac:dyDescent="0.2">
      <c r="H133" s="42"/>
    </row>
    <row r="134" spans="2:8" x14ac:dyDescent="0.2">
      <c r="B134" s="78" t="s">
        <v>282</v>
      </c>
      <c r="H134" s="42"/>
    </row>
    <row r="135" spans="2:8" x14ac:dyDescent="0.2">
      <c r="B135" s="2" t="s">
        <v>158</v>
      </c>
      <c r="F135" s="2" t="s">
        <v>159</v>
      </c>
      <c r="H135" s="32">
        <f>'Est. production and costs 2026'!H56</f>
        <v>400000</v>
      </c>
    </row>
    <row r="136" spans="2:8" x14ac:dyDescent="0.2">
      <c r="B136" s="2" t="s">
        <v>122</v>
      </c>
      <c r="F136" s="2" t="s">
        <v>123</v>
      </c>
      <c r="H136" s="147">
        <f>'Est. production and costs 2026'!H57</f>
        <v>7.0370542639131006</v>
      </c>
    </row>
    <row r="137" spans="2:8" x14ac:dyDescent="0.2">
      <c r="B137" s="2" t="s">
        <v>161</v>
      </c>
      <c r="F137" s="2" t="s">
        <v>125</v>
      </c>
      <c r="H137" s="94">
        <f>'Est. production and costs 2026'!H58</f>
        <v>45747</v>
      </c>
    </row>
    <row r="138" spans="2:8" x14ac:dyDescent="0.2">
      <c r="H138" s="42"/>
    </row>
    <row r="139" spans="2:8" x14ac:dyDescent="0.2">
      <c r="B139" s="78" t="s">
        <v>283</v>
      </c>
      <c r="H139" s="42"/>
    </row>
    <row r="140" spans="2:8" x14ac:dyDescent="0.2">
      <c r="B140" s="2" t="s">
        <v>158</v>
      </c>
      <c r="F140" s="2" t="s">
        <v>159</v>
      </c>
      <c r="H140" s="32">
        <f>'Est. production and costs 2026'!H61</f>
        <v>485000</v>
      </c>
    </row>
    <row r="141" spans="2:8" x14ac:dyDescent="0.2">
      <c r="B141" s="2" t="s">
        <v>122</v>
      </c>
      <c r="F141" s="2" t="s">
        <v>123</v>
      </c>
      <c r="H141" s="147">
        <f>'Est. production and costs 2026'!H62</f>
        <v>9.6036960985626276</v>
      </c>
    </row>
    <row r="142" spans="2:8" x14ac:dyDescent="0.2">
      <c r="B142" s="2" t="s">
        <v>161</v>
      </c>
      <c r="F142" s="2" t="s">
        <v>125</v>
      </c>
      <c r="H142" s="94">
        <f>'Est. production and costs 2026'!H63</f>
        <v>45747</v>
      </c>
    </row>
    <row r="143" spans="2:8" x14ac:dyDescent="0.2">
      <c r="H143" s="42"/>
    </row>
    <row r="144" spans="2:8" x14ac:dyDescent="0.2">
      <c r="B144" s="78" t="s">
        <v>286</v>
      </c>
      <c r="H144" s="42"/>
    </row>
    <row r="145" spans="2:8" x14ac:dyDescent="0.2">
      <c r="B145" s="2" t="s">
        <v>158</v>
      </c>
      <c r="F145" s="2" t="s">
        <v>159</v>
      </c>
      <c r="H145" s="32">
        <f>'Est. production and costs 2026'!H66</f>
        <v>2225000</v>
      </c>
    </row>
    <row r="146" spans="2:8" x14ac:dyDescent="0.2">
      <c r="B146" s="2" t="s">
        <v>122</v>
      </c>
      <c r="F146" s="2" t="s">
        <v>123</v>
      </c>
      <c r="H146" s="147">
        <f>'Est. production and costs 2026'!H67</f>
        <v>6.7879098422840798</v>
      </c>
    </row>
    <row r="147" spans="2:8" x14ac:dyDescent="0.2">
      <c r="B147" s="2" t="s">
        <v>161</v>
      </c>
      <c r="F147" s="2" t="s">
        <v>125</v>
      </c>
      <c r="H147" s="94">
        <f>'Est. production and costs 2026'!H68</f>
        <v>45838</v>
      </c>
    </row>
    <row r="148" spans="2:8" x14ac:dyDescent="0.2">
      <c r="H148" s="42"/>
    </row>
    <row r="149" spans="2:8" x14ac:dyDescent="0.2">
      <c r="B149" s="78" t="s">
        <v>287</v>
      </c>
      <c r="H149" s="42"/>
    </row>
    <row r="150" spans="2:8" x14ac:dyDescent="0.2">
      <c r="B150" s="2" t="s">
        <v>158</v>
      </c>
      <c r="F150" s="2" t="s">
        <v>159</v>
      </c>
      <c r="H150" s="32">
        <f>'Est. production and costs 2026'!H71</f>
        <v>100000</v>
      </c>
    </row>
    <row r="151" spans="2:8" x14ac:dyDescent="0.2">
      <c r="B151" s="2" t="s">
        <v>122</v>
      </c>
      <c r="F151" s="2" t="s">
        <v>123</v>
      </c>
      <c r="H151" s="147">
        <f>'Est. production and costs 2026'!H72</f>
        <v>9.3545516769336068</v>
      </c>
    </row>
    <row r="152" spans="2:8" x14ac:dyDescent="0.2">
      <c r="B152" s="2" t="s">
        <v>161</v>
      </c>
      <c r="F152" s="2" t="s">
        <v>125</v>
      </c>
      <c r="H152" s="94">
        <f>'Est. production and costs 2026'!H73</f>
        <v>45838</v>
      </c>
    </row>
    <row r="153" spans="2:8" x14ac:dyDescent="0.2">
      <c r="H153" s="42"/>
    </row>
    <row r="154" spans="2:8" x14ac:dyDescent="0.2">
      <c r="B154" s="78" t="s">
        <v>288</v>
      </c>
      <c r="H154" s="42"/>
    </row>
    <row r="155" spans="2:8" x14ac:dyDescent="0.2">
      <c r="B155" s="2" t="s">
        <v>158</v>
      </c>
      <c r="F155" s="2" t="s">
        <v>159</v>
      </c>
      <c r="H155" s="32">
        <f>'Est. production and costs 2026'!H76</f>
        <v>35000</v>
      </c>
    </row>
    <row r="156" spans="2:8" x14ac:dyDescent="0.2">
      <c r="B156" s="2" t="s">
        <v>122</v>
      </c>
      <c r="F156" s="2" t="s">
        <v>123</v>
      </c>
      <c r="H156" s="147">
        <f>'Est. production and costs 2026'!H77</f>
        <v>6.536027569867926</v>
      </c>
    </row>
    <row r="157" spans="2:8" x14ac:dyDescent="0.2">
      <c r="B157" s="2" t="s">
        <v>161</v>
      </c>
      <c r="F157" s="2" t="s">
        <v>125</v>
      </c>
      <c r="H157" s="94">
        <f>'Est. production and costs 2026'!H78</f>
        <v>45930</v>
      </c>
    </row>
    <row r="158" spans="2:8" x14ac:dyDescent="0.2">
      <c r="H158" s="42"/>
    </row>
    <row r="159" spans="2:8" x14ac:dyDescent="0.2">
      <c r="B159" s="78" t="s">
        <v>289</v>
      </c>
      <c r="H159" s="42"/>
    </row>
    <row r="160" spans="2:8" x14ac:dyDescent="0.2">
      <c r="B160" s="2" t="s">
        <v>158</v>
      </c>
      <c r="F160" s="2" t="s">
        <v>159</v>
      </c>
      <c r="H160" s="32">
        <f>'Est. production and costs 2026'!H81</f>
        <v>485000</v>
      </c>
    </row>
    <row r="161" spans="2:8" x14ac:dyDescent="0.2">
      <c r="B161" s="2" t="s">
        <v>122</v>
      </c>
      <c r="F161" s="2" t="s">
        <v>123</v>
      </c>
      <c r="H161" s="147">
        <f>'Est. production and costs 2026'!H82</f>
        <v>9.102669404517453</v>
      </c>
    </row>
    <row r="162" spans="2:8" x14ac:dyDescent="0.2">
      <c r="B162" s="2" t="s">
        <v>161</v>
      </c>
      <c r="F162" s="2" t="s">
        <v>125</v>
      </c>
      <c r="H162" s="94">
        <f>'Est. production and costs 2026'!H83</f>
        <v>45930</v>
      </c>
    </row>
    <row r="164" spans="2:8" x14ac:dyDescent="0.2">
      <c r="B164" s="1" t="s">
        <v>530</v>
      </c>
    </row>
    <row r="166" spans="2:8" x14ac:dyDescent="0.2">
      <c r="B166" s="78" t="s">
        <v>482</v>
      </c>
    </row>
    <row r="167" spans="2:8" x14ac:dyDescent="0.2">
      <c r="B167" s="2" t="s">
        <v>158</v>
      </c>
      <c r="F167" s="2" t="s">
        <v>82</v>
      </c>
      <c r="H167" s="32">
        <f>'Est. and realized costs 2024'!H165</f>
        <v>1198657.3799999999</v>
      </c>
    </row>
    <row r="168" spans="2:8" x14ac:dyDescent="0.2">
      <c r="B168" s="2" t="s">
        <v>122</v>
      </c>
      <c r="F168" s="2" t="s">
        <v>123</v>
      </c>
      <c r="H168" s="32">
        <f>'Est. and realized costs 2024'!H166</f>
        <v>5</v>
      </c>
    </row>
    <row r="169" spans="2:8" x14ac:dyDescent="0.2">
      <c r="B169" s="2" t="s">
        <v>483</v>
      </c>
      <c r="F169" s="2" t="s">
        <v>125</v>
      </c>
      <c r="H169" s="94">
        <f>'Est. and realized costs 2024'!H167</f>
        <v>45531</v>
      </c>
    </row>
    <row r="171" spans="2:8" x14ac:dyDescent="0.2">
      <c r="B171" s="78" t="s">
        <v>484</v>
      </c>
    </row>
    <row r="172" spans="2:8" x14ac:dyDescent="0.2">
      <c r="B172" s="2" t="s">
        <v>158</v>
      </c>
      <c r="F172" s="2" t="s">
        <v>82</v>
      </c>
      <c r="H172" s="32">
        <f>'Est. and realized costs 2024'!H169</f>
        <v>1313031.72</v>
      </c>
    </row>
    <row r="173" spans="2:8" x14ac:dyDescent="0.2">
      <c r="B173" s="2" t="s">
        <v>122</v>
      </c>
      <c r="F173" s="2" t="s">
        <v>123</v>
      </c>
      <c r="H173" s="32">
        <f>'Est. and realized costs 2024'!H170</f>
        <v>5</v>
      </c>
    </row>
    <row r="174" spans="2:8" x14ac:dyDescent="0.2">
      <c r="B174" s="2" t="s">
        <v>483</v>
      </c>
      <c r="F174" s="2" t="s">
        <v>125</v>
      </c>
      <c r="H174" s="94">
        <f>'Est. and realized costs 2024'!H171</f>
        <v>45531</v>
      </c>
    </row>
    <row r="176" spans="2:8" x14ac:dyDescent="0.2">
      <c r="B176" s="78" t="s">
        <v>484</v>
      </c>
    </row>
    <row r="177" spans="2:8" x14ac:dyDescent="0.2">
      <c r="B177" s="2" t="s">
        <v>158</v>
      </c>
      <c r="F177" s="2" t="s">
        <v>82</v>
      </c>
      <c r="H177" s="32">
        <f>'Est. and realized costs 2024'!H173</f>
        <v>710580.9</v>
      </c>
    </row>
    <row r="178" spans="2:8" x14ac:dyDescent="0.2">
      <c r="B178" s="2" t="s">
        <v>122</v>
      </c>
      <c r="F178" s="2" t="s">
        <v>123</v>
      </c>
      <c r="H178" s="32">
        <f>'Est. and realized costs 2024'!H174</f>
        <v>5</v>
      </c>
    </row>
    <row r="179" spans="2:8" x14ac:dyDescent="0.2">
      <c r="B179" s="2" t="s">
        <v>483</v>
      </c>
      <c r="F179" s="2" t="s">
        <v>125</v>
      </c>
      <c r="H179" s="94">
        <f>'Est. and realized costs 2024'!H175</f>
        <v>45646</v>
      </c>
    </row>
    <row r="180" spans="2:8" x14ac:dyDescent="0.2">
      <c r="B180" s="4"/>
    </row>
    <row r="181" spans="2:8" x14ac:dyDescent="0.2">
      <c r="B181" s="78" t="s">
        <v>485</v>
      </c>
    </row>
    <row r="182" spans="2:8" x14ac:dyDescent="0.2">
      <c r="B182" s="2" t="s">
        <v>158</v>
      </c>
      <c r="F182" s="2" t="s">
        <v>82</v>
      </c>
      <c r="H182" s="32">
        <f>'Est. and realized costs 2024'!H177</f>
        <v>3584325.24</v>
      </c>
    </row>
    <row r="183" spans="2:8" x14ac:dyDescent="0.2">
      <c r="B183" s="2" t="s">
        <v>122</v>
      </c>
      <c r="F183" s="2" t="s">
        <v>123</v>
      </c>
      <c r="H183" s="32">
        <f>'Est. and realized costs 2024'!H178</f>
        <v>10</v>
      </c>
    </row>
    <row r="184" spans="2:8" x14ac:dyDescent="0.2">
      <c r="B184" s="2" t="s">
        <v>483</v>
      </c>
      <c r="F184" s="2" t="s">
        <v>125</v>
      </c>
      <c r="H184" s="94">
        <f>'Est. and realized costs 2024'!H179</f>
        <v>45458</v>
      </c>
    </row>
    <row r="186" spans="2:8" x14ac:dyDescent="0.2">
      <c r="B186" s="78" t="s">
        <v>486</v>
      </c>
    </row>
    <row r="187" spans="2:8" x14ac:dyDescent="0.2">
      <c r="B187" s="2" t="s">
        <v>158</v>
      </c>
      <c r="F187" s="2" t="s">
        <v>82</v>
      </c>
      <c r="H187" s="32">
        <f>'Est. and realized costs 2024'!H181</f>
        <v>94651.15</v>
      </c>
    </row>
    <row r="188" spans="2:8" x14ac:dyDescent="0.2">
      <c r="B188" s="2" t="s">
        <v>122</v>
      </c>
      <c r="F188" s="2" t="s">
        <v>123</v>
      </c>
      <c r="H188" s="32">
        <f>'Est. and realized costs 2024'!H182</f>
        <v>25</v>
      </c>
    </row>
    <row r="189" spans="2:8" x14ac:dyDescent="0.2">
      <c r="B189" s="2" t="s">
        <v>483</v>
      </c>
      <c r="F189" s="2" t="s">
        <v>125</v>
      </c>
      <c r="H189" s="94">
        <f>'Est. and realized costs 2024'!H183</f>
        <v>45627</v>
      </c>
    </row>
    <row r="190" spans="2:8" x14ac:dyDescent="0.2">
      <c r="B190" s="2" t="s">
        <v>487</v>
      </c>
      <c r="F190" s="2" t="s">
        <v>79</v>
      </c>
      <c r="H190" s="111">
        <f>'Est. and realized costs 2024'!H184</f>
        <v>0.5</v>
      </c>
    </row>
    <row r="192" spans="2:8" x14ac:dyDescent="0.2">
      <c r="B192" s="1" t="s">
        <v>548</v>
      </c>
    </row>
    <row r="194" spans="2:8" x14ac:dyDescent="0.2">
      <c r="B194" s="78" t="s">
        <v>547</v>
      </c>
    </row>
    <row r="195" spans="2:8" x14ac:dyDescent="0.2">
      <c r="B195" s="2" t="s">
        <v>158</v>
      </c>
      <c r="C195" s="43"/>
      <c r="D195" s="43"/>
      <c r="E195" s="43"/>
      <c r="F195" s="2" t="s">
        <v>159</v>
      </c>
      <c r="H195" s="32">
        <f>'Est. production and costs 2026'!H90</f>
        <v>7792643.8888888899</v>
      </c>
    </row>
    <row r="196" spans="2:8" x14ac:dyDescent="0.2">
      <c r="B196" s="2" t="s">
        <v>122</v>
      </c>
      <c r="C196" s="43"/>
      <c r="D196" s="43"/>
      <c r="E196" s="43"/>
      <c r="F196" s="2" t="s">
        <v>123</v>
      </c>
      <c r="H196" s="32">
        <f>'Est. production and costs 2026'!H91</f>
        <v>15</v>
      </c>
    </row>
    <row r="197" spans="2:8" x14ac:dyDescent="0.2">
      <c r="B197" s="2" t="s">
        <v>161</v>
      </c>
      <c r="F197" s="2" t="s">
        <v>125</v>
      </c>
      <c r="H197" s="94">
        <f>'Est. production and costs 2026'!H92</f>
        <v>46265</v>
      </c>
    </row>
    <row r="200" spans="2:8" s="8" customFormat="1" x14ac:dyDescent="0.2">
      <c r="B200" s="8" t="s">
        <v>173</v>
      </c>
    </row>
    <row r="202" spans="2:8" x14ac:dyDescent="0.2">
      <c r="B202" s="1" t="s">
        <v>112</v>
      </c>
    </row>
    <row r="204" spans="2:8" x14ac:dyDescent="0.2">
      <c r="B204" s="2" t="s">
        <v>174</v>
      </c>
      <c r="F204" s="2" t="s">
        <v>82</v>
      </c>
      <c r="H204" s="33">
        <f>H25-H26</f>
        <v>60874000</v>
      </c>
    </row>
    <row r="205" spans="2:8" x14ac:dyDescent="0.2">
      <c r="B205" s="2" t="s">
        <v>175</v>
      </c>
      <c r="F205" s="2" t="s">
        <v>82</v>
      </c>
      <c r="H205" s="33">
        <f>H204-H27</f>
        <v>42178000</v>
      </c>
    </row>
    <row r="206" spans="2:8" x14ac:dyDescent="0.2">
      <c r="B206" s="2" t="s">
        <v>176</v>
      </c>
      <c r="F206" s="2" t="s">
        <v>82</v>
      </c>
      <c r="H206" s="33">
        <f>H205/H28</f>
        <v>2811866.6666666665</v>
      </c>
    </row>
    <row r="208" spans="2:8" x14ac:dyDescent="0.2">
      <c r="B208" s="2" t="s">
        <v>177</v>
      </c>
      <c r="F208" s="2" t="s">
        <v>82</v>
      </c>
      <c r="H208" s="86">
        <f>H204-(DATE(2016,1,1)-DATE(2010,8,20))/365.25*H206</f>
        <v>45784996.121378049</v>
      </c>
    </row>
    <row r="209" spans="2:13" x14ac:dyDescent="0.2">
      <c r="B209" s="2" t="s">
        <v>488</v>
      </c>
      <c r="F209" s="2" t="s">
        <v>82</v>
      </c>
      <c r="H209" s="86">
        <f>H208-(2023-2015)*H206</f>
        <v>23290062.788044717</v>
      </c>
      <c r="J209" s="42"/>
    </row>
    <row r="210" spans="2:13" x14ac:dyDescent="0.2">
      <c r="B210" s="2" t="s">
        <v>489</v>
      </c>
      <c r="F210" s="2" t="s">
        <v>82</v>
      </c>
      <c r="H210" s="86">
        <f>H208-(2024-2015)*H206</f>
        <v>20478196.121378049</v>
      </c>
    </row>
    <row r="211" spans="2:13" x14ac:dyDescent="0.2">
      <c r="B211" s="2" t="s">
        <v>490</v>
      </c>
      <c r="F211" s="2" t="s">
        <v>82</v>
      </c>
      <c r="H211" s="86">
        <f>AVERAGE(H209,H210)</f>
        <v>21884129.454711385</v>
      </c>
      <c r="L211" s="42"/>
    </row>
    <row r="212" spans="2:13" x14ac:dyDescent="0.2">
      <c r="B212" s="2" t="s">
        <v>491</v>
      </c>
      <c r="F212" s="2" t="s">
        <v>82</v>
      </c>
      <c r="H212" s="86">
        <f>H208-(2025-2015)*H206</f>
        <v>17666329.454711385</v>
      </c>
      <c r="K212" s="42"/>
      <c r="L212" s="42"/>
      <c r="M212" s="42"/>
    </row>
    <row r="213" spans="2:13" x14ac:dyDescent="0.2">
      <c r="B213" s="2" t="s">
        <v>492</v>
      </c>
      <c r="F213" s="2" t="s">
        <v>82</v>
      </c>
      <c r="H213" s="86">
        <f>H208-(2026-2015)*H206</f>
        <v>14854462.788044717</v>
      </c>
      <c r="K213" s="144"/>
      <c r="L213" s="42"/>
      <c r="M213" s="42"/>
    </row>
    <row r="214" spans="2:13" x14ac:dyDescent="0.2">
      <c r="B214" s="2" t="s">
        <v>493</v>
      </c>
      <c r="F214" s="2" t="s">
        <v>82</v>
      </c>
      <c r="H214" s="86">
        <f>AVERAGE(H212,H213)</f>
        <v>16260396.121378051</v>
      </c>
      <c r="K214" s="42"/>
      <c r="L214" s="42"/>
      <c r="M214" s="42"/>
    </row>
    <row r="217" spans="2:13" x14ac:dyDescent="0.2">
      <c r="B217" s="1" t="s">
        <v>178</v>
      </c>
    </row>
    <row r="219" spans="2:13" x14ac:dyDescent="0.2">
      <c r="B219" s="4" t="s">
        <v>119</v>
      </c>
    </row>
    <row r="220" spans="2:13" x14ac:dyDescent="0.2">
      <c r="B220" s="78" t="s">
        <v>120</v>
      </c>
    </row>
    <row r="221" spans="2:13" x14ac:dyDescent="0.2">
      <c r="B221" s="2" t="s">
        <v>179</v>
      </c>
      <c r="F221" s="2" t="s">
        <v>82</v>
      </c>
      <c r="H221" s="86">
        <f>H35/H36</f>
        <v>83665.729729729734</v>
      </c>
    </row>
    <row r="222" spans="2:13" x14ac:dyDescent="0.2">
      <c r="B222" s="2" t="s">
        <v>494</v>
      </c>
      <c r="F222" s="2" t="s">
        <v>82</v>
      </c>
      <c r="H222" s="86">
        <f>H35-(DATE(2025,1,1)-H37)/365.25*H221</f>
        <v>48461.412583014229</v>
      </c>
      <c r="J222" s="42"/>
    </row>
    <row r="224" spans="2:13" x14ac:dyDescent="0.2">
      <c r="B224" s="78" t="s">
        <v>126</v>
      </c>
    </row>
    <row r="225" spans="2:8" x14ac:dyDescent="0.2">
      <c r="B225" s="2" t="s">
        <v>180</v>
      </c>
      <c r="H225" s="97"/>
    </row>
    <row r="228" spans="2:8" x14ac:dyDescent="0.2">
      <c r="B228" s="4" t="s">
        <v>127</v>
      </c>
    </row>
    <row r="229" spans="2:8" x14ac:dyDescent="0.2">
      <c r="B229" s="78" t="s">
        <v>126</v>
      </c>
    </row>
    <row r="230" spans="2:8" x14ac:dyDescent="0.2">
      <c r="B230" s="2" t="s">
        <v>257</v>
      </c>
    </row>
    <row r="232" spans="2:8" x14ac:dyDescent="0.2">
      <c r="B232" s="78" t="s">
        <v>126</v>
      </c>
    </row>
    <row r="233" spans="2:8" x14ac:dyDescent="0.2">
      <c r="B233" s="2" t="s">
        <v>257</v>
      </c>
    </row>
    <row r="236" spans="2:8" x14ac:dyDescent="0.2">
      <c r="B236" s="4" t="s">
        <v>128</v>
      </c>
    </row>
    <row r="237" spans="2:8" x14ac:dyDescent="0.2">
      <c r="B237" s="78" t="s">
        <v>129</v>
      </c>
    </row>
    <row r="238" spans="2:8" x14ac:dyDescent="0.2">
      <c r="B238" s="2" t="s">
        <v>257</v>
      </c>
    </row>
    <row r="241" spans="2:13" x14ac:dyDescent="0.2">
      <c r="B241" s="4" t="s">
        <v>130</v>
      </c>
    </row>
    <row r="242" spans="2:13" x14ac:dyDescent="0.2">
      <c r="B242" s="78" t="s">
        <v>131</v>
      </c>
    </row>
    <row r="243" spans="2:13" x14ac:dyDescent="0.2">
      <c r="B243" s="2" t="s">
        <v>257</v>
      </c>
    </row>
    <row r="246" spans="2:13" x14ac:dyDescent="0.2">
      <c r="B246" s="4" t="s">
        <v>132</v>
      </c>
    </row>
    <row r="247" spans="2:13" x14ac:dyDescent="0.2">
      <c r="B247" s="78" t="s">
        <v>131</v>
      </c>
    </row>
    <row r="248" spans="2:13" x14ac:dyDescent="0.2">
      <c r="B248" s="2" t="s">
        <v>179</v>
      </c>
      <c r="F248" s="2" t="s">
        <v>82</v>
      </c>
      <c r="H248" s="86">
        <f>H75/H76</f>
        <v>1094.75</v>
      </c>
    </row>
    <row r="249" spans="2:13" x14ac:dyDescent="0.2">
      <c r="B249" s="2" t="s">
        <v>495</v>
      </c>
      <c r="F249" s="2" t="s">
        <v>82</v>
      </c>
      <c r="H249" s="33">
        <f>H75-(DATE(2024,1,1)-H77)/365.25*H248</f>
        <v>269.75359342915817</v>
      </c>
    </row>
    <row r="250" spans="2:13" x14ac:dyDescent="0.2">
      <c r="B250" s="2" t="s">
        <v>499</v>
      </c>
      <c r="H250" s="32">
        <f>H249</f>
        <v>269.75359342915817</v>
      </c>
    </row>
    <row r="251" spans="2:13" x14ac:dyDescent="0.2">
      <c r="B251" s="2" t="s">
        <v>496</v>
      </c>
      <c r="H251" s="86">
        <f>H249-H250</f>
        <v>0</v>
      </c>
    </row>
    <row r="254" spans="2:13" x14ac:dyDescent="0.2">
      <c r="B254" s="4" t="s">
        <v>181</v>
      </c>
      <c r="K254" s="42"/>
      <c r="L254" s="42"/>
      <c r="M254" s="42"/>
    </row>
    <row r="255" spans="2:13" x14ac:dyDescent="0.2">
      <c r="B255" s="2" t="s">
        <v>497</v>
      </c>
      <c r="F255" s="2" t="s">
        <v>82</v>
      </c>
      <c r="H255" s="33">
        <f>H222+H251</f>
        <v>48461.412583014229</v>
      </c>
      <c r="K255" s="42"/>
      <c r="M255" s="42"/>
    </row>
    <row r="256" spans="2:13" x14ac:dyDescent="0.2">
      <c r="B256" s="2" t="s">
        <v>498</v>
      </c>
      <c r="F256" s="2" t="s">
        <v>82</v>
      </c>
      <c r="H256" s="33">
        <f>H221+H250</f>
        <v>83935.483323158885</v>
      </c>
      <c r="K256" s="42"/>
      <c r="L256" s="42"/>
      <c r="M256" s="42"/>
    </row>
    <row r="259" spans="2:8" x14ac:dyDescent="0.2">
      <c r="B259" s="1" t="s">
        <v>135</v>
      </c>
    </row>
    <row r="261" spans="2:8" x14ac:dyDescent="0.2">
      <c r="B261" s="78" t="s">
        <v>182</v>
      </c>
    </row>
    <row r="262" spans="2:8" x14ac:dyDescent="0.2">
      <c r="B262" s="2" t="s">
        <v>179</v>
      </c>
      <c r="F262" s="2" t="s">
        <v>82</v>
      </c>
      <c r="H262" s="33">
        <f>H82/H83</f>
        <v>480000</v>
      </c>
    </row>
    <row r="263" spans="2:8" x14ac:dyDescent="0.2">
      <c r="B263" s="2" t="s">
        <v>500</v>
      </c>
      <c r="F263" s="2" t="s">
        <v>82</v>
      </c>
      <c r="H263" s="98">
        <f>H82-(DATE(2024,1,1)-H84)/365.25*H262</f>
        <v>4894948.6652977411</v>
      </c>
    </row>
    <row r="264" spans="2:8" x14ac:dyDescent="0.2">
      <c r="B264" s="2" t="s">
        <v>501</v>
      </c>
      <c r="F264" s="2" t="s">
        <v>82</v>
      </c>
      <c r="H264" s="98">
        <f>H82-(DATE(2025,1,1)-H84)/365.25*H262</f>
        <v>4413963.039014373</v>
      </c>
    </row>
    <row r="265" spans="2:8" x14ac:dyDescent="0.2">
      <c r="B265" s="2" t="s">
        <v>502</v>
      </c>
      <c r="F265" s="2" t="s">
        <v>82</v>
      </c>
      <c r="H265" s="33">
        <f>AVERAGE(H263:H264)</f>
        <v>4654455.852156057</v>
      </c>
    </row>
    <row r="266" spans="2:8" x14ac:dyDescent="0.2">
      <c r="B266" s="2" t="s">
        <v>499</v>
      </c>
      <c r="F266" s="2" t="s">
        <v>82</v>
      </c>
      <c r="H266" s="32">
        <f>H262</f>
        <v>480000</v>
      </c>
    </row>
    <row r="268" spans="2:8" x14ac:dyDescent="0.2">
      <c r="B268" s="2" t="s">
        <v>503</v>
      </c>
      <c r="F268" s="2" t="s">
        <v>82</v>
      </c>
      <c r="H268" s="98">
        <f>H82-(DATE(2026,1,1)-H84)/365.25*H262</f>
        <v>3934291.5811088295</v>
      </c>
    </row>
    <row r="269" spans="2:8" x14ac:dyDescent="0.2">
      <c r="B269" s="2" t="s">
        <v>504</v>
      </c>
      <c r="F269" s="2" t="s">
        <v>82</v>
      </c>
      <c r="H269" s="98">
        <f>H82-(DATE(2027,1,1)-H84)/365.25*H262</f>
        <v>3454620.1232032855</v>
      </c>
    </row>
    <row r="270" spans="2:8" x14ac:dyDescent="0.2">
      <c r="B270" s="2" t="s">
        <v>505</v>
      </c>
      <c r="F270" s="2" t="s">
        <v>82</v>
      </c>
      <c r="H270" s="33">
        <f>AVERAGE(H268:H269)</f>
        <v>3694455.8521560575</v>
      </c>
    </row>
    <row r="272" spans="2:8" x14ac:dyDescent="0.2">
      <c r="B272" s="78" t="s">
        <v>183</v>
      </c>
    </row>
    <row r="273" spans="2:13" x14ac:dyDescent="0.2">
      <c r="B273" s="2" t="s">
        <v>179</v>
      </c>
      <c r="F273" s="2" t="s">
        <v>82</v>
      </c>
      <c r="H273" s="33">
        <f>H86/H87</f>
        <v>986000</v>
      </c>
    </row>
    <row r="274" spans="2:13" x14ac:dyDescent="0.2">
      <c r="B274" s="2" t="s">
        <v>500</v>
      </c>
      <c r="F274" s="2" t="s">
        <v>82</v>
      </c>
      <c r="H274" s="98">
        <f>H86-(DATE(2024,1,1)-H88)/365.25*H273</f>
        <v>10697526.351813827</v>
      </c>
    </row>
    <row r="275" spans="2:13" x14ac:dyDescent="0.2">
      <c r="B275" s="2" t="s">
        <v>501</v>
      </c>
      <c r="F275" s="2" t="s">
        <v>82</v>
      </c>
      <c r="H275" s="98">
        <f>H86-(DATE(2025,1,1)-H88)/365.25*H273</f>
        <v>9709501.7111567408</v>
      </c>
    </row>
    <row r="276" spans="2:13" x14ac:dyDescent="0.2">
      <c r="B276" s="2" t="s">
        <v>502</v>
      </c>
      <c r="F276" s="2" t="s">
        <v>82</v>
      </c>
      <c r="H276" s="33">
        <f>AVERAGE(H274:H275)</f>
        <v>10203514.031485284</v>
      </c>
    </row>
    <row r="277" spans="2:13" x14ac:dyDescent="0.2">
      <c r="B277" s="2" t="s">
        <v>499</v>
      </c>
      <c r="F277" s="2" t="s">
        <v>82</v>
      </c>
      <c r="H277" s="32">
        <f>H273</f>
        <v>986000</v>
      </c>
    </row>
    <row r="279" spans="2:13" x14ac:dyDescent="0.2">
      <c r="B279" s="2" t="s">
        <v>503</v>
      </c>
      <c r="F279" s="2" t="s">
        <v>82</v>
      </c>
      <c r="H279" s="98">
        <f>H86-(DATE(2026,1,1)-H88)/365.25*H273</f>
        <v>8724176.59137577</v>
      </c>
      <c r="L279" s="42"/>
    </row>
    <row r="280" spans="2:13" x14ac:dyDescent="0.2">
      <c r="B280" s="2" t="s">
        <v>504</v>
      </c>
      <c r="F280" s="2" t="s">
        <v>82</v>
      </c>
      <c r="H280" s="98">
        <f>H86-(DATE(2027,1,1)-H88)/365.25*H273</f>
        <v>7738851.4715947984</v>
      </c>
      <c r="K280" s="42"/>
      <c r="L280" s="42"/>
      <c r="M280" s="42"/>
    </row>
    <row r="281" spans="2:13" x14ac:dyDescent="0.2">
      <c r="B281" s="2" t="s">
        <v>505</v>
      </c>
      <c r="F281" s="2" t="s">
        <v>82</v>
      </c>
      <c r="H281" s="33">
        <f>AVERAGE(H279:H280)</f>
        <v>8231514.0314852837</v>
      </c>
      <c r="K281" s="42"/>
      <c r="L281" s="42"/>
      <c r="M281" s="42"/>
    </row>
    <row r="282" spans="2:13" x14ac:dyDescent="0.2">
      <c r="K282" s="42"/>
      <c r="L282" s="42"/>
      <c r="M282" s="42"/>
    </row>
    <row r="284" spans="2:13" x14ac:dyDescent="0.2">
      <c r="B284" s="1" t="s">
        <v>254</v>
      </c>
    </row>
    <row r="286" spans="2:13" x14ac:dyDescent="0.2">
      <c r="B286" s="78" t="s">
        <v>184</v>
      </c>
    </row>
    <row r="287" spans="2:13" x14ac:dyDescent="0.2">
      <c r="B287" s="2" t="s">
        <v>179</v>
      </c>
      <c r="F287" s="2" t="s">
        <v>82</v>
      </c>
      <c r="H287" s="33">
        <f>H93/H94</f>
        <v>532612.80666666664</v>
      </c>
    </row>
    <row r="288" spans="2:13" x14ac:dyDescent="0.2">
      <c r="B288" s="2" t="s">
        <v>500</v>
      </c>
      <c r="F288" s="2" t="s">
        <v>82</v>
      </c>
      <c r="H288" s="33">
        <f>H93-(DATE(2024,1,1)-H95)/365.25*H287</f>
        <v>7588183.1422085324</v>
      </c>
    </row>
    <row r="289" spans="1:11" x14ac:dyDescent="0.2">
      <c r="B289" s="2" t="s">
        <v>501</v>
      </c>
      <c r="F289" s="2" t="s">
        <v>82</v>
      </c>
      <c r="H289" s="33">
        <f>H93-(DATE(2025,1,1)-H95)/365.25*H287</f>
        <v>7054476.6747478889</v>
      </c>
    </row>
    <row r="290" spans="1:11" x14ac:dyDescent="0.2">
      <c r="B290" s="2" t="s">
        <v>502</v>
      </c>
      <c r="F290" s="2" t="s">
        <v>82</v>
      </c>
      <c r="H290" s="33">
        <f>AVERAGE(H288,H289)</f>
        <v>7321329.9084782107</v>
      </c>
    </row>
    <row r="291" spans="1:11" x14ac:dyDescent="0.2">
      <c r="B291" s="2" t="s">
        <v>507</v>
      </c>
      <c r="F291" s="2" t="s">
        <v>82</v>
      </c>
      <c r="H291" s="33">
        <f>H290*(1-H96)</f>
        <v>3660664.9542391053</v>
      </c>
    </row>
    <row r="292" spans="1:11" x14ac:dyDescent="0.2">
      <c r="B292" s="2" t="s">
        <v>508</v>
      </c>
      <c r="F292" s="2" t="s">
        <v>82</v>
      </c>
      <c r="H292" s="33">
        <f>H287*(1-H96)</f>
        <v>266306.40333333332</v>
      </c>
    </row>
    <row r="293" spans="1:11" x14ac:dyDescent="0.2">
      <c r="H293" s="99"/>
    </row>
    <row r="294" spans="1:11" x14ac:dyDescent="0.2">
      <c r="B294" s="2" t="s">
        <v>503</v>
      </c>
      <c r="F294" s="2" t="s">
        <v>82</v>
      </c>
      <c r="H294" s="33">
        <f>H93-(DATE(2026,1,1)-H95)/365.25*H287</f>
        <v>6522228.4216792146</v>
      </c>
    </row>
    <row r="295" spans="1:11" x14ac:dyDescent="0.2">
      <c r="B295" s="2" t="s">
        <v>504</v>
      </c>
      <c r="F295" s="2" t="s">
        <v>82</v>
      </c>
      <c r="H295" s="33">
        <f>H93-(DATE(2027,1,1)-H95)/365.25*H287</f>
        <v>5989980.1686105402</v>
      </c>
    </row>
    <row r="296" spans="1:11" x14ac:dyDescent="0.2">
      <c r="B296" s="2" t="s">
        <v>505</v>
      </c>
      <c r="F296" s="2" t="s">
        <v>82</v>
      </c>
      <c r="H296" s="33">
        <f>AVERAGE(H294:H295)</f>
        <v>6256104.2951448774</v>
      </c>
    </row>
    <row r="297" spans="1:11" x14ac:dyDescent="0.2">
      <c r="B297" s="2" t="s">
        <v>509</v>
      </c>
      <c r="F297" s="2" t="s">
        <v>82</v>
      </c>
      <c r="H297" s="100">
        <f>H296*(1-H96)</f>
        <v>3128052.1475724387</v>
      </c>
    </row>
    <row r="298" spans="1:11" x14ac:dyDescent="0.2">
      <c r="B298" s="2" t="s">
        <v>510</v>
      </c>
      <c r="F298" s="2" t="s">
        <v>82</v>
      </c>
      <c r="H298" s="100">
        <f>H287*(1-H96)</f>
        <v>266306.40333333332</v>
      </c>
    </row>
    <row r="300" spans="1:11" x14ac:dyDescent="0.2">
      <c r="A300" s="9"/>
      <c r="B300" s="78" t="s">
        <v>186</v>
      </c>
      <c r="K300" s="42"/>
    </row>
    <row r="301" spans="1:11" x14ac:dyDescent="0.2">
      <c r="B301" s="2" t="s">
        <v>179</v>
      </c>
      <c r="F301" s="2" t="s">
        <v>82</v>
      </c>
      <c r="H301" s="33">
        <f>H98/H99</f>
        <v>421807.174</v>
      </c>
      <c r="K301" s="77"/>
    </row>
    <row r="302" spans="1:11" x14ac:dyDescent="0.2">
      <c r="B302" s="2" t="s">
        <v>501</v>
      </c>
      <c r="F302" s="2" t="s">
        <v>82</v>
      </c>
      <c r="H302" s="33">
        <f>H98-(DATE(2024,1,1)-H100)/365.25*H301</f>
        <v>10368488.049186857</v>
      </c>
      <c r="K302" s="77"/>
    </row>
    <row r="303" spans="1:11" x14ac:dyDescent="0.2">
      <c r="B303" s="2" t="s">
        <v>501</v>
      </c>
      <c r="F303" s="2" t="s">
        <v>82</v>
      </c>
      <c r="H303" s="33">
        <f>H98-(DATE(2025,1,1)-H100)/365.25*H301</f>
        <v>9945814.7413593419</v>
      </c>
      <c r="K303" s="77"/>
    </row>
    <row r="304" spans="1:11" x14ac:dyDescent="0.2">
      <c r="B304" s="2" t="s">
        <v>502</v>
      </c>
      <c r="F304" s="2" t="s">
        <v>82</v>
      </c>
      <c r="H304" s="33">
        <f>AVERAGE(H302,H303)</f>
        <v>10157151.395273101</v>
      </c>
      <c r="K304" s="77"/>
    </row>
    <row r="305" spans="1:13" x14ac:dyDescent="0.2">
      <c r="B305" s="2" t="s">
        <v>507</v>
      </c>
      <c r="F305" s="2" t="s">
        <v>82</v>
      </c>
      <c r="H305" s="33">
        <f>H304*(1-H101)</f>
        <v>5078575.6976365503</v>
      </c>
      <c r="K305" s="77"/>
    </row>
    <row r="306" spans="1:13" x14ac:dyDescent="0.2">
      <c r="B306" s="2" t="s">
        <v>508</v>
      </c>
      <c r="F306" s="2" t="s">
        <v>82</v>
      </c>
      <c r="H306" s="33">
        <f>H301*(1-H101)</f>
        <v>210903.587</v>
      </c>
      <c r="K306" s="77"/>
    </row>
    <row r="307" spans="1:13" x14ac:dyDescent="0.2">
      <c r="H307" s="99"/>
      <c r="K307" s="77"/>
    </row>
    <row r="308" spans="1:13" x14ac:dyDescent="0.2">
      <c r="B308" s="2" t="s">
        <v>503</v>
      </c>
      <c r="F308" s="2" t="s">
        <v>82</v>
      </c>
      <c r="H308" s="33">
        <f>H98-(DATE(2026,1,1)-H100)/365.25*H301</f>
        <v>9524296.2786351815</v>
      </c>
      <c r="K308" s="77"/>
    </row>
    <row r="309" spans="1:13" x14ac:dyDescent="0.2">
      <c r="B309" s="2" t="s">
        <v>504</v>
      </c>
      <c r="F309" s="2" t="s">
        <v>82</v>
      </c>
      <c r="H309" s="33">
        <f>H98-(DATE(2027,1,1)-H100)/365.25*H301</f>
        <v>9102777.8159110192</v>
      </c>
      <c r="K309" s="77"/>
      <c r="L309" s="42"/>
    </row>
    <row r="310" spans="1:13" x14ac:dyDescent="0.2">
      <c r="B310" s="2" t="s">
        <v>505</v>
      </c>
      <c r="F310" s="2" t="s">
        <v>82</v>
      </c>
      <c r="H310" s="33">
        <f>AVERAGE(H308:H309)</f>
        <v>9313537.0472730994</v>
      </c>
      <c r="K310" s="42"/>
      <c r="L310" s="42"/>
      <c r="M310" s="42"/>
    </row>
    <row r="311" spans="1:13" x14ac:dyDescent="0.2">
      <c r="B311" s="2" t="s">
        <v>509</v>
      </c>
      <c r="F311" s="2" t="s">
        <v>82</v>
      </c>
      <c r="H311" s="100">
        <f>H310*(1-H101)</f>
        <v>4656768.5236365497</v>
      </c>
      <c r="K311" s="42"/>
      <c r="L311" s="42"/>
    </row>
    <row r="312" spans="1:13" x14ac:dyDescent="0.2">
      <c r="B312" s="2" t="s">
        <v>510</v>
      </c>
      <c r="F312" s="2" t="s">
        <v>82</v>
      </c>
      <c r="H312" s="100">
        <f>H301*(1-H101)</f>
        <v>210903.587</v>
      </c>
      <c r="K312" s="42"/>
      <c r="L312" s="42"/>
      <c r="M312" s="42"/>
    </row>
    <row r="315" spans="1:13" x14ac:dyDescent="0.2">
      <c r="B315" s="1" t="s">
        <v>256</v>
      </c>
    </row>
    <row r="317" spans="1:13" x14ac:dyDescent="0.2">
      <c r="A317" s="91"/>
      <c r="B317" s="78" t="s">
        <v>187</v>
      </c>
    </row>
    <row r="318" spans="1:13" x14ac:dyDescent="0.2">
      <c r="A318" s="91"/>
      <c r="B318" s="2" t="s">
        <v>179</v>
      </c>
      <c r="F318" s="2" t="s">
        <v>82</v>
      </c>
      <c r="H318" s="33">
        <f>H107/H108</f>
        <v>72658.181818181823</v>
      </c>
    </row>
    <row r="319" spans="1:13" x14ac:dyDescent="0.2">
      <c r="A319" s="91"/>
      <c r="B319" s="2" t="s">
        <v>503</v>
      </c>
      <c r="F319" s="2" t="s">
        <v>82</v>
      </c>
      <c r="H319" s="33">
        <f>H107-((DATE(2026,1,1)-H109)/365.25)*H318</f>
        <v>889838.93410490942</v>
      </c>
    </row>
    <row r="320" spans="1:13" x14ac:dyDescent="0.2">
      <c r="A320" s="91"/>
      <c r="B320" s="2" t="s">
        <v>504</v>
      </c>
      <c r="F320" s="2" t="s">
        <v>82</v>
      </c>
      <c r="H320" s="33">
        <f>H107-((DATE(2027,1,1)-H109)/365.25)*H318</f>
        <v>817230.48410179827</v>
      </c>
    </row>
    <row r="321" spans="1:8" x14ac:dyDescent="0.2">
      <c r="A321" s="91"/>
      <c r="B321" s="2" t="s">
        <v>505</v>
      </c>
      <c r="F321" s="2" t="s">
        <v>82</v>
      </c>
      <c r="H321" s="100">
        <f>AVERAGE(H319:H320)</f>
        <v>853534.70910335379</v>
      </c>
    </row>
    <row r="322" spans="1:8" x14ac:dyDescent="0.2">
      <c r="A322" s="91"/>
      <c r="B322" s="2" t="s">
        <v>511</v>
      </c>
      <c r="F322" s="2" t="s">
        <v>82</v>
      </c>
      <c r="H322" s="32">
        <f>H318</f>
        <v>72658.181818181823</v>
      </c>
    </row>
    <row r="324" spans="1:8" x14ac:dyDescent="0.2">
      <c r="B324" s="78" t="s">
        <v>190</v>
      </c>
    </row>
    <row r="325" spans="1:8" x14ac:dyDescent="0.2">
      <c r="B325" s="2" t="s">
        <v>179</v>
      </c>
      <c r="F325" s="2" t="s">
        <v>82</v>
      </c>
      <c r="H325" s="33">
        <f>H112/H113</f>
        <v>694746.00000000012</v>
      </c>
    </row>
    <row r="326" spans="1:8" x14ac:dyDescent="0.2">
      <c r="B326" s="2" t="s">
        <v>188</v>
      </c>
      <c r="F326" s="2" t="s">
        <v>82</v>
      </c>
      <c r="H326" s="32">
        <f>H112</f>
        <v>3473730.0000000005</v>
      </c>
    </row>
    <row r="327" spans="1:8" x14ac:dyDescent="0.2">
      <c r="B327" s="2" t="s">
        <v>504</v>
      </c>
      <c r="F327" s="2" t="s">
        <v>82</v>
      </c>
      <c r="H327" s="33">
        <f>H326-((DATE(2027,1,1)-H114)/365.25)*H325</f>
        <v>2918313.6221765918</v>
      </c>
    </row>
    <row r="328" spans="1:8" x14ac:dyDescent="0.2">
      <c r="B328" s="2" t="s">
        <v>505</v>
      </c>
      <c r="F328" s="2" t="s">
        <v>82</v>
      </c>
      <c r="H328" s="33">
        <f>AVERAGE(H326,H327)</f>
        <v>3196021.8110882961</v>
      </c>
    </row>
    <row r="329" spans="1:8" x14ac:dyDescent="0.2">
      <c r="B329" s="2" t="s">
        <v>550</v>
      </c>
      <c r="F329" s="2" t="s">
        <v>82</v>
      </c>
      <c r="H329" s="153">
        <f>(DATE(2027,1,1)-H114)/365.25*12</f>
        <v>9.593429158110883</v>
      </c>
    </row>
    <row r="330" spans="1:8" x14ac:dyDescent="0.2">
      <c r="B330" s="2" t="s">
        <v>580</v>
      </c>
      <c r="F330" s="2" t="s">
        <v>82</v>
      </c>
      <c r="H330" s="100">
        <f>H328/12*H329</f>
        <v>2555067.4027044014</v>
      </c>
    </row>
    <row r="331" spans="1:8" x14ac:dyDescent="0.2">
      <c r="B331" s="2" t="s">
        <v>511</v>
      </c>
      <c r="F331" s="2" t="s">
        <v>82</v>
      </c>
      <c r="H331" s="32">
        <f>((DATE(2027,1,1)-H114)/365.25)*H325</f>
        <v>555416.37782340869</v>
      </c>
    </row>
    <row r="333" spans="1:8" x14ac:dyDescent="0.2">
      <c r="B333" s="78" t="s">
        <v>191</v>
      </c>
    </row>
    <row r="334" spans="1:8" x14ac:dyDescent="0.2">
      <c r="B334" s="2" t="s">
        <v>179</v>
      </c>
      <c r="F334" s="2" t="s">
        <v>82</v>
      </c>
      <c r="H334" s="33">
        <f>H117/H118</f>
        <v>49625.515999999996</v>
      </c>
    </row>
    <row r="335" spans="1:8" x14ac:dyDescent="0.2">
      <c r="B335" s="2" t="s">
        <v>500</v>
      </c>
      <c r="F335" s="2" t="s">
        <v>82</v>
      </c>
      <c r="H335" s="33">
        <f>H117-((DATE(2024,1,1)-H119)/365.25)*H334</f>
        <v>227339.88951950718</v>
      </c>
    </row>
    <row r="336" spans="1:8" x14ac:dyDescent="0.2">
      <c r="B336" s="2" t="s">
        <v>501</v>
      </c>
      <c r="F336" s="2" t="s">
        <v>82</v>
      </c>
      <c r="H336" s="33">
        <f>H117-((DATE(2025,1,1)-H119)/365.25)*H334</f>
        <v>177612.47307597537</v>
      </c>
    </row>
    <row r="337" spans="2:13" x14ac:dyDescent="0.2">
      <c r="B337" s="2" t="s">
        <v>513</v>
      </c>
      <c r="F337" s="2" t="s">
        <v>82</v>
      </c>
      <c r="H337" s="33">
        <f>AVERAGE(H335,H336)</f>
        <v>202476.18129774128</v>
      </c>
    </row>
    <row r="338" spans="2:13" x14ac:dyDescent="0.2">
      <c r="B338" s="2" t="s">
        <v>499</v>
      </c>
      <c r="F338" s="2" t="s">
        <v>82</v>
      </c>
      <c r="H338" s="32">
        <f>H334</f>
        <v>49625.515999999996</v>
      </c>
    </row>
    <row r="339" spans="2:13" x14ac:dyDescent="0.2">
      <c r="H339" s="99"/>
    </row>
    <row r="340" spans="2:13" x14ac:dyDescent="0.2">
      <c r="B340" s="2" t="s">
        <v>503</v>
      </c>
      <c r="F340" s="2" t="s">
        <v>82</v>
      </c>
      <c r="H340" s="33">
        <f>H117-((DATE(2025,1,1)-H119)/365.25)*H334</f>
        <v>177612.47307597537</v>
      </c>
      <c r="K340" s="42"/>
      <c r="M340" s="42"/>
    </row>
    <row r="341" spans="2:13" x14ac:dyDescent="0.2">
      <c r="B341" s="2" t="s">
        <v>504</v>
      </c>
      <c r="F341" s="2" t="s">
        <v>82</v>
      </c>
      <c r="H341" s="33">
        <f>H117-((DATE(2026,1,1)-H119)/365.25)*H334</f>
        <v>128020.92389048595</v>
      </c>
      <c r="K341" s="42"/>
      <c r="M341" s="42"/>
    </row>
    <row r="342" spans="2:13" x14ac:dyDescent="0.2">
      <c r="B342" s="2" t="s">
        <v>505</v>
      </c>
      <c r="F342" s="2" t="s">
        <v>82</v>
      </c>
      <c r="H342" s="100">
        <f>AVERAGE(H340,H341)</f>
        <v>152816.69848323066</v>
      </c>
      <c r="K342" s="42"/>
      <c r="M342" s="42"/>
    </row>
    <row r="343" spans="2:13" x14ac:dyDescent="0.2">
      <c r="B343" s="2" t="s">
        <v>511</v>
      </c>
      <c r="F343" s="2" t="s">
        <v>82</v>
      </c>
      <c r="H343" s="32">
        <f>H334</f>
        <v>49625.515999999996</v>
      </c>
      <c r="K343" s="42"/>
      <c r="M343" s="42"/>
    </row>
    <row r="345" spans="2:13" x14ac:dyDescent="0.2">
      <c r="B345" s="78" t="s">
        <v>303</v>
      </c>
    </row>
    <row r="346" spans="2:13" x14ac:dyDescent="0.2">
      <c r="B346" s="2" t="s">
        <v>179</v>
      </c>
      <c r="F346" s="2" t="s">
        <v>82</v>
      </c>
      <c r="H346" s="33">
        <f>H122/H123</f>
        <v>7000</v>
      </c>
    </row>
    <row r="347" spans="2:13" x14ac:dyDescent="0.2">
      <c r="B347" s="2" t="s">
        <v>503</v>
      </c>
      <c r="F347" s="2" t="s">
        <v>82</v>
      </c>
      <c r="H347" s="33">
        <f>H122-((DATE(2026,1,1)-H124)/365.25)*H346</f>
        <v>170572.8952772074</v>
      </c>
    </row>
    <row r="348" spans="2:13" x14ac:dyDescent="0.2">
      <c r="B348" s="2" t="s">
        <v>504</v>
      </c>
      <c r="F348" s="2" t="s">
        <v>82</v>
      </c>
      <c r="H348" s="100">
        <f>H122-((DATE(2027,1,1)-H124)/365.25)*H346</f>
        <v>163577.68651608488</v>
      </c>
    </row>
    <row r="349" spans="2:13" x14ac:dyDescent="0.2">
      <c r="B349" s="2" t="s">
        <v>512</v>
      </c>
      <c r="F349" s="2" t="s">
        <v>82</v>
      </c>
      <c r="H349" s="100">
        <f>AVERAGE(H347,H348)</f>
        <v>167075.29089664615</v>
      </c>
    </row>
    <row r="350" spans="2:13" x14ac:dyDescent="0.2">
      <c r="B350" s="2" t="s">
        <v>511</v>
      </c>
      <c r="F350" s="2" t="s">
        <v>82</v>
      </c>
      <c r="H350" s="32">
        <f>H346</f>
        <v>7000</v>
      </c>
    </row>
    <row r="353" spans="2:8" x14ac:dyDescent="0.2">
      <c r="B353" s="1" t="s">
        <v>291</v>
      </c>
    </row>
    <row r="355" spans="2:8" x14ac:dyDescent="0.2">
      <c r="B355" s="78" t="s">
        <v>281</v>
      </c>
    </row>
    <row r="356" spans="2:8" x14ac:dyDescent="0.2">
      <c r="B356" s="2" t="s">
        <v>179</v>
      </c>
      <c r="F356" s="2" t="s">
        <v>82</v>
      </c>
      <c r="H356" s="33">
        <f>H130/H131</f>
        <v>107289.21103702937</v>
      </c>
    </row>
    <row r="357" spans="2:8" x14ac:dyDescent="0.2">
      <c r="B357" s="2" t="s">
        <v>503</v>
      </c>
      <c r="F357" s="2" t="s">
        <v>82</v>
      </c>
      <c r="H357" s="100">
        <f>H130-((DATE(2026,1,1)-H132)/365.25)*H356</f>
        <v>673927.2491547704</v>
      </c>
    </row>
    <row r="358" spans="2:8" x14ac:dyDescent="0.2">
      <c r="B358" s="2" t="s">
        <v>504</v>
      </c>
      <c r="F358" s="2" t="s">
        <v>82</v>
      </c>
      <c r="H358" s="33">
        <f>H130-((DATE(2027,1,1)-H132)/365.25)*H356</f>
        <v>566711.47358046321</v>
      </c>
    </row>
    <row r="359" spans="2:8" x14ac:dyDescent="0.2">
      <c r="B359" s="2" t="s">
        <v>512</v>
      </c>
      <c r="F359" s="2" t="s">
        <v>82</v>
      </c>
      <c r="H359" s="100">
        <f>AVERAGE(H357,H358)</f>
        <v>620319.3613676168</v>
      </c>
    </row>
    <row r="360" spans="2:8" x14ac:dyDescent="0.2">
      <c r="B360" s="2" t="s">
        <v>511</v>
      </c>
      <c r="F360" s="2" t="s">
        <v>82</v>
      </c>
      <c r="H360" s="32">
        <f>H356</f>
        <v>107289.21103702937</v>
      </c>
    </row>
    <row r="362" spans="2:8" x14ac:dyDescent="0.2">
      <c r="B362" s="78" t="s">
        <v>282</v>
      </c>
    </row>
    <row r="363" spans="2:8" x14ac:dyDescent="0.2">
      <c r="B363" s="2" t="s">
        <v>179</v>
      </c>
      <c r="F363" s="2" t="s">
        <v>82</v>
      </c>
      <c r="H363" s="33">
        <f>H135/H136</f>
        <v>56841.966112333437</v>
      </c>
    </row>
    <row r="364" spans="2:8" x14ac:dyDescent="0.2">
      <c r="B364" s="2" t="s">
        <v>503</v>
      </c>
      <c r="F364" s="2" t="s">
        <v>82</v>
      </c>
      <c r="H364" s="100">
        <f>H135-((DATE(2026,1,1)-H137)/365.25)*H363</f>
        <v>357047.54922107043</v>
      </c>
    </row>
    <row r="365" spans="2:8" x14ac:dyDescent="0.2">
      <c r="B365" s="2" t="s">
        <v>504</v>
      </c>
      <c r="F365" s="2" t="s">
        <v>82</v>
      </c>
      <c r="H365" s="33">
        <f>H135-((DATE(2027,1,1)-H137)/365.25)*H363</f>
        <v>300244.48931415268</v>
      </c>
    </row>
    <row r="366" spans="2:8" x14ac:dyDescent="0.2">
      <c r="B366" s="2" t="s">
        <v>512</v>
      </c>
      <c r="F366" s="2" t="s">
        <v>82</v>
      </c>
      <c r="H366" s="100">
        <f>AVERAGE(H364,H365)</f>
        <v>328646.01926761155</v>
      </c>
    </row>
    <row r="367" spans="2:8" x14ac:dyDescent="0.2">
      <c r="B367" s="2" t="s">
        <v>511</v>
      </c>
      <c r="F367" s="2" t="s">
        <v>82</v>
      </c>
      <c r="H367" s="32">
        <f>H363</f>
        <v>56841.966112333437</v>
      </c>
    </row>
    <row r="369" spans="2:8" x14ac:dyDescent="0.2">
      <c r="B369" s="78" t="s">
        <v>283</v>
      </c>
    </row>
    <row r="370" spans="2:8" x14ac:dyDescent="0.2">
      <c r="B370" s="2" t="s">
        <v>179</v>
      </c>
      <c r="F370" s="2" t="s">
        <v>82</v>
      </c>
      <c r="H370" s="33">
        <f>H140/H141</f>
        <v>50501.389779773366</v>
      </c>
    </row>
    <row r="371" spans="2:8" x14ac:dyDescent="0.2">
      <c r="B371" s="2" t="s">
        <v>503</v>
      </c>
      <c r="F371" s="2" t="s">
        <v>82</v>
      </c>
      <c r="H371" s="100">
        <f>H140-((DATE(2026,1,1)-H142)/365.25)*H370</f>
        <v>446838.78554629034</v>
      </c>
    </row>
    <row r="372" spans="2:8" x14ac:dyDescent="0.2">
      <c r="B372" s="2" t="s">
        <v>504</v>
      </c>
      <c r="F372" s="2" t="s">
        <v>82</v>
      </c>
      <c r="H372" s="33">
        <f>H140-((DATE(2027,1,1)-H142)/365.25)*H370</f>
        <v>396371.96208395693</v>
      </c>
    </row>
    <row r="373" spans="2:8" x14ac:dyDescent="0.2">
      <c r="B373" s="2" t="s">
        <v>512</v>
      </c>
      <c r="F373" s="2" t="s">
        <v>82</v>
      </c>
      <c r="H373" s="100">
        <f>AVERAGE(H371,H372)</f>
        <v>421605.37381512363</v>
      </c>
    </row>
    <row r="374" spans="2:8" x14ac:dyDescent="0.2">
      <c r="B374" s="2" t="s">
        <v>511</v>
      </c>
      <c r="F374" s="2" t="s">
        <v>82</v>
      </c>
      <c r="H374" s="32">
        <f>H370</f>
        <v>50501.389779773366</v>
      </c>
    </row>
    <row r="376" spans="2:8" x14ac:dyDescent="0.2">
      <c r="B376" s="78" t="s">
        <v>286</v>
      </c>
    </row>
    <row r="377" spans="2:8" x14ac:dyDescent="0.2">
      <c r="B377" s="2" t="s">
        <v>179</v>
      </c>
      <c r="F377" s="2" t="s">
        <v>82</v>
      </c>
      <c r="H377" s="33">
        <f>H145/H146</f>
        <v>327788.67894499091</v>
      </c>
    </row>
    <row r="378" spans="2:8" x14ac:dyDescent="0.2">
      <c r="B378" s="2" t="s">
        <v>503</v>
      </c>
      <c r="F378" s="2" t="s">
        <v>82</v>
      </c>
      <c r="H378" s="100">
        <f>H145-((DATE(2026,1,1)-H147)/365.25)*H377</f>
        <v>2058974.2488574311</v>
      </c>
    </row>
    <row r="379" spans="2:8" x14ac:dyDescent="0.2">
      <c r="B379" s="2" t="s">
        <v>504</v>
      </c>
      <c r="F379" s="2" t="s">
        <v>82</v>
      </c>
      <c r="H379" s="33">
        <f>H145-((DATE(2027,1,1)-H147)/365.25)*H377</f>
        <v>1731409.9290356059</v>
      </c>
    </row>
    <row r="380" spans="2:8" x14ac:dyDescent="0.2">
      <c r="B380" s="2" t="s">
        <v>512</v>
      </c>
      <c r="F380" s="2" t="s">
        <v>82</v>
      </c>
      <c r="H380" s="100">
        <f>AVERAGE(H378,H379)</f>
        <v>1895192.0889465185</v>
      </c>
    </row>
    <row r="381" spans="2:8" x14ac:dyDescent="0.2">
      <c r="B381" s="2" t="s">
        <v>511</v>
      </c>
      <c r="F381" s="2" t="s">
        <v>82</v>
      </c>
      <c r="H381" s="32">
        <f>H377</f>
        <v>327788.67894499091</v>
      </c>
    </row>
    <row r="383" spans="2:8" x14ac:dyDescent="0.2">
      <c r="B383" s="78" t="s">
        <v>287</v>
      </c>
    </row>
    <row r="384" spans="2:8" x14ac:dyDescent="0.2">
      <c r="B384" s="2" t="s">
        <v>179</v>
      </c>
      <c r="F384" s="2" t="s">
        <v>82</v>
      </c>
      <c r="H384" s="33">
        <f>H150/H151</f>
        <v>10689.983171142168</v>
      </c>
    </row>
    <row r="385" spans="2:8" x14ac:dyDescent="0.2">
      <c r="B385" s="2" t="s">
        <v>503</v>
      </c>
      <c r="F385" s="2" t="s">
        <v>82</v>
      </c>
      <c r="H385" s="100">
        <f>H150-((DATE(2026,1,1)-H152)/365.25)*H384</f>
        <v>94585.497914685009</v>
      </c>
    </row>
    <row r="386" spans="2:8" x14ac:dyDescent="0.2">
      <c r="B386" s="2" t="s">
        <v>504</v>
      </c>
      <c r="F386" s="2" t="s">
        <v>82</v>
      </c>
      <c r="H386" s="33">
        <f>H150-((DATE(2027,1,1)-H152)/365.25)*H384</f>
        <v>83902.831638252726</v>
      </c>
    </row>
    <row r="387" spans="2:8" x14ac:dyDescent="0.2">
      <c r="B387" s="2" t="s">
        <v>512</v>
      </c>
      <c r="F387" s="2" t="s">
        <v>82</v>
      </c>
      <c r="H387" s="100">
        <f>AVERAGE(H385,H386)</f>
        <v>89244.164776468868</v>
      </c>
    </row>
    <row r="388" spans="2:8" x14ac:dyDescent="0.2">
      <c r="B388" s="2" t="s">
        <v>511</v>
      </c>
      <c r="F388" s="2" t="s">
        <v>82</v>
      </c>
      <c r="H388" s="32">
        <f>H384</f>
        <v>10689.983171142168</v>
      </c>
    </row>
    <row r="390" spans="2:8" x14ac:dyDescent="0.2">
      <c r="B390" s="78" t="s">
        <v>288</v>
      </c>
    </row>
    <row r="391" spans="2:8" x14ac:dyDescent="0.2">
      <c r="B391" s="2" t="s">
        <v>179</v>
      </c>
      <c r="F391" s="2" t="s">
        <v>82</v>
      </c>
      <c r="H391" s="33">
        <f>H155/H156</f>
        <v>5354.9345723930674</v>
      </c>
    </row>
    <row r="392" spans="2:8" x14ac:dyDescent="0.2">
      <c r="B392" s="2" t="s">
        <v>503</v>
      </c>
      <c r="F392" s="2" t="s">
        <v>82</v>
      </c>
      <c r="H392" s="100">
        <f>H155-((DATE(2026,1,1)-H157)/365.25)*H391</f>
        <v>33636.525899431741</v>
      </c>
    </row>
    <row r="393" spans="2:8" x14ac:dyDescent="0.2">
      <c r="B393" s="2" t="s">
        <v>504</v>
      </c>
      <c r="F393" s="2" t="s">
        <v>82</v>
      </c>
      <c r="H393" s="33">
        <f>H155-((DATE(2027,1,1)-H157)/365.25)*H391</f>
        <v>28285.256579997193</v>
      </c>
    </row>
    <row r="394" spans="2:8" x14ac:dyDescent="0.2">
      <c r="B394" s="2" t="s">
        <v>512</v>
      </c>
      <c r="F394" s="2" t="s">
        <v>82</v>
      </c>
      <c r="H394" s="100">
        <f>AVERAGE(H392,H393)</f>
        <v>30960.891239714467</v>
      </c>
    </row>
    <row r="395" spans="2:8" x14ac:dyDescent="0.2">
      <c r="B395" s="2" t="s">
        <v>511</v>
      </c>
      <c r="F395" s="2" t="s">
        <v>82</v>
      </c>
      <c r="H395" s="32">
        <f>H391</f>
        <v>5354.9345723930674</v>
      </c>
    </row>
    <row r="397" spans="2:8" x14ac:dyDescent="0.2">
      <c r="B397" s="78" t="s">
        <v>289</v>
      </c>
    </row>
    <row r="398" spans="2:8" x14ac:dyDescent="0.2">
      <c r="B398" s="2" t="s">
        <v>179</v>
      </c>
      <c r="F398" s="2" t="s">
        <v>82</v>
      </c>
      <c r="H398" s="33">
        <f>H160/H161</f>
        <v>53281.07376494474</v>
      </c>
    </row>
    <row r="399" spans="2:8" x14ac:dyDescent="0.2">
      <c r="B399" s="2" t="s">
        <v>503</v>
      </c>
      <c r="F399" s="2" t="s">
        <v>82</v>
      </c>
      <c r="H399" s="100">
        <f>H160-((DATE(2026,1,1)-H162)/365.25)*H398</f>
        <v>471433.56643356645</v>
      </c>
    </row>
    <row r="400" spans="2:8" x14ac:dyDescent="0.2">
      <c r="B400" s="2" t="s">
        <v>504</v>
      </c>
      <c r="F400" s="2" t="s">
        <v>82</v>
      </c>
      <c r="H400" s="33">
        <f>H160-((DATE(2027,1,1)-H162)/365.25)*H398</f>
        <v>418188.96157605835</v>
      </c>
    </row>
    <row r="401" spans="2:8" x14ac:dyDescent="0.2">
      <c r="B401" s="2" t="s">
        <v>512</v>
      </c>
      <c r="F401" s="2" t="s">
        <v>82</v>
      </c>
      <c r="H401" s="100">
        <f>AVERAGE(H399,H400)</f>
        <v>444811.2640048124</v>
      </c>
    </row>
    <row r="402" spans="2:8" x14ac:dyDescent="0.2">
      <c r="B402" s="2" t="s">
        <v>511</v>
      </c>
      <c r="F402" s="2" t="s">
        <v>82</v>
      </c>
      <c r="H402" s="32">
        <f>H398</f>
        <v>53281.07376494474</v>
      </c>
    </row>
    <row r="404" spans="2:8" x14ac:dyDescent="0.2">
      <c r="B404" s="1" t="s">
        <v>530</v>
      </c>
    </row>
    <row r="406" spans="2:8" x14ac:dyDescent="0.2">
      <c r="B406" s="78" t="s">
        <v>482</v>
      </c>
    </row>
    <row r="407" spans="2:8" x14ac:dyDescent="0.2">
      <c r="B407" s="2" t="s">
        <v>179</v>
      </c>
      <c r="F407" s="2" t="s">
        <v>82</v>
      </c>
      <c r="H407" s="33">
        <f>H167/H168</f>
        <v>239731.47599999997</v>
      </c>
    </row>
    <row r="408" spans="2:8" x14ac:dyDescent="0.2">
      <c r="B408" s="2" t="s">
        <v>188</v>
      </c>
      <c r="F408" s="2" t="s">
        <v>82</v>
      </c>
      <c r="H408" s="32">
        <f>H167</f>
        <v>1198657.3799999999</v>
      </c>
    </row>
    <row r="409" spans="2:8" x14ac:dyDescent="0.2">
      <c r="B409" s="2" t="s">
        <v>501</v>
      </c>
      <c r="F409" s="2" t="s">
        <v>82</v>
      </c>
      <c r="H409" s="33">
        <f>H167-((DATE(2025,1,1)-H169)/365.25)*H407</f>
        <v>1115301.0556960984</v>
      </c>
    </row>
    <row r="410" spans="2:8" x14ac:dyDescent="0.2">
      <c r="B410" s="2" t="s">
        <v>506</v>
      </c>
      <c r="F410" s="2" t="s">
        <v>82</v>
      </c>
      <c r="H410" s="33">
        <f>AVERAGE(H408,H409)</f>
        <v>1156979.217848049</v>
      </c>
    </row>
    <row r="411" spans="2:8" x14ac:dyDescent="0.2">
      <c r="B411" s="2" t="s">
        <v>534</v>
      </c>
      <c r="F411" s="2" t="s">
        <v>189</v>
      </c>
      <c r="H411" s="33">
        <f>((DATE(2025,1,1)-H169)/365.25)*12</f>
        <v>4.1724845995893221</v>
      </c>
    </row>
    <row r="412" spans="2:8" x14ac:dyDescent="0.2">
      <c r="B412" s="2" t="s">
        <v>535</v>
      </c>
      <c r="F412" s="2" t="s">
        <v>82</v>
      </c>
      <c r="H412" s="33">
        <f>H410*H411/12</f>
        <v>402289.83070965699</v>
      </c>
    </row>
    <row r="413" spans="2:8" x14ac:dyDescent="0.2">
      <c r="B413" s="2" t="s">
        <v>499</v>
      </c>
      <c r="F413" s="2" t="s">
        <v>82</v>
      </c>
      <c r="H413" s="153">
        <f>((DATE(2025,1,1)-H169)/365.25)*H407</f>
        <v>83356.32430390142</v>
      </c>
    </row>
    <row r="415" spans="2:8" x14ac:dyDescent="0.2">
      <c r="B415" s="2" t="s">
        <v>536</v>
      </c>
      <c r="F415" s="2" t="s">
        <v>82</v>
      </c>
      <c r="H415" s="33">
        <f>H167-((DATE(2026,1,1)-H169)/365.25)*H407</f>
        <v>875733.66694866517</v>
      </c>
    </row>
    <row r="416" spans="2:8" x14ac:dyDescent="0.2">
      <c r="B416" s="2" t="s">
        <v>537</v>
      </c>
      <c r="F416" s="2" t="s">
        <v>82</v>
      </c>
      <c r="H416" s="33">
        <f>H167-((DATE(2027,1,1)-H169)/365.25)*H407</f>
        <v>636166.27820123197</v>
      </c>
    </row>
    <row r="417" spans="2:8" x14ac:dyDescent="0.2">
      <c r="B417" s="2" t="s">
        <v>538</v>
      </c>
      <c r="F417" s="2" t="s">
        <v>82</v>
      </c>
      <c r="H417" s="33">
        <f>AVERAGE(H415,H416)</f>
        <v>755949.97257494857</v>
      </c>
    </row>
    <row r="419" spans="2:8" x14ac:dyDescent="0.2">
      <c r="B419" s="78" t="s">
        <v>484</v>
      </c>
    </row>
    <row r="420" spans="2:8" x14ac:dyDescent="0.2">
      <c r="B420" s="2" t="s">
        <v>179</v>
      </c>
      <c r="F420" s="2" t="s">
        <v>82</v>
      </c>
      <c r="H420" s="33">
        <f>H172/H173</f>
        <v>262606.34399999998</v>
      </c>
    </row>
    <row r="421" spans="2:8" x14ac:dyDescent="0.2">
      <c r="B421" s="2" t="s">
        <v>188</v>
      </c>
      <c r="F421" s="2" t="s">
        <v>82</v>
      </c>
      <c r="H421" s="32">
        <f>H172</f>
        <v>1313031.72</v>
      </c>
    </row>
    <row r="422" spans="2:8" x14ac:dyDescent="0.2">
      <c r="B422" s="2" t="s">
        <v>501</v>
      </c>
      <c r="F422" s="2" t="s">
        <v>82</v>
      </c>
      <c r="H422" s="33">
        <f>H172-((DATE(2025,1,1)-H174)/365.25)*H420</f>
        <v>1221721.6428254619</v>
      </c>
    </row>
    <row r="423" spans="2:8" x14ac:dyDescent="0.2">
      <c r="B423" s="2" t="s">
        <v>506</v>
      </c>
      <c r="F423" s="2" t="s">
        <v>82</v>
      </c>
      <c r="H423" s="33">
        <f>AVERAGE(H421,H422)</f>
        <v>1267376.6814127308</v>
      </c>
    </row>
    <row r="424" spans="2:8" x14ac:dyDescent="0.2">
      <c r="B424" s="2" t="s">
        <v>534</v>
      </c>
      <c r="F424" s="2" t="s">
        <v>189</v>
      </c>
      <c r="H424" s="33">
        <f>((DATE(2025,1,1)-H174)/365.25)*12</f>
        <v>4.1724845995893221</v>
      </c>
    </row>
    <row r="425" spans="2:8" x14ac:dyDescent="0.2">
      <c r="B425" s="2" t="s">
        <v>535</v>
      </c>
      <c r="F425" s="2" t="s">
        <v>82</v>
      </c>
      <c r="H425" s="33">
        <f>H423*H424/12</f>
        <v>440675.8070894368</v>
      </c>
    </row>
    <row r="426" spans="2:8" x14ac:dyDescent="0.2">
      <c r="B426" s="2" t="s">
        <v>499</v>
      </c>
      <c r="F426" s="2" t="s">
        <v>82</v>
      </c>
      <c r="H426" s="33">
        <f>((DATE(2025,1,1)-H174)/365.25)*H420</f>
        <v>91310.077174537975</v>
      </c>
    </row>
    <row r="428" spans="2:8" x14ac:dyDescent="0.2">
      <c r="B428" s="2" t="s">
        <v>536</v>
      </c>
      <c r="F428" s="2" t="s">
        <v>82</v>
      </c>
      <c r="H428" s="33">
        <f>H172-((DATE(2026,1,1)-H174)/365.25)*H420</f>
        <v>959295.0430718686</v>
      </c>
    </row>
    <row r="429" spans="2:8" x14ac:dyDescent="0.2">
      <c r="B429" s="2" t="s">
        <v>537</v>
      </c>
      <c r="F429" s="2" t="s">
        <v>82</v>
      </c>
      <c r="H429" s="33">
        <f>H172-((DATE(2027,1,1)-H174)/365.25)*H420</f>
        <v>696868.44331827515</v>
      </c>
    </row>
    <row r="430" spans="2:8" x14ac:dyDescent="0.2">
      <c r="B430" s="2" t="s">
        <v>538</v>
      </c>
      <c r="F430" s="2" t="s">
        <v>82</v>
      </c>
      <c r="H430" s="33">
        <f>AVERAGE(H428,H429)</f>
        <v>828081.74319507182</v>
      </c>
    </row>
    <row r="432" spans="2:8" x14ac:dyDescent="0.2">
      <c r="B432" s="78" t="s">
        <v>484</v>
      </c>
    </row>
    <row r="433" spans="2:8" x14ac:dyDescent="0.2">
      <c r="B433" s="2" t="s">
        <v>179</v>
      </c>
      <c r="F433" s="2" t="s">
        <v>82</v>
      </c>
      <c r="H433" s="33">
        <f>H177/H178</f>
        <v>142116.18</v>
      </c>
    </row>
    <row r="434" spans="2:8" x14ac:dyDescent="0.2">
      <c r="B434" s="2" t="s">
        <v>188</v>
      </c>
      <c r="F434" s="2" t="s">
        <v>82</v>
      </c>
      <c r="H434" s="32">
        <f>H177</f>
        <v>710580.9</v>
      </c>
    </row>
    <row r="435" spans="2:8" x14ac:dyDescent="0.2">
      <c r="B435" s="2" t="s">
        <v>501</v>
      </c>
      <c r="F435" s="2" t="s">
        <v>82</v>
      </c>
      <c r="H435" s="33">
        <f>H434-((DATE(2025,1,1)-H179)/365.25)*H433</f>
        <v>705911.78525667358</v>
      </c>
    </row>
    <row r="436" spans="2:8" x14ac:dyDescent="0.2">
      <c r="B436" s="2" t="s">
        <v>506</v>
      </c>
      <c r="F436" s="2" t="s">
        <v>82</v>
      </c>
      <c r="H436" s="33">
        <f>AVERAGE(H434,H435)</f>
        <v>708246.34262833674</v>
      </c>
    </row>
    <row r="437" spans="2:8" x14ac:dyDescent="0.2">
      <c r="B437" s="2" t="s">
        <v>534</v>
      </c>
      <c r="F437" s="2" t="s">
        <v>189</v>
      </c>
      <c r="H437" s="33">
        <f>((DATE(2025,1,1)-H179)/365.25)*12</f>
        <v>0.3942505133470226</v>
      </c>
    </row>
    <row r="438" spans="2:8" x14ac:dyDescent="0.2">
      <c r="B438" s="2" t="s">
        <v>535</v>
      </c>
      <c r="F438" s="2" t="s">
        <v>82</v>
      </c>
      <c r="H438" s="33">
        <f>H436*H437/12</f>
        <v>23268.873679781085</v>
      </c>
    </row>
    <row r="439" spans="2:8" x14ac:dyDescent="0.2">
      <c r="B439" s="2" t="s">
        <v>499</v>
      </c>
      <c r="F439" s="2" t="s">
        <v>82</v>
      </c>
      <c r="H439" s="33">
        <f>((DATE(2025,1,1)-H179)/365.25)*H433</f>
        <v>4669.1147433264887</v>
      </c>
    </row>
    <row r="440" spans="2:8" x14ac:dyDescent="0.2">
      <c r="B440" s="4"/>
    </row>
    <row r="441" spans="2:8" x14ac:dyDescent="0.2">
      <c r="B441" s="2" t="s">
        <v>536</v>
      </c>
      <c r="F441" s="2" t="s">
        <v>82</v>
      </c>
      <c r="H441" s="33">
        <f>H177-((DATE(2026,1,1)-H179)/365.25)*H433</f>
        <v>563892.87848049286</v>
      </c>
    </row>
    <row r="442" spans="2:8" x14ac:dyDescent="0.2">
      <c r="B442" s="2" t="s">
        <v>537</v>
      </c>
      <c r="F442" s="2" t="s">
        <v>82</v>
      </c>
      <c r="H442" s="33">
        <f>H177-((DATE(2027,1,1)-H179)/365.25)*H433</f>
        <v>421873.97170431213</v>
      </c>
    </row>
    <row r="443" spans="2:8" x14ac:dyDescent="0.2">
      <c r="B443" s="2" t="s">
        <v>538</v>
      </c>
      <c r="F443" s="2" t="s">
        <v>82</v>
      </c>
      <c r="H443" s="33">
        <f>AVERAGE(H441,H442)</f>
        <v>492883.4250924025</v>
      </c>
    </row>
    <row r="445" spans="2:8" x14ac:dyDescent="0.2">
      <c r="B445" s="78" t="s">
        <v>485</v>
      </c>
    </row>
    <row r="446" spans="2:8" x14ac:dyDescent="0.2">
      <c r="B446" s="2" t="s">
        <v>179</v>
      </c>
      <c r="F446" s="2" t="s">
        <v>82</v>
      </c>
      <c r="H446" s="33">
        <f>H182/H183</f>
        <v>358432.52400000003</v>
      </c>
    </row>
    <row r="447" spans="2:8" x14ac:dyDescent="0.2">
      <c r="B447" s="2" t="s">
        <v>188</v>
      </c>
      <c r="F447" s="2" t="s">
        <v>82</v>
      </c>
      <c r="H447" s="32">
        <f>H182</f>
        <v>3584325.24</v>
      </c>
    </row>
    <row r="448" spans="2:8" x14ac:dyDescent="0.2">
      <c r="B448" s="2" t="s">
        <v>501</v>
      </c>
      <c r="F448" s="2" t="s">
        <v>82</v>
      </c>
      <c r="H448" s="33">
        <f>H182-((DATE(2025,1,1)-H184)/365.25)*H446</f>
        <v>3388058.286406571</v>
      </c>
    </row>
    <row r="449" spans="2:8" x14ac:dyDescent="0.2">
      <c r="B449" s="2" t="s">
        <v>506</v>
      </c>
      <c r="F449" s="2" t="s">
        <v>82</v>
      </c>
      <c r="H449" s="33">
        <f>AVERAGE(H447,H448)</f>
        <v>3486191.7632032856</v>
      </c>
    </row>
    <row r="450" spans="2:8" x14ac:dyDescent="0.2">
      <c r="B450" s="2" t="s">
        <v>534</v>
      </c>
      <c r="F450" s="2" t="s">
        <v>189</v>
      </c>
      <c r="H450" s="33">
        <f>((DATE(2025,1,1)-H184)/365.25)*12</f>
        <v>6.5708418891170428</v>
      </c>
    </row>
    <row r="451" spans="2:8" x14ac:dyDescent="0.2">
      <c r="B451" s="2" t="s">
        <v>535</v>
      </c>
      <c r="F451" s="2" t="s">
        <v>82</v>
      </c>
      <c r="H451" s="33">
        <f>H449*H450/12</f>
        <v>1908934.5725959127</v>
      </c>
    </row>
    <row r="452" spans="2:8" x14ac:dyDescent="0.2">
      <c r="B452" s="2" t="s">
        <v>499</v>
      </c>
      <c r="F452" s="2" t="s">
        <v>82</v>
      </c>
      <c r="H452" s="33">
        <f>((DATE(2025,1,1)-H184)/365.25)*H446</f>
        <v>196266.95359342918</v>
      </c>
    </row>
    <row r="454" spans="2:8" x14ac:dyDescent="0.2">
      <c r="B454" s="2" t="s">
        <v>536</v>
      </c>
      <c r="F454" s="2" t="s">
        <v>82</v>
      </c>
      <c r="H454" s="33">
        <f>H182-((DATE(2026,1,1)-H184)/365.25)*H446</f>
        <v>3029871.0960985627</v>
      </c>
    </row>
    <row r="455" spans="2:8" x14ac:dyDescent="0.2">
      <c r="B455" s="2" t="s">
        <v>537</v>
      </c>
      <c r="F455" s="2" t="s">
        <v>82</v>
      </c>
      <c r="H455" s="33">
        <f>H182-((DATE(2027,1,1)-H184)/365.25)*H446</f>
        <v>2671683.9057905544</v>
      </c>
    </row>
    <row r="456" spans="2:8" x14ac:dyDescent="0.2">
      <c r="B456" s="2" t="s">
        <v>538</v>
      </c>
      <c r="F456" s="2" t="s">
        <v>82</v>
      </c>
      <c r="H456" s="33">
        <f>AVERAGE(H454,H455)</f>
        <v>2850777.5009445585</v>
      </c>
    </row>
    <row r="458" spans="2:8" x14ac:dyDescent="0.2">
      <c r="B458" s="78" t="s">
        <v>486</v>
      </c>
    </row>
    <row r="459" spans="2:8" x14ac:dyDescent="0.2">
      <c r="B459" s="2" t="s">
        <v>179</v>
      </c>
      <c r="F459" s="2" t="s">
        <v>82</v>
      </c>
      <c r="H459" s="33">
        <f>H187/H188</f>
        <v>3786.0459999999998</v>
      </c>
    </row>
    <row r="460" spans="2:8" x14ac:dyDescent="0.2">
      <c r="B460" s="2" t="s">
        <v>188</v>
      </c>
      <c r="F460" s="2" t="s">
        <v>82</v>
      </c>
      <c r="H460" s="32">
        <f>H187</f>
        <v>94651.15</v>
      </c>
    </row>
    <row r="461" spans="2:8" x14ac:dyDescent="0.2">
      <c r="B461" s="2" t="s">
        <v>501</v>
      </c>
      <c r="F461" s="2" t="s">
        <v>82</v>
      </c>
      <c r="H461" s="33">
        <f>H187-((DATE(2025,1,1)-H189)/365.25)*H459</f>
        <v>94329.815500342229</v>
      </c>
    </row>
    <row r="462" spans="2:8" x14ac:dyDescent="0.2">
      <c r="B462" s="2" t="s">
        <v>506</v>
      </c>
      <c r="F462" s="2" t="s">
        <v>82</v>
      </c>
      <c r="H462" s="33">
        <f>AVERAGE(H460,H461)</f>
        <v>94490.482750171112</v>
      </c>
    </row>
    <row r="463" spans="2:8" x14ac:dyDescent="0.2">
      <c r="B463" s="2" t="s">
        <v>534</v>
      </c>
      <c r="F463" s="2" t="s">
        <v>189</v>
      </c>
      <c r="H463" s="154">
        <f>((DATE(2025,1,1)-H189)/365.25)*12</f>
        <v>1.0184804928131417</v>
      </c>
    </row>
    <row r="464" spans="2:8" x14ac:dyDescent="0.2">
      <c r="B464" s="2" t="s">
        <v>507</v>
      </c>
      <c r="F464" s="2" t="s">
        <v>82</v>
      </c>
      <c r="H464" s="33">
        <f>H462*H463/12*(1-H190)</f>
        <v>4009.8630598977475</v>
      </c>
    </row>
    <row r="465" spans="2:8" x14ac:dyDescent="0.2">
      <c r="B465" s="2" t="s">
        <v>539</v>
      </c>
      <c r="F465" s="2" t="s">
        <v>82</v>
      </c>
      <c r="H465" s="33">
        <f>((DATE(2025,1,1)-H189)/365.25)*H459*(1-H190)</f>
        <v>160.66724982888434</v>
      </c>
    </row>
    <row r="467" spans="2:8" x14ac:dyDescent="0.2">
      <c r="B467" s="2" t="s">
        <v>536</v>
      </c>
      <c r="F467" s="2" t="s">
        <v>82</v>
      </c>
      <c r="H467" s="33">
        <f>H187-((DATE(2026,1,1)-H189)/365.25)*H459</f>
        <v>90546.360907597526</v>
      </c>
    </row>
    <row r="468" spans="2:8" x14ac:dyDescent="0.2">
      <c r="B468" s="2" t="s">
        <v>537</v>
      </c>
      <c r="F468" s="2" t="s">
        <v>82</v>
      </c>
      <c r="H468" s="33">
        <f>H187-((DATE(2027,1,1)-H189)/365.25)*H459</f>
        <v>86762.906314852837</v>
      </c>
    </row>
    <row r="469" spans="2:8" x14ac:dyDescent="0.2">
      <c r="B469" s="2" t="s">
        <v>538</v>
      </c>
      <c r="F469" s="2" t="s">
        <v>82</v>
      </c>
      <c r="H469" s="33">
        <f>AVERAGE(H467,H468)</f>
        <v>88654.633611225174</v>
      </c>
    </row>
    <row r="470" spans="2:8" x14ac:dyDescent="0.2">
      <c r="B470" s="2" t="s">
        <v>540</v>
      </c>
      <c r="F470" s="2" t="s">
        <v>82</v>
      </c>
      <c r="H470" s="33">
        <f>H469*(1-H190)</f>
        <v>44327.316805612587</v>
      </c>
    </row>
    <row r="471" spans="2:8" x14ac:dyDescent="0.2">
      <c r="B471" s="2" t="s">
        <v>510</v>
      </c>
      <c r="F471" s="2" t="s">
        <v>82</v>
      </c>
      <c r="H471" s="33">
        <f>H459*(1-H190)</f>
        <v>1893.0229999999999</v>
      </c>
    </row>
    <row r="473" spans="2:8" x14ac:dyDescent="0.2">
      <c r="B473" s="1" t="s">
        <v>548</v>
      </c>
    </row>
    <row r="475" spans="2:8" x14ac:dyDescent="0.2">
      <c r="B475" s="78" t="s">
        <v>547</v>
      </c>
    </row>
    <row r="476" spans="2:8" x14ac:dyDescent="0.2">
      <c r="B476" s="2" t="s">
        <v>179</v>
      </c>
      <c r="F476" s="2" t="s">
        <v>82</v>
      </c>
      <c r="H476" s="33">
        <f>H195/H196</f>
        <v>519509.59259259264</v>
      </c>
    </row>
    <row r="477" spans="2:8" x14ac:dyDescent="0.2">
      <c r="B477" s="2" t="s">
        <v>188</v>
      </c>
      <c r="F477" s="2" t="s">
        <v>82</v>
      </c>
      <c r="H477" s="32">
        <f>H195</f>
        <v>7792643.8888888899</v>
      </c>
    </row>
    <row r="478" spans="2:8" x14ac:dyDescent="0.2">
      <c r="B478" s="2" t="s">
        <v>537</v>
      </c>
      <c r="F478" s="2" t="s">
        <v>82</v>
      </c>
      <c r="H478" s="33">
        <f>H195-((DATE(2027,1,1)-H197)/365.25)*H476</f>
        <v>7617696.1000076057</v>
      </c>
    </row>
    <row r="479" spans="2:8" x14ac:dyDescent="0.2">
      <c r="B479" s="2" t="s">
        <v>538</v>
      </c>
      <c r="F479" s="2" t="s">
        <v>82</v>
      </c>
      <c r="H479" s="33">
        <f>AVERAGE(H477,H478)</f>
        <v>7705169.9944482483</v>
      </c>
    </row>
    <row r="480" spans="2:8" x14ac:dyDescent="0.2">
      <c r="B480" s="2" t="s">
        <v>550</v>
      </c>
      <c r="F480" s="2" t="s">
        <v>189</v>
      </c>
      <c r="H480" s="33">
        <f>(DATE(2027,1,1)-H197)/365.25*12</f>
        <v>4.0410677618069819</v>
      </c>
    </row>
    <row r="481" spans="2:13" x14ac:dyDescent="0.2">
      <c r="B481" s="2" t="s">
        <v>549</v>
      </c>
      <c r="F481" s="2" t="s">
        <v>82</v>
      </c>
      <c r="H481" s="33">
        <f>H479/12*H480</f>
        <v>2594759.5053172745</v>
      </c>
    </row>
    <row r="482" spans="2:13" x14ac:dyDescent="0.2">
      <c r="B482" s="2" t="s">
        <v>511</v>
      </c>
      <c r="F482" s="2" t="s">
        <v>82</v>
      </c>
      <c r="H482" s="33">
        <f>((DATE(2027,1,1)-H197)/365.25)*H476</f>
        <v>174947.78888128375</v>
      </c>
    </row>
    <row r="484" spans="2:13" s="8" customFormat="1" x14ac:dyDescent="0.2">
      <c r="B484" s="8" t="s">
        <v>514</v>
      </c>
      <c r="H484" s="101"/>
    </row>
    <row r="485" spans="2:13" ht="12" customHeight="1" x14ac:dyDescent="0.2"/>
    <row r="486" spans="2:13" ht="12" customHeight="1" x14ac:dyDescent="0.2">
      <c r="B486" s="1" t="s">
        <v>192</v>
      </c>
      <c r="K486" s="9"/>
      <c r="L486" s="9"/>
      <c r="M486" s="9"/>
    </row>
    <row r="487" spans="2:13" ht="12" customHeight="1" x14ac:dyDescent="0.2">
      <c r="B487" s="2" t="s">
        <v>515</v>
      </c>
      <c r="F487" s="2" t="s">
        <v>82</v>
      </c>
      <c r="H487" s="86">
        <f>H211+H255+H265+H276+H291+H305+H337+H412+H425+H438+H451+H464</f>
        <v>48511456.531243831</v>
      </c>
      <c r="K487" s="97"/>
      <c r="L487" s="125"/>
      <c r="M487" s="125"/>
    </row>
    <row r="488" spans="2:13" ht="12" customHeight="1" x14ac:dyDescent="0.2">
      <c r="B488" s="2" t="s">
        <v>516</v>
      </c>
      <c r="F488" s="2" t="s">
        <v>82</v>
      </c>
      <c r="H488" s="86">
        <f>H206+H256+H266+H277+H292+H306+H338+H413+H426+H439+H452+H465</f>
        <v>5264400.7933881823</v>
      </c>
      <c r="K488" s="97"/>
      <c r="L488" s="125"/>
      <c r="M488" s="125"/>
    </row>
    <row r="489" spans="2:13" ht="12" customHeight="1" x14ac:dyDescent="0.2">
      <c r="B489" s="2" t="s">
        <v>517</v>
      </c>
      <c r="F489" s="2" t="s">
        <v>265</v>
      </c>
      <c r="H489" s="86">
        <f>H291*H19+H305*H19</f>
        <v>732348.36662718002</v>
      </c>
      <c r="J489" s="2" t="s">
        <v>529</v>
      </c>
      <c r="K489" s="97"/>
      <c r="L489" s="125"/>
      <c r="M489" s="125"/>
    </row>
    <row r="490" spans="2:13" ht="12" customHeight="1" x14ac:dyDescent="0.2">
      <c r="B490" s="2" t="s">
        <v>518</v>
      </c>
      <c r="F490" s="2" t="s">
        <v>265</v>
      </c>
      <c r="H490" s="102">
        <f>H487*H19+H488+H489</f>
        <v>10062009.217333596</v>
      </c>
      <c r="J490" s="2" t="s">
        <v>528</v>
      </c>
      <c r="K490" s="142"/>
      <c r="L490" s="125"/>
      <c r="M490" s="125"/>
    </row>
    <row r="491" spans="2:13" ht="12" customHeight="1" x14ac:dyDescent="0.2"/>
    <row r="492" spans="2:13" s="52" customFormat="1" x14ac:dyDescent="0.2"/>
    <row r="493" spans="2:13" s="8" customFormat="1" x14ac:dyDescent="0.2">
      <c r="B493" s="8" t="s">
        <v>525</v>
      </c>
      <c r="H493" s="101"/>
    </row>
    <row r="494" spans="2:13" ht="12" customHeight="1" x14ac:dyDescent="0.2"/>
    <row r="495" spans="2:13" ht="12" customHeight="1" x14ac:dyDescent="0.2">
      <c r="B495" s="1" t="s">
        <v>112</v>
      </c>
    </row>
    <row r="496" spans="2:13" ht="12" customHeight="1" x14ac:dyDescent="0.2">
      <c r="B496" s="2" t="s">
        <v>519</v>
      </c>
      <c r="F496" s="2" t="s">
        <v>82</v>
      </c>
      <c r="H496" s="32">
        <f>H214</f>
        <v>16260396.121378051</v>
      </c>
    </row>
    <row r="497" spans="2:10" ht="12" customHeight="1" x14ac:dyDescent="0.2">
      <c r="B497" s="2" t="s">
        <v>520</v>
      </c>
      <c r="F497" s="2" t="s">
        <v>82</v>
      </c>
      <c r="H497" s="32">
        <f>H206</f>
        <v>2811866.6666666665</v>
      </c>
    </row>
    <row r="498" spans="2:10" ht="12" customHeight="1" x14ac:dyDescent="0.2">
      <c r="B498" s="2" t="s">
        <v>521</v>
      </c>
      <c r="F498" s="2" t="s">
        <v>356</v>
      </c>
      <c r="H498" s="25">
        <f>H496*$H$20+H497</f>
        <v>4257415.8818571754</v>
      </c>
    </row>
    <row r="499" spans="2:10" ht="12" customHeight="1" x14ac:dyDescent="0.2">
      <c r="B499" s="1"/>
    </row>
    <row r="500" spans="2:10" ht="12" customHeight="1" x14ac:dyDescent="0.2">
      <c r="B500" s="1" t="s">
        <v>178</v>
      </c>
    </row>
    <row r="501" spans="2:10" ht="12" customHeight="1" x14ac:dyDescent="0.2">
      <c r="B501" s="2" t="s">
        <v>526</v>
      </c>
      <c r="F501" s="2" t="s">
        <v>82</v>
      </c>
      <c r="H501" s="32">
        <f>H255</f>
        <v>48461.412583014229</v>
      </c>
    </row>
    <row r="502" spans="2:10" ht="12" customHeight="1" x14ac:dyDescent="0.2">
      <c r="B502" s="2" t="s">
        <v>520</v>
      </c>
      <c r="F502" s="2" t="s">
        <v>82</v>
      </c>
      <c r="H502" s="32">
        <f>H256</f>
        <v>83935.483323158885</v>
      </c>
    </row>
    <row r="503" spans="2:10" ht="12" customHeight="1" x14ac:dyDescent="0.2">
      <c r="B503" s="2" t="s">
        <v>521</v>
      </c>
      <c r="F503" s="2" t="s">
        <v>356</v>
      </c>
      <c r="H503" s="25">
        <f>H501*$H$20+H502</f>
        <v>88243.702901788856</v>
      </c>
    </row>
    <row r="504" spans="2:10" ht="12" customHeight="1" x14ac:dyDescent="0.2">
      <c r="B504" s="1"/>
    </row>
    <row r="505" spans="2:10" ht="12" customHeight="1" x14ac:dyDescent="0.2">
      <c r="B505" s="1" t="s">
        <v>135</v>
      </c>
    </row>
    <row r="506" spans="2:10" ht="12" customHeight="1" x14ac:dyDescent="0.2">
      <c r="B506" s="2" t="s">
        <v>519</v>
      </c>
      <c r="F506" s="2" t="s">
        <v>82</v>
      </c>
      <c r="H506" s="86">
        <f>H270+H281</f>
        <v>11925969.883641342</v>
      </c>
    </row>
    <row r="507" spans="2:10" ht="12" customHeight="1" x14ac:dyDescent="0.2">
      <c r="B507" s="2" t="s">
        <v>520</v>
      </c>
      <c r="F507" s="2" t="s">
        <v>82</v>
      </c>
      <c r="H507" s="86">
        <f>H262+H273</f>
        <v>1466000</v>
      </c>
    </row>
    <row r="508" spans="2:10" ht="12" customHeight="1" x14ac:dyDescent="0.2">
      <c r="B508" s="2" t="s">
        <v>521</v>
      </c>
      <c r="F508" s="2" t="s">
        <v>356</v>
      </c>
      <c r="H508" s="25">
        <f>H506*$H$20+H507</f>
        <v>2526218.7226557154</v>
      </c>
    </row>
    <row r="509" spans="2:10" ht="12" customHeight="1" x14ac:dyDescent="0.2">
      <c r="B509" s="1"/>
    </row>
    <row r="510" spans="2:10" ht="12" customHeight="1" x14ac:dyDescent="0.2">
      <c r="B510" s="1" t="s">
        <v>258</v>
      </c>
    </row>
    <row r="511" spans="2:10" ht="12" customHeight="1" x14ac:dyDescent="0.2">
      <c r="B511" s="2" t="s">
        <v>519</v>
      </c>
      <c r="F511" s="2" t="s">
        <v>82</v>
      </c>
      <c r="H511" s="86">
        <f>H297+H311</f>
        <v>7784820.6712089889</v>
      </c>
      <c r="J511" s="2" t="s">
        <v>185</v>
      </c>
    </row>
    <row r="512" spans="2:10" ht="12" customHeight="1" x14ac:dyDescent="0.2">
      <c r="B512" s="2" t="s">
        <v>520</v>
      </c>
      <c r="F512" s="2" t="s">
        <v>82</v>
      </c>
      <c r="H512" s="86">
        <f>H298+H312</f>
        <v>477209.99033333332</v>
      </c>
    </row>
    <row r="513" spans="2:8" ht="12" customHeight="1" x14ac:dyDescent="0.2">
      <c r="B513" s="2" t="s">
        <v>521</v>
      </c>
      <c r="F513" s="2" t="s">
        <v>356</v>
      </c>
      <c r="H513" s="25">
        <f>H511*$H$20+H512</f>
        <v>1169280.5480038126</v>
      </c>
    </row>
    <row r="514" spans="2:8" ht="12" customHeight="1" x14ac:dyDescent="0.2"/>
    <row r="515" spans="2:8" ht="12" customHeight="1" x14ac:dyDescent="0.2">
      <c r="B515" s="1" t="s">
        <v>527</v>
      </c>
    </row>
    <row r="516" spans="2:8" ht="12" customHeight="1" x14ac:dyDescent="0.2">
      <c r="B516" s="2" t="s">
        <v>519</v>
      </c>
      <c r="F516" s="2" t="s">
        <v>82</v>
      </c>
      <c r="H516" s="86">
        <f>H321+H330+H342+H349</f>
        <v>3728494.101187632</v>
      </c>
    </row>
    <row r="517" spans="2:8" ht="12" customHeight="1" x14ac:dyDescent="0.2">
      <c r="B517" s="2" t="s">
        <v>520</v>
      </c>
      <c r="F517" s="2" t="s">
        <v>82</v>
      </c>
      <c r="H517" s="86">
        <f>H322+H331+H343+H350</f>
        <v>684700.07564159052</v>
      </c>
    </row>
    <row r="518" spans="2:8" ht="12" customHeight="1" x14ac:dyDescent="0.2">
      <c r="B518" s="2" t="s">
        <v>521</v>
      </c>
      <c r="F518" s="2" t="s">
        <v>356</v>
      </c>
      <c r="H518" s="25">
        <f>H516*$H$20+H517</f>
        <v>1016163.201237171</v>
      </c>
    </row>
    <row r="519" spans="2:8" ht="12" customHeight="1" x14ac:dyDescent="0.2"/>
    <row r="520" spans="2:8" ht="12" customHeight="1" x14ac:dyDescent="0.2">
      <c r="B520" s="1" t="s">
        <v>291</v>
      </c>
    </row>
    <row r="521" spans="2:8" ht="12" customHeight="1" x14ac:dyDescent="0.2">
      <c r="B521" s="2" t="s">
        <v>519</v>
      </c>
      <c r="F521" s="2" t="s">
        <v>82</v>
      </c>
      <c r="H521" s="86">
        <f>H359+H366+H373+H380+H387+H394+H401</f>
        <v>3830779.163417866</v>
      </c>
    </row>
    <row r="522" spans="2:8" ht="12" customHeight="1" x14ac:dyDescent="0.2">
      <c r="B522" s="2" t="s">
        <v>520</v>
      </c>
      <c r="F522" s="2" t="s">
        <v>82</v>
      </c>
      <c r="H522" s="86">
        <f>H360+H367+H374+H381+H388+H395+H402</f>
        <v>611747.23738260707</v>
      </c>
    </row>
    <row r="523" spans="2:8" ht="12" customHeight="1" x14ac:dyDescent="0.2">
      <c r="B523" s="2" t="s">
        <v>521</v>
      </c>
      <c r="F523" s="2" t="s">
        <v>356</v>
      </c>
      <c r="H523" s="25">
        <f>H521*H20+H522</f>
        <v>952303.50501045538</v>
      </c>
    </row>
    <row r="524" spans="2:8" ht="12" customHeight="1" x14ac:dyDescent="0.2"/>
    <row r="525" spans="2:8" ht="12" customHeight="1" x14ac:dyDescent="0.2">
      <c r="B525" s="1" t="s">
        <v>530</v>
      </c>
    </row>
    <row r="526" spans="2:8" ht="12" customHeight="1" x14ac:dyDescent="0.2">
      <c r="B526" s="2" t="s">
        <v>519</v>
      </c>
      <c r="F526" s="2" t="s">
        <v>82</v>
      </c>
      <c r="H526" s="33">
        <f>H417+H430+H443+H456+H470</f>
        <v>4972019.9586125938</v>
      </c>
    </row>
    <row r="527" spans="2:8" ht="12" customHeight="1" x14ac:dyDescent="0.2">
      <c r="B527" s="2" t="s">
        <v>520</v>
      </c>
      <c r="F527" s="2" t="s">
        <v>82</v>
      </c>
      <c r="H527" s="33">
        <f>H407+H420+H433+H446+H471</f>
        <v>1004779.547</v>
      </c>
    </row>
    <row r="528" spans="2:8" ht="12" customHeight="1" x14ac:dyDescent="0.2">
      <c r="B528" s="2" t="s">
        <v>521</v>
      </c>
      <c r="F528" s="2" t="s">
        <v>356</v>
      </c>
      <c r="H528" s="25">
        <f>H527+H526*H20</f>
        <v>1446792.1213206598</v>
      </c>
    </row>
    <row r="529" spans="2:11" ht="12" customHeight="1" x14ac:dyDescent="0.2"/>
    <row r="530" spans="2:11" ht="12" customHeight="1" x14ac:dyDescent="0.2">
      <c r="B530" s="1" t="s">
        <v>548</v>
      </c>
    </row>
    <row r="531" spans="2:11" ht="12" customHeight="1" x14ac:dyDescent="0.2">
      <c r="B531" s="2" t="s">
        <v>519</v>
      </c>
      <c r="F531" s="2" t="s">
        <v>82</v>
      </c>
      <c r="H531" s="33">
        <f>H481</f>
        <v>2594759.5053172745</v>
      </c>
    </row>
    <row r="532" spans="2:11" ht="12" customHeight="1" x14ac:dyDescent="0.2">
      <c r="B532" s="2" t="s">
        <v>520</v>
      </c>
      <c r="F532" s="2" t="s">
        <v>82</v>
      </c>
      <c r="H532" s="33">
        <f>H482</f>
        <v>174947.78888128375</v>
      </c>
    </row>
    <row r="533" spans="2:11" ht="12" customHeight="1" x14ac:dyDescent="0.2">
      <c r="B533" s="2" t="s">
        <v>521</v>
      </c>
      <c r="F533" s="2" t="s">
        <v>356</v>
      </c>
      <c r="H533" s="25">
        <f>H532+H531*H20</f>
        <v>405621.90890398948</v>
      </c>
    </row>
    <row r="534" spans="2:11" ht="12" customHeight="1" x14ac:dyDescent="0.2"/>
    <row r="535" spans="2:11" x14ac:dyDescent="0.2">
      <c r="B535" s="2" t="s">
        <v>522</v>
      </c>
      <c r="F535" s="2" t="s">
        <v>82</v>
      </c>
      <c r="H535" s="33">
        <f>SUM(H496,H501,H506,H511,H516,H521,H526,H531)</f>
        <v>51145700.817346767</v>
      </c>
      <c r="J535" s="99"/>
      <c r="K535" s="42"/>
    </row>
    <row r="536" spans="2:11" x14ac:dyDescent="0.2">
      <c r="B536" s="2" t="s">
        <v>523</v>
      </c>
      <c r="F536" s="2" t="s">
        <v>82</v>
      </c>
      <c r="H536" s="33">
        <f t="shared" ref="H536:H537" si="0">SUM(H497,H502,H507,H512,H517,H522,H527,H532)</f>
        <v>7315186.7892286396</v>
      </c>
      <c r="J536" s="99"/>
      <c r="K536" s="42"/>
    </row>
    <row r="537" spans="2:11" x14ac:dyDescent="0.2">
      <c r="B537" s="2" t="s">
        <v>524</v>
      </c>
      <c r="F537" s="2" t="s">
        <v>356</v>
      </c>
      <c r="H537" s="33">
        <f t="shared" si="0"/>
        <v>11862039.591890769</v>
      </c>
      <c r="J537" s="99"/>
      <c r="K537" s="42"/>
    </row>
    <row r="540" spans="2:11" x14ac:dyDescent="0.2">
      <c r="B540" s="4" t="s">
        <v>63</v>
      </c>
    </row>
  </sheetData>
  <phoneticPr fontId="34"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4A079-D346-4919-B091-3B52E86BABF8}">
  <sheetPr>
    <tabColor rgb="FFFFFFCC"/>
  </sheetPr>
  <dimension ref="A2:JM54"/>
  <sheetViews>
    <sheetView showGridLines="0" zoomScale="85" zoomScaleNormal="85" workbookViewId="0">
      <pane xSplit="6" ySplit="11" topLeftCell="G12" activePane="bottomRight" state="frozen"/>
      <selection activeCell="H18" sqref="H18"/>
      <selection pane="topRight" activeCell="H18" sqref="H18"/>
      <selection pane="bottomLeft" activeCell="H18" sqref="H18"/>
      <selection pane="bottomRight" activeCell="G12" sqref="G12"/>
    </sheetView>
  </sheetViews>
  <sheetFormatPr defaultRowHeight="12.75" x14ac:dyDescent="0.2"/>
  <cols>
    <col min="1" max="1" width="4.7109375" style="2" customWidth="1"/>
    <col min="2" max="2" width="50.85546875" style="2" customWidth="1"/>
    <col min="3" max="3" width="4.7109375" style="2" customWidth="1"/>
    <col min="4" max="5" width="4.5703125" style="2" customWidth="1"/>
    <col min="6" max="6" width="13.7109375" style="2" customWidth="1"/>
    <col min="7" max="7" width="2.7109375" style="2" customWidth="1"/>
    <col min="8" max="8" width="10.5703125" style="2" customWidth="1"/>
    <col min="9" max="11" width="2.7109375" style="2" customWidth="1"/>
    <col min="12" max="12" width="8.85546875" style="2" customWidth="1"/>
    <col min="13" max="13" width="2.7109375" style="2" customWidth="1"/>
    <col min="14" max="35" width="12.85546875" style="2" customWidth="1"/>
    <col min="36" max="36" width="2.7109375" style="2" customWidth="1"/>
    <col min="37" max="16384" width="9.140625" style="2"/>
  </cols>
  <sheetData>
    <row r="2" spans="1:273" s="15" customFormat="1" ht="18" x14ac:dyDescent="0.2">
      <c r="B2" s="15" t="s">
        <v>413</v>
      </c>
    </row>
    <row r="4" spans="1:273" x14ac:dyDescent="0.2">
      <c r="B4" s="23" t="s">
        <v>166</v>
      </c>
      <c r="C4" s="1"/>
      <c r="D4" s="1"/>
    </row>
    <row r="5" spans="1:273" x14ac:dyDescent="0.2">
      <c r="B5" s="2" t="s">
        <v>414</v>
      </c>
      <c r="H5" s="16"/>
    </row>
    <row r="6" spans="1:273" x14ac:dyDescent="0.2">
      <c r="B6" s="2" t="s">
        <v>415</v>
      </c>
      <c r="H6" s="16"/>
    </row>
    <row r="7" spans="1:273" x14ac:dyDescent="0.2">
      <c r="B7" s="2" t="s">
        <v>193</v>
      </c>
      <c r="H7" s="16"/>
    </row>
    <row r="8" spans="1:273" x14ac:dyDescent="0.2">
      <c r="B8" s="4"/>
    </row>
    <row r="10" spans="1:273" customFormat="1" ht="25.5" x14ac:dyDescent="0.2">
      <c r="A10" s="8"/>
      <c r="B10" s="8" t="s">
        <v>12</v>
      </c>
      <c r="C10" s="8"/>
      <c r="D10" s="8"/>
      <c r="E10" s="8"/>
      <c r="F10" s="8" t="s">
        <v>35</v>
      </c>
      <c r="G10" s="8"/>
      <c r="H10" s="8" t="s">
        <v>36</v>
      </c>
      <c r="I10" s="8"/>
      <c r="J10" s="8"/>
      <c r="K10" s="8"/>
      <c r="L10" s="41" t="s">
        <v>139</v>
      </c>
      <c r="M10" s="85"/>
      <c r="N10" s="85" t="s">
        <v>419</v>
      </c>
      <c r="O10" s="85" t="s">
        <v>420</v>
      </c>
      <c r="P10" s="85" t="s">
        <v>421</v>
      </c>
      <c r="Q10" s="85" t="s">
        <v>422</v>
      </c>
      <c r="R10" s="85" t="s">
        <v>423</v>
      </c>
      <c r="S10" s="85" t="s">
        <v>424</v>
      </c>
      <c r="T10" s="85" t="s">
        <v>425</v>
      </c>
      <c r="U10" s="85" t="s">
        <v>426</v>
      </c>
      <c r="V10" s="85" t="s">
        <v>427</v>
      </c>
      <c r="W10" s="85" t="s">
        <v>428</v>
      </c>
      <c r="X10" s="85" t="s">
        <v>429</v>
      </c>
      <c r="Y10" s="85" t="s">
        <v>430</v>
      </c>
      <c r="Z10" s="85" t="s">
        <v>465</v>
      </c>
      <c r="AA10" s="85" t="s">
        <v>466</v>
      </c>
      <c r="AB10" s="85" t="s">
        <v>467</v>
      </c>
      <c r="AC10" s="85" t="s">
        <v>469</v>
      </c>
      <c r="AD10" s="85" t="s">
        <v>470</v>
      </c>
      <c r="AE10" s="85" t="s">
        <v>471</v>
      </c>
      <c r="AF10" s="85" t="s">
        <v>472</v>
      </c>
      <c r="AG10" s="85" t="s">
        <v>473</v>
      </c>
      <c r="AH10" s="85" t="s">
        <v>474</v>
      </c>
      <c r="AI10" s="85" t="s">
        <v>475</v>
      </c>
      <c r="AJ10" s="8"/>
      <c r="AK10" s="8" t="s">
        <v>38</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c r="JA10" s="8"/>
      <c r="JB10" s="8"/>
      <c r="JC10" s="8"/>
      <c r="JD10" s="8"/>
      <c r="JE10" s="8"/>
      <c r="JF10" s="8"/>
      <c r="JG10" s="8"/>
      <c r="JH10" s="8"/>
      <c r="JI10" s="8"/>
      <c r="JJ10" s="8"/>
      <c r="JK10" s="8"/>
      <c r="JL10" s="8"/>
      <c r="JM10" s="8"/>
    </row>
    <row r="13" spans="1:273" customFormat="1" x14ac:dyDescent="0.2">
      <c r="A13" s="8"/>
      <c r="B13" s="8" t="s">
        <v>194</v>
      </c>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row>
    <row r="14" spans="1:273" customForma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row>
    <row r="15" spans="1:273" customFormat="1" x14ac:dyDescent="0.2">
      <c r="A15" s="2"/>
      <c r="B15" s="1" t="s">
        <v>195</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row>
    <row r="16" spans="1:273" customFormat="1" x14ac:dyDescent="0.2">
      <c r="A16" s="2"/>
      <c r="B16" s="2" t="s">
        <v>141</v>
      </c>
      <c r="C16" s="2"/>
      <c r="D16" s="2"/>
      <c r="E16" s="2"/>
      <c r="F16" s="2" t="s">
        <v>87</v>
      </c>
      <c r="G16" s="2"/>
      <c r="H16" s="2"/>
      <c r="I16" s="2"/>
      <c r="J16" s="2"/>
      <c r="K16" s="2"/>
      <c r="L16" s="2"/>
      <c r="M16" s="2"/>
      <c r="N16" s="103">
        <f>'Production and fuel costs'!N18</f>
        <v>0.97274046702378592</v>
      </c>
      <c r="O16" s="103">
        <f>'Production and fuel costs'!O18</f>
        <v>0.90701472410848716</v>
      </c>
      <c r="P16" s="103">
        <f>'Production and fuel costs'!P18</f>
        <v>0.91871224013501507</v>
      </c>
      <c r="Q16" s="103">
        <f>'Production and fuel costs'!Q18</f>
        <v>1.0051919467557877</v>
      </c>
      <c r="R16" s="103">
        <f>'Production and fuel costs'!R18</f>
        <v>0.98219996899343642</v>
      </c>
      <c r="S16" s="103">
        <f>'Production and fuel costs'!S18</f>
        <v>0.95609999741189933</v>
      </c>
      <c r="T16" s="103">
        <f>'Production and fuel costs'!T18</f>
        <v>0.90407126302395835</v>
      </c>
      <c r="U16" s="103">
        <f>'Production and fuel costs'!U18</f>
        <v>0.86055549598683634</v>
      </c>
      <c r="V16" s="103">
        <f>'Production and fuel costs'!V18</f>
        <v>0.86849357254131532</v>
      </c>
      <c r="W16" s="103">
        <f>'Production and fuel costs'!W18</f>
        <v>0.8488560755859984</v>
      </c>
      <c r="X16" s="103">
        <f>'Production and fuel costs'!X18</f>
        <v>0.82369999078015632</v>
      </c>
      <c r="Y16" s="103">
        <f>'Production and fuel costs'!Y18</f>
        <v>0.79342634761306041</v>
      </c>
      <c r="Z16" s="103">
        <f>'Production and fuel costs'!Z18</f>
        <v>0.79791479164568124</v>
      </c>
      <c r="AA16" s="103">
        <f>'Production and fuel costs'!AA18</f>
        <v>0.80002171786373966</v>
      </c>
      <c r="AB16" s="103">
        <f>'Production and fuel costs'!AB18</f>
        <v>0.8353384409204283</v>
      </c>
      <c r="AC16" s="103">
        <f>'Production and fuel costs'!AC18</f>
        <v>0.85442477685494689</v>
      </c>
      <c r="AD16" s="103">
        <f>'Production and fuel costs'!AD18</f>
        <v>0.8499000537697905</v>
      </c>
      <c r="AE16" s="103">
        <f>'Production and fuel costs'!AE18</f>
        <v>0.80624326207345742</v>
      </c>
      <c r="AF16" s="103">
        <f>'Production and fuel costs'!AF18</f>
        <v>0.8318653221334652</v>
      </c>
      <c r="AG16" s="103">
        <f>'Production and fuel costs'!AG18</f>
        <v>0.80920005346020341</v>
      </c>
      <c r="AH16" s="103">
        <f>'Production and fuel costs'!AH18</f>
        <v>0.82691437088627084</v>
      </c>
      <c r="AI16" s="103">
        <f>'Production and fuel costs'!AI18</f>
        <v>0.83796196301896686</v>
      </c>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row>
    <row r="17" spans="1:273" customFormat="1" x14ac:dyDescent="0.2">
      <c r="A17" s="2"/>
      <c r="B17" s="2" t="s">
        <v>142</v>
      </c>
      <c r="C17" s="2"/>
      <c r="D17" s="2"/>
      <c r="E17" s="2"/>
      <c r="F17" s="2" t="s">
        <v>143</v>
      </c>
      <c r="G17" s="2"/>
      <c r="H17" s="2"/>
      <c r="I17" s="2"/>
      <c r="J17" s="2"/>
      <c r="K17" s="2"/>
      <c r="L17" s="2"/>
      <c r="M17" s="2"/>
      <c r="N17" s="104">
        <f>'Production and fuel costs'!N19</f>
        <v>2648045</v>
      </c>
      <c r="O17" s="104">
        <f>'Production and fuel costs'!O19</f>
        <v>2594045</v>
      </c>
      <c r="P17" s="104">
        <f>'Production and fuel costs'!P19</f>
        <v>2544302</v>
      </c>
      <c r="Q17" s="104">
        <f>'Production and fuel costs'!Q19</f>
        <v>2798276</v>
      </c>
      <c r="R17" s="104">
        <f>'Production and fuel costs'!R19</f>
        <v>2999365</v>
      </c>
      <c r="S17" s="104">
        <f>'Production and fuel costs'!S19</f>
        <v>2936516</v>
      </c>
      <c r="T17" s="104">
        <f>'Production and fuel costs'!T19</f>
        <v>3099672</v>
      </c>
      <c r="U17" s="104">
        <f>'Production and fuel costs'!U19</f>
        <v>3236225</v>
      </c>
      <c r="V17" s="104">
        <f>'Production and fuel costs'!V19</f>
        <v>3404067</v>
      </c>
      <c r="W17" s="104">
        <f>'Production and fuel costs'!W19</f>
        <v>3694335</v>
      </c>
      <c r="X17" s="104">
        <f>'Production and fuel costs'!X19</f>
        <v>3557544</v>
      </c>
      <c r="Y17" s="104">
        <f>'Production and fuel costs'!Y19</f>
        <v>3254124</v>
      </c>
      <c r="Z17" s="104">
        <f>'Production and fuel costs'!Z19</f>
        <v>2918634</v>
      </c>
      <c r="AA17" s="104">
        <f>'Production and fuel costs'!AA19</f>
        <v>2541226</v>
      </c>
      <c r="AB17" s="104">
        <f>'Production and fuel costs'!AB19</f>
        <v>2897389</v>
      </c>
      <c r="AC17" s="104">
        <f>'Production and fuel costs'!AC19</f>
        <v>2785632</v>
      </c>
      <c r="AD17" s="104">
        <f>'Production and fuel costs'!AD19</f>
        <v>3293671</v>
      </c>
      <c r="AE17" s="104">
        <f>'Production and fuel costs'!AE19</f>
        <v>2846202</v>
      </c>
      <c r="AF17" s="104">
        <f>'Production and fuel costs'!AF19</f>
        <v>2963011</v>
      </c>
      <c r="AG17" s="104">
        <f>'Production and fuel costs'!AG19</f>
        <v>3419366</v>
      </c>
      <c r="AH17" s="104">
        <f>'Production and fuel costs'!AH19</f>
        <v>3431041</v>
      </c>
      <c r="AI17" s="104">
        <f>'Production and fuel costs'!AI19</f>
        <v>3676318</v>
      </c>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row>
    <row r="18" spans="1:273" customForma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row>
    <row r="19" spans="1:273" customFormat="1" x14ac:dyDescent="0.2">
      <c r="A19" s="2"/>
      <c r="B19" s="23" t="s">
        <v>144</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row>
    <row r="20" spans="1:273" customFormat="1" x14ac:dyDescent="0.2">
      <c r="A20" s="2"/>
      <c r="B20" s="2" t="s">
        <v>145</v>
      </c>
      <c r="C20" s="2"/>
      <c r="D20" s="2"/>
      <c r="E20" s="2"/>
      <c r="F20" s="2" t="s">
        <v>70</v>
      </c>
      <c r="G20" s="2"/>
      <c r="H20" s="2"/>
      <c r="I20" s="2"/>
      <c r="J20" s="2"/>
      <c r="K20" s="2"/>
      <c r="L20" s="2"/>
      <c r="M20" s="2"/>
      <c r="N20" s="104">
        <f>'Production and fuel costs'!N22</f>
        <v>9335696.1094593797</v>
      </c>
      <c r="O20" s="104">
        <f>'Production and fuel costs'!O22</f>
        <v>9097657.4854985699</v>
      </c>
      <c r="P20" s="104">
        <f>'Production and fuel costs'!P22</f>
        <v>9024869.2856267318</v>
      </c>
      <c r="Q20" s="104">
        <f>'Production and fuel costs'!Q22</f>
        <v>9875422.0111781843</v>
      </c>
      <c r="R20" s="104">
        <f>'Production and fuel costs'!R22</f>
        <v>10455004.535303822</v>
      </c>
      <c r="S20" s="104">
        <f>'Production and fuel costs'!S22</f>
        <v>10668582.283410892</v>
      </c>
      <c r="T20" s="104">
        <f>'Production and fuel costs'!T22</f>
        <v>11123948.080640974</v>
      </c>
      <c r="U20" s="104">
        <f>'Production and fuel costs'!U22</f>
        <v>11667941.780836672</v>
      </c>
      <c r="V20" s="104">
        <f>'Production and fuel costs'!V22</f>
        <v>12414678.201799953</v>
      </c>
      <c r="W20" s="104">
        <f>'Production and fuel costs'!W22</f>
        <v>13453816.727164345</v>
      </c>
      <c r="X20" s="104">
        <f>'Production and fuel costs'!X22</f>
        <v>12835175.556332767</v>
      </c>
      <c r="Y20" s="104">
        <f>'Production and fuel costs'!Y22</f>
        <v>11664030.818385061</v>
      </c>
      <c r="Z20" s="104">
        <f>'Production and fuel costs'!Z22</f>
        <v>10035712.799364895</v>
      </c>
      <c r="AA20" s="104">
        <f>'Production and fuel costs'!AA22</f>
        <v>9056986.0018874872</v>
      </c>
      <c r="AB20" s="104">
        <f>'Production and fuel costs'!AB22</f>
        <v>10628374.233181268</v>
      </c>
      <c r="AC20" s="104">
        <f>'Production and fuel costs'!AC22</f>
        <v>10152910.092924003</v>
      </c>
      <c r="AD20" s="104">
        <f>'Production and fuel costs'!AD22</f>
        <v>11898074.032530533</v>
      </c>
      <c r="AE20" s="104">
        <f>'Production and fuel costs'!AE22</f>
        <v>10344678.398285406</v>
      </c>
      <c r="AF20" s="104">
        <f>'Production and fuel costs'!AF22</f>
        <v>10787078.949941987</v>
      </c>
      <c r="AG20" s="104">
        <f>'Production and fuel costs'!AG22</f>
        <v>11865409.83949253</v>
      </c>
      <c r="AH20" s="104">
        <f>'Production and fuel costs'!AH22</f>
        <v>11987166.709902495</v>
      </c>
      <c r="AI20" s="104">
        <f>'Production and fuel costs'!AI22</f>
        <v>12783785.398686685</v>
      </c>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row>
    <row r="21" spans="1:273" customFormat="1" x14ac:dyDescent="0.2">
      <c r="A21" s="2"/>
      <c r="B21" s="2" t="s">
        <v>146</v>
      </c>
      <c r="C21" s="2"/>
      <c r="D21" s="2"/>
      <c r="E21" s="2"/>
      <c r="F21" s="2" t="s">
        <v>70</v>
      </c>
      <c r="G21" s="2"/>
      <c r="H21" s="2"/>
      <c r="I21" s="2"/>
      <c r="J21" s="2"/>
      <c r="K21" s="2"/>
      <c r="L21" s="2"/>
      <c r="M21" s="2"/>
      <c r="N21" s="104">
        <f>'Production and fuel costs'!N23</f>
        <v>3273018.607038795</v>
      </c>
      <c r="O21" s="104">
        <f>'Production and fuel costs'!O23</f>
        <v>2933710.8898452404</v>
      </c>
      <c r="P21" s="104">
        <f>'Production and fuel costs'!P23</f>
        <v>4135478.5819013393</v>
      </c>
      <c r="Q21" s="104">
        <f>'Production and fuel costs'!Q23</f>
        <v>3620309.481495556</v>
      </c>
      <c r="R21" s="104">
        <f>'Production and fuel costs'!R23</f>
        <v>3979068.0604282953</v>
      </c>
      <c r="S21" s="104">
        <f>'Production and fuel costs'!S23</f>
        <v>3652070.4630950093</v>
      </c>
      <c r="T21" s="104">
        <f>'Production and fuel costs'!T23</f>
        <v>3357202.3738375348</v>
      </c>
      <c r="U21" s="104">
        <f>'Production and fuel costs'!U23</f>
        <v>3137136.3087714436</v>
      </c>
      <c r="V21" s="104">
        <f>'Production and fuel costs'!V23</f>
        <v>2547649.0139231863</v>
      </c>
      <c r="W21" s="104">
        <f>'Production and fuel costs'!W23</f>
        <v>1634417.7019914228</v>
      </c>
      <c r="X21" s="104">
        <f>'Production and fuel costs'!X23</f>
        <v>1023389.8122667933</v>
      </c>
      <c r="Y21" s="104">
        <f>'Production and fuel costs'!Y23</f>
        <v>2014064.2005554824</v>
      </c>
      <c r="Z21" s="104">
        <f>'Production and fuel costs'!Z23</f>
        <v>2382262.7017552736</v>
      </c>
      <c r="AA21" s="104">
        <f>'Production and fuel costs'!AA23</f>
        <v>2378448.6678919699</v>
      </c>
      <c r="AB21" s="104">
        <f>'Production and fuel costs'!AB23</f>
        <v>2601497.8777282666</v>
      </c>
      <c r="AC21" s="104">
        <f>'Production and fuel costs'!AC23</f>
        <v>2655867.316742402</v>
      </c>
      <c r="AD21" s="104">
        <f>'Production and fuel costs'!AD23</f>
        <v>2798067.0675456836</v>
      </c>
      <c r="AE21" s="104">
        <f>'Production and fuel costs'!AE23</f>
        <v>3470201.1803362006</v>
      </c>
      <c r="AF21" s="104">
        <f>'Production and fuel costs'!AF23</f>
        <v>3250572.6622380419</v>
      </c>
      <c r="AG21" s="104">
        <f>'Production and fuel costs'!AG23</f>
        <v>2466829.0205206648</v>
      </c>
      <c r="AH21" s="104">
        <f>'Production and fuel costs'!AH23</f>
        <v>2670662.4283620929</v>
      </c>
      <c r="AI21" s="104">
        <f>'Production and fuel costs'!AI23</f>
        <v>2017564.5904424509</v>
      </c>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row>
    <row r="22" spans="1:273" customForma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row>
    <row r="23" spans="1:273" customFormat="1" x14ac:dyDescent="0.2">
      <c r="A23" s="2"/>
      <c r="B23" s="2" t="s">
        <v>147</v>
      </c>
      <c r="C23" s="2"/>
      <c r="D23" s="2"/>
      <c r="E23" s="2"/>
      <c r="F23" s="2" t="s">
        <v>70</v>
      </c>
      <c r="G23" s="2"/>
      <c r="H23" s="2"/>
      <c r="I23" s="2"/>
      <c r="J23" s="2"/>
      <c r="K23" s="2"/>
      <c r="L23" s="2"/>
      <c r="M23" s="2"/>
      <c r="N23" s="86">
        <f>N20+N21</f>
        <v>12608714.716498174</v>
      </c>
      <c r="O23" s="86">
        <f t="shared" ref="O23:Y23" si="0">O20+O21</f>
        <v>12031368.375343811</v>
      </c>
      <c r="P23" s="86">
        <f t="shared" si="0"/>
        <v>13160347.867528072</v>
      </c>
      <c r="Q23" s="86">
        <f t="shared" si="0"/>
        <v>13495731.49267374</v>
      </c>
      <c r="R23" s="86">
        <f t="shared" si="0"/>
        <v>14434072.595732117</v>
      </c>
      <c r="S23" s="86">
        <f t="shared" si="0"/>
        <v>14320652.746505901</v>
      </c>
      <c r="T23" s="86">
        <f t="shared" si="0"/>
        <v>14481150.454478508</v>
      </c>
      <c r="U23" s="86">
        <f t="shared" si="0"/>
        <v>14805078.089608114</v>
      </c>
      <c r="V23" s="86">
        <f t="shared" si="0"/>
        <v>14962327.21572314</v>
      </c>
      <c r="W23" s="86">
        <f t="shared" si="0"/>
        <v>15088234.429155767</v>
      </c>
      <c r="X23" s="86">
        <f t="shared" si="0"/>
        <v>13858565.36859956</v>
      </c>
      <c r="Y23" s="86">
        <f t="shared" si="0"/>
        <v>13678095.018940544</v>
      </c>
      <c r="Z23" s="86">
        <f t="shared" ref="Z23:AI23" si="1">Z20+Z21</f>
        <v>12417975.501120169</v>
      </c>
      <c r="AA23" s="86">
        <f t="shared" si="1"/>
        <v>11435434.669779457</v>
      </c>
      <c r="AB23" s="86">
        <f t="shared" si="1"/>
        <v>13229872.110909535</v>
      </c>
      <c r="AC23" s="86">
        <f t="shared" si="1"/>
        <v>12808777.409666404</v>
      </c>
      <c r="AD23" s="86">
        <f t="shared" si="1"/>
        <v>14696141.100076217</v>
      </c>
      <c r="AE23" s="86">
        <f t="shared" si="1"/>
        <v>13814879.578621607</v>
      </c>
      <c r="AF23" s="86">
        <f t="shared" si="1"/>
        <v>14037651.612180028</v>
      </c>
      <c r="AG23" s="86">
        <f t="shared" si="1"/>
        <v>14332238.860013194</v>
      </c>
      <c r="AH23" s="86">
        <f t="shared" si="1"/>
        <v>14657829.138264589</v>
      </c>
      <c r="AI23" s="86">
        <f t="shared" si="1"/>
        <v>14801349.989129135</v>
      </c>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row>
    <row r="24" spans="1:273" customForma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row>
    <row r="25" spans="1:273" customFormat="1" x14ac:dyDescent="0.2">
      <c r="A25" s="2"/>
      <c r="B25" s="2" t="s">
        <v>464</v>
      </c>
      <c r="C25" s="2"/>
      <c r="D25" s="2"/>
      <c r="E25" s="2"/>
      <c r="F25" s="2" t="s">
        <v>86</v>
      </c>
      <c r="G25" s="2"/>
      <c r="H25" s="105">
        <f>SUM(N17:Y17)/SUM(N20:Y20)</f>
        <v>0.27934511103295734</v>
      </c>
      <c r="I25" s="2"/>
      <c r="J25" s="2"/>
      <c r="K25" s="2"/>
      <c r="L25" s="29"/>
      <c r="M25" s="2"/>
      <c r="N25" s="29"/>
      <c r="O25" s="29"/>
      <c r="P25" s="29"/>
      <c r="Q25" s="29"/>
      <c r="R25" s="29"/>
      <c r="S25" s="29"/>
      <c r="T25" s="29"/>
      <c r="U25" s="29"/>
      <c r="V25" s="29"/>
      <c r="W25" s="29"/>
      <c r="X25" s="29"/>
      <c r="Y25" s="29"/>
      <c r="Z25" s="29"/>
      <c r="AA25" s="29"/>
      <c r="AB25" s="29"/>
      <c r="AC25" s="29"/>
      <c r="AD25" s="29"/>
      <c r="AE25" s="29"/>
      <c r="AF25" s="29"/>
      <c r="AG25" s="29"/>
      <c r="AH25" s="29"/>
      <c r="AI25" s="29"/>
      <c r="AJ25" s="2"/>
      <c r="AK25" s="2"/>
      <c r="AL25" s="29"/>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row>
    <row r="26" spans="1:273" customFormat="1" x14ac:dyDescent="0.2">
      <c r="A26" s="2"/>
      <c r="B26" s="2"/>
      <c r="C26" s="2"/>
      <c r="D26" s="2"/>
      <c r="E26" s="2"/>
      <c r="F26" s="2"/>
      <c r="G26" s="2"/>
      <c r="H26" s="2"/>
      <c r="I26" s="2"/>
      <c r="J26" s="2"/>
      <c r="K26" s="2"/>
      <c r="L26" s="2"/>
      <c r="M26" s="2"/>
      <c r="N26" s="49"/>
      <c r="O26" s="49"/>
      <c r="P26" s="49"/>
      <c r="Q26" s="49"/>
      <c r="R26" s="49"/>
      <c r="S26" s="49"/>
      <c r="T26" s="49"/>
      <c r="U26" s="49"/>
      <c r="V26" s="49"/>
      <c r="W26" s="49"/>
      <c r="X26" s="49"/>
      <c r="Y26" s="49"/>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row>
    <row r="27" spans="1:273" customForma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row>
    <row r="28" spans="1:273" customFormat="1" x14ac:dyDescent="0.2">
      <c r="A28" s="8"/>
      <c r="B28" s="8" t="s">
        <v>196</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c r="JA28" s="8"/>
      <c r="JB28" s="8"/>
      <c r="JC28" s="8"/>
      <c r="JD28" s="8"/>
      <c r="JE28" s="8"/>
      <c r="JF28" s="8"/>
      <c r="JG28" s="8"/>
      <c r="JH28" s="8"/>
      <c r="JI28" s="8"/>
      <c r="JJ28" s="8"/>
      <c r="JK28" s="8"/>
      <c r="JL28" s="8"/>
      <c r="JM28" s="8"/>
    </row>
    <row r="29" spans="1:273" customForma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row>
    <row r="30" spans="1:273" customFormat="1" x14ac:dyDescent="0.2">
      <c r="A30" s="2"/>
      <c r="B30" s="1" t="s">
        <v>148</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row>
    <row r="31" spans="1:273" customFormat="1" x14ac:dyDescent="0.2">
      <c r="A31" s="2"/>
      <c r="B31" s="2" t="s">
        <v>197</v>
      </c>
      <c r="C31" s="2"/>
      <c r="D31" s="2"/>
      <c r="E31" s="2"/>
      <c r="F31" s="2" t="s">
        <v>150</v>
      </c>
      <c r="G31" s="2"/>
      <c r="H31" s="2"/>
      <c r="I31" s="2"/>
      <c r="J31" s="2"/>
      <c r="K31" s="2"/>
      <c r="L31" s="2"/>
      <c r="M31" s="2"/>
      <c r="N31" s="106">
        <f>'Production and fuel costs'!N31</f>
        <v>0.34633999999999998</v>
      </c>
      <c r="O31" s="106">
        <f>'Production and fuel costs'!O31</f>
        <v>0.33554</v>
      </c>
      <c r="P31" s="106">
        <f>'Production and fuel costs'!P31</f>
        <v>0.31342999999999999</v>
      </c>
      <c r="Q31" s="106">
        <f>'Production and fuel costs'!Q31</f>
        <v>0.31357999999999997</v>
      </c>
      <c r="R31" s="106">
        <f>'Production and fuel costs'!R31</f>
        <v>0.33226999999999995</v>
      </c>
      <c r="S31" s="106">
        <f>'Production and fuel costs'!S31</f>
        <v>0.32774000000000003</v>
      </c>
      <c r="T31" s="106">
        <f>'Production and fuel costs'!T31</f>
        <v>0.32774000000000003</v>
      </c>
      <c r="U31" s="106">
        <f>'Production and fuel costs'!U31</f>
        <v>0.32277999999999996</v>
      </c>
      <c r="V31" s="106">
        <f>'Production and fuel costs'!V31</f>
        <v>0.30443999999999999</v>
      </c>
      <c r="W31" s="106">
        <f>'Production and fuel costs'!W31</f>
        <v>0.30625999999999998</v>
      </c>
      <c r="X31" s="106">
        <f>'Production and fuel costs'!X31</f>
        <v>0.30549999999999999</v>
      </c>
      <c r="Y31" s="106">
        <f>'Production and fuel costs'!Y31</f>
        <v>0.29761000000000004</v>
      </c>
      <c r="Z31" s="106">
        <f>'Production and fuel costs'!Z31</f>
        <v>0.29852999999999996</v>
      </c>
      <c r="AA31" s="106">
        <f>'Production and fuel costs'!AA31</f>
        <v>0.28973000000000004</v>
      </c>
      <c r="AB31" s="106">
        <f>'Production and fuel costs'!AB31</f>
        <v>0.29425000000000001</v>
      </c>
      <c r="AC31" s="106">
        <f>'Production and fuel costs'!AC31</f>
        <v>0.29335</v>
      </c>
      <c r="AD31" s="106">
        <f>'Production and fuel costs'!AD31</f>
        <v>0.30472000000000005</v>
      </c>
      <c r="AE31" s="106">
        <f>'Production and fuel costs'!AE31</f>
        <v>0.3039</v>
      </c>
      <c r="AF31" s="106">
        <f>'Production and fuel costs'!AF31</f>
        <v>0.3039</v>
      </c>
      <c r="AG31" s="106">
        <f>'Production and fuel costs'!AG31</f>
        <v>0.28821000000000002</v>
      </c>
      <c r="AH31" s="106">
        <f>'Production and fuel costs'!AH31</f>
        <v>0.29555999999999999</v>
      </c>
      <c r="AI31" s="106">
        <f>'Production and fuel costs'!AI31</f>
        <v>0.29555999999999999</v>
      </c>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row>
    <row r="32" spans="1:273" customFormat="1" x14ac:dyDescent="0.2">
      <c r="A32" s="2"/>
      <c r="B32" s="2" t="s">
        <v>151</v>
      </c>
      <c r="C32" s="2"/>
      <c r="D32" s="2"/>
      <c r="E32" s="2"/>
      <c r="F32" s="2" t="s">
        <v>70</v>
      </c>
      <c r="G32" s="2"/>
      <c r="H32" s="2"/>
      <c r="I32" s="2"/>
      <c r="J32" s="2"/>
      <c r="K32" s="2"/>
      <c r="L32" s="2"/>
      <c r="M32" s="2"/>
      <c r="N32" s="107">
        <f>'Production and fuel costs'!N32</f>
        <v>12635070</v>
      </c>
      <c r="O32" s="107">
        <f>'Production and fuel costs'!O32</f>
        <v>12089440</v>
      </c>
      <c r="P32" s="107">
        <f>'Production and fuel costs'!P32</f>
        <v>13250390</v>
      </c>
      <c r="Q32" s="107">
        <f>'Production and fuel costs'!Q32</f>
        <v>13591710</v>
      </c>
      <c r="R32" s="107">
        <f>'Production and fuel costs'!R32</f>
        <v>14538270</v>
      </c>
      <c r="S32" s="107">
        <f>'Production and fuel costs'!S32</f>
        <v>14395080</v>
      </c>
      <c r="T32" s="107">
        <f>'Production and fuel costs'!T32</f>
        <v>14475650</v>
      </c>
      <c r="U32" s="107">
        <f>'Production and fuel costs'!U32</f>
        <v>14844582</v>
      </c>
      <c r="V32" s="107">
        <f>'Production and fuel costs'!V32</f>
        <v>15018465</v>
      </c>
      <c r="W32" s="107">
        <f>'Production and fuel costs'!W32</f>
        <v>15199710</v>
      </c>
      <c r="X32" s="107">
        <f>'Production and fuel costs'!X32</f>
        <v>13913910</v>
      </c>
      <c r="Y32" s="107">
        <f>'Production and fuel costs'!Y32</f>
        <v>13778310</v>
      </c>
      <c r="Z32" s="107">
        <f>'Production and fuel costs'!Z32</f>
        <v>12928020</v>
      </c>
      <c r="AA32" s="107">
        <f>'Production and fuel costs'!AA32</f>
        <v>11628900</v>
      </c>
      <c r="AB32" s="107">
        <f>'Production and fuel costs'!AB32</f>
        <v>13357070</v>
      </c>
      <c r="AC32" s="107">
        <f>'Production and fuel costs'!AC32</f>
        <v>13011580</v>
      </c>
      <c r="AD32" s="107">
        <f>'Production and fuel costs'!AD32</f>
        <v>14759500</v>
      </c>
      <c r="AE32" s="107">
        <f>'Production and fuel costs'!AE32</f>
        <v>13798730</v>
      </c>
      <c r="AF32" s="107">
        <f>'Production and fuel costs'!AF32</f>
        <v>14053910</v>
      </c>
      <c r="AG32" s="107">
        <f>'Production and fuel costs'!AG32</f>
        <v>15042810</v>
      </c>
      <c r="AH32" s="107">
        <f>'Production and fuel costs'!AH32</f>
        <v>15264580</v>
      </c>
      <c r="AI32" s="107">
        <f>'Production and fuel costs'!AI32</f>
        <v>15695890</v>
      </c>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row>
    <row r="33" spans="1:273" customForma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row>
    <row r="34" spans="1:273" customFormat="1" x14ac:dyDescent="0.2">
      <c r="A34" s="2"/>
      <c r="B34" s="1" t="s">
        <v>198</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row>
    <row r="35" spans="1:273" customFormat="1" x14ac:dyDescent="0.2">
      <c r="A35" s="2"/>
      <c r="B35" s="2" t="s">
        <v>199</v>
      </c>
      <c r="C35" s="2"/>
      <c r="D35" s="2"/>
      <c r="E35" s="2"/>
      <c r="F35" s="2" t="s">
        <v>150</v>
      </c>
      <c r="G35" s="2"/>
      <c r="H35" s="2"/>
      <c r="I35" s="2"/>
      <c r="J35" s="2"/>
      <c r="K35" s="2"/>
      <c r="L35" s="2"/>
      <c r="M35" s="2"/>
      <c r="N35" s="108">
        <f>'Production and fuel costs'!$H$38</f>
        <v>0.14101</v>
      </c>
      <c r="O35" s="108">
        <f>'Production and fuel costs'!$H$38</f>
        <v>0.14101</v>
      </c>
      <c r="P35" s="108">
        <f>'Production and fuel costs'!$H$38</f>
        <v>0.14101</v>
      </c>
      <c r="Q35" s="108">
        <f>'Production and fuel costs'!$H$38</f>
        <v>0.14101</v>
      </c>
      <c r="R35" s="108">
        <f>'Production and fuel costs'!$H$38</f>
        <v>0.14101</v>
      </c>
      <c r="S35" s="108">
        <f>'Production and fuel costs'!$H$38</f>
        <v>0.14101</v>
      </c>
      <c r="T35" s="108">
        <f>'Production and fuel costs'!$H$38</f>
        <v>0.14101</v>
      </c>
      <c r="U35" s="108">
        <f>'Production and fuel costs'!$H$38</f>
        <v>0.14101</v>
      </c>
      <c r="V35" s="108">
        <f>'Production and fuel costs'!$H$38</f>
        <v>0.14101</v>
      </c>
      <c r="W35" s="108">
        <f>'Production and fuel costs'!$H$38</f>
        <v>0.14101</v>
      </c>
      <c r="X35" s="108">
        <f>'Production and fuel costs'!$H$38</f>
        <v>0.14101</v>
      </c>
      <c r="Y35" s="108">
        <f>'Production and fuel costs'!$H$38</f>
        <v>0.14101</v>
      </c>
      <c r="Z35" s="108">
        <f>'Production and fuel costs'!$H$39</f>
        <v>0.12986</v>
      </c>
      <c r="AA35" s="108">
        <f>'Production and fuel costs'!$H$39</f>
        <v>0.12986</v>
      </c>
      <c r="AB35" s="108">
        <f>'Production and fuel costs'!$H$39</f>
        <v>0.12986</v>
      </c>
      <c r="AC35" s="108">
        <f>'Production and fuel costs'!$H$39</f>
        <v>0.12986</v>
      </c>
      <c r="AD35" s="108">
        <f>'Production and fuel costs'!$H$39</f>
        <v>0.12986</v>
      </c>
      <c r="AE35" s="108">
        <f>'Production and fuel costs'!$H$39</f>
        <v>0.12986</v>
      </c>
      <c r="AF35" s="108">
        <f>'Production and fuel costs'!$H$39</f>
        <v>0.12986</v>
      </c>
      <c r="AG35" s="108">
        <f>'Production and fuel costs'!$H$39</f>
        <v>0.12986</v>
      </c>
      <c r="AH35" s="108">
        <f>'Production and fuel costs'!$H$39</f>
        <v>0.12986</v>
      </c>
      <c r="AI35" s="108">
        <f>'Production and fuel costs'!$H$39</f>
        <v>0.12986</v>
      </c>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row>
    <row r="36" spans="1:273" customForma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row>
    <row r="37" spans="1:273" customForma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row>
    <row r="38" spans="1:273" customFormat="1" x14ac:dyDescent="0.2">
      <c r="A38" s="8"/>
      <c r="B38" s="8" t="s">
        <v>416</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c r="IW38" s="8"/>
      <c r="IX38" s="8"/>
      <c r="IY38" s="8"/>
      <c r="IZ38" s="8"/>
      <c r="JA38" s="8"/>
      <c r="JB38" s="8"/>
      <c r="JC38" s="8"/>
      <c r="JD38" s="8"/>
      <c r="JE38" s="8"/>
      <c r="JF38" s="8"/>
      <c r="JG38" s="8"/>
      <c r="JH38" s="8"/>
      <c r="JI38" s="8"/>
      <c r="JJ38" s="8"/>
      <c r="JK38" s="8"/>
      <c r="JL38" s="8"/>
      <c r="JM38" s="8"/>
    </row>
    <row r="39" spans="1:273" customForma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row>
    <row r="40" spans="1:273" customFormat="1" x14ac:dyDescent="0.2">
      <c r="A40" s="2"/>
      <c r="B40" s="1" t="s">
        <v>200</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row>
    <row r="41" spans="1:273" customFormat="1" x14ac:dyDescent="0.2">
      <c r="A41" s="2"/>
      <c r="B41" s="2" t="s">
        <v>201</v>
      </c>
      <c r="C41" s="2"/>
      <c r="D41" s="2"/>
      <c r="E41" s="2"/>
      <c r="F41" s="2" t="s">
        <v>150</v>
      </c>
      <c r="G41" s="2"/>
      <c r="H41" s="2"/>
      <c r="I41" s="2"/>
      <c r="J41" s="2"/>
      <c r="K41" s="2"/>
      <c r="L41" s="2"/>
      <c r="M41" s="2"/>
      <c r="N41" s="109">
        <f t="shared" ref="N41:Y41" si="2">N31-N35</f>
        <v>0.20532999999999998</v>
      </c>
      <c r="O41" s="109">
        <f t="shared" si="2"/>
        <v>0.19453000000000001</v>
      </c>
      <c r="P41" s="109">
        <f t="shared" si="2"/>
        <v>0.17241999999999999</v>
      </c>
      <c r="Q41" s="109">
        <f t="shared" si="2"/>
        <v>0.17256999999999997</v>
      </c>
      <c r="R41" s="109">
        <f t="shared" si="2"/>
        <v>0.19125999999999996</v>
      </c>
      <c r="S41" s="109">
        <f t="shared" si="2"/>
        <v>0.18673000000000003</v>
      </c>
      <c r="T41" s="109">
        <f t="shared" si="2"/>
        <v>0.18673000000000003</v>
      </c>
      <c r="U41" s="109">
        <f t="shared" si="2"/>
        <v>0.18176999999999996</v>
      </c>
      <c r="V41" s="109">
        <f t="shared" si="2"/>
        <v>0.16342999999999999</v>
      </c>
      <c r="W41" s="109">
        <f t="shared" si="2"/>
        <v>0.16524999999999998</v>
      </c>
      <c r="X41" s="109">
        <f t="shared" si="2"/>
        <v>0.16449</v>
      </c>
      <c r="Y41" s="109">
        <f t="shared" si="2"/>
        <v>0.15660000000000004</v>
      </c>
      <c r="Z41" s="109">
        <f t="shared" ref="Z41:AI41" si="3">Z31-Z35</f>
        <v>0.16866999999999996</v>
      </c>
      <c r="AA41" s="109">
        <f t="shared" si="3"/>
        <v>0.15987000000000004</v>
      </c>
      <c r="AB41" s="109">
        <f t="shared" si="3"/>
        <v>0.16439000000000001</v>
      </c>
      <c r="AC41" s="109">
        <f t="shared" si="3"/>
        <v>0.16349</v>
      </c>
      <c r="AD41" s="109">
        <f t="shared" si="3"/>
        <v>0.17486000000000004</v>
      </c>
      <c r="AE41" s="109">
        <f t="shared" si="3"/>
        <v>0.17404</v>
      </c>
      <c r="AF41" s="109">
        <f t="shared" si="3"/>
        <v>0.17404</v>
      </c>
      <c r="AG41" s="109">
        <f t="shared" si="3"/>
        <v>0.15835000000000002</v>
      </c>
      <c r="AH41" s="109">
        <f t="shared" si="3"/>
        <v>0.16569999999999999</v>
      </c>
      <c r="AI41" s="109">
        <f t="shared" si="3"/>
        <v>0.16569999999999999</v>
      </c>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row>
    <row r="42" spans="1:273" customFormat="1" x14ac:dyDescent="0.2">
      <c r="A42" s="2"/>
      <c r="B42" s="2" t="s">
        <v>202</v>
      </c>
      <c r="C42" s="2"/>
      <c r="D42" s="2"/>
      <c r="E42" s="2"/>
      <c r="F42" s="2" t="s">
        <v>82</v>
      </c>
      <c r="G42" s="2"/>
      <c r="H42" s="2"/>
      <c r="I42" s="2"/>
      <c r="J42" s="2"/>
      <c r="K42" s="2"/>
      <c r="L42" s="2"/>
      <c r="M42" s="2"/>
      <c r="N42" s="33">
        <f t="shared" ref="N42:Y42" si="4">N41*N32</f>
        <v>2594358.9230999998</v>
      </c>
      <c r="O42" s="33">
        <f t="shared" si="4"/>
        <v>2351758.7631999999</v>
      </c>
      <c r="P42" s="33">
        <f t="shared" si="4"/>
        <v>2284632.2437999998</v>
      </c>
      <c r="Q42" s="33">
        <f t="shared" si="4"/>
        <v>2345521.3946999996</v>
      </c>
      <c r="R42" s="33">
        <f t="shared" si="4"/>
        <v>2780589.5201999992</v>
      </c>
      <c r="S42" s="33">
        <f t="shared" si="4"/>
        <v>2687993.2884000004</v>
      </c>
      <c r="T42" s="33">
        <f t="shared" si="4"/>
        <v>2703038.1245000004</v>
      </c>
      <c r="U42" s="33">
        <f t="shared" si="4"/>
        <v>2698299.6701399996</v>
      </c>
      <c r="V42" s="33">
        <f t="shared" si="4"/>
        <v>2454467.73495</v>
      </c>
      <c r="W42" s="33">
        <f t="shared" si="4"/>
        <v>2511752.0774999997</v>
      </c>
      <c r="X42" s="33">
        <f t="shared" si="4"/>
        <v>2288699.0559</v>
      </c>
      <c r="Y42" s="33">
        <f t="shared" si="4"/>
        <v>2157683.3460000008</v>
      </c>
      <c r="Z42" s="33">
        <f t="shared" ref="Z42:AI42" si="5">Z41*Z32</f>
        <v>2180569.1333999997</v>
      </c>
      <c r="AA42" s="33">
        <f t="shared" si="5"/>
        <v>1859112.2430000005</v>
      </c>
      <c r="AB42" s="33">
        <f t="shared" si="5"/>
        <v>2195768.7373000002</v>
      </c>
      <c r="AC42" s="33">
        <f t="shared" si="5"/>
        <v>2127263.2141999998</v>
      </c>
      <c r="AD42" s="33">
        <f t="shared" si="5"/>
        <v>2580846.1700000009</v>
      </c>
      <c r="AE42" s="33">
        <f t="shared" si="5"/>
        <v>2401530.9692000002</v>
      </c>
      <c r="AF42" s="33">
        <f t="shared" si="5"/>
        <v>2445942.4964000001</v>
      </c>
      <c r="AG42" s="33">
        <f t="shared" si="5"/>
        <v>2382028.9635000001</v>
      </c>
      <c r="AH42" s="33">
        <f t="shared" si="5"/>
        <v>2529340.906</v>
      </c>
      <c r="AI42" s="33">
        <f t="shared" si="5"/>
        <v>2600808.9729999998</v>
      </c>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row>
    <row r="43" spans="1:273" customForma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row>
    <row r="44" spans="1:273" customFormat="1" x14ac:dyDescent="0.2">
      <c r="A44" s="2"/>
      <c r="B44" s="1" t="s">
        <v>203</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row>
    <row r="45" spans="1:273" customFormat="1" x14ac:dyDescent="0.2">
      <c r="A45" s="2"/>
      <c r="B45" s="2" t="s">
        <v>204</v>
      </c>
      <c r="C45" s="2"/>
      <c r="D45" s="2"/>
      <c r="E45" s="2"/>
      <c r="F45" s="2" t="s">
        <v>82</v>
      </c>
      <c r="G45" s="2"/>
      <c r="H45" s="2"/>
      <c r="I45" s="2"/>
      <c r="J45" s="2"/>
      <c r="K45" s="2"/>
      <c r="L45" s="2"/>
      <c r="M45" s="2"/>
      <c r="N45" s="86">
        <f t="shared" ref="N45:Y45" si="6">N16*N17</f>
        <v>2575860.5300000012</v>
      </c>
      <c r="O45" s="86">
        <f t="shared" si="6"/>
        <v>2352837.0100000007</v>
      </c>
      <c r="P45" s="86">
        <f t="shared" si="6"/>
        <v>2337481.3899999992</v>
      </c>
      <c r="Q45" s="86">
        <f t="shared" si="6"/>
        <v>2812804.4999999986</v>
      </c>
      <c r="R45" s="86">
        <f t="shared" si="6"/>
        <v>2945976.2099999986</v>
      </c>
      <c r="S45" s="86">
        <f t="shared" si="6"/>
        <v>2807602.9400000009</v>
      </c>
      <c r="T45" s="86">
        <f t="shared" si="6"/>
        <v>2802324.379999999</v>
      </c>
      <c r="U45" s="86">
        <f t="shared" si="6"/>
        <v>2784951.2099999995</v>
      </c>
      <c r="V45" s="86">
        <f t="shared" si="6"/>
        <v>2956410.3099999977</v>
      </c>
      <c r="W45" s="86">
        <f t="shared" si="6"/>
        <v>3135958.7099999995</v>
      </c>
      <c r="X45" s="86">
        <f t="shared" si="6"/>
        <v>2930348.9600000004</v>
      </c>
      <c r="Y45" s="86">
        <f t="shared" si="6"/>
        <v>2581907.7200000025</v>
      </c>
      <c r="Z45" s="86">
        <f t="shared" ref="Z45:AI45" si="7">Z16*Z17</f>
        <v>2328821.2400000012</v>
      </c>
      <c r="AA45" s="86">
        <f t="shared" si="7"/>
        <v>2033035.9899999998</v>
      </c>
      <c r="AB45" s="86">
        <f t="shared" si="7"/>
        <v>2420300.4099999988</v>
      </c>
      <c r="AC45" s="86">
        <f t="shared" si="7"/>
        <v>2380112.9999999995</v>
      </c>
      <c r="AD45" s="86">
        <f t="shared" si="7"/>
        <v>2799291.1599999997</v>
      </c>
      <c r="AE45" s="86">
        <f t="shared" si="7"/>
        <v>2294731.1849999987</v>
      </c>
      <c r="AF45" s="86">
        <f t="shared" si="7"/>
        <v>2464826.100000001</v>
      </c>
      <c r="AG45" s="86">
        <f t="shared" si="7"/>
        <v>2766951.1500000018</v>
      </c>
      <c r="AH45" s="86">
        <f t="shared" si="7"/>
        <v>2837177.1100000017</v>
      </c>
      <c r="AI45" s="86">
        <f t="shared" si="7"/>
        <v>3080614.647961962</v>
      </c>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row>
    <row r="46" spans="1:273" customFormat="1" x14ac:dyDescent="0.2">
      <c r="A46" s="2"/>
      <c r="B46" s="2"/>
      <c r="C46" s="2"/>
      <c r="D46" s="2"/>
      <c r="E46" s="2"/>
      <c r="F46" s="2"/>
      <c r="G46" s="2"/>
      <c r="H46" s="2"/>
      <c r="I46" s="2"/>
      <c r="J46" s="2"/>
      <c r="K46" s="2"/>
      <c r="L46" s="2"/>
      <c r="M46" s="2"/>
      <c r="N46" s="77"/>
      <c r="O46" s="77"/>
      <c r="P46" s="77"/>
      <c r="Q46" s="77"/>
      <c r="R46" s="77"/>
      <c r="S46" s="77"/>
      <c r="T46" s="77"/>
      <c r="U46" s="77"/>
      <c r="V46" s="77"/>
      <c r="W46" s="77"/>
      <c r="X46" s="77"/>
      <c r="Y46" s="77"/>
      <c r="Z46" s="77"/>
      <c r="AA46" s="77"/>
      <c r="AB46" s="77"/>
      <c r="AC46" s="77"/>
      <c r="AD46" s="77"/>
      <c r="AE46" s="77"/>
      <c r="AF46" s="77"/>
      <c r="AG46" s="77"/>
      <c r="AH46" s="77"/>
      <c r="AI46" s="77"/>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row>
    <row r="47" spans="1:273" customFormat="1" x14ac:dyDescent="0.2">
      <c r="A47" s="2"/>
      <c r="B47" s="2" t="s">
        <v>205</v>
      </c>
      <c r="C47" s="2"/>
      <c r="D47" s="2"/>
      <c r="E47" s="2"/>
      <c r="F47" s="2" t="s">
        <v>82</v>
      </c>
      <c r="G47" s="2"/>
      <c r="H47" s="2"/>
      <c r="I47" s="2"/>
      <c r="J47" s="2"/>
      <c r="K47" s="2"/>
      <c r="L47" s="2"/>
      <c r="M47" s="2"/>
      <c r="N47" s="86">
        <f>N45-N42</f>
        <v>-18498.39309999859</v>
      </c>
      <c r="O47" s="86">
        <f t="shared" ref="O47:Y47" si="8">O45-O42</f>
        <v>1078.2468000007793</v>
      </c>
      <c r="P47" s="86">
        <f t="shared" si="8"/>
        <v>52849.146199999377</v>
      </c>
      <c r="Q47" s="86">
        <f t="shared" si="8"/>
        <v>467283.10529999901</v>
      </c>
      <c r="R47" s="86">
        <f t="shared" si="8"/>
        <v>165386.68979999935</v>
      </c>
      <c r="S47" s="86">
        <f t="shared" si="8"/>
        <v>119609.65160000045</v>
      </c>
      <c r="T47" s="86">
        <f t="shared" si="8"/>
        <v>99286.255499998573</v>
      </c>
      <c r="U47" s="86">
        <f t="shared" si="8"/>
        <v>86651.539859999903</v>
      </c>
      <c r="V47" s="86">
        <f t="shared" si="8"/>
        <v>501942.57504999777</v>
      </c>
      <c r="W47" s="86">
        <f t="shared" si="8"/>
        <v>624206.63249999983</v>
      </c>
      <c r="X47" s="86">
        <f t="shared" si="8"/>
        <v>641649.90410000039</v>
      </c>
      <c r="Y47" s="86">
        <f t="shared" si="8"/>
        <v>424224.3740000017</v>
      </c>
      <c r="Z47" s="86">
        <f t="shared" ref="Z47:AI47" si="9">Z45-Z42</f>
        <v>148252.10660000145</v>
      </c>
      <c r="AA47" s="86">
        <f t="shared" si="9"/>
        <v>173923.74699999928</v>
      </c>
      <c r="AB47" s="86">
        <f t="shared" si="9"/>
        <v>224531.6726999986</v>
      </c>
      <c r="AC47" s="86">
        <f t="shared" si="9"/>
        <v>252849.78579999972</v>
      </c>
      <c r="AD47" s="86">
        <f t="shared" si="9"/>
        <v>218444.98999999883</v>
      </c>
      <c r="AE47" s="86">
        <f t="shared" si="9"/>
        <v>-106799.78420000151</v>
      </c>
      <c r="AF47" s="86">
        <f t="shared" si="9"/>
        <v>18883.603600000963</v>
      </c>
      <c r="AG47" s="86">
        <f t="shared" si="9"/>
        <v>384922.1865000017</v>
      </c>
      <c r="AH47" s="86">
        <f t="shared" si="9"/>
        <v>307836.20400000177</v>
      </c>
      <c r="AI47" s="86">
        <f t="shared" si="9"/>
        <v>479805.67496196227</v>
      </c>
      <c r="AJ47" s="2"/>
      <c r="AK47" s="2" t="s">
        <v>358</v>
      </c>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row>
    <row r="48" spans="1:273" customFormat="1" x14ac:dyDescent="0.2">
      <c r="A48" s="2"/>
      <c r="B48" s="2"/>
      <c r="C48" s="2"/>
      <c r="D48" s="2"/>
      <c r="E48" s="2"/>
      <c r="F48" s="2"/>
      <c r="G48" s="2"/>
      <c r="H48" s="2"/>
      <c r="I48" s="2"/>
      <c r="J48" s="2"/>
      <c r="K48" s="2"/>
      <c r="L48" s="2"/>
      <c r="M48" s="2"/>
      <c r="N48" s="77"/>
      <c r="O48" s="77"/>
      <c r="P48" s="77"/>
      <c r="Q48" s="77"/>
      <c r="R48" s="77"/>
      <c r="S48" s="77"/>
      <c r="T48" s="77"/>
      <c r="U48" s="77"/>
      <c r="V48" s="77"/>
      <c r="W48" s="77"/>
      <c r="X48" s="77"/>
      <c r="Y48" s="77"/>
      <c r="Z48" s="77"/>
      <c r="AA48" s="77"/>
      <c r="AB48" s="77"/>
      <c r="AC48" s="77"/>
      <c r="AD48" s="77"/>
      <c r="AE48" s="77"/>
      <c r="AF48" s="77"/>
      <c r="AG48" s="77"/>
      <c r="AH48" s="77"/>
      <c r="AI48" s="77"/>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row>
    <row r="49" spans="1:273" customFormat="1" x14ac:dyDescent="0.2">
      <c r="A49" s="2"/>
      <c r="B49" s="2" t="s">
        <v>417</v>
      </c>
      <c r="C49" s="2"/>
      <c r="D49" s="2"/>
      <c r="E49" s="2"/>
      <c r="F49" s="2" t="s">
        <v>265</v>
      </c>
      <c r="G49" s="2"/>
      <c r="H49" s="102">
        <f>SUM(N47:Y47)</f>
        <v>3165669.7276099985</v>
      </c>
      <c r="I49" s="2"/>
      <c r="J49" s="2"/>
      <c r="K49" s="2"/>
      <c r="L49" s="2"/>
      <c r="M49" s="2"/>
      <c r="N49" s="77"/>
      <c r="O49" s="77"/>
      <c r="P49" s="77"/>
      <c r="Q49" s="77"/>
      <c r="R49" s="77"/>
      <c r="S49" s="77"/>
      <c r="T49" s="77"/>
      <c r="U49" s="77"/>
      <c r="V49" s="77"/>
      <c r="W49" s="77"/>
      <c r="X49" s="77"/>
      <c r="AJ49" s="2"/>
      <c r="AK49" s="2" t="s">
        <v>418</v>
      </c>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row>
    <row r="50" spans="1:273" customFormat="1" x14ac:dyDescent="0.2">
      <c r="A50" s="2"/>
      <c r="B50" s="2" t="s">
        <v>480</v>
      </c>
      <c r="C50" s="2"/>
      <c r="D50" s="2"/>
      <c r="E50" s="2"/>
      <c r="F50" s="2" t="s">
        <v>259</v>
      </c>
      <c r="G50" s="2"/>
      <c r="H50" s="25">
        <f>SUM(Z47:AI47)</f>
        <v>2102650.1869619628</v>
      </c>
      <c r="I50" s="2"/>
      <c r="J50" s="2"/>
      <c r="K50" s="2"/>
      <c r="L50" s="2"/>
      <c r="M50" s="2"/>
      <c r="N50" s="2"/>
      <c r="O50" s="2"/>
      <c r="P50" s="2"/>
      <c r="Q50" s="2"/>
      <c r="R50" s="110"/>
      <c r="S50" s="110"/>
      <c r="T50" s="110"/>
      <c r="U50" s="110"/>
      <c r="V50" s="110"/>
      <c r="W50" s="110"/>
      <c r="X50" s="110"/>
      <c r="Y50" s="110"/>
      <c r="Z50" s="110"/>
      <c r="AA50" s="110"/>
      <c r="AB50" s="110"/>
      <c r="AC50" s="110"/>
      <c r="AD50" s="110"/>
      <c r="AE50" s="110"/>
      <c r="AF50" s="110"/>
      <c r="AG50" s="110"/>
      <c r="AH50" s="110"/>
      <c r="AI50" s="110"/>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row>
    <row r="54" spans="1:273" x14ac:dyDescent="0.2">
      <c r="B54" s="4" t="s">
        <v>63</v>
      </c>
    </row>
  </sheetData>
  <phoneticPr fontId="34"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444BD-7486-49C3-9B80-A51CBA4E83F2}">
  <sheetPr>
    <tabColor rgb="FFFFFFCC"/>
  </sheetPr>
  <dimension ref="A1:N68"/>
  <sheetViews>
    <sheetView showGridLines="0" zoomScale="85" zoomScaleNormal="85" workbookViewId="0">
      <pane xSplit="6" ySplit="11" topLeftCell="G12" activePane="bottomRight" state="frozen"/>
      <selection activeCell="H18" sqref="H18"/>
      <selection pane="topRight" activeCell="H18" sqref="H18"/>
      <selection pane="bottomLeft" activeCell="H18" sqref="H18"/>
      <selection pane="bottomRight" activeCell="G12" sqref="G12"/>
    </sheetView>
  </sheetViews>
  <sheetFormatPr defaultRowHeight="12.75" x14ac:dyDescent="0.2"/>
  <cols>
    <col min="1" max="1" width="4.7109375" style="2" customWidth="1"/>
    <col min="2" max="2" width="63.5703125" style="2" customWidth="1"/>
    <col min="3" max="3" width="4.7109375" style="2" customWidth="1"/>
    <col min="4" max="5" width="4.5703125" style="2" customWidth="1"/>
    <col min="6" max="6" width="16.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1" width="12.140625" style="2" customWidth="1"/>
    <col min="22" max="24" width="2.7109375" style="2" customWidth="1"/>
    <col min="25" max="39" width="13.7109375" style="2" customWidth="1"/>
    <col min="40" max="16384" width="9.140625" style="2"/>
  </cols>
  <sheetData>
    <row r="1" spans="1:10" x14ac:dyDescent="0.2">
      <c r="A1" s="9"/>
    </row>
    <row r="2" spans="1:10" s="15" customFormat="1" ht="18" x14ac:dyDescent="0.2">
      <c r="B2" s="15" t="s">
        <v>392</v>
      </c>
    </row>
    <row r="4" spans="1:10" x14ac:dyDescent="0.2">
      <c r="B4" s="23" t="s">
        <v>166</v>
      </c>
      <c r="C4" s="1"/>
      <c r="D4" s="1"/>
    </row>
    <row r="5" spans="1:10" x14ac:dyDescent="0.2">
      <c r="B5" s="2" t="s">
        <v>206</v>
      </c>
      <c r="H5" s="16"/>
    </row>
    <row r="6" spans="1:10" x14ac:dyDescent="0.2">
      <c r="B6" s="2" t="s">
        <v>207</v>
      </c>
      <c r="H6" s="16"/>
    </row>
    <row r="7" spans="1:10" x14ac:dyDescent="0.2">
      <c r="B7" s="2" t="s">
        <v>208</v>
      </c>
      <c r="H7" s="16"/>
    </row>
    <row r="8" spans="1:10" x14ac:dyDescent="0.2">
      <c r="H8" s="16"/>
    </row>
    <row r="10" spans="1:10" s="8" customFormat="1" x14ac:dyDescent="0.2">
      <c r="B10" s="8" t="s">
        <v>12</v>
      </c>
      <c r="F10" s="8" t="s">
        <v>35</v>
      </c>
      <c r="H10" s="8" t="s">
        <v>36</v>
      </c>
      <c r="J10" s="8" t="s">
        <v>68</v>
      </c>
    </row>
    <row r="13" spans="1:10" s="8" customFormat="1" x14ac:dyDescent="0.2">
      <c r="B13" s="8" t="s">
        <v>393</v>
      </c>
    </row>
    <row r="15" spans="1:10" x14ac:dyDescent="0.2">
      <c r="B15" s="1" t="s">
        <v>394</v>
      </c>
    </row>
    <row r="16" spans="1:10" x14ac:dyDescent="0.2">
      <c r="B16" s="2" t="s">
        <v>395</v>
      </c>
      <c r="F16" s="2" t="s">
        <v>265</v>
      </c>
      <c r="H16" s="32">
        <f>'Est. and realized costs 2024'!H20</f>
        <v>17293275.530519724</v>
      </c>
    </row>
    <row r="17" spans="2:12" x14ac:dyDescent="0.2">
      <c r="B17" s="43" t="s">
        <v>396</v>
      </c>
      <c r="F17" s="2" t="s">
        <v>265</v>
      </c>
      <c r="H17" s="32">
        <f>'Est. and realized costs 2024'!H21</f>
        <v>925050.97168000008</v>
      </c>
    </row>
    <row r="19" spans="2:12" x14ac:dyDescent="0.2">
      <c r="B19" s="23" t="s">
        <v>397</v>
      </c>
    </row>
    <row r="20" spans="2:12" x14ac:dyDescent="0.2">
      <c r="B20" s="43" t="s">
        <v>395</v>
      </c>
      <c r="F20" s="2" t="s">
        <v>265</v>
      </c>
      <c r="H20" s="32">
        <f>'Est. and realized costs 2024'!H24</f>
        <v>18204284.702077493</v>
      </c>
    </row>
    <row r="22" spans="2:12" x14ac:dyDescent="0.2">
      <c r="B22" s="2" t="s">
        <v>398</v>
      </c>
      <c r="F22" s="2" t="s">
        <v>70</v>
      </c>
      <c r="H22" s="32">
        <f>'Est. and realized costs 2024'!H27</f>
        <v>147882686.243</v>
      </c>
    </row>
    <row r="24" spans="2:12" x14ac:dyDescent="0.2">
      <c r="B24" s="1" t="s">
        <v>399</v>
      </c>
    </row>
    <row r="25" spans="2:12" x14ac:dyDescent="0.2">
      <c r="B25" s="2" t="s">
        <v>109</v>
      </c>
      <c r="F25" s="2" t="s">
        <v>265</v>
      </c>
      <c r="H25" s="32">
        <f>'Est. and realized costs 2024'!H37</f>
        <v>10381317</v>
      </c>
    </row>
    <row r="26" spans="2:12" x14ac:dyDescent="0.2">
      <c r="B26" s="2" t="s">
        <v>400</v>
      </c>
      <c r="F26" s="2" t="s">
        <v>265</v>
      </c>
      <c r="H26" s="32">
        <f>'Calculation RAB'!H490</f>
        <v>10062009.217333596</v>
      </c>
    </row>
    <row r="28" spans="2:12" x14ac:dyDescent="0.2">
      <c r="B28" s="2" t="s">
        <v>401</v>
      </c>
      <c r="F28" s="2" t="s">
        <v>70</v>
      </c>
      <c r="H28" s="32">
        <f>'Production and fuel costs'!J25</f>
        <v>166924338.37078744</v>
      </c>
      <c r="J28" s="18"/>
      <c r="L28" s="77"/>
    </row>
    <row r="30" spans="2:12" x14ac:dyDescent="0.2">
      <c r="B30" s="2" t="s">
        <v>102</v>
      </c>
      <c r="F30" s="2" t="s">
        <v>79</v>
      </c>
      <c r="H30" s="93">
        <f>Parameters!H36</f>
        <v>0.5</v>
      </c>
    </row>
    <row r="33" spans="2:14" s="8" customFormat="1" x14ac:dyDescent="0.2">
      <c r="B33" s="8" t="s">
        <v>216</v>
      </c>
    </row>
    <row r="35" spans="2:14" x14ac:dyDescent="0.2">
      <c r="B35" s="1" t="s">
        <v>402</v>
      </c>
    </row>
    <row r="36" spans="2:14" x14ac:dyDescent="0.2">
      <c r="B36" s="39" t="s">
        <v>209</v>
      </c>
      <c r="F36" s="2" t="s">
        <v>265</v>
      </c>
      <c r="H36" s="32">
        <f>H17</f>
        <v>925050.97168000008</v>
      </c>
      <c r="J36" s="2" t="s">
        <v>210</v>
      </c>
      <c r="L36" s="126"/>
    </row>
    <row r="37" spans="2:14" x14ac:dyDescent="0.2">
      <c r="B37" s="2" t="s">
        <v>403</v>
      </c>
      <c r="F37" s="2" t="s">
        <v>265</v>
      </c>
      <c r="H37" s="86">
        <f>H16-H36</f>
        <v>16368224.558839723</v>
      </c>
      <c r="J37" s="42"/>
      <c r="L37" s="97"/>
    </row>
    <row r="38" spans="2:14" x14ac:dyDescent="0.2">
      <c r="B38" s="2" t="s">
        <v>211</v>
      </c>
      <c r="F38" s="2" t="s">
        <v>412</v>
      </c>
      <c r="H38" s="109">
        <f>H36/H22</f>
        <v>6.2553027347634297E-3</v>
      </c>
      <c r="J38" s="42" t="s">
        <v>212</v>
      </c>
      <c r="L38" s="130"/>
    </row>
    <row r="39" spans="2:14" x14ac:dyDescent="0.2">
      <c r="L39" s="9"/>
    </row>
    <row r="40" spans="2:14" x14ac:dyDescent="0.2">
      <c r="B40" s="1" t="s">
        <v>404</v>
      </c>
      <c r="H40" s="77"/>
    </row>
    <row r="41" spans="2:14" x14ac:dyDescent="0.2">
      <c r="B41" s="2" t="s">
        <v>405</v>
      </c>
      <c r="F41" s="2" t="s">
        <v>265</v>
      </c>
      <c r="H41" s="86">
        <f>H37*(H28/H22)</f>
        <v>18475827.861952472</v>
      </c>
      <c r="L41" s="97"/>
    </row>
    <row r="42" spans="2:14" x14ac:dyDescent="0.2">
      <c r="B42" s="2" t="s">
        <v>406</v>
      </c>
      <c r="F42" s="2" t="s">
        <v>265</v>
      </c>
      <c r="H42" s="25">
        <f>H37-H41</f>
        <v>-2107603.303112749</v>
      </c>
      <c r="J42" s="2" t="s">
        <v>359</v>
      </c>
      <c r="L42" s="131"/>
      <c r="N42" s="42"/>
    </row>
    <row r="43" spans="2:14" x14ac:dyDescent="0.2">
      <c r="H43" s="77"/>
    </row>
    <row r="45" spans="2:14" s="8" customFormat="1" x14ac:dyDescent="0.2">
      <c r="B45" s="8" t="s">
        <v>217</v>
      </c>
    </row>
    <row r="47" spans="2:14" x14ac:dyDescent="0.2">
      <c r="B47" s="1" t="s">
        <v>407</v>
      </c>
    </row>
    <row r="48" spans="2:14" x14ac:dyDescent="0.2">
      <c r="B48" s="39" t="s">
        <v>209</v>
      </c>
      <c r="F48" s="2" t="s">
        <v>265</v>
      </c>
      <c r="H48" s="32">
        <f>H17</f>
        <v>925050.97168000008</v>
      </c>
      <c r="J48" s="2" t="s">
        <v>210</v>
      </c>
      <c r="L48" s="126"/>
    </row>
    <row r="49" spans="2:14" x14ac:dyDescent="0.2">
      <c r="B49" s="2" t="s">
        <v>403</v>
      </c>
      <c r="F49" s="2" t="s">
        <v>265</v>
      </c>
      <c r="H49" s="86">
        <f>H20-H48</f>
        <v>17279233.730397493</v>
      </c>
      <c r="J49" s="42"/>
      <c r="L49" s="97"/>
    </row>
    <row r="50" spans="2:14" x14ac:dyDescent="0.2">
      <c r="B50" s="2" t="s">
        <v>211</v>
      </c>
      <c r="F50" s="2" t="s">
        <v>412</v>
      </c>
      <c r="H50" s="109">
        <f>H48/H22</f>
        <v>6.2553027347634297E-3</v>
      </c>
      <c r="J50" s="42" t="s">
        <v>212</v>
      </c>
      <c r="L50" s="130"/>
    </row>
    <row r="51" spans="2:14" x14ac:dyDescent="0.2">
      <c r="L51" s="9"/>
    </row>
    <row r="52" spans="2:14" x14ac:dyDescent="0.2">
      <c r="B52" s="2" t="s">
        <v>408</v>
      </c>
      <c r="F52" s="2" t="s">
        <v>265</v>
      </c>
      <c r="H52" s="33">
        <f>H50*H28</f>
        <v>1044162.2703093628</v>
      </c>
      <c r="L52" s="99"/>
    </row>
    <row r="53" spans="2:14" x14ac:dyDescent="0.2">
      <c r="B53" s="2" t="s">
        <v>409</v>
      </c>
      <c r="F53" s="2" t="s">
        <v>265</v>
      </c>
      <c r="H53" s="33">
        <f>H49+H52</f>
        <v>18323396.000706855</v>
      </c>
      <c r="J53" s="2" t="s">
        <v>213</v>
      </c>
      <c r="L53" s="99"/>
    </row>
    <row r="54" spans="2:14" x14ac:dyDescent="0.2">
      <c r="L54" s="9"/>
    </row>
    <row r="55" spans="2:14" x14ac:dyDescent="0.2">
      <c r="B55" s="1" t="s">
        <v>410</v>
      </c>
      <c r="L55" s="9"/>
    </row>
    <row r="56" spans="2:14" x14ac:dyDescent="0.2">
      <c r="B56" s="2" t="s">
        <v>214</v>
      </c>
      <c r="F56" s="2" t="s">
        <v>265</v>
      </c>
      <c r="H56" s="86">
        <f>SUM(H25:H26)</f>
        <v>20443326.217333596</v>
      </c>
      <c r="J56" s="2" t="s">
        <v>215</v>
      </c>
      <c r="L56" s="97"/>
    </row>
    <row r="58" spans="2:14" x14ac:dyDescent="0.2">
      <c r="B58" s="1" t="s">
        <v>218</v>
      </c>
    </row>
    <row r="59" spans="2:14" x14ac:dyDescent="0.2">
      <c r="B59" s="2" t="s">
        <v>411</v>
      </c>
      <c r="F59" s="2" t="s">
        <v>265</v>
      </c>
      <c r="H59" s="33">
        <f>H53-H56</f>
        <v>-2119930.216626741</v>
      </c>
    </row>
    <row r="60" spans="2:14" x14ac:dyDescent="0.2">
      <c r="B60" s="2" t="s">
        <v>219</v>
      </c>
      <c r="F60" s="2" t="s">
        <v>265</v>
      </c>
      <c r="H60" s="25">
        <f>H59*-1*H30</f>
        <v>1059965.1083133705</v>
      </c>
      <c r="J60" s="2" t="s">
        <v>360</v>
      </c>
      <c r="N60" s="42"/>
    </row>
    <row r="68" spans="2:2" x14ac:dyDescent="0.2">
      <c r="B68" s="4" t="s">
        <v>63</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0E214-F21A-4E01-84D3-8E163BB75F0C}">
  <sheetPr>
    <tabColor rgb="FFFFFFCC"/>
  </sheetPr>
  <dimension ref="A1:AB88"/>
  <sheetViews>
    <sheetView showGridLines="0" zoomScale="85" zoomScaleNormal="85" workbookViewId="0">
      <pane xSplit="6" ySplit="10" topLeftCell="G11" activePane="bottomRight" state="frozen"/>
      <selection activeCell="H18" sqref="H18"/>
      <selection pane="topRight" activeCell="H18" sqref="H18"/>
      <selection pane="bottomLeft" activeCell="H18" sqref="H18"/>
      <selection pane="bottomRight" activeCell="G11" sqref="G11"/>
    </sheetView>
  </sheetViews>
  <sheetFormatPr defaultRowHeight="12.75" x14ac:dyDescent="0.2"/>
  <cols>
    <col min="1" max="1" width="4.7109375" style="2" customWidth="1"/>
    <col min="2" max="2" width="67.28515625" style="2" customWidth="1"/>
    <col min="3" max="3" width="4.7109375" style="2" customWidth="1"/>
    <col min="4" max="5" width="4.5703125" style="2" customWidth="1"/>
    <col min="6" max="6" width="18.425781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1" width="12.140625" style="2" customWidth="1"/>
    <col min="22" max="24" width="2.7109375" style="2" customWidth="1"/>
    <col min="25" max="39" width="13.7109375" style="2" customWidth="1"/>
    <col min="40" max="16384" width="9.140625" style="2"/>
  </cols>
  <sheetData>
    <row r="1" spans="1:10" x14ac:dyDescent="0.2">
      <c r="A1" s="9"/>
    </row>
    <row r="2" spans="1:10" s="15" customFormat="1" ht="18" x14ac:dyDescent="0.2">
      <c r="B2" s="15" t="s">
        <v>361</v>
      </c>
    </row>
    <row r="4" spans="1:10" x14ac:dyDescent="0.2">
      <c r="B4" s="23" t="s">
        <v>166</v>
      </c>
      <c r="C4" s="1"/>
      <c r="D4" s="1"/>
    </row>
    <row r="5" spans="1:10" x14ac:dyDescent="0.2">
      <c r="B5" s="2" t="s">
        <v>362</v>
      </c>
      <c r="H5" s="16"/>
    </row>
    <row r="6" spans="1:10" x14ac:dyDescent="0.2">
      <c r="B6" s="2" t="s">
        <v>220</v>
      </c>
      <c r="H6" s="16"/>
    </row>
    <row r="7" spans="1:10" x14ac:dyDescent="0.2">
      <c r="B7" s="24"/>
    </row>
    <row r="9" spans="1:10" s="8" customFormat="1" x14ac:dyDescent="0.2">
      <c r="B9" s="8" t="s">
        <v>12</v>
      </c>
      <c r="F9" s="8" t="s">
        <v>35</v>
      </c>
      <c r="H9" s="8" t="s">
        <v>36</v>
      </c>
      <c r="J9" s="8" t="s">
        <v>68</v>
      </c>
    </row>
    <row r="12" spans="1:10" s="8" customFormat="1" x14ac:dyDescent="0.2">
      <c r="B12" s="8" t="s">
        <v>221</v>
      </c>
    </row>
    <row r="14" spans="1:10" x14ac:dyDescent="0.2">
      <c r="B14" s="2" t="s">
        <v>97</v>
      </c>
      <c r="F14" s="2" t="s">
        <v>79</v>
      </c>
      <c r="H14" s="111">
        <f>Parameters!H18</f>
        <v>2.5000000000000001E-2</v>
      </c>
    </row>
    <row r="15" spans="1:10" x14ac:dyDescent="0.2">
      <c r="B15" s="2" t="s">
        <v>345</v>
      </c>
      <c r="F15" s="2" t="s">
        <v>79</v>
      </c>
      <c r="H15" s="111">
        <f>Parameters!H19</f>
        <v>3.3000000000000002E-2</v>
      </c>
    </row>
    <row r="17" spans="1:8" x14ac:dyDescent="0.2">
      <c r="B17" s="2" t="s">
        <v>363</v>
      </c>
      <c r="F17" s="2" t="s">
        <v>79</v>
      </c>
      <c r="H17" s="111">
        <f>Parameters!H24</f>
        <v>0.03</v>
      </c>
    </row>
    <row r="18" spans="1:8" x14ac:dyDescent="0.2">
      <c r="B18" s="2" t="s">
        <v>385</v>
      </c>
      <c r="F18" s="2" t="s">
        <v>222</v>
      </c>
      <c r="H18" s="112">
        <f>(1+$H$17)^2</f>
        <v>1.0609</v>
      </c>
    </row>
    <row r="21" spans="1:8" s="8" customFormat="1" x14ac:dyDescent="0.2">
      <c r="B21" s="8" t="s">
        <v>364</v>
      </c>
    </row>
    <row r="23" spans="1:8" x14ac:dyDescent="0.2">
      <c r="B23" s="1" t="s">
        <v>365</v>
      </c>
    </row>
    <row r="24" spans="1:8" x14ac:dyDescent="0.2">
      <c r="B24" s="2" t="s">
        <v>386</v>
      </c>
      <c r="F24" s="2" t="s">
        <v>265</v>
      </c>
      <c r="H24" s="32">
        <f>'Est. and realized costs 2024'!H37</f>
        <v>10381317</v>
      </c>
    </row>
    <row r="25" spans="1:8" x14ac:dyDescent="0.2">
      <c r="B25" s="18" t="s">
        <v>387</v>
      </c>
      <c r="F25" s="2" t="s">
        <v>265</v>
      </c>
      <c r="H25" s="32">
        <f>'Est. and realized costs 2024'!H40</f>
        <v>0</v>
      </c>
    </row>
    <row r="26" spans="1:8" x14ac:dyDescent="0.2">
      <c r="A26" s="9"/>
      <c r="B26" s="4" t="s">
        <v>366</v>
      </c>
    </row>
    <row r="27" spans="1:8" x14ac:dyDescent="0.2">
      <c r="A27" s="9"/>
      <c r="B27" s="18" t="s">
        <v>560</v>
      </c>
      <c r="F27" s="2" t="s">
        <v>356</v>
      </c>
      <c r="H27" s="32">
        <f>'Est. production and costs 2026'!H101</f>
        <v>207529.69999999995</v>
      </c>
    </row>
    <row r="28" spans="1:8" x14ac:dyDescent="0.2">
      <c r="A28" s="9"/>
      <c r="B28" s="2" t="s">
        <v>357</v>
      </c>
      <c r="F28" s="2" t="s">
        <v>356</v>
      </c>
      <c r="H28" s="32">
        <f>'Est. production and costs 2026'!H96</f>
        <v>228300.18</v>
      </c>
    </row>
    <row r="29" spans="1:8" x14ac:dyDescent="0.2">
      <c r="A29" s="9"/>
      <c r="B29" s="4" t="s">
        <v>266</v>
      </c>
      <c r="H29" s="126"/>
    </row>
    <row r="30" spans="1:8" x14ac:dyDescent="0.2">
      <c r="B30" s="2" t="s">
        <v>223</v>
      </c>
      <c r="F30" s="2" t="s">
        <v>79</v>
      </c>
      <c r="H30" s="113">
        <f>'Est. production and costs 2026'!H106</f>
        <v>0.11</v>
      </c>
    </row>
    <row r="32" spans="1:8" x14ac:dyDescent="0.2">
      <c r="B32" s="1" t="s">
        <v>367</v>
      </c>
    </row>
    <row r="33" spans="2:28" x14ac:dyDescent="0.2">
      <c r="B33" s="18" t="s">
        <v>618</v>
      </c>
      <c r="F33" s="2" t="s">
        <v>356</v>
      </c>
      <c r="H33" s="32">
        <f>'Calculation RAB'!H537</f>
        <v>11862039.591890769</v>
      </c>
    </row>
    <row r="34" spans="2:28" x14ac:dyDescent="0.2">
      <c r="B34" s="1"/>
    </row>
    <row r="35" spans="2:28" s="8" customFormat="1" x14ac:dyDescent="0.2">
      <c r="B35" s="8" t="s">
        <v>368</v>
      </c>
    </row>
    <row r="37" spans="2:28" x14ac:dyDescent="0.2">
      <c r="B37" s="1" t="s">
        <v>224</v>
      </c>
    </row>
    <row r="38" spans="2:28" x14ac:dyDescent="0.2">
      <c r="B38" s="2" t="s">
        <v>369</v>
      </c>
      <c r="F38" s="2" t="s">
        <v>70</v>
      </c>
      <c r="H38" s="32">
        <f>'Est. production and costs 2026'!H13</f>
        <v>140557366.38000005</v>
      </c>
      <c r="J38" s="29"/>
    </row>
    <row r="39" spans="2:28" s="52" customFormat="1" x14ac:dyDescent="0.2">
      <c r="B39" s="2" t="s">
        <v>370</v>
      </c>
      <c r="F39" s="43" t="s">
        <v>70</v>
      </c>
      <c r="H39" s="32">
        <f>'Est. production and costs 2026'!H16</f>
        <v>31241968.920000002</v>
      </c>
      <c r="J39" s="29"/>
    </row>
    <row r="40" spans="2:28" s="52" customFormat="1" x14ac:dyDescent="0.2">
      <c r="B40" s="2" t="s">
        <v>371</v>
      </c>
      <c r="F40" s="43" t="s">
        <v>70</v>
      </c>
      <c r="H40" s="33">
        <f>H38+H39</f>
        <v>171799335.30000007</v>
      </c>
      <c r="J40" s="29"/>
    </row>
    <row r="42" spans="2:28" x14ac:dyDescent="0.2">
      <c r="B42" s="2" t="s">
        <v>581</v>
      </c>
      <c r="F42" s="2" t="s">
        <v>79</v>
      </c>
      <c r="H42" s="71">
        <f>H38/H40</f>
        <v>0.81814848779569171</v>
      </c>
    </row>
    <row r="44" spans="2:28" s="52" customFormat="1" x14ac:dyDescent="0.2">
      <c r="B44" s="50" t="s">
        <v>225</v>
      </c>
      <c r="J44" s="114"/>
      <c r="M44" s="115"/>
      <c r="AB44" s="83"/>
    </row>
    <row r="45" spans="2:28" s="52" customFormat="1" x14ac:dyDescent="0.2">
      <c r="B45" s="2" t="s">
        <v>226</v>
      </c>
      <c r="C45" s="2"/>
      <c r="D45" s="2"/>
      <c r="E45" s="2"/>
      <c r="F45" s="2" t="s">
        <v>86</v>
      </c>
      <c r="G45" s="2"/>
      <c r="H45" s="103">
        <f>'Fuel costs and income 2024'!H25</f>
        <v>0.27934511103295734</v>
      </c>
      <c r="J45" s="2"/>
      <c r="L45" s="115"/>
      <c r="M45" s="115"/>
      <c r="AB45" s="83"/>
    </row>
    <row r="46" spans="2:28" x14ac:dyDescent="0.2">
      <c r="B46" s="2" t="s">
        <v>248</v>
      </c>
      <c r="F46" s="2" t="s">
        <v>87</v>
      </c>
      <c r="H46" s="103">
        <f>'Est. production and costs 2026'!H19</f>
        <v>0.81010000000000004</v>
      </c>
    </row>
    <row r="49" spans="2:15" s="8" customFormat="1" x14ac:dyDescent="0.2">
      <c r="B49" s="8" t="s">
        <v>372</v>
      </c>
    </row>
    <row r="51" spans="2:15" x14ac:dyDescent="0.2">
      <c r="B51" s="1" t="s">
        <v>373</v>
      </c>
    </row>
    <row r="52" spans="2:15" x14ac:dyDescent="0.2">
      <c r="B52" s="2" t="s">
        <v>227</v>
      </c>
      <c r="F52" s="2" t="s">
        <v>356</v>
      </c>
      <c r="H52" s="33">
        <f>(H24-H25)*(1+H14)*(1+H15)</f>
        <v>10991997.972524999</v>
      </c>
      <c r="J52" s="2" t="s">
        <v>619</v>
      </c>
    </row>
    <row r="53" spans="2:15" x14ac:dyDescent="0.2">
      <c r="B53" s="2" t="s">
        <v>533</v>
      </c>
      <c r="F53" s="2" t="s">
        <v>356</v>
      </c>
      <c r="H53" s="32">
        <f>H28</f>
        <v>228300.18</v>
      </c>
      <c r="L53" s="99"/>
    </row>
    <row r="54" spans="2:15" x14ac:dyDescent="0.2">
      <c r="B54" s="2" t="s">
        <v>556</v>
      </c>
      <c r="F54" s="2" t="s">
        <v>555</v>
      </c>
      <c r="H54" s="32">
        <f>H27</f>
        <v>207529.69999999995</v>
      </c>
      <c r="L54" s="99"/>
    </row>
    <row r="55" spans="2:15" x14ac:dyDescent="0.2">
      <c r="B55" s="2" t="s">
        <v>84</v>
      </c>
      <c r="F55" s="2" t="s">
        <v>356</v>
      </c>
      <c r="H55" s="33">
        <f>H33</f>
        <v>11862039.591890769</v>
      </c>
      <c r="J55" s="99"/>
      <c r="L55" s="99"/>
    </row>
    <row r="56" spans="2:15" x14ac:dyDescent="0.2">
      <c r="B56" s="2" t="s">
        <v>374</v>
      </c>
      <c r="F56" s="2" t="s">
        <v>356</v>
      </c>
      <c r="H56" s="25">
        <f>H52+H53+H54+H55</f>
        <v>23289867.444415767</v>
      </c>
      <c r="L56" s="99"/>
      <c r="N56" s="99"/>
      <c r="O56" s="42"/>
    </row>
    <row r="57" spans="2:15" x14ac:dyDescent="0.2">
      <c r="B57" s="1"/>
      <c r="H57" s="42"/>
    </row>
    <row r="58" spans="2:15" x14ac:dyDescent="0.2">
      <c r="B58" s="1" t="s">
        <v>375</v>
      </c>
    </row>
    <row r="59" spans="2:15" x14ac:dyDescent="0.2">
      <c r="B59" s="2" t="s">
        <v>376</v>
      </c>
      <c r="F59" s="2" t="s">
        <v>356</v>
      </c>
      <c r="H59" s="32">
        <f>H56</f>
        <v>23289867.444415767</v>
      </c>
    </row>
    <row r="61" spans="2:15" x14ac:dyDescent="0.2">
      <c r="B61" s="4" t="s">
        <v>228</v>
      </c>
    </row>
    <row r="62" spans="2:15" x14ac:dyDescent="0.2">
      <c r="B62" s="2" t="s">
        <v>388</v>
      </c>
      <c r="F62" s="2" t="s">
        <v>265</v>
      </c>
      <c r="H62" s="32">
        <f>'Volume and PS corrections 2024'!H42</f>
        <v>-2107603.303112749</v>
      </c>
    </row>
    <row r="63" spans="2:15" x14ac:dyDescent="0.2">
      <c r="B63" s="2" t="s">
        <v>389</v>
      </c>
      <c r="F63" s="2" t="s">
        <v>265</v>
      </c>
      <c r="H63" s="32">
        <f>'Volume and PS corrections 2024'!H60</f>
        <v>1059965.1083133705</v>
      </c>
    </row>
    <row r="64" spans="2:15" x14ac:dyDescent="0.2">
      <c r="B64" s="2" t="s">
        <v>391</v>
      </c>
      <c r="F64" s="2" t="s">
        <v>265</v>
      </c>
      <c r="H64" s="32">
        <f>'Est. and realized costs 2024'!H45</f>
        <v>915778.85308424756</v>
      </c>
    </row>
    <row r="65" spans="2:12" x14ac:dyDescent="0.2">
      <c r="B65" s="2" t="s">
        <v>390</v>
      </c>
      <c r="F65" s="2" t="s">
        <v>265</v>
      </c>
      <c r="H65" s="32">
        <f>'Fuel costs and income 2024'!H49</f>
        <v>3165669.7276099985</v>
      </c>
    </row>
    <row r="66" spans="2:12" x14ac:dyDescent="0.2">
      <c r="B66" s="2" t="s">
        <v>481</v>
      </c>
      <c r="F66" s="2" t="s">
        <v>259</v>
      </c>
      <c r="H66" s="32">
        <f>'Fuel costs and income 2024'!H50</f>
        <v>2102650.1869619628</v>
      </c>
    </row>
    <row r="67" spans="2:12" x14ac:dyDescent="0.2">
      <c r="B67" s="2" t="s">
        <v>377</v>
      </c>
      <c r="F67" s="2" t="s">
        <v>356</v>
      </c>
      <c r="H67" s="33">
        <f>SUM(H62:H65)*H18+H66*(1+H17)</f>
        <v>5384299.1309666866</v>
      </c>
      <c r="J67" s="2" t="s">
        <v>229</v>
      </c>
    </row>
    <row r="68" spans="2:12" x14ac:dyDescent="0.2">
      <c r="J68" s="22"/>
    </row>
    <row r="69" spans="2:12" x14ac:dyDescent="0.2">
      <c r="J69" s="22"/>
    </row>
    <row r="70" spans="2:12" x14ac:dyDescent="0.2">
      <c r="B70" s="2" t="s">
        <v>378</v>
      </c>
      <c r="F70" s="2" t="s">
        <v>356</v>
      </c>
      <c r="H70" s="25">
        <f>H59+H67</f>
        <v>28674166.575382452</v>
      </c>
      <c r="J70" s="99"/>
      <c r="L70" s="42"/>
    </row>
    <row r="71" spans="2:12" x14ac:dyDescent="0.2">
      <c r="B71" s="1"/>
      <c r="J71" s="99"/>
    </row>
    <row r="72" spans="2:12" x14ac:dyDescent="0.2">
      <c r="B72" s="1"/>
      <c r="H72" s="42"/>
    </row>
    <row r="73" spans="2:12" x14ac:dyDescent="0.2">
      <c r="B73" s="4" t="s">
        <v>379</v>
      </c>
    </row>
    <row r="74" spans="2:12" x14ac:dyDescent="0.2">
      <c r="B74" s="18" t="s">
        <v>320</v>
      </c>
      <c r="F74" s="2" t="s">
        <v>356</v>
      </c>
      <c r="H74" s="25">
        <f>H52+H55</f>
        <v>22854037.564415768</v>
      </c>
      <c r="J74" s="2" t="s">
        <v>383</v>
      </c>
    </row>
    <row r="75" spans="2:12" x14ac:dyDescent="0.2">
      <c r="B75" s="2" t="s">
        <v>380</v>
      </c>
      <c r="F75" s="2" t="s">
        <v>356</v>
      </c>
      <c r="H75" s="25">
        <f>H52*H30</f>
        <v>1209119.7769777498</v>
      </c>
      <c r="J75" s="2" t="s">
        <v>557</v>
      </c>
    </row>
    <row r="76" spans="2:12" x14ac:dyDescent="0.2">
      <c r="B76" s="1"/>
    </row>
    <row r="77" spans="2:12" x14ac:dyDescent="0.2">
      <c r="B77" s="1"/>
    </row>
    <row r="78" spans="2:12" s="8" customFormat="1" x14ac:dyDescent="0.2">
      <c r="B78" s="8" t="s">
        <v>381</v>
      </c>
    </row>
    <row r="80" spans="2:12" x14ac:dyDescent="0.2">
      <c r="B80" s="1" t="s">
        <v>230</v>
      </c>
    </row>
    <row r="81" spans="2:10" x14ac:dyDescent="0.2">
      <c r="B81" s="2" t="s">
        <v>382</v>
      </c>
      <c r="F81" s="2" t="s">
        <v>384</v>
      </c>
      <c r="H81" s="46">
        <f>H42*H46*H45</f>
        <v>0.18514493651145075</v>
      </c>
      <c r="J81" s="29"/>
    </row>
    <row r="88" spans="2:10" x14ac:dyDescent="0.2">
      <c r="B88" s="4" t="s">
        <v>63</v>
      </c>
    </row>
  </sheetData>
  <phoneticPr fontId="3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H43"/>
  <sheetViews>
    <sheetView showGridLines="0" zoomScale="85" zoomScaleNormal="85"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27.85546875" style="2" customWidth="1"/>
    <col min="3" max="3" width="7.140625" style="2" customWidth="1"/>
    <col min="4" max="4" width="56.85546875" style="2" customWidth="1"/>
    <col min="5" max="5" width="29.85546875" style="2" customWidth="1"/>
    <col min="6" max="6" width="24.7109375" style="2" customWidth="1"/>
    <col min="7" max="7" width="37.28515625" style="2" customWidth="1"/>
    <col min="8" max="16384" width="9.140625" style="2"/>
  </cols>
  <sheetData>
    <row r="2" spans="2:8" s="7" customFormat="1" ht="18" x14ac:dyDescent="0.2">
      <c r="B2" s="7" t="s">
        <v>46</v>
      </c>
    </row>
    <row r="3" spans="2:8" x14ac:dyDescent="0.2">
      <c r="B3" s="35"/>
    </row>
    <row r="4" spans="2:8" x14ac:dyDescent="0.2">
      <c r="B4" s="35"/>
    </row>
    <row r="5" spans="2:8" s="8" customFormat="1" x14ac:dyDescent="0.2">
      <c r="B5" s="8" t="s">
        <v>47</v>
      </c>
    </row>
    <row r="7" spans="2:8" x14ac:dyDescent="0.2">
      <c r="B7" s="18" t="s">
        <v>309</v>
      </c>
    </row>
    <row r="8" spans="2:8" x14ac:dyDescent="0.2">
      <c r="B8" s="2" t="s">
        <v>310</v>
      </c>
      <c r="H8" s="26"/>
    </row>
    <row r="9" spans="2:8" x14ac:dyDescent="0.2">
      <c r="B9" s="2" t="s">
        <v>232</v>
      </c>
    </row>
    <row r="12" spans="2:8" s="8" customFormat="1" x14ac:dyDescent="0.2">
      <c r="B12" s="8" t="s">
        <v>48</v>
      </c>
    </row>
    <row r="13" spans="2:8" x14ac:dyDescent="0.2">
      <c r="C13" s="9"/>
    </row>
    <row r="14" spans="2:8" x14ac:dyDescent="0.2">
      <c r="B14" s="23" t="s">
        <v>11</v>
      </c>
      <c r="C14" s="9"/>
      <c r="D14" s="23" t="s">
        <v>12</v>
      </c>
      <c r="F14" s="11"/>
    </row>
    <row r="15" spans="2:8" x14ac:dyDescent="0.2">
      <c r="C15" s="9"/>
    </row>
    <row r="16" spans="2:8" x14ac:dyDescent="0.2">
      <c r="B16" s="28">
        <v>123</v>
      </c>
      <c r="C16" s="9"/>
      <c r="D16" s="18" t="s">
        <v>13</v>
      </c>
    </row>
    <row r="17" spans="2:6" x14ac:dyDescent="0.2">
      <c r="B17" s="32">
        <f>B16</f>
        <v>123</v>
      </c>
      <c r="C17" s="9"/>
      <c r="D17" s="2" t="s">
        <v>49</v>
      </c>
    </row>
    <row r="18" spans="2:6" x14ac:dyDescent="0.2">
      <c r="B18" s="33">
        <f>B17+B16</f>
        <v>246</v>
      </c>
      <c r="C18" s="9"/>
      <c r="D18" s="2" t="s">
        <v>14</v>
      </c>
    </row>
    <row r="19" spans="2:6" x14ac:dyDescent="0.2">
      <c r="B19" s="25">
        <f>B17+B18</f>
        <v>369</v>
      </c>
      <c r="C19" s="9"/>
      <c r="D19" s="18" t="s">
        <v>50</v>
      </c>
      <c r="E19" s="11"/>
      <c r="F19" s="5"/>
    </row>
    <row r="20" spans="2:6" x14ac:dyDescent="0.2">
      <c r="B20" s="12"/>
      <c r="C20" s="9"/>
      <c r="D20" s="18" t="s">
        <v>15</v>
      </c>
      <c r="E20" s="11"/>
    </row>
    <row r="21" spans="2:6" x14ac:dyDescent="0.2">
      <c r="B21" s="9"/>
      <c r="C21" s="9"/>
    </row>
    <row r="22" spans="2:6" x14ac:dyDescent="0.2">
      <c r="B22" s="24" t="s">
        <v>26</v>
      </c>
      <c r="C22" s="9"/>
    </row>
    <row r="23" spans="2:6" x14ac:dyDescent="0.2">
      <c r="B23" s="27">
        <f>B19+16</f>
        <v>385</v>
      </c>
      <c r="C23" s="9"/>
      <c r="D23" s="2" t="s">
        <v>16</v>
      </c>
    </row>
    <row r="24" spans="2:6" x14ac:dyDescent="0.2">
      <c r="B24" s="13"/>
      <c r="C24" s="13"/>
    </row>
    <row r="26" spans="2:6" x14ac:dyDescent="0.2">
      <c r="B26" s="23" t="s">
        <v>17</v>
      </c>
    </row>
    <row r="27" spans="2:6" x14ac:dyDescent="0.2">
      <c r="B27" s="1"/>
    </row>
    <row r="28" spans="2:6" x14ac:dyDescent="0.2">
      <c r="B28" s="24" t="s">
        <v>21</v>
      </c>
    </row>
    <row r="29" spans="2:6" x14ac:dyDescent="0.2">
      <c r="B29" s="25" t="s">
        <v>22</v>
      </c>
      <c r="C29" s="9"/>
      <c r="D29" s="18" t="s">
        <v>18</v>
      </c>
    </row>
    <row r="30" spans="2:6" x14ac:dyDescent="0.2">
      <c r="B30" s="28" t="s">
        <v>1</v>
      </c>
      <c r="C30" s="9"/>
      <c r="D30" s="18" t="s">
        <v>19</v>
      </c>
    </row>
    <row r="31" spans="2:6" x14ac:dyDescent="0.2">
      <c r="B31" s="33" t="s">
        <v>23</v>
      </c>
      <c r="C31" s="9"/>
      <c r="D31" s="18" t="s">
        <v>20</v>
      </c>
    </row>
    <row r="32" spans="2:6" x14ac:dyDescent="0.2">
      <c r="C32" s="9"/>
      <c r="D32" s="3"/>
    </row>
    <row r="33" spans="2:4" x14ac:dyDescent="0.2">
      <c r="B33" s="24" t="s">
        <v>24</v>
      </c>
      <c r="C33" s="9"/>
      <c r="D33" s="3"/>
    </row>
    <row r="34" spans="2:4" x14ac:dyDescent="0.2">
      <c r="B34" s="17" t="s">
        <v>2</v>
      </c>
      <c r="C34" s="9"/>
      <c r="D34" s="18" t="s">
        <v>51</v>
      </c>
    </row>
    <row r="35" spans="2:4" x14ac:dyDescent="0.2">
      <c r="B35" s="36" t="s">
        <v>25</v>
      </c>
      <c r="D35" s="18" t="s">
        <v>52</v>
      </c>
    </row>
    <row r="43" spans="2:4" x14ac:dyDescent="0.2">
      <c r="B43" s="4" t="s">
        <v>63</v>
      </c>
    </row>
  </sheetData>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C8D9"/>
  </sheetPr>
  <dimension ref="B2:G41"/>
  <sheetViews>
    <sheetView showGridLines="0" zoomScale="85" zoomScaleNormal="85"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7.5703125" style="2" customWidth="1"/>
    <col min="3" max="3" width="54.7109375" style="2" bestFit="1" customWidth="1"/>
    <col min="4" max="4" width="36.28515625" style="2" customWidth="1"/>
    <col min="5" max="5" width="81" style="2" customWidth="1"/>
    <col min="6" max="6" width="11.85546875" style="2" customWidth="1"/>
    <col min="7" max="7" width="28.7109375" style="2" customWidth="1"/>
    <col min="8" max="8" width="18.42578125" style="2" customWidth="1"/>
    <col min="9" max="10" width="58.42578125" style="2" customWidth="1"/>
    <col min="11" max="16384" width="9.140625" style="2"/>
  </cols>
  <sheetData>
    <row r="2" spans="2:7" s="7" customFormat="1" ht="18" x14ac:dyDescent="0.2">
      <c r="B2" s="7" t="s">
        <v>27</v>
      </c>
    </row>
    <row r="5" spans="2:7" s="8" customFormat="1" x14ac:dyDescent="0.2">
      <c r="B5" s="8" t="s">
        <v>28</v>
      </c>
    </row>
    <row r="7" spans="2:7" x14ac:dyDescent="0.2">
      <c r="B7" s="4" t="s">
        <v>56</v>
      </c>
    </row>
    <row r="8" spans="2:7" x14ac:dyDescent="0.2">
      <c r="B8" s="4" t="s">
        <v>29</v>
      </c>
    </row>
    <row r="10" spans="2:7" x14ac:dyDescent="0.2">
      <c r="B10" s="37" t="s">
        <v>30</v>
      </c>
      <c r="C10" s="37" t="s">
        <v>31</v>
      </c>
      <c r="D10" s="37" t="s">
        <v>66</v>
      </c>
      <c r="E10" s="37" t="s">
        <v>53</v>
      </c>
      <c r="G10" s="22"/>
    </row>
    <row r="11" spans="2:7" x14ac:dyDescent="0.2">
      <c r="B11" s="14"/>
      <c r="C11" s="19" t="s">
        <v>32</v>
      </c>
      <c r="D11" s="19" t="s">
        <v>42</v>
      </c>
      <c r="E11" s="19" t="s">
        <v>33</v>
      </c>
    </row>
    <row r="12" spans="2:7" x14ac:dyDescent="0.2">
      <c r="B12" s="20">
        <v>1</v>
      </c>
      <c r="C12" s="6" t="s">
        <v>233</v>
      </c>
      <c r="D12" s="6"/>
      <c r="E12" s="116" t="s">
        <v>234</v>
      </c>
    </row>
    <row r="13" spans="2:7" x14ac:dyDescent="0.2">
      <c r="B13" s="6">
        <v>2</v>
      </c>
      <c r="C13" s="6" t="s">
        <v>100</v>
      </c>
      <c r="D13" s="6"/>
      <c r="E13" s="116" t="s">
        <v>235</v>
      </c>
    </row>
    <row r="14" spans="2:7" x14ac:dyDescent="0.2">
      <c r="B14" s="20">
        <v>3</v>
      </c>
      <c r="C14" s="6" t="s">
        <v>561</v>
      </c>
      <c r="D14" s="6" t="s">
        <v>562</v>
      </c>
      <c r="E14" s="6" t="s">
        <v>563</v>
      </c>
    </row>
    <row r="15" spans="2:7" x14ac:dyDescent="0.2">
      <c r="B15" s="6">
        <v>4</v>
      </c>
      <c r="C15" s="20" t="s">
        <v>565</v>
      </c>
      <c r="D15" s="6" t="s">
        <v>566</v>
      </c>
      <c r="E15" s="6" t="s">
        <v>563</v>
      </c>
    </row>
    <row r="16" spans="2:7" x14ac:dyDescent="0.2">
      <c r="B16" s="20">
        <v>5</v>
      </c>
      <c r="C16" s="20" t="s">
        <v>564</v>
      </c>
      <c r="D16" s="6"/>
      <c r="E16" s="30" t="s">
        <v>596</v>
      </c>
    </row>
    <row r="17" spans="2:5" x14ac:dyDescent="0.2">
      <c r="B17" s="6">
        <v>6</v>
      </c>
      <c r="C17" s="20" t="s">
        <v>451</v>
      </c>
      <c r="D17" s="6" t="s">
        <v>572</v>
      </c>
      <c r="E17" s="6" t="s">
        <v>568</v>
      </c>
    </row>
    <row r="18" spans="2:5" x14ac:dyDescent="0.2">
      <c r="B18" s="20">
        <v>7</v>
      </c>
      <c r="C18" s="20" t="s">
        <v>587</v>
      </c>
      <c r="D18" s="6" t="s">
        <v>572</v>
      </c>
      <c r="E18" s="6" t="s">
        <v>569</v>
      </c>
    </row>
    <row r="19" spans="2:5" x14ac:dyDescent="0.2">
      <c r="B19" s="6">
        <v>8</v>
      </c>
      <c r="C19" s="20" t="s">
        <v>586</v>
      </c>
      <c r="D19" s="6" t="s">
        <v>573</v>
      </c>
      <c r="E19" s="6" t="s">
        <v>569</v>
      </c>
    </row>
    <row r="20" spans="2:5" x14ac:dyDescent="0.2">
      <c r="B20" s="6">
        <v>9</v>
      </c>
      <c r="C20" s="20" t="s">
        <v>585</v>
      </c>
      <c r="D20" s="6" t="s">
        <v>567</v>
      </c>
      <c r="E20" s="6" t="s">
        <v>569</v>
      </c>
    </row>
    <row r="21" spans="2:5" x14ac:dyDescent="0.2">
      <c r="B21" s="20">
        <v>10</v>
      </c>
      <c r="C21" s="20" t="s">
        <v>584</v>
      </c>
      <c r="D21" s="6" t="s">
        <v>575</v>
      </c>
      <c r="E21" s="6" t="s">
        <v>576</v>
      </c>
    </row>
    <row r="22" spans="2:5" x14ac:dyDescent="0.2">
      <c r="B22" s="6">
        <v>11</v>
      </c>
      <c r="C22" s="20" t="s">
        <v>598</v>
      </c>
      <c r="D22" s="6" t="s">
        <v>594</v>
      </c>
      <c r="E22" s="6" t="s">
        <v>595</v>
      </c>
    </row>
    <row r="23" spans="2:5" x14ac:dyDescent="0.2">
      <c r="B23" s="6">
        <v>12</v>
      </c>
      <c r="C23" s="20" t="s">
        <v>599</v>
      </c>
      <c r="D23" s="6" t="s">
        <v>591</v>
      </c>
      <c r="E23" s="6" t="s">
        <v>592</v>
      </c>
    </row>
    <row r="24" spans="2:5" x14ac:dyDescent="0.2">
      <c r="B24" s="20">
        <v>13</v>
      </c>
      <c r="C24" s="20" t="s">
        <v>600</v>
      </c>
      <c r="D24" s="6" t="s">
        <v>601</v>
      </c>
      <c r="E24" s="6" t="s">
        <v>602</v>
      </c>
    </row>
    <row r="25" spans="2:5" x14ac:dyDescent="0.2">
      <c r="B25" s="6">
        <v>14</v>
      </c>
      <c r="C25" s="157" t="s">
        <v>604</v>
      </c>
      <c r="D25" s="6" t="s">
        <v>605</v>
      </c>
      <c r="E25" s="6" t="s">
        <v>576</v>
      </c>
    </row>
    <row r="26" spans="2:5" x14ac:dyDescent="0.2">
      <c r="B26" s="6">
        <v>15</v>
      </c>
      <c r="C26" s="6" t="s">
        <v>611</v>
      </c>
      <c r="D26" s="6" t="s">
        <v>612</v>
      </c>
      <c r="E26" s="6" t="s">
        <v>613</v>
      </c>
    </row>
    <row r="27" spans="2:5" x14ac:dyDescent="0.2">
      <c r="B27" s="20">
        <v>16</v>
      </c>
      <c r="C27" s="6" t="s">
        <v>614</v>
      </c>
      <c r="D27" s="6" t="s">
        <v>615</v>
      </c>
      <c r="E27" s="6" t="s">
        <v>616</v>
      </c>
    </row>
    <row r="28" spans="2:5" x14ac:dyDescent="0.2">
      <c r="B28" s="6">
        <v>17</v>
      </c>
      <c r="C28" s="157" t="s">
        <v>609</v>
      </c>
      <c r="D28" s="6" t="s">
        <v>607</v>
      </c>
      <c r="E28" s="6" t="s">
        <v>606</v>
      </c>
    </row>
    <row r="29" spans="2:5" x14ac:dyDescent="0.2">
      <c r="B29" s="6">
        <v>18</v>
      </c>
      <c r="C29" s="20" t="s">
        <v>577</v>
      </c>
      <c r="D29" s="6" t="s">
        <v>578</v>
      </c>
      <c r="E29" s="6" t="s">
        <v>579</v>
      </c>
    </row>
    <row r="32" spans="2:5" s="8" customFormat="1" x14ac:dyDescent="0.2">
      <c r="B32" s="8" t="s">
        <v>57</v>
      </c>
    </row>
    <row r="34" spans="2:2" x14ac:dyDescent="0.2">
      <c r="B34" s="24" t="s">
        <v>58</v>
      </c>
    </row>
    <row r="35" spans="2:2" x14ac:dyDescent="0.2">
      <c r="B35" s="24" t="s">
        <v>54</v>
      </c>
    </row>
    <row r="36" spans="2:2" x14ac:dyDescent="0.2">
      <c r="B36" s="24"/>
    </row>
    <row r="41" spans="2:2" x14ac:dyDescent="0.2">
      <c r="B41" s="4" t="s">
        <v>63</v>
      </c>
    </row>
  </sheetData>
  <phoneticPr fontId="34" type="noConversion"/>
  <hyperlinks>
    <hyperlink ref="E12" r:id="rId1" location="/CBS/nl/dataset/84046NED/table?ts=1571909504894" xr:uid="{D7E791AE-DD80-4D8E-9734-D6E80DF30FFD}"/>
    <hyperlink ref="E13" r:id="rId2" xr:uid="{E383A1AE-4115-43D1-916E-24979B729689}"/>
    <hyperlink ref="E16" r:id="rId3" display="https://www.acm.nl/nl/publicaties/beschikking-productieprijs-elektriciteit-2024-bonaire-contourglobal" xr:uid="{3DD6564C-E5E7-4FEB-A729-980FA6E8BC43}"/>
  </hyperlinks>
  <pageMargins left="0.75" right="0.75" top="1" bottom="1" header="0.5" footer="0.5"/>
  <pageSetup paperSize="9" orientation="portrait"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018F5-E1DB-4BBF-BF18-ED4BCEB645E7}">
  <sheetPr>
    <tabColor rgb="FFCCFFFF"/>
  </sheetPr>
  <dimension ref="B2:U44"/>
  <sheetViews>
    <sheetView showGridLines="0" zoomScale="85" zoomScaleNormal="85" workbookViewId="0">
      <pane xSplit="6" ySplit="10" topLeftCell="G11" activePane="bottomRight" state="frozen"/>
      <selection activeCell="H18" sqref="H18"/>
      <selection pane="topRight" activeCell="H18" sqref="H18"/>
      <selection pane="bottomLeft" activeCell="H18" sqref="H18"/>
      <selection pane="bottomRight" activeCell="G11" sqref="G11"/>
    </sheetView>
  </sheetViews>
  <sheetFormatPr defaultRowHeight="12.75" x14ac:dyDescent="0.2"/>
  <cols>
    <col min="1" max="1" width="4.7109375" style="2" customWidth="1"/>
    <col min="2" max="2" width="57.140625" style="2" customWidth="1"/>
    <col min="3" max="5" width="4.7109375" style="2" customWidth="1"/>
    <col min="6" max="6" width="21.28515625" style="2" customWidth="1"/>
    <col min="7" max="7" width="2.7109375" style="2" customWidth="1"/>
    <col min="8" max="11" width="13.7109375" style="2" customWidth="1"/>
    <col min="12" max="12" width="2.7109375" style="2" customWidth="1"/>
    <col min="13" max="13" width="13.7109375" style="2" customWidth="1"/>
    <col min="14" max="14" width="2.7109375" style="2" customWidth="1"/>
    <col min="15" max="15" width="12.28515625" style="2" bestFit="1" customWidth="1"/>
    <col min="16" max="24" width="11.7109375" style="2" customWidth="1"/>
    <col min="25" max="27" width="2.7109375" style="2" customWidth="1"/>
    <col min="28" max="42" width="13.7109375" style="2" customWidth="1"/>
    <col min="43" max="16384" width="9.140625" style="2"/>
  </cols>
  <sheetData>
    <row r="2" spans="2:13" s="15" customFormat="1" ht="18" x14ac:dyDescent="0.2">
      <c r="B2" s="15" t="s">
        <v>311</v>
      </c>
    </row>
    <row r="4" spans="2:13" x14ac:dyDescent="0.2">
      <c r="B4" s="1" t="s">
        <v>67</v>
      </c>
      <c r="C4" s="1"/>
      <c r="D4" s="1"/>
    </row>
    <row r="5" spans="2:13" x14ac:dyDescent="0.2">
      <c r="B5" s="2" t="s">
        <v>312</v>
      </c>
      <c r="H5" s="16"/>
      <c r="I5" s="16"/>
      <c r="J5" s="16"/>
      <c r="K5" s="16"/>
    </row>
    <row r="6" spans="2:13" x14ac:dyDescent="0.2">
      <c r="B6" s="2" t="s">
        <v>462</v>
      </c>
      <c r="H6" s="16"/>
      <c r="I6" s="16"/>
      <c r="J6" s="16"/>
      <c r="K6" s="16"/>
    </row>
    <row r="7" spans="2:13" x14ac:dyDescent="0.2">
      <c r="B7" s="4"/>
    </row>
    <row r="9" spans="2:13" s="8" customFormat="1" x14ac:dyDescent="0.2">
      <c r="B9" s="8" t="s">
        <v>12</v>
      </c>
      <c r="F9" s="8" t="s">
        <v>35</v>
      </c>
      <c r="H9" s="8" t="s">
        <v>36</v>
      </c>
      <c r="M9" s="8" t="s">
        <v>68</v>
      </c>
    </row>
    <row r="12" spans="2:13" s="8" customFormat="1" x14ac:dyDescent="0.2">
      <c r="B12" s="8" t="s">
        <v>313</v>
      </c>
    </row>
    <row r="14" spans="2:13" x14ac:dyDescent="0.2">
      <c r="B14" s="1" t="s">
        <v>69</v>
      </c>
    </row>
    <row r="15" spans="2:13" x14ac:dyDescent="0.2">
      <c r="B15" s="2" t="s">
        <v>314</v>
      </c>
      <c r="F15" s="43" t="s">
        <v>236</v>
      </c>
      <c r="H15" s="44">
        <f>'Total income 2026'!H70</f>
        <v>28674166.575382452</v>
      </c>
      <c r="I15" s="133"/>
      <c r="J15" s="133"/>
      <c r="K15" s="138"/>
    </row>
    <row r="16" spans="2:13" x14ac:dyDescent="0.2">
      <c r="B16" s="2" t="s">
        <v>295</v>
      </c>
      <c r="F16" s="2" t="s">
        <v>70</v>
      </c>
      <c r="H16" s="44">
        <f>'Total income 2026'!H40</f>
        <v>171799335.30000007</v>
      </c>
      <c r="I16" s="133"/>
      <c r="J16" s="133"/>
      <c r="K16" s="138"/>
    </row>
    <row r="17" spans="2:21" x14ac:dyDescent="0.2">
      <c r="B17" s="2" t="s">
        <v>315</v>
      </c>
      <c r="F17" s="2" t="s">
        <v>237</v>
      </c>
      <c r="H17" s="45">
        <f>H15/H16</f>
        <v>0.16690499136862749</v>
      </c>
      <c r="I17" s="134"/>
      <c r="J17" s="137"/>
      <c r="K17" s="138"/>
    </row>
    <row r="18" spans="2:21" x14ac:dyDescent="0.2">
      <c r="B18" s="2" t="s">
        <v>316</v>
      </c>
      <c r="F18" s="2" t="s">
        <v>237</v>
      </c>
      <c r="H18" s="46">
        <f>ROUND(H17,5)</f>
        <v>0.16689999999999999</v>
      </c>
      <c r="I18" s="134"/>
      <c r="J18" s="137"/>
      <c r="K18" s="138"/>
      <c r="M18" s="2" t="s">
        <v>71</v>
      </c>
      <c r="R18" s="47"/>
    </row>
    <row r="19" spans="2:21" x14ac:dyDescent="0.2">
      <c r="H19" s="48"/>
      <c r="I19" s="135"/>
      <c r="J19" s="137"/>
      <c r="K19" s="138"/>
    </row>
    <row r="20" spans="2:21" x14ac:dyDescent="0.2">
      <c r="B20" s="2" t="s">
        <v>317</v>
      </c>
      <c r="F20" s="2" t="s">
        <v>237</v>
      </c>
      <c r="H20" s="46">
        <f>'Total income 2026'!H81</f>
        <v>0.18514493651145075</v>
      </c>
      <c r="I20" s="134"/>
      <c r="J20" s="137"/>
      <c r="K20" s="138"/>
      <c r="M20" s="2" t="s">
        <v>72</v>
      </c>
      <c r="P20" s="47"/>
      <c r="Q20" s="29"/>
    </row>
    <row r="21" spans="2:21" x14ac:dyDescent="0.2">
      <c r="I21" s="9"/>
      <c r="J21" s="137"/>
      <c r="K21" s="138"/>
      <c r="P21" s="47"/>
      <c r="Q21" s="29"/>
    </row>
    <row r="22" spans="2:21" x14ac:dyDescent="0.2">
      <c r="B22" s="2" t="s">
        <v>318</v>
      </c>
      <c r="F22" s="2" t="s">
        <v>237</v>
      </c>
      <c r="H22" s="45">
        <f>H18+H20</f>
        <v>0.35204493651145075</v>
      </c>
      <c r="I22" s="134"/>
      <c r="J22" s="137"/>
      <c r="K22" s="138"/>
      <c r="P22" s="47"/>
      <c r="Q22" s="29"/>
    </row>
    <row r="23" spans="2:21" x14ac:dyDescent="0.2">
      <c r="B23" s="2" t="s">
        <v>319</v>
      </c>
      <c r="F23" s="2" t="s">
        <v>237</v>
      </c>
      <c r="H23" s="46">
        <f>ROUND(H22,5)</f>
        <v>0.35204000000000002</v>
      </c>
      <c r="I23" s="134"/>
      <c r="J23" s="137"/>
      <c r="K23" s="138"/>
      <c r="M23" s="2" t="s">
        <v>73</v>
      </c>
      <c r="P23" s="47"/>
      <c r="R23" s="47"/>
      <c r="S23" s="29"/>
      <c r="T23" s="47"/>
      <c r="U23" s="47"/>
    </row>
    <row r="24" spans="2:21" x14ac:dyDescent="0.2">
      <c r="H24" s="49"/>
      <c r="I24" s="136"/>
      <c r="J24" s="133"/>
      <c r="K24" s="138"/>
    </row>
    <row r="25" spans="2:21" x14ac:dyDescent="0.2">
      <c r="I25" s="9"/>
      <c r="J25" s="133"/>
      <c r="K25" s="138"/>
    </row>
    <row r="26" spans="2:21" x14ac:dyDescent="0.2">
      <c r="B26" s="1" t="s">
        <v>74</v>
      </c>
      <c r="I26" s="9"/>
      <c r="J26" s="133"/>
      <c r="K26" s="138"/>
    </row>
    <row r="27" spans="2:21" x14ac:dyDescent="0.2">
      <c r="B27" s="2" t="s">
        <v>320</v>
      </c>
      <c r="F27" s="43" t="s">
        <v>236</v>
      </c>
      <c r="H27" s="25">
        <f>'Total income 2026'!H74</f>
        <v>22854037.564415768</v>
      </c>
      <c r="I27" s="126"/>
      <c r="J27" s="133"/>
      <c r="K27" s="138"/>
      <c r="M27" s="2" t="s">
        <v>238</v>
      </c>
    </row>
    <row r="28" spans="2:21" x14ac:dyDescent="0.2">
      <c r="B28" s="2" t="s">
        <v>321</v>
      </c>
      <c r="F28" s="43" t="s">
        <v>236</v>
      </c>
      <c r="H28" s="25">
        <f>'Total income 2026'!H75</f>
        <v>1209119.7769777498</v>
      </c>
      <c r="I28" s="131"/>
      <c r="J28" s="133"/>
      <c r="K28" s="138"/>
      <c r="M28" s="2" t="s">
        <v>238</v>
      </c>
    </row>
    <row r="31" spans="2:21" x14ac:dyDescent="0.2">
      <c r="B31" s="5"/>
      <c r="H31" s="133"/>
      <c r="I31" s="77"/>
    </row>
    <row r="32" spans="2:21" x14ac:dyDescent="0.2">
      <c r="B32" s="4" t="s">
        <v>63</v>
      </c>
      <c r="H32" s="133"/>
      <c r="I32" s="77"/>
    </row>
    <row r="33" spans="8:9" x14ac:dyDescent="0.2">
      <c r="H33" s="134"/>
      <c r="I33" s="139"/>
    </row>
    <row r="34" spans="8:9" x14ac:dyDescent="0.2">
      <c r="H34" s="134"/>
      <c r="I34" s="139"/>
    </row>
    <row r="35" spans="8:9" x14ac:dyDescent="0.2">
      <c r="H35" s="135"/>
      <c r="I35" s="77"/>
    </row>
    <row r="36" spans="8:9" x14ac:dyDescent="0.2">
      <c r="H36" s="134"/>
      <c r="I36" s="77"/>
    </row>
    <row r="37" spans="8:9" x14ac:dyDescent="0.2">
      <c r="H37" s="9"/>
      <c r="I37" s="77"/>
    </row>
    <row r="38" spans="8:9" x14ac:dyDescent="0.2">
      <c r="H38" s="134"/>
      <c r="I38" s="139"/>
    </row>
    <row r="39" spans="8:9" x14ac:dyDescent="0.2">
      <c r="H39" s="134"/>
      <c r="I39" s="139"/>
    </row>
    <row r="40" spans="8:9" x14ac:dyDescent="0.2">
      <c r="H40" s="136"/>
      <c r="I40" s="77"/>
    </row>
    <row r="41" spans="8:9" x14ac:dyDescent="0.2">
      <c r="H41" s="9"/>
      <c r="I41" s="77"/>
    </row>
    <row r="42" spans="8:9" x14ac:dyDescent="0.2">
      <c r="H42" s="9"/>
      <c r="I42" s="77"/>
    </row>
    <row r="43" spans="8:9" x14ac:dyDescent="0.2">
      <c r="H43" s="126"/>
      <c r="I43" s="77"/>
    </row>
    <row r="44" spans="8:9" x14ac:dyDescent="0.2">
      <c r="H44" s="131"/>
      <c r="I44" s="77"/>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7D879-4C11-4F7D-8D6B-D8F68483EB4E}">
  <sheetPr>
    <tabColor rgb="FFCCFFFF"/>
  </sheetPr>
  <dimension ref="A2:G66"/>
  <sheetViews>
    <sheetView showGridLines="0" zoomScale="85" zoomScaleNormal="85" workbookViewId="0"/>
  </sheetViews>
  <sheetFormatPr defaultRowHeight="12.75" x14ac:dyDescent="0.2"/>
  <cols>
    <col min="1" max="1" width="4.7109375" style="2" customWidth="1"/>
    <col min="2" max="2" width="3.7109375" style="2" customWidth="1"/>
    <col min="3" max="3" width="60" style="2" customWidth="1"/>
    <col min="4" max="4" width="26" style="2" customWidth="1"/>
    <col min="5" max="5" width="15.140625" style="2" customWidth="1"/>
    <col min="6" max="6" width="3.42578125" style="2" customWidth="1"/>
    <col min="7" max="7" width="68.28515625" style="2" customWidth="1"/>
    <col min="8" max="13" width="11.7109375" style="2" customWidth="1"/>
    <col min="14" max="16" width="2.7109375" style="2" customWidth="1"/>
    <col min="17" max="31" width="13.7109375" style="2" customWidth="1"/>
    <col min="32" max="16384" width="9.140625" style="2"/>
  </cols>
  <sheetData>
    <row r="2" spans="2:6" s="15" customFormat="1" ht="18" x14ac:dyDescent="0.2">
      <c r="C2" s="7" t="s">
        <v>75</v>
      </c>
    </row>
    <row r="3" spans="2:6" x14ac:dyDescent="0.2">
      <c r="C3" s="43"/>
    </row>
    <row r="4" spans="2:6" x14ac:dyDescent="0.2">
      <c r="B4" s="1"/>
      <c r="C4" s="23" t="s">
        <v>12</v>
      </c>
      <c r="D4" s="1"/>
    </row>
    <row r="5" spans="2:6" x14ac:dyDescent="0.2">
      <c r="C5" s="2" t="s">
        <v>322</v>
      </c>
    </row>
    <row r="7" spans="2:6" x14ac:dyDescent="0.2">
      <c r="B7" s="4"/>
    </row>
    <row r="9" spans="2:6" s="8" customFormat="1" x14ac:dyDescent="0.2">
      <c r="C9" s="8" t="s">
        <v>76</v>
      </c>
      <c r="D9" s="8" t="s">
        <v>35</v>
      </c>
      <c r="E9" s="8" t="s">
        <v>36</v>
      </c>
    </row>
    <row r="11" spans="2:6" x14ac:dyDescent="0.2">
      <c r="C11" s="50" t="s">
        <v>323</v>
      </c>
      <c r="D11" s="2" t="s">
        <v>324</v>
      </c>
      <c r="E11" s="51">
        <f>'Production price 2026'!H18</f>
        <v>0.16689999999999999</v>
      </c>
    </row>
    <row r="12" spans="2:6" x14ac:dyDescent="0.2">
      <c r="C12" s="50"/>
    </row>
    <row r="13" spans="2:6" s="52" customFormat="1" ht="13.5" thickBot="1" x14ac:dyDescent="0.25">
      <c r="C13" s="50"/>
    </row>
    <row r="14" spans="2:6" s="52" customFormat="1" x14ac:dyDescent="0.2">
      <c r="B14" s="53"/>
      <c r="C14" s="54"/>
      <c r="D14" s="54"/>
      <c r="E14" s="54"/>
      <c r="F14" s="55"/>
    </row>
    <row r="15" spans="2:6" s="8" customFormat="1" x14ac:dyDescent="0.2">
      <c r="B15" s="56"/>
      <c r="C15" s="8" t="s">
        <v>325</v>
      </c>
      <c r="F15" s="57"/>
    </row>
    <row r="16" spans="2:6" s="52" customFormat="1" x14ac:dyDescent="0.2">
      <c r="B16" s="58"/>
      <c r="F16" s="59"/>
    </row>
    <row r="17" spans="2:6" s="52" customFormat="1" x14ac:dyDescent="0.2">
      <c r="B17" s="58"/>
      <c r="C17" s="60" t="s">
        <v>77</v>
      </c>
      <c r="F17" s="59"/>
    </row>
    <row r="18" spans="2:6" s="52" customFormat="1" x14ac:dyDescent="0.2">
      <c r="B18" s="58"/>
      <c r="C18" s="60"/>
      <c r="F18" s="59"/>
    </row>
    <row r="19" spans="2:6" s="52" customFormat="1" x14ac:dyDescent="0.2">
      <c r="B19" s="129"/>
      <c r="F19" s="59"/>
    </row>
    <row r="20" spans="2:6" s="52" customFormat="1" x14ac:dyDescent="0.2">
      <c r="B20" s="58"/>
      <c r="C20" s="50" t="s">
        <v>78</v>
      </c>
      <c r="F20" s="59"/>
    </row>
    <row r="21" spans="2:6" s="52" customFormat="1" x14ac:dyDescent="0.2">
      <c r="B21" s="58"/>
      <c r="C21" s="52" t="s">
        <v>455</v>
      </c>
      <c r="D21" s="52" t="s">
        <v>79</v>
      </c>
      <c r="E21" s="61">
        <f>Parameters!H29</f>
        <v>8.3799999999999999E-2</v>
      </c>
      <c r="F21" s="59"/>
    </row>
    <row r="22" spans="2:6" s="52" customFormat="1" x14ac:dyDescent="0.2">
      <c r="B22" s="58"/>
      <c r="C22" s="2" t="s">
        <v>326</v>
      </c>
      <c r="D22" s="52" t="s">
        <v>79</v>
      </c>
      <c r="E22" s="61">
        <f>Parameters!H31</f>
        <v>8.8900000000000007E-2</v>
      </c>
      <c r="F22" s="59"/>
    </row>
    <row r="23" spans="2:6" s="52" customFormat="1" x14ac:dyDescent="0.2">
      <c r="B23" s="58"/>
      <c r="C23" s="2" t="s">
        <v>80</v>
      </c>
      <c r="D23" s="52" t="s">
        <v>79</v>
      </c>
      <c r="E23" s="61">
        <f>Parameters!H18</f>
        <v>2.5000000000000001E-2</v>
      </c>
      <c r="F23" s="59"/>
    </row>
    <row r="24" spans="2:6" s="52" customFormat="1" x14ac:dyDescent="0.2">
      <c r="B24" s="58"/>
      <c r="C24" s="2" t="s">
        <v>327</v>
      </c>
      <c r="D24" s="52" t="s">
        <v>79</v>
      </c>
      <c r="E24" s="61">
        <f>Parameters!H19</f>
        <v>3.3000000000000002E-2</v>
      </c>
      <c r="F24" s="59"/>
    </row>
    <row r="25" spans="2:6" s="52" customFormat="1" x14ac:dyDescent="0.2">
      <c r="B25" s="58"/>
      <c r="C25" s="2" t="s">
        <v>328</v>
      </c>
      <c r="D25" s="52" t="s">
        <v>79</v>
      </c>
      <c r="E25" s="61">
        <f>Parameters!H24</f>
        <v>0.03</v>
      </c>
      <c r="F25" s="59"/>
    </row>
    <row r="26" spans="2:6" s="52" customFormat="1" x14ac:dyDescent="0.2">
      <c r="B26" s="58"/>
      <c r="C26" s="52" t="s">
        <v>81</v>
      </c>
      <c r="D26" s="52" t="s">
        <v>79</v>
      </c>
      <c r="E26" s="61">
        <f>Parameters!H36</f>
        <v>0.5</v>
      </c>
      <c r="F26" s="59"/>
    </row>
    <row r="27" spans="2:6" s="52" customFormat="1" x14ac:dyDescent="0.2">
      <c r="B27" s="58"/>
      <c r="F27" s="59"/>
    </row>
    <row r="28" spans="2:6" s="52" customFormat="1" x14ac:dyDescent="0.2">
      <c r="B28" s="58"/>
      <c r="C28" s="50" t="s">
        <v>456</v>
      </c>
      <c r="F28" s="59"/>
    </row>
    <row r="29" spans="2:6" s="52" customFormat="1" x14ac:dyDescent="0.2">
      <c r="B29" s="58"/>
      <c r="C29" s="2" t="s">
        <v>329</v>
      </c>
      <c r="D29" s="2" t="s">
        <v>82</v>
      </c>
      <c r="E29" s="62">
        <f>SUM('Calculation RAB'!H496,'Calculation RAB'!H501,'Calculation RAB'!H506,'Calculation RAB'!H511,'Calculation RAB'!H342)</f>
        <v>36172464.787294626</v>
      </c>
      <c r="F29" s="63"/>
    </row>
    <row r="30" spans="2:6" s="52" customFormat="1" x14ac:dyDescent="0.2">
      <c r="B30" s="58"/>
      <c r="C30" s="2" t="s">
        <v>330</v>
      </c>
      <c r="D30" s="2" t="s">
        <v>82</v>
      </c>
      <c r="E30" s="62">
        <f>SUM('Calculation RAB'!H497,'Calculation RAB'!H502,'Calculation RAB'!H507,'Calculation RAB'!H512,'Calculation RAB'!H334)</f>
        <v>4888637.6563231582</v>
      </c>
      <c r="F30" s="63"/>
    </row>
    <row r="31" spans="2:6" s="52" customFormat="1" x14ac:dyDescent="0.2">
      <c r="B31" s="58"/>
      <c r="C31" s="2" t="s">
        <v>457</v>
      </c>
      <c r="D31" s="2" t="s">
        <v>454</v>
      </c>
      <c r="E31" s="62">
        <f>'Est. and realized costs 2024'!H37</f>
        <v>10381317</v>
      </c>
      <c r="F31" s="63"/>
    </row>
    <row r="32" spans="2:6" s="52" customFormat="1" x14ac:dyDescent="0.2">
      <c r="B32" s="58"/>
      <c r="C32" s="23"/>
      <c r="D32" s="2"/>
      <c r="E32" s="2"/>
      <c r="F32" s="63"/>
    </row>
    <row r="33" spans="1:7" s="52" customFormat="1" x14ac:dyDescent="0.2">
      <c r="B33" s="58"/>
      <c r="C33" s="1" t="s">
        <v>331</v>
      </c>
      <c r="D33" s="2"/>
      <c r="E33" s="2"/>
      <c r="F33" s="63"/>
      <c r="G33" s="2"/>
    </row>
    <row r="34" spans="1:7" s="52" customFormat="1" x14ac:dyDescent="0.2">
      <c r="B34" s="58"/>
      <c r="C34" s="2" t="s">
        <v>83</v>
      </c>
      <c r="D34" s="2" t="s">
        <v>324</v>
      </c>
      <c r="E34" s="62">
        <f>'Total income 2026'!H52</f>
        <v>10991997.972524999</v>
      </c>
      <c r="F34" s="63"/>
    </row>
    <row r="35" spans="1:7" s="52" customFormat="1" x14ac:dyDescent="0.2">
      <c r="B35" s="58"/>
      <c r="C35" s="2" t="s">
        <v>293</v>
      </c>
      <c r="D35" s="2" t="s">
        <v>324</v>
      </c>
      <c r="E35" s="62">
        <f>SUM('Total income 2026'!H53:H54)</f>
        <v>435829.87999999995</v>
      </c>
      <c r="F35" s="63"/>
    </row>
    <row r="36" spans="1:7" s="52" customFormat="1" x14ac:dyDescent="0.2">
      <c r="B36" s="58"/>
      <c r="C36" s="2" t="s">
        <v>261</v>
      </c>
      <c r="D36" s="2" t="s">
        <v>324</v>
      </c>
      <c r="E36" s="128">
        <f>SUM('Calculation RAB'!H498,'Calculation RAB'!H503,'Calculation RAB'!H508,'Calculation RAB'!H513,'Calculation RAB'!H528)</f>
        <v>9487950.9767391514</v>
      </c>
      <c r="F36" s="63"/>
    </row>
    <row r="37" spans="1:7" s="52" customFormat="1" x14ac:dyDescent="0.2">
      <c r="B37" s="58"/>
      <c r="C37" s="2" t="s">
        <v>617</v>
      </c>
      <c r="D37" s="2" t="s">
        <v>324</v>
      </c>
      <c r="E37" s="62">
        <f>SUM('Calculation RAB'!H518,'Calculation RAB'!H523,'Calculation RAB'!H533)</f>
        <v>2374088.6151516158</v>
      </c>
      <c r="F37" s="63"/>
    </row>
    <row r="38" spans="1:7" s="52" customFormat="1" x14ac:dyDescent="0.2">
      <c r="B38" s="58"/>
      <c r="C38" s="2" t="s">
        <v>332</v>
      </c>
      <c r="D38" s="2" t="s">
        <v>324</v>
      </c>
      <c r="E38" s="62">
        <f>'Total income 2026'!H56</f>
        <v>23289867.444415767</v>
      </c>
      <c r="F38" s="63"/>
    </row>
    <row r="39" spans="1:7" s="52" customFormat="1" x14ac:dyDescent="0.2">
      <c r="B39" s="58"/>
      <c r="D39" s="2"/>
      <c r="F39" s="59"/>
    </row>
    <row r="40" spans="1:7" s="52" customFormat="1" x14ac:dyDescent="0.2">
      <c r="B40" s="58"/>
      <c r="C40" s="1" t="s">
        <v>333</v>
      </c>
      <c r="D40" s="2"/>
      <c r="E40" s="2"/>
      <c r="F40" s="63"/>
      <c r="G40" s="2"/>
    </row>
    <row r="41" spans="1:7" s="52" customFormat="1" x14ac:dyDescent="0.2">
      <c r="B41" s="58"/>
      <c r="C41" s="52" t="s">
        <v>458</v>
      </c>
      <c r="D41" s="2" t="s">
        <v>454</v>
      </c>
      <c r="E41" s="62">
        <f>'Volume and PS corrections 2024'!H42</f>
        <v>-2107603.303112749</v>
      </c>
      <c r="F41" s="59"/>
    </row>
    <row r="42" spans="1:7" s="52" customFormat="1" x14ac:dyDescent="0.2">
      <c r="B42" s="58"/>
      <c r="C42" s="52" t="s">
        <v>459</v>
      </c>
      <c r="D42" s="2" t="s">
        <v>454</v>
      </c>
      <c r="E42" s="62">
        <f>'Volume and PS corrections 2024'!H60</f>
        <v>1059965.1083133705</v>
      </c>
      <c r="F42" s="59"/>
    </row>
    <row r="43" spans="1:7" s="52" customFormat="1" x14ac:dyDescent="0.2">
      <c r="B43" s="58"/>
      <c r="C43" s="52" t="s">
        <v>460</v>
      </c>
      <c r="D43" s="2" t="s">
        <v>454</v>
      </c>
      <c r="E43" s="62">
        <f>'Fuel costs and income 2024'!H49</f>
        <v>3165669.7276099985</v>
      </c>
      <c r="F43" s="59"/>
    </row>
    <row r="44" spans="1:7" s="52" customFormat="1" x14ac:dyDescent="0.2">
      <c r="A44" s="127"/>
      <c r="B44" s="58"/>
      <c r="C44" s="43" t="s">
        <v>461</v>
      </c>
      <c r="D44" s="2" t="s">
        <v>454</v>
      </c>
      <c r="E44" s="62">
        <f>'Est. and realized costs 2024'!H45</f>
        <v>915778.85308424756</v>
      </c>
      <c r="F44" s="59"/>
    </row>
    <row r="45" spans="1:7" s="52" customFormat="1" x14ac:dyDescent="0.2">
      <c r="B45" s="58"/>
      <c r="C45" s="50"/>
      <c r="D45" s="2"/>
      <c r="F45" s="59"/>
    </row>
    <row r="46" spans="1:7" s="52" customFormat="1" x14ac:dyDescent="0.2">
      <c r="B46" s="58"/>
      <c r="C46" s="50" t="s">
        <v>85</v>
      </c>
      <c r="D46" s="2"/>
      <c r="F46" s="59"/>
    </row>
    <row r="47" spans="1:7" s="52" customFormat="1" x14ac:dyDescent="0.2">
      <c r="A47" s="127"/>
      <c r="B47" s="58"/>
      <c r="C47" s="2" t="s">
        <v>334</v>
      </c>
      <c r="D47" s="2" t="s">
        <v>70</v>
      </c>
      <c r="E47" s="62">
        <f>'Est. production and costs 2026'!H14</f>
        <v>22385968.920000002</v>
      </c>
      <c r="F47" s="63"/>
    </row>
    <row r="48" spans="1:7" s="52" customFormat="1" x14ac:dyDescent="0.2">
      <c r="A48" s="127"/>
      <c r="B48" s="58"/>
      <c r="C48" s="2" t="s">
        <v>335</v>
      </c>
      <c r="D48" s="2" t="s">
        <v>70</v>
      </c>
      <c r="E48" s="62">
        <f>'Est. production and costs 2026'!H15</f>
        <v>8856000.0000000019</v>
      </c>
      <c r="F48" s="63"/>
    </row>
    <row r="49" spans="1:6" s="52" customFormat="1" x14ac:dyDescent="0.2">
      <c r="A49" s="127"/>
      <c r="B49" s="58"/>
      <c r="C49" s="2" t="s">
        <v>336</v>
      </c>
      <c r="D49" s="2" t="s">
        <v>70</v>
      </c>
      <c r="E49" s="62">
        <f>'Est. production and costs 2026'!H13</f>
        <v>140557366.38000005</v>
      </c>
      <c r="F49" s="63"/>
    </row>
    <row r="50" spans="1:6" s="52" customFormat="1" x14ac:dyDescent="0.2">
      <c r="A50" s="127"/>
      <c r="B50" s="58"/>
      <c r="C50" s="2" t="s">
        <v>337</v>
      </c>
      <c r="D50" s="2" t="s">
        <v>70</v>
      </c>
      <c r="E50" s="62">
        <f>SUM(E47:E49)</f>
        <v>171799335.30000007</v>
      </c>
      <c r="F50" s="63"/>
    </row>
    <row r="51" spans="1:6" s="52" customFormat="1" x14ac:dyDescent="0.2">
      <c r="A51" s="127"/>
      <c r="B51" s="58"/>
      <c r="C51" s="2" t="s">
        <v>338</v>
      </c>
      <c r="D51" s="2" t="s">
        <v>86</v>
      </c>
      <c r="E51" s="64">
        <f>'Fuel costs and income 2024'!H25</f>
        <v>0.27934511103295734</v>
      </c>
      <c r="F51" s="63"/>
    </row>
    <row r="52" spans="1:6" s="52" customFormat="1" x14ac:dyDescent="0.2">
      <c r="A52" s="127"/>
      <c r="B52" s="58"/>
      <c r="C52" s="2" t="s">
        <v>339</v>
      </c>
      <c r="D52" s="2" t="s">
        <v>79</v>
      </c>
      <c r="E52" s="61">
        <f>'Total income 2026'!H42</f>
        <v>0.81814848779569171</v>
      </c>
      <c r="F52" s="63"/>
    </row>
    <row r="53" spans="1:6" s="52" customFormat="1" x14ac:dyDescent="0.2">
      <c r="A53" s="127"/>
      <c r="B53" s="58"/>
      <c r="C53" s="2" t="s">
        <v>340</v>
      </c>
      <c r="D53" s="2" t="s">
        <v>87</v>
      </c>
      <c r="E53" s="64">
        <f>'Est. production and costs 2026'!H19</f>
        <v>0.81010000000000004</v>
      </c>
      <c r="F53" s="63"/>
    </row>
    <row r="54" spans="1:6" s="52" customFormat="1" x14ac:dyDescent="0.2">
      <c r="A54" s="127"/>
      <c r="B54" s="58"/>
      <c r="C54" s="52" t="s">
        <v>341</v>
      </c>
      <c r="D54" s="2" t="s">
        <v>342</v>
      </c>
      <c r="E54" s="65">
        <f>'Production price 2026'!H20</f>
        <v>0.18514493651145075</v>
      </c>
      <c r="F54" s="59"/>
    </row>
    <row r="55" spans="1:6" s="52" customFormat="1" x14ac:dyDescent="0.2">
      <c r="A55" s="127"/>
      <c r="B55" s="58"/>
      <c r="C55" s="52" t="s">
        <v>343</v>
      </c>
      <c r="D55" s="2" t="s">
        <v>342</v>
      </c>
      <c r="E55" s="65">
        <f>'Production price 2026'!H23</f>
        <v>0.35204000000000002</v>
      </c>
      <c r="F55" s="59"/>
    </row>
    <row r="56" spans="1:6" s="52" customFormat="1" x14ac:dyDescent="0.2">
      <c r="B56" s="58"/>
      <c r="D56" s="2"/>
      <c r="F56" s="59"/>
    </row>
    <row r="57" spans="1:6" s="52" customFormat="1" x14ac:dyDescent="0.2">
      <c r="B57" s="58"/>
      <c r="C57" s="50" t="s">
        <v>88</v>
      </c>
      <c r="D57" s="2"/>
      <c r="F57" s="59"/>
    </row>
    <row r="58" spans="1:6" s="52" customFormat="1" x14ac:dyDescent="0.2">
      <c r="B58" s="58"/>
      <c r="C58" s="2" t="s">
        <v>344</v>
      </c>
      <c r="D58" s="2" t="s">
        <v>324</v>
      </c>
      <c r="E58" s="62">
        <f>'Production price 2026'!H28</f>
        <v>1209119.7769777498</v>
      </c>
      <c r="F58" s="59"/>
    </row>
    <row r="59" spans="1:6" s="52" customFormat="1" ht="13.5" thickBot="1" x14ac:dyDescent="0.25">
      <c r="B59" s="66"/>
      <c r="C59" s="67"/>
      <c r="D59" s="67"/>
      <c r="E59" s="67"/>
      <c r="F59" s="68"/>
    </row>
    <row r="60" spans="1:6" s="52" customFormat="1" x14ac:dyDescent="0.2"/>
    <row r="61" spans="1:6" x14ac:dyDescent="0.2">
      <c r="C61" s="50"/>
    </row>
    <row r="62" spans="1:6" x14ac:dyDescent="0.2">
      <c r="C62" s="50"/>
    </row>
    <row r="63" spans="1:6" x14ac:dyDescent="0.2">
      <c r="C63" s="50"/>
    </row>
    <row r="65" spans="2:2" x14ac:dyDescent="0.2">
      <c r="B65" s="5"/>
    </row>
    <row r="66" spans="2:2" x14ac:dyDescent="0.2">
      <c r="B66" s="4" t="s">
        <v>63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D9278-22BE-4291-8664-06816C1669E6}">
  <sheetPr>
    <tabColor theme="0" tint="-4.9989318521683403E-2"/>
  </sheetPr>
  <dimension ref="B2:B8"/>
  <sheetViews>
    <sheetView showGridLines="0" zoomScale="85" zoomScaleNormal="85" workbookViewId="0"/>
  </sheetViews>
  <sheetFormatPr defaultRowHeight="12.75" x14ac:dyDescent="0.2"/>
  <cols>
    <col min="1" max="16384" width="9.140625" style="17"/>
  </cols>
  <sheetData>
    <row r="2" spans="2:2" x14ac:dyDescent="0.2">
      <c r="B2" s="40" t="s">
        <v>64</v>
      </c>
    </row>
    <row r="3" spans="2:2" x14ac:dyDescent="0.2">
      <c r="B3" s="40" t="s">
        <v>65</v>
      </c>
    </row>
    <row r="7" spans="2:2" x14ac:dyDescent="0.2">
      <c r="B7" s="40"/>
    </row>
    <row r="8" spans="2:2" x14ac:dyDescent="0.2">
      <c r="B8" s="4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CC597-5A66-42E1-AC47-D2880A2CDEB7}">
  <sheetPr>
    <tabColor rgb="FFE1FFE1"/>
  </sheetPr>
  <dimension ref="A2:L41"/>
  <sheetViews>
    <sheetView showGridLines="0" zoomScale="85" zoomScaleNormal="85" workbookViewId="0">
      <pane xSplit="6" ySplit="14" topLeftCell="G15" activePane="bottomRight" state="frozen"/>
      <selection activeCell="H18" sqref="H18"/>
      <selection pane="topRight" activeCell="H18" sqref="H18"/>
      <selection pane="bottomLeft" activeCell="H18" sqref="H18"/>
      <selection pane="bottomRight" activeCell="G15" sqref="G15"/>
    </sheetView>
  </sheetViews>
  <sheetFormatPr defaultRowHeight="12.75" x14ac:dyDescent="0.2"/>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38.42578125" style="2" customWidth="1"/>
    <col min="11" max="11" width="2.7109375" style="2" customWidth="1"/>
    <col min="12" max="12" width="13.7109375" style="2" customWidth="1"/>
    <col min="13" max="13" width="2.7109375" style="2" customWidth="1"/>
    <col min="14" max="28" width="13.7109375" style="2" customWidth="1"/>
    <col min="29" max="16384" width="9.140625" style="2"/>
  </cols>
  <sheetData>
    <row r="2" spans="2:12" s="15" customFormat="1" ht="18" x14ac:dyDescent="0.2">
      <c r="B2" s="15" t="s">
        <v>89</v>
      </c>
    </row>
    <row r="4" spans="2:12" x14ac:dyDescent="0.2">
      <c r="B4" s="23" t="s">
        <v>90</v>
      </c>
      <c r="C4" s="1"/>
      <c r="D4" s="1"/>
    </row>
    <row r="5" spans="2:12" x14ac:dyDescent="0.2">
      <c r="B5" s="2" t="s">
        <v>91</v>
      </c>
      <c r="H5" s="16"/>
    </row>
    <row r="6" spans="2:12" x14ac:dyDescent="0.2">
      <c r="H6" s="16"/>
    </row>
    <row r="7" spans="2:12" x14ac:dyDescent="0.2">
      <c r="B7" s="24" t="s">
        <v>92</v>
      </c>
      <c r="H7" s="16"/>
    </row>
    <row r="8" spans="2:12" x14ac:dyDescent="0.2">
      <c r="B8" s="4" t="s">
        <v>93</v>
      </c>
    </row>
    <row r="9" spans="2:12" x14ac:dyDescent="0.2">
      <c r="B9" s="4" t="s">
        <v>94</v>
      </c>
    </row>
    <row r="11" spans="2:12" x14ac:dyDescent="0.2">
      <c r="B11" s="69" t="s">
        <v>262</v>
      </c>
    </row>
    <row r="13" spans="2:12" s="8" customFormat="1" x14ac:dyDescent="0.2">
      <c r="B13" s="8" t="s">
        <v>12</v>
      </c>
      <c r="F13" s="8" t="s">
        <v>35</v>
      </c>
      <c r="H13" s="8" t="s">
        <v>36</v>
      </c>
      <c r="J13" s="8" t="s">
        <v>39</v>
      </c>
      <c r="L13" s="8" t="s">
        <v>38</v>
      </c>
    </row>
    <row r="16" spans="2:12" s="8" customFormat="1" x14ac:dyDescent="0.2">
      <c r="B16" s="8" t="s">
        <v>95</v>
      </c>
    </row>
    <row r="18" spans="1:12" x14ac:dyDescent="0.2">
      <c r="B18" s="2" t="s">
        <v>239</v>
      </c>
      <c r="F18" s="2" t="s">
        <v>79</v>
      </c>
      <c r="H18" s="72">
        <v>2.5000000000000001E-2</v>
      </c>
      <c r="J18" s="2" t="s">
        <v>96</v>
      </c>
    </row>
    <row r="19" spans="1:12" x14ac:dyDescent="0.2">
      <c r="A19" s="9"/>
      <c r="B19" s="2" t="s">
        <v>345</v>
      </c>
      <c r="F19" s="2" t="s">
        <v>79</v>
      </c>
      <c r="H19" s="92">
        <v>3.3000000000000002E-2</v>
      </c>
    </row>
    <row r="22" spans="1:12" s="8" customFormat="1" x14ac:dyDescent="0.2">
      <c r="B22" s="8" t="s">
        <v>98</v>
      </c>
    </row>
    <row r="24" spans="1:12" x14ac:dyDescent="0.2">
      <c r="B24" s="2" t="s">
        <v>99</v>
      </c>
      <c r="F24" s="2" t="s">
        <v>79</v>
      </c>
      <c r="H24" s="72">
        <v>0.03</v>
      </c>
      <c r="J24" s="2" t="s">
        <v>100</v>
      </c>
    </row>
    <row r="25" spans="1:12" x14ac:dyDescent="0.2">
      <c r="L25" s="22"/>
    </row>
    <row r="27" spans="1:12" s="8" customFormat="1" x14ac:dyDescent="0.2">
      <c r="B27" s="8" t="s">
        <v>101</v>
      </c>
    </row>
    <row r="29" spans="1:12" x14ac:dyDescent="0.2">
      <c r="A29" s="9"/>
      <c r="B29" s="2" t="s">
        <v>453</v>
      </c>
      <c r="F29" s="2" t="s">
        <v>79</v>
      </c>
      <c r="H29" s="73">
        <v>8.3799999999999999E-2</v>
      </c>
      <c r="J29" s="2" t="s">
        <v>561</v>
      </c>
      <c r="L29" s="2" t="s">
        <v>452</v>
      </c>
    </row>
    <row r="31" spans="1:12" x14ac:dyDescent="0.2">
      <c r="B31" s="2" t="s">
        <v>326</v>
      </c>
      <c r="F31" s="2" t="s">
        <v>79</v>
      </c>
      <c r="H31" s="73">
        <v>8.8900000000000007E-2</v>
      </c>
      <c r="J31" s="2" t="s">
        <v>561</v>
      </c>
      <c r="L31" s="117" t="s">
        <v>346</v>
      </c>
    </row>
    <row r="34" spans="2:12" s="8" customFormat="1" x14ac:dyDescent="0.2">
      <c r="B34" s="8" t="s">
        <v>102</v>
      </c>
    </row>
    <row r="36" spans="2:12" x14ac:dyDescent="0.2">
      <c r="B36" s="2" t="s">
        <v>102</v>
      </c>
      <c r="F36" s="2" t="s">
        <v>79</v>
      </c>
      <c r="H36" s="73">
        <v>0.5</v>
      </c>
      <c r="L36" s="18" t="s">
        <v>103</v>
      </c>
    </row>
    <row r="41" spans="2:12" x14ac:dyDescent="0.2">
      <c r="B41" s="4" t="s">
        <v>63</v>
      </c>
    </row>
  </sheetData>
  <phoneticPr fontId="34"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764A-D2AE-4EBD-BF52-471CE7337C2F}">
  <sheetPr>
    <tabColor rgb="FFE1FFE1"/>
  </sheetPr>
  <dimension ref="A2:AB187"/>
  <sheetViews>
    <sheetView showGridLines="0" zoomScale="85" zoomScaleNormal="85" workbookViewId="0">
      <pane xSplit="6" ySplit="15" topLeftCell="G16" activePane="bottomRight" state="frozen"/>
      <selection activeCell="H18" sqref="H18"/>
      <selection pane="topRight" activeCell="H18" sqref="H18"/>
      <selection pane="bottomLeft" activeCell="H18" sqref="H18"/>
      <selection pane="bottomRight" activeCell="G16" sqref="G16"/>
    </sheetView>
  </sheetViews>
  <sheetFormatPr defaultRowHeight="12.75" x14ac:dyDescent="0.2"/>
  <cols>
    <col min="1" max="1" width="4.7109375" style="2" customWidth="1"/>
    <col min="2" max="2" width="55.5703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76.85546875" style="2" customWidth="1"/>
    <col min="11" max="11" width="2.7109375" style="2" customWidth="1"/>
    <col min="12" max="12" width="13.7109375" style="2" customWidth="1"/>
    <col min="13" max="13" width="2.7109375" style="2" customWidth="1"/>
    <col min="14" max="28" width="13.7109375" style="2" customWidth="1"/>
    <col min="29" max="16384" width="9.140625" style="2"/>
  </cols>
  <sheetData>
    <row r="2" spans="1:12" s="15" customFormat="1" ht="18" x14ac:dyDescent="0.2">
      <c r="B2" s="15" t="s">
        <v>435</v>
      </c>
    </row>
    <row r="4" spans="1:12" x14ac:dyDescent="0.2">
      <c r="B4" s="23" t="s">
        <v>90</v>
      </c>
      <c r="C4" s="1"/>
      <c r="D4" s="1"/>
    </row>
    <row r="5" spans="1:12" x14ac:dyDescent="0.2">
      <c r="B5" s="2" t="s">
        <v>436</v>
      </c>
      <c r="H5" s="16"/>
    </row>
    <row r="6" spans="1:12" x14ac:dyDescent="0.2">
      <c r="B6" s="2" t="s">
        <v>437</v>
      </c>
      <c r="H6" s="16"/>
    </row>
    <row r="7" spans="1:12" x14ac:dyDescent="0.2">
      <c r="H7" s="16"/>
    </row>
    <row r="8" spans="1:12" x14ac:dyDescent="0.2">
      <c r="B8" s="24" t="s">
        <v>92</v>
      </c>
      <c r="H8" s="16"/>
    </row>
    <row r="9" spans="1:12" x14ac:dyDescent="0.2">
      <c r="B9" s="24" t="s">
        <v>104</v>
      </c>
    </row>
    <row r="10" spans="1:12" x14ac:dyDescent="0.2">
      <c r="B10" s="24" t="s">
        <v>269</v>
      </c>
    </row>
    <row r="11" spans="1:12" x14ac:dyDescent="0.2">
      <c r="A11" s="9"/>
      <c r="B11" s="24" t="s">
        <v>438</v>
      </c>
    </row>
    <row r="12" spans="1:12" x14ac:dyDescent="0.2">
      <c r="A12" s="9"/>
      <c r="B12" s="4" t="s">
        <v>439</v>
      </c>
    </row>
    <row r="14" spans="1:12" s="8" customFormat="1" x14ac:dyDescent="0.2">
      <c r="B14" s="8" t="s">
        <v>12</v>
      </c>
      <c r="F14" s="8" t="s">
        <v>35</v>
      </c>
      <c r="H14" s="8" t="s">
        <v>36</v>
      </c>
      <c r="J14" s="8" t="s">
        <v>39</v>
      </c>
      <c r="L14" s="8" t="s">
        <v>38</v>
      </c>
    </row>
    <row r="17" spans="1:12" s="8" customFormat="1" x14ac:dyDescent="0.2">
      <c r="B17" s="8" t="s">
        <v>440</v>
      </c>
    </row>
    <row r="19" spans="1:12" x14ac:dyDescent="0.2">
      <c r="B19" s="1" t="s">
        <v>394</v>
      </c>
    </row>
    <row r="20" spans="1:12" x14ac:dyDescent="0.2">
      <c r="B20" s="2" t="s">
        <v>395</v>
      </c>
      <c r="F20" s="2" t="s">
        <v>265</v>
      </c>
      <c r="H20" s="28">
        <v>17293275.530519724</v>
      </c>
      <c r="J20" s="2" t="s">
        <v>447</v>
      </c>
    </row>
    <row r="21" spans="1:12" x14ac:dyDescent="0.2">
      <c r="A21" s="43"/>
      <c r="B21" s="43" t="s">
        <v>396</v>
      </c>
      <c r="F21" s="2" t="s">
        <v>265</v>
      </c>
      <c r="H21" s="28">
        <v>925050.97168000008</v>
      </c>
      <c r="J21" s="2" t="s">
        <v>448</v>
      </c>
      <c r="L21" s="22"/>
    </row>
    <row r="23" spans="1:12" x14ac:dyDescent="0.2">
      <c r="B23" s="23" t="s">
        <v>441</v>
      </c>
    </row>
    <row r="24" spans="1:12" x14ac:dyDescent="0.2">
      <c r="A24" s="43"/>
      <c r="B24" s="43" t="s">
        <v>395</v>
      </c>
      <c r="F24" s="2" t="s">
        <v>265</v>
      </c>
      <c r="H24" s="28">
        <v>18204284.702077493</v>
      </c>
      <c r="J24" s="2" t="s">
        <v>449</v>
      </c>
    </row>
    <row r="26" spans="1:12" x14ac:dyDescent="0.2">
      <c r="B26" s="1" t="s">
        <v>74</v>
      </c>
      <c r="L26" s="22"/>
    </row>
    <row r="27" spans="1:12" x14ac:dyDescent="0.2">
      <c r="B27" s="2" t="s">
        <v>442</v>
      </c>
      <c r="F27" s="2" t="s">
        <v>70</v>
      </c>
      <c r="H27" s="28">
        <v>147882686.243</v>
      </c>
      <c r="J27" s="2" t="s">
        <v>450</v>
      </c>
    </row>
    <row r="30" spans="1:12" s="8" customFormat="1" x14ac:dyDescent="0.2">
      <c r="B30" s="8" t="s">
        <v>443</v>
      </c>
    </row>
    <row r="31" spans="1:12" x14ac:dyDescent="0.2">
      <c r="A31" s="74"/>
    </row>
    <row r="32" spans="1:12" x14ac:dyDescent="0.2">
      <c r="A32" s="74"/>
      <c r="B32" s="23" t="s">
        <v>105</v>
      </c>
    </row>
    <row r="33" spans="1:12" x14ac:dyDescent="0.2">
      <c r="A33" s="74"/>
      <c r="B33" s="2" t="s">
        <v>106</v>
      </c>
      <c r="F33" s="2" t="s">
        <v>265</v>
      </c>
      <c r="H33" s="28">
        <v>2407442</v>
      </c>
      <c r="J33" s="2" t="s">
        <v>451</v>
      </c>
    </row>
    <row r="34" spans="1:12" x14ac:dyDescent="0.2">
      <c r="A34" s="74"/>
      <c r="B34" s="2" t="s">
        <v>107</v>
      </c>
      <c r="F34" s="2" t="s">
        <v>265</v>
      </c>
      <c r="H34" s="28">
        <v>7836212</v>
      </c>
      <c r="J34" s="2" t="s">
        <v>451</v>
      </c>
      <c r="L34" s="22"/>
    </row>
    <row r="35" spans="1:12" x14ac:dyDescent="0.2">
      <c r="A35" s="74"/>
      <c r="B35" s="2" t="s">
        <v>108</v>
      </c>
      <c r="F35" s="2" t="s">
        <v>265</v>
      </c>
      <c r="H35" s="28">
        <v>-64890</v>
      </c>
      <c r="J35" s="2" t="s">
        <v>451</v>
      </c>
      <c r="L35" s="75"/>
    </row>
    <row r="36" spans="1:12" s="18" customFormat="1" x14ac:dyDescent="0.2">
      <c r="A36" s="140"/>
      <c r="B36" s="18" t="s">
        <v>267</v>
      </c>
      <c r="F36" s="18" t="s">
        <v>265</v>
      </c>
      <c r="H36" s="149">
        <v>202553</v>
      </c>
      <c r="J36" s="18" t="s">
        <v>348</v>
      </c>
      <c r="L36" s="18" t="s">
        <v>268</v>
      </c>
    </row>
    <row r="37" spans="1:12" x14ac:dyDescent="0.2">
      <c r="A37" s="140"/>
      <c r="B37" s="2" t="s">
        <v>109</v>
      </c>
      <c r="F37" s="2" t="s">
        <v>265</v>
      </c>
      <c r="H37" s="33">
        <f>H33+H34+H35+H36</f>
        <v>10381317</v>
      </c>
    </row>
    <row r="38" spans="1:12" x14ac:dyDescent="0.2">
      <c r="J38" s="42"/>
    </row>
    <row r="39" spans="1:12" x14ac:dyDescent="0.2">
      <c r="B39" s="1" t="s">
        <v>110</v>
      </c>
      <c r="J39" s="42"/>
    </row>
    <row r="40" spans="1:12" x14ac:dyDescent="0.2">
      <c r="B40" s="2" t="s">
        <v>111</v>
      </c>
      <c r="F40" s="2" t="s">
        <v>265</v>
      </c>
      <c r="H40" s="28">
        <v>0</v>
      </c>
      <c r="J40" s="2" t="s">
        <v>242</v>
      </c>
      <c r="L40" s="2" t="s">
        <v>531</v>
      </c>
    </row>
    <row r="41" spans="1:12" x14ac:dyDescent="0.2">
      <c r="J41" s="42"/>
    </row>
    <row r="42" spans="1:12" x14ac:dyDescent="0.2">
      <c r="J42" s="42"/>
    </row>
    <row r="43" spans="1:12" s="8" customFormat="1" x14ac:dyDescent="0.2">
      <c r="B43" s="8" t="s">
        <v>444</v>
      </c>
    </row>
    <row r="44" spans="1:12" x14ac:dyDescent="0.2">
      <c r="H44" s="42"/>
    </row>
    <row r="45" spans="1:12" x14ac:dyDescent="0.2">
      <c r="A45" s="9"/>
      <c r="B45" s="2" t="s">
        <v>445</v>
      </c>
      <c r="F45" s="2" t="s">
        <v>265</v>
      </c>
      <c r="H45" s="28">
        <v>915778.85308424756</v>
      </c>
      <c r="J45" s="2" t="s">
        <v>570</v>
      </c>
    </row>
    <row r="46" spans="1:12" x14ac:dyDescent="0.2">
      <c r="H46" s="42"/>
    </row>
    <row r="47" spans="1:12" x14ac:dyDescent="0.2">
      <c r="H47" s="42"/>
    </row>
    <row r="48" spans="1:12" s="8" customFormat="1" x14ac:dyDescent="0.2">
      <c r="B48" s="8" t="s">
        <v>446</v>
      </c>
    </row>
    <row r="50" spans="2:13" s="1" customFormat="1" x14ac:dyDescent="0.2">
      <c r="B50" s="1" t="s">
        <v>112</v>
      </c>
      <c r="J50" s="22"/>
    </row>
    <row r="51" spans="2:13" s="1" customFormat="1" x14ac:dyDescent="0.2">
      <c r="J51" s="22"/>
    </row>
    <row r="52" spans="2:13" x14ac:dyDescent="0.2">
      <c r="B52" s="2" t="s">
        <v>113</v>
      </c>
      <c r="F52" s="2" t="s">
        <v>82</v>
      </c>
      <c r="H52" s="28">
        <v>61734000</v>
      </c>
      <c r="J52" s="18" t="s">
        <v>296</v>
      </c>
    </row>
    <row r="53" spans="2:13" x14ac:dyDescent="0.2">
      <c r="B53" s="2" t="s">
        <v>114</v>
      </c>
      <c r="F53" s="2" t="s">
        <v>82</v>
      </c>
      <c r="H53" s="28">
        <v>860000</v>
      </c>
      <c r="J53" s="18"/>
      <c r="M53" s="26"/>
    </row>
    <row r="54" spans="2:13" x14ac:dyDescent="0.2">
      <c r="B54" s="2" t="s">
        <v>347</v>
      </c>
      <c r="F54" s="2" t="s">
        <v>82</v>
      </c>
      <c r="H54" s="28">
        <v>18696000</v>
      </c>
      <c r="J54" s="18"/>
      <c r="L54" s="76"/>
    </row>
    <row r="55" spans="2:13" x14ac:dyDescent="0.2">
      <c r="B55" s="2" t="s">
        <v>116</v>
      </c>
      <c r="F55" s="2" t="s">
        <v>117</v>
      </c>
      <c r="H55" s="28">
        <v>15</v>
      </c>
      <c r="J55" s="18"/>
      <c r="L55" s="76"/>
      <c r="M55" s="26"/>
    </row>
    <row r="56" spans="2:13" x14ac:dyDescent="0.2">
      <c r="J56" s="18"/>
      <c r="M56" s="26"/>
    </row>
    <row r="57" spans="2:13" x14ac:dyDescent="0.2">
      <c r="B57" s="2" t="s">
        <v>279</v>
      </c>
      <c r="F57" s="2" t="s">
        <v>125</v>
      </c>
      <c r="H57" s="84">
        <v>40410</v>
      </c>
      <c r="J57" s="18" t="s">
        <v>296</v>
      </c>
      <c r="M57" s="26"/>
    </row>
    <row r="58" spans="2:13" x14ac:dyDescent="0.2">
      <c r="B58" s="2" t="s">
        <v>176</v>
      </c>
      <c r="F58" s="2" t="s">
        <v>82</v>
      </c>
      <c r="H58" s="28">
        <v>2811866.6666666665</v>
      </c>
      <c r="J58" s="18"/>
      <c r="M58" s="26"/>
    </row>
    <row r="59" spans="2:13" x14ac:dyDescent="0.2">
      <c r="B59" s="2" t="s">
        <v>280</v>
      </c>
      <c r="F59" s="2" t="s">
        <v>123</v>
      </c>
      <c r="H59" s="145">
        <f>(H52-H53)/H58</f>
        <v>21.648963914837122</v>
      </c>
      <c r="J59" s="18"/>
      <c r="M59" s="26"/>
    </row>
    <row r="60" spans="2:13" x14ac:dyDescent="0.2">
      <c r="B60" s="18" t="s">
        <v>277</v>
      </c>
      <c r="C60" s="18"/>
      <c r="D60" s="18"/>
      <c r="E60" s="18"/>
      <c r="F60" s="18" t="s">
        <v>125</v>
      </c>
      <c r="H60" s="143">
        <f>H57+(H59*365.25)</f>
        <v>48317.28406989426</v>
      </c>
      <c r="J60" s="18"/>
    </row>
    <row r="61" spans="2:13" x14ac:dyDescent="0.2">
      <c r="B61" s="18" t="s">
        <v>284</v>
      </c>
      <c r="C61" s="18"/>
      <c r="D61" s="18"/>
      <c r="E61" s="18"/>
      <c r="F61" s="18" t="s">
        <v>125</v>
      </c>
      <c r="H61" s="84">
        <v>45747</v>
      </c>
      <c r="J61" s="18" t="s">
        <v>297</v>
      </c>
    </row>
    <row r="62" spans="2:13" x14ac:dyDescent="0.2">
      <c r="B62" s="18" t="s">
        <v>274</v>
      </c>
      <c r="C62" s="18"/>
      <c r="D62" s="18"/>
      <c r="E62" s="18"/>
      <c r="F62" s="18" t="s">
        <v>123</v>
      </c>
      <c r="H62" s="145">
        <f>($H$60-H61)/365.25</f>
        <v>7.0370542639131006</v>
      </c>
      <c r="J62" s="18"/>
    </row>
    <row r="63" spans="2:13" x14ac:dyDescent="0.2">
      <c r="B63" s="18" t="s">
        <v>285</v>
      </c>
      <c r="C63" s="18"/>
      <c r="D63" s="18"/>
      <c r="E63" s="18"/>
      <c r="F63" s="18" t="s">
        <v>125</v>
      </c>
      <c r="H63" s="84">
        <v>45838</v>
      </c>
      <c r="J63" s="18" t="s">
        <v>297</v>
      </c>
    </row>
    <row r="64" spans="2:13" x14ac:dyDescent="0.2">
      <c r="B64" s="18" t="s">
        <v>274</v>
      </c>
      <c r="C64" s="18"/>
      <c r="D64" s="18"/>
      <c r="E64" s="18"/>
      <c r="F64" s="18" t="s">
        <v>123</v>
      </c>
      <c r="H64" s="145">
        <f>($H$60-H63)/365.25</f>
        <v>6.7879098422840798</v>
      </c>
      <c r="J64" s="18"/>
    </row>
    <row r="65" spans="2:12" x14ac:dyDescent="0.2">
      <c r="B65" s="18" t="s">
        <v>304</v>
      </c>
      <c r="C65" s="18"/>
      <c r="D65" s="18"/>
      <c r="E65" s="18"/>
      <c r="F65" s="18" t="s">
        <v>125</v>
      </c>
      <c r="H65" s="84">
        <v>45930</v>
      </c>
      <c r="J65" s="18" t="s">
        <v>297</v>
      </c>
    </row>
    <row r="66" spans="2:12" x14ac:dyDescent="0.2">
      <c r="B66" s="18" t="s">
        <v>274</v>
      </c>
      <c r="C66" s="18"/>
      <c r="D66" s="18"/>
      <c r="E66" s="18"/>
      <c r="F66" s="18" t="s">
        <v>123</v>
      </c>
      <c r="H66" s="145">
        <f>($H$60-H65)/365.25</f>
        <v>6.536027569867926</v>
      </c>
      <c r="J66" s="18"/>
    </row>
    <row r="67" spans="2:12" x14ac:dyDescent="0.2">
      <c r="J67" s="18"/>
    </row>
    <row r="68" spans="2:12" x14ac:dyDescent="0.2">
      <c r="J68" s="18"/>
    </row>
    <row r="69" spans="2:12" x14ac:dyDescent="0.2">
      <c r="B69" s="1" t="s">
        <v>118</v>
      </c>
      <c r="J69" s="18"/>
    </row>
    <row r="70" spans="2:12" x14ac:dyDescent="0.2">
      <c r="J70" s="18"/>
      <c r="L70" s="77"/>
    </row>
    <row r="71" spans="2:12" x14ac:dyDescent="0.2">
      <c r="B71" s="4" t="s">
        <v>119</v>
      </c>
      <c r="J71" s="18"/>
      <c r="L71" s="77"/>
    </row>
    <row r="72" spans="2:12" x14ac:dyDescent="0.2">
      <c r="B72" s="78" t="s">
        <v>120</v>
      </c>
      <c r="J72" s="18"/>
    </row>
    <row r="73" spans="2:12" x14ac:dyDescent="0.2">
      <c r="B73" s="2" t="s">
        <v>121</v>
      </c>
      <c r="F73" s="2" t="s">
        <v>82</v>
      </c>
      <c r="H73" s="28">
        <v>773908</v>
      </c>
      <c r="J73" s="18" t="s">
        <v>296</v>
      </c>
    </row>
    <row r="74" spans="2:12" x14ac:dyDescent="0.2">
      <c r="B74" s="2" t="s">
        <v>122</v>
      </c>
      <c r="F74" s="2" t="s">
        <v>123</v>
      </c>
      <c r="H74" s="28">
        <v>9.25</v>
      </c>
      <c r="J74" s="18"/>
    </row>
    <row r="75" spans="2:12" x14ac:dyDescent="0.2">
      <c r="B75" s="2" t="s">
        <v>124</v>
      </c>
      <c r="F75" s="2" t="s">
        <v>125</v>
      </c>
      <c r="H75" s="79">
        <v>42491</v>
      </c>
      <c r="J75" s="18"/>
    </row>
    <row r="76" spans="2:12" x14ac:dyDescent="0.2">
      <c r="J76" s="18"/>
    </row>
    <row r="77" spans="2:12" x14ac:dyDescent="0.2">
      <c r="B77" s="78" t="s">
        <v>126</v>
      </c>
      <c r="J77" s="18"/>
    </row>
    <row r="78" spans="2:12" x14ac:dyDescent="0.2">
      <c r="B78" s="2" t="s">
        <v>121</v>
      </c>
      <c r="F78" s="2" t="s">
        <v>82</v>
      </c>
      <c r="H78" s="28">
        <v>59734</v>
      </c>
      <c r="J78" s="18" t="s">
        <v>296</v>
      </c>
    </row>
    <row r="79" spans="2:12" x14ac:dyDescent="0.2">
      <c r="B79" s="2" t="s">
        <v>122</v>
      </c>
      <c r="F79" s="2" t="s">
        <v>123</v>
      </c>
      <c r="H79" s="28">
        <v>5</v>
      </c>
      <c r="J79" s="18"/>
    </row>
    <row r="80" spans="2:12" x14ac:dyDescent="0.2">
      <c r="B80" s="2" t="s">
        <v>124</v>
      </c>
      <c r="F80" s="2" t="s">
        <v>125</v>
      </c>
      <c r="H80" s="79">
        <v>42538</v>
      </c>
      <c r="J80" s="18"/>
    </row>
    <row r="81" spans="2:12" x14ac:dyDescent="0.2">
      <c r="J81" s="18"/>
    </row>
    <row r="82" spans="2:12" x14ac:dyDescent="0.2">
      <c r="J82" s="18"/>
    </row>
    <row r="83" spans="2:12" x14ac:dyDescent="0.2">
      <c r="B83" s="4" t="s">
        <v>127</v>
      </c>
      <c r="J83" s="18"/>
    </row>
    <row r="84" spans="2:12" x14ac:dyDescent="0.2">
      <c r="B84" s="78" t="s">
        <v>126</v>
      </c>
      <c r="J84" s="18"/>
    </row>
    <row r="85" spans="2:12" x14ac:dyDescent="0.2">
      <c r="B85" s="2" t="s">
        <v>121</v>
      </c>
      <c r="F85" s="2" t="s">
        <v>82</v>
      </c>
      <c r="H85" s="28">
        <v>6000</v>
      </c>
      <c r="J85" s="18" t="s">
        <v>296</v>
      </c>
    </row>
    <row r="86" spans="2:12" x14ac:dyDescent="0.2">
      <c r="B86" s="2" t="s">
        <v>122</v>
      </c>
      <c r="F86" s="2" t="s">
        <v>123</v>
      </c>
      <c r="H86" s="28">
        <v>5</v>
      </c>
      <c r="J86" s="18"/>
    </row>
    <row r="87" spans="2:12" x14ac:dyDescent="0.2">
      <c r="B87" s="2" t="s">
        <v>124</v>
      </c>
      <c r="F87" s="2" t="s">
        <v>125</v>
      </c>
      <c r="H87" s="79">
        <v>42751</v>
      </c>
      <c r="J87" s="18"/>
    </row>
    <row r="88" spans="2:12" x14ac:dyDescent="0.2">
      <c r="J88" s="18"/>
    </row>
    <row r="89" spans="2:12" x14ac:dyDescent="0.2">
      <c r="B89" s="78" t="s">
        <v>126</v>
      </c>
      <c r="J89" s="18"/>
    </row>
    <row r="90" spans="2:12" x14ac:dyDescent="0.2">
      <c r="B90" s="2" t="s">
        <v>121</v>
      </c>
      <c r="F90" s="2" t="s">
        <v>82</v>
      </c>
      <c r="H90" s="80">
        <v>4000</v>
      </c>
      <c r="J90" s="18" t="s">
        <v>296</v>
      </c>
    </row>
    <row r="91" spans="2:12" x14ac:dyDescent="0.2">
      <c r="B91" s="2" t="s">
        <v>122</v>
      </c>
      <c r="F91" s="2" t="s">
        <v>123</v>
      </c>
      <c r="H91" s="80">
        <v>5</v>
      </c>
      <c r="J91" s="18"/>
      <c r="L91" s="42"/>
    </row>
    <row r="92" spans="2:12" x14ac:dyDescent="0.2">
      <c r="B92" s="2" t="s">
        <v>124</v>
      </c>
      <c r="F92" s="2" t="s">
        <v>125</v>
      </c>
      <c r="H92" s="79">
        <v>43050</v>
      </c>
      <c r="J92" s="18"/>
      <c r="L92" s="42"/>
    </row>
    <row r="93" spans="2:12" x14ac:dyDescent="0.2">
      <c r="J93" s="18"/>
      <c r="L93" s="42"/>
    </row>
    <row r="94" spans="2:12" x14ac:dyDescent="0.2">
      <c r="J94" s="18"/>
    </row>
    <row r="95" spans="2:12" x14ac:dyDescent="0.2">
      <c r="B95" s="4" t="s">
        <v>128</v>
      </c>
      <c r="J95" s="18"/>
    </row>
    <row r="96" spans="2:12" x14ac:dyDescent="0.2">
      <c r="B96" s="78" t="s">
        <v>129</v>
      </c>
      <c r="J96" s="18"/>
    </row>
    <row r="97" spans="2:12" x14ac:dyDescent="0.2">
      <c r="B97" s="2" t="s">
        <v>121</v>
      </c>
      <c r="F97" s="2" t="s">
        <v>82</v>
      </c>
      <c r="H97" s="28">
        <v>7636</v>
      </c>
      <c r="J97" s="18" t="s">
        <v>296</v>
      </c>
    </row>
    <row r="98" spans="2:12" x14ac:dyDescent="0.2">
      <c r="B98" s="2" t="s">
        <v>122</v>
      </c>
      <c r="F98" s="2" t="s">
        <v>123</v>
      </c>
      <c r="H98" s="28">
        <v>4</v>
      </c>
      <c r="J98" s="18"/>
    </row>
    <row r="99" spans="2:12" x14ac:dyDescent="0.2">
      <c r="B99" s="2" t="s">
        <v>124</v>
      </c>
      <c r="F99" s="2" t="s">
        <v>125</v>
      </c>
      <c r="H99" s="79">
        <v>43451</v>
      </c>
      <c r="J99" s="18"/>
    </row>
    <row r="100" spans="2:12" x14ac:dyDescent="0.2">
      <c r="J100" s="18"/>
    </row>
    <row r="101" spans="2:12" x14ac:dyDescent="0.2">
      <c r="J101" s="18"/>
    </row>
    <row r="102" spans="2:12" x14ac:dyDescent="0.2">
      <c r="B102" s="4" t="s">
        <v>130</v>
      </c>
      <c r="J102" s="18"/>
    </row>
    <row r="103" spans="2:12" x14ac:dyDescent="0.2">
      <c r="B103" s="78" t="s">
        <v>131</v>
      </c>
      <c r="J103" s="18"/>
    </row>
    <row r="104" spans="2:12" x14ac:dyDescent="0.2">
      <c r="B104" s="2" t="s">
        <v>121</v>
      </c>
      <c r="F104" s="2" t="s">
        <v>82</v>
      </c>
      <c r="H104" s="28">
        <v>12195</v>
      </c>
      <c r="J104" s="18" t="s">
        <v>296</v>
      </c>
      <c r="L104" s="22"/>
    </row>
    <row r="105" spans="2:12" x14ac:dyDescent="0.2">
      <c r="B105" s="2" t="s">
        <v>122</v>
      </c>
      <c r="F105" s="2" t="s">
        <v>123</v>
      </c>
      <c r="H105" s="28">
        <v>4</v>
      </c>
      <c r="J105" s="18"/>
    </row>
    <row r="106" spans="2:12" x14ac:dyDescent="0.2">
      <c r="B106" s="2" t="s">
        <v>124</v>
      </c>
      <c r="F106" s="2" t="s">
        <v>125</v>
      </c>
      <c r="H106" s="79">
        <v>43647</v>
      </c>
      <c r="J106" s="18"/>
    </row>
    <row r="107" spans="2:12" x14ac:dyDescent="0.2">
      <c r="J107" s="18"/>
    </row>
    <row r="108" spans="2:12" x14ac:dyDescent="0.2">
      <c r="J108" s="18"/>
    </row>
    <row r="109" spans="2:12" x14ac:dyDescent="0.2">
      <c r="B109" s="4" t="s">
        <v>132</v>
      </c>
      <c r="J109" s="18"/>
    </row>
    <row r="110" spans="2:12" x14ac:dyDescent="0.2">
      <c r="B110" s="78" t="s">
        <v>131</v>
      </c>
      <c r="J110" s="18"/>
    </row>
    <row r="111" spans="2:12" x14ac:dyDescent="0.2">
      <c r="B111" s="2" t="s">
        <v>121</v>
      </c>
      <c r="F111" s="2" t="s">
        <v>82</v>
      </c>
      <c r="H111" s="28">
        <v>4379</v>
      </c>
      <c r="J111" s="18" t="s">
        <v>296</v>
      </c>
    </row>
    <row r="112" spans="2:12" x14ac:dyDescent="0.2">
      <c r="B112" s="2" t="s">
        <v>122</v>
      </c>
      <c r="F112" s="2" t="s">
        <v>123</v>
      </c>
      <c r="H112" s="28">
        <v>4</v>
      </c>
      <c r="J112" s="18"/>
    </row>
    <row r="113" spans="1:28" x14ac:dyDescent="0.2">
      <c r="B113" s="2" t="s">
        <v>124</v>
      </c>
      <c r="F113" s="2" t="s">
        <v>125</v>
      </c>
      <c r="H113" s="79">
        <v>43921</v>
      </c>
      <c r="J113" s="18"/>
    </row>
    <row r="114" spans="1:28" x14ac:dyDescent="0.2">
      <c r="J114" s="18"/>
    </row>
    <row r="115" spans="1:28" x14ac:dyDescent="0.2">
      <c r="J115" s="18"/>
    </row>
    <row r="116" spans="1:28" x14ac:dyDescent="0.2">
      <c r="B116" s="4" t="s">
        <v>133</v>
      </c>
      <c r="J116" s="18"/>
    </row>
    <row r="117" spans="1:28" x14ac:dyDescent="0.2">
      <c r="J117" s="18"/>
    </row>
    <row r="118" spans="1:28" x14ac:dyDescent="0.2">
      <c r="J118" s="18"/>
    </row>
    <row r="119" spans="1:28" x14ac:dyDescent="0.2">
      <c r="B119" s="4" t="s">
        <v>134</v>
      </c>
      <c r="J119" s="18"/>
    </row>
    <row r="120" spans="1:28" x14ac:dyDescent="0.2">
      <c r="B120" s="4"/>
      <c r="J120" s="18"/>
    </row>
    <row r="121" spans="1:28" x14ac:dyDescent="0.2">
      <c r="J121" s="18"/>
    </row>
    <row r="122" spans="1:28" x14ac:dyDescent="0.2">
      <c r="B122" s="4" t="s">
        <v>243</v>
      </c>
      <c r="J122" s="18" t="s">
        <v>244</v>
      </c>
    </row>
    <row r="123" spans="1:28" x14ac:dyDescent="0.2">
      <c r="J123" s="18"/>
    </row>
    <row r="124" spans="1:28" x14ac:dyDescent="0.2">
      <c r="J124" s="18"/>
    </row>
    <row r="125" spans="1:28" x14ac:dyDescent="0.2">
      <c r="B125" s="1" t="s">
        <v>135</v>
      </c>
      <c r="J125" s="18"/>
      <c r="M125" s="16"/>
      <c r="AB125" s="81"/>
    </row>
    <row r="126" spans="1:28" x14ac:dyDescent="0.2">
      <c r="J126" s="18"/>
      <c r="M126" s="16"/>
      <c r="AB126" s="81"/>
    </row>
    <row r="127" spans="1:28" s="52" customFormat="1" x14ac:dyDescent="0.2">
      <c r="A127" s="2"/>
      <c r="B127" s="52" t="s">
        <v>136</v>
      </c>
      <c r="F127" s="52" t="s">
        <v>82</v>
      </c>
      <c r="G127" s="2"/>
      <c r="H127" s="80">
        <v>7200000</v>
      </c>
      <c r="J127" s="18" t="s">
        <v>296</v>
      </c>
      <c r="L127" s="22"/>
      <c r="M127" s="16"/>
      <c r="Q127" s="82"/>
      <c r="AB127" s="83"/>
    </row>
    <row r="128" spans="1:28" s="52" customFormat="1" x14ac:dyDescent="0.2">
      <c r="A128" s="2"/>
      <c r="B128" s="52" t="s">
        <v>122</v>
      </c>
      <c r="F128" s="52" t="s">
        <v>123</v>
      </c>
      <c r="H128" s="80">
        <v>15</v>
      </c>
      <c r="J128" s="18"/>
      <c r="M128" s="16"/>
      <c r="Q128" s="2"/>
      <c r="AB128" s="83"/>
    </row>
    <row r="129" spans="1:28" s="52" customFormat="1" x14ac:dyDescent="0.2">
      <c r="A129" s="2"/>
      <c r="B129" s="52" t="s">
        <v>124</v>
      </c>
      <c r="F129" s="52" t="s">
        <v>125</v>
      </c>
      <c r="H129" s="84">
        <v>43538</v>
      </c>
      <c r="J129" s="18"/>
      <c r="M129" s="16"/>
      <c r="Q129" s="2"/>
      <c r="AB129" s="83"/>
    </row>
    <row r="130" spans="1:28" s="52" customFormat="1" x14ac:dyDescent="0.2">
      <c r="G130" s="2"/>
      <c r="J130" s="18"/>
      <c r="M130" s="16"/>
      <c r="AB130" s="83"/>
    </row>
    <row r="131" spans="1:28" s="52" customFormat="1" x14ac:dyDescent="0.2">
      <c r="A131" s="127"/>
      <c r="B131" s="2" t="s">
        <v>137</v>
      </c>
      <c r="C131" s="2"/>
      <c r="D131" s="2"/>
      <c r="E131" s="2"/>
      <c r="F131" s="52" t="s">
        <v>82</v>
      </c>
      <c r="G131" s="2"/>
      <c r="H131" s="80">
        <v>14790000</v>
      </c>
      <c r="J131" s="18" t="s">
        <v>296</v>
      </c>
      <c r="M131" s="16"/>
      <c r="Q131" s="2"/>
      <c r="AB131" s="83"/>
    </row>
    <row r="132" spans="1:28" s="52" customFormat="1" x14ac:dyDescent="0.2">
      <c r="B132" s="52" t="s">
        <v>122</v>
      </c>
      <c r="F132" s="52" t="s">
        <v>123</v>
      </c>
      <c r="H132" s="80">
        <v>15</v>
      </c>
      <c r="J132" s="18"/>
      <c r="L132" s="75"/>
      <c r="M132" s="16"/>
      <c r="AB132" s="83"/>
    </row>
    <row r="133" spans="1:28" s="52" customFormat="1" x14ac:dyDescent="0.2">
      <c r="B133" s="52" t="s">
        <v>124</v>
      </c>
      <c r="F133" s="52" t="s">
        <v>125</v>
      </c>
      <c r="H133" s="84">
        <v>43776</v>
      </c>
      <c r="J133" s="18"/>
      <c r="M133" s="16"/>
      <c r="Q133" s="2"/>
      <c r="AB133" s="83"/>
    </row>
    <row r="134" spans="1:28" s="52" customFormat="1" x14ac:dyDescent="0.2">
      <c r="H134" s="132"/>
      <c r="J134" s="18"/>
      <c r="M134" s="16"/>
      <c r="Q134" s="2"/>
      <c r="AB134" s="83"/>
    </row>
    <row r="135" spans="1:28" x14ac:dyDescent="0.2">
      <c r="B135" s="18" t="s">
        <v>278</v>
      </c>
      <c r="C135" s="18"/>
      <c r="D135" s="18"/>
      <c r="E135" s="18"/>
      <c r="F135" s="18" t="s">
        <v>125</v>
      </c>
      <c r="H135" s="143">
        <f>H133+(H132*365.25)</f>
        <v>49254.75</v>
      </c>
      <c r="J135" s="18" t="s">
        <v>296</v>
      </c>
    </row>
    <row r="136" spans="1:28" x14ac:dyDescent="0.2">
      <c r="B136" s="18" t="s">
        <v>273</v>
      </c>
      <c r="C136" s="18"/>
      <c r="D136" s="18"/>
      <c r="E136" s="18"/>
      <c r="F136" s="18" t="s">
        <v>125</v>
      </c>
      <c r="H136" s="84">
        <v>45747</v>
      </c>
    </row>
    <row r="137" spans="1:28" x14ac:dyDescent="0.2">
      <c r="B137" s="18" t="s">
        <v>274</v>
      </c>
      <c r="C137" s="18"/>
      <c r="D137" s="18"/>
      <c r="E137" s="18"/>
      <c r="F137" s="18" t="s">
        <v>123</v>
      </c>
      <c r="H137" s="145">
        <f>($H$135-H136)/365.25</f>
        <v>9.6036960985626276</v>
      </c>
    </row>
    <row r="138" spans="1:28" x14ac:dyDescent="0.2">
      <c r="B138" s="18" t="s">
        <v>275</v>
      </c>
      <c r="C138" s="18"/>
      <c r="D138" s="18"/>
      <c r="E138" s="18"/>
      <c r="F138" s="18" t="s">
        <v>125</v>
      </c>
      <c r="H138" s="84">
        <v>45838</v>
      </c>
    </row>
    <row r="139" spans="1:28" x14ac:dyDescent="0.2">
      <c r="B139" s="18" t="s">
        <v>274</v>
      </c>
      <c r="C139" s="18"/>
      <c r="D139" s="18"/>
      <c r="E139" s="18"/>
      <c r="F139" s="18" t="s">
        <v>123</v>
      </c>
      <c r="H139" s="145">
        <f>($H$135-H138)/365.25</f>
        <v>9.3545516769336068</v>
      </c>
    </row>
    <row r="140" spans="1:28" x14ac:dyDescent="0.2">
      <c r="B140" s="18" t="s">
        <v>276</v>
      </c>
      <c r="C140" s="18"/>
      <c r="D140" s="18"/>
      <c r="E140" s="18"/>
      <c r="F140" s="18" t="s">
        <v>125</v>
      </c>
      <c r="H140" s="84">
        <v>45930</v>
      </c>
    </row>
    <row r="141" spans="1:28" x14ac:dyDescent="0.2">
      <c r="B141" s="18" t="s">
        <v>274</v>
      </c>
      <c r="C141" s="18"/>
      <c r="D141" s="18"/>
      <c r="E141" s="18"/>
      <c r="F141" s="18" t="s">
        <v>123</v>
      </c>
      <c r="H141" s="145">
        <f>($H$135-H140)/365.25</f>
        <v>9.102669404517453</v>
      </c>
    </row>
    <row r="144" spans="1:28" x14ac:dyDescent="0.2">
      <c r="B144" s="1" t="s">
        <v>254</v>
      </c>
    </row>
    <row r="146" spans="2:10" x14ac:dyDescent="0.2">
      <c r="B146" s="2" t="s">
        <v>170</v>
      </c>
      <c r="F146" s="2" t="s">
        <v>82</v>
      </c>
      <c r="H146" s="80">
        <v>7989192.0999999996</v>
      </c>
      <c r="J146" s="2" t="s">
        <v>244</v>
      </c>
    </row>
    <row r="147" spans="2:10" x14ac:dyDescent="0.2">
      <c r="B147" s="2" t="s">
        <v>122</v>
      </c>
      <c r="F147" s="2" t="s">
        <v>123</v>
      </c>
      <c r="H147" s="80">
        <v>15</v>
      </c>
    </row>
    <row r="148" spans="2:10" x14ac:dyDescent="0.2">
      <c r="B148" s="2" t="s">
        <v>124</v>
      </c>
      <c r="F148" s="2" t="s">
        <v>125</v>
      </c>
      <c r="H148" s="79">
        <v>45017</v>
      </c>
    </row>
    <row r="149" spans="2:10" x14ac:dyDescent="0.2">
      <c r="B149" s="2" t="s">
        <v>171</v>
      </c>
      <c r="F149" s="2" t="s">
        <v>79</v>
      </c>
      <c r="H149" s="118">
        <v>0.5</v>
      </c>
      <c r="J149" s="81"/>
    </row>
    <row r="151" spans="2:10" x14ac:dyDescent="0.2">
      <c r="B151" s="2" t="s">
        <v>172</v>
      </c>
      <c r="F151" s="2" t="s">
        <v>82</v>
      </c>
      <c r="H151" s="80">
        <v>10545179.35</v>
      </c>
      <c r="J151" s="2" t="s">
        <v>244</v>
      </c>
    </row>
    <row r="152" spans="2:10" x14ac:dyDescent="0.2">
      <c r="B152" s="2" t="s">
        <v>122</v>
      </c>
      <c r="F152" s="2" t="s">
        <v>123</v>
      </c>
      <c r="H152" s="80">
        <v>25</v>
      </c>
    </row>
    <row r="153" spans="2:10" x14ac:dyDescent="0.2">
      <c r="B153" s="2" t="s">
        <v>124</v>
      </c>
      <c r="F153" s="2" t="s">
        <v>125</v>
      </c>
      <c r="H153" s="79">
        <v>45139</v>
      </c>
    </row>
    <row r="154" spans="2:10" x14ac:dyDescent="0.2">
      <c r="B154" s="2" t="s">
        <v>171</v>
      </c>
      <c r="F154" s="2" t="s">
        <v>79</v>
      </c>
      <c r="H154" s="118">
        <v>0.5</v>
      </c>
      <c r="J154" s="81"/>
    </row>
    <row r="157" spans="2:10" x14ac:dyDescent="0.2">
      <c r="B157" s="1" t="s">
        <v>246</v>
      </c>
    </row>
    <row r="159" spans="2:10" x14ac:dyDescent="0.2">
      <c r="B159" s="2" t="s">
        <v>245</v>
      </c>
      <c r="F159" s="2" t="s">
        <v>82</v>
      </c>
      <c r="H159" s="80">
        <v>248127.58</v>
      </c>
      <c r="J159" s="2" t="s">
        <v>244</v>
      </c>
    </row>
    <row r="160" spans="2:10" x14ac:dyDescent="0.2">
      <c r="B160" s="2" t="s">
        <v>122</v>
      </c>
      <c r="F160" s="119" t="s">
        <v>123</v>
      </c>
      <c r="H160" s="80">
        <v>5</v>
      </c>
    </row>
    <row r="161" spans="2:10" x14ac:dyDescent="0.2">
      <c r="B161" s="2" t="s">
        <v>247</v>
      </c>
      <c r="F161" s="2" t="s">
        <v>125</v>
      </c>
      <c r="H161" s="79">
        <v>45139</v>
      </c>
    </row>
    <row r="163" spans="2:10" x14ac:dyDescent="0.2">
      <c r="B163" s="1" t="s">
        <v>530</v>
      </c>
    </row>
    <row r="165" spans="2:10" x14ac:dyDescent="0.2">
      <c r="B165" s="2" t="s">
        <v>482</v>
      </c>
      <c r="C165" s="2" t="s">
        <v>82</v>
      </c>
      <c r="H165" s="80">
        <v>1198657.3799999999</v>
      </c>
      <c r="J165" s="2" t="s">
        <v>571</v>
      </c>
    </row>
    <row r="166" spans="2:10" x14ac:dyDescent="0.2">
      <c r="B166" s="2" t="s">
        <v>122</v>
      </c>
      <c r="C166" s="2" t="s">
        <v>123</v>
      </c>
      <c r="H166" s="152">
        <v>5</v>
      </c>
    </row>
    <row r="167" spans="2:10" x14ac:dyDescent="0.2">
      <c r="B167" s="2" t="s">
        <v>483</v>
      </c>
      <c r="C167" s="2" t="s">
        <v>125</v>
      </c>
      <c r="H167" s="79">
        <v>45531</v>
      </c>
    </row>
    <row r="169" spans="2:10" x14ac:dyDescent="0.2">
      <c r="B169" s="2" t="s">
        <v>484</v>
      </c>
      <c r="C169" s="2" t="s">
        <v>82</v>
      </c>
      <c r="H169" s="80">
        <v>1313031.72</v>
      </c>
      <c r="J169" s="2" t="s">
        <v>571</v>
      </c>
    </row>
    <row r="170" spans="2:10" x14ac:dyDescent="0.2">
      <c r="B170" s="2" t="s">
        <v>122</v>
      </c>
      <c r="C170" s="2" t="s">
        <v>123</v>
      </c>
      <c r="H170" s="152">
        <v>5</v>
      </c>
    </row>
    <row r="171" spans="2:10" x14ac:dyDescent="0.2">
      <c r="B171" s="2" t="s">
        <v>483</v>
      </c>
      <c r="C171" s="2" t="s">
        <v>125</v>
      </c>
      <c r="H171" s="79">
        <v>45531</v>
      </c>
    </row>
    <row r="173" spans="2:10" x14ac:dyDescent="0.2">
      <c r="B173" s="2" t="s">
        <v>484</v>
      </c>
      <c r="C173" s="2" t="s">
        <v>82</v>
      </c>
      <c r="H173" s="80">
        <v>710580.9</v>
      </c>
      <c r="J173" s="2" t="s">
        <v>571</v>
      </c>
    </row>
    <row r="174" spans="2:10" x14ac:dyDescent="0.2">
      <c r="B174" s="2" t="s">
        <v>122</v>
      </c>
      <c r="C174" s="2" t="s">
        <v>123</v>
      </c>
      <c r="H174" s="152">
        <v>5</v>
      </c>
    </row>
    <row r="175" spans="2:10" x14ac:dyDescent="0.2">
      <c r="B175" s="2" t="s">
        <v>483</v>
      </c>
      <c r="C175" s="2" t="s">
        <v>125</v>
      </c>
      <c r="H175" s="79">
        <v>45646</v>
      </c>
    </row>
    <row r="176" spans="2:10" x14ac:dyDescent="0.2">
      <c r="B176" s="4"/>
    </row>
    <row r="177" spans="2:10" x14ac:dyDescent="0.2">
      <c r="B177" s="2" t="s">
        <v>485</v>
      </c>
      <c r="C177" s="2" t="s">
        <v>82</v>
      </c>
      <c r="H177" s="80">
        <v>3584325.24</v>
      </c>
      <c r="J177" s="2" t="s">
        <v>571</v>
      </c>
    </row>
    <row r="178" spans="2:10" x14ac:dyDescent="0.2">
      <c r="B178" s="2" t="s">
        <v>122</v>
      </c>
      <c r="C178" s="2" t="s">
        <v>123</v>
      </c>
      <c r="H178" s="152">
        <v>10</v>
      </c>
    </row>
    <row r="179" spans="2:10" x14ac:dyDescent="0.2">
      <c r="B179" s="2" t="s">
        <v>483</v>
      </c>
      <c r="C179" s="2" t="s">
        <v>125</v>
      </c>
      <c r="H179" s="79">
        <v>45458</v>
      </c>
    </row>
    <row r="181" spans="2:10" x14ac:dyDescent="0.2">
      <c r="B181" s="2" t="s">
        <v>486</v>
      </c>
      <c r="C181" s="2" t="s">
        <v>82</v>
      </c>
      <c r="H181" s="80">
        <v>94651.15</v>
      </c>
      <c r="J181" s="2" t="s">
        <v>571</v>
      </c>
    </row>
    <row r="182" spans="2:10" x14ac:dyDescent="0.2">
      <c r="B182" s="2" t="s">
        <v>122</v>
      </c>
      <c r="C182" s="2" t="s">
        <v>123</v>
      </c>
      <c r="H182" s="152">
        <v>25</v>
      </c>
    </row>
    <row r="183" spans="2:10" x14ac:dyDescent="0.2">
      <c r="B183" s="2" t="s">
        <v>483</v>
      </c>
      <c r="C183" s="2" t="s">
        <v>125</v>
      </c>
      <c r="H183" s="79">
        <v>45627</v>
      </c>
    </row>
    <row r="184" spans="2:10" x14ac:dyDescent="0.2">
      <c r="B184" s="2" t="s">
        <v>487</v>
      </c>
      <c r="C184" s="2" t="s">
        <v>79</v>
      </c>
      <c r="H184" s="118">
        <v>0.5</v>
      </c>
    </row>
    <row r="187" spans="2:10" x14ac:dyDescent="0.2">
      <c r="B187" s="4" t="s">
        <v>63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46108-C7A8-415D-A5D0-EC80C323CD03}">
  <sheetPr>
    <tabColor rgb="FFE1FFE1"/>
  </sheetPr>
  <dimension ref="A2:KP51"/>
  <sheetViews>
    <sheetView showGridLines="0" zoomScale="85" zoomScaleNormal="85" workbookViewId="0">
      <pane xSplit="6" ySplit="13" topLeftCell="G14" activePane="bottomRight" state="frozen"/>
      <selection activeCell="H18" sqref="H18"/>
      <selection pane="topRight" activeCell="H18" sqref="H18"/>
      <selection pane="bottomLeft" activeCell="H18" sqref="H18"/>
      <selection pane="bottomRight" activeCell="S38" sqref="S38"/>
    </sheetView>
  </sheetViews>
  <sheetFormatPr defaultRowHeight="12.75" x14ac:dyDescent="0.2"/>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2.140625" style="2" customWidth="1"/>
    <col min="9" max="9" width="2.7109375" style="2" customWidth="1"/>
    <col min="10" max="10" width="12.140625" style="2" customWidth="1"/>
    <col min="11" max="11" width="2.7109375" style="2" customWidth="1"/>
    <col min="12" max="12" width="9" style="2" customWidth="1"/>
    <col min="13" max="13" width="2.7109375" style="2" customWidth="1"/>
    <col min="14" max="35" width="11.5703125" style="2" customWidth="1"/>
    <col min="36" max="36" width="3.85546875" style="2" customWidth="1"/>
    <col min="37" max="37" width="47.7109375" style="2" customWidth="1"/>
    <col min="38" max="38" width="3.28515625" style="2" customWidth="1"/>
    <col min="39" max="16384" width="9.140625" style="2"/>
  </cols>
  <sheetData>
    <row r="2" spans="1:277" s="15" customFormat="1" ht="18" x14ac:dyDescent="0.2">
      <c r="B2" s="15" t="s">
        <v>468</v>
      </c>
    </row>
    <row r="4" spans="1:277" x14ac:dyDescent="0.2">
      <c r="B4" s="23" t="s">
        <v>90</v>
      </c>
      <c r="C4" s="1"/>
      <c r="D4" s="1"/>
    </row>
    <row r="5" spans="1:277" x14ac:dyDescent="0.2">
      <c r="B5" s="2" t="s">
        <v>431</v>
      </c>
      <c r="H5" s="16"/>
    </row>
    <row r="6" spans="1:277" x14ac:dyDescent="0.2">
      <c r="H6" s="16"/>
    </row>
    <row r="7" spans="1:277" x14ac:dyDescent="0.2">
      <c r="B7" s="24" t="s">
        <v>92</v>
      </c>
      <c r="H7" s="16"/>
    </row>
    <row r="8" spans="1:277" x14ac:dyDescent="0.2">
      <c r="B8" s="4" t="s">
        <v>138</v>
      </c>
    </row>
    <row r="9" spans="1:277" x14ac:dyDescent="0.2">
      <c r="B9" s="4" t="s">
        <v>476</v>
      </c>
    </row>
    <row r="10" spans="1:277" x14ac:dyDescent="0.2">
      <c r="B10" s="4"/>
    </row>
    <row r="12" spans="1:277" customFormat="1" ht="25.5" x14ac:dyDescent="0.2">
      <c r="A12" s="8"/>
      <c r="B12" s="8" t="s">
        <v>12</v>
      </c>
      <c r="C12" s="8"/>
      <c r="D12" s="8"/>
      <c r="E12" s="8"/>
      <c r="F12" s="8" t="s">
        <v>35</v>
      </c>
      <c r="G12" s="8"/>
      <c r="H12" s="8" t="s">
        <v>36</v>
      </c>
      <c r="I12" s="8"/>
      <c r="J12" s="8" t="s">
        <v>37</v>
      </c>
      <c r="K12" s="8"/>
      <c r="L12" s="41" t="s">
        <v>139</v>
      </c>
      <c r="M12" s="8"/>
      <c r="N12" s="85" t="s">
        <v>419</v>
      </c>
      <c r="O12" s="85" t="s">
        <v>420</v>
      </c>
      <c r="P12" s="85" t="s">
        <v>421</v>
      </c>
      <c r="Q12" s="85" t="s">
        <v>422</v>
      </c>
      <c r="R12" s="85" t="s">
        <v>423</v>
      </c>
      <c r="S12" s="85" t="s">
        <v>424</v>
      </c>
      <c r="T12" s="85" t="s">
        <v>425</v>
      </c>
      <c r="U12" s="85" t="s">
        <v>426</v>
      </c>
      <c r="V12" s="85" t="s">
        <v>427</v>
      </c>
      <c r="W12" s="85" t="s">
        <v>428</v>
      </c>
      <c r="X12" s="85" t="s">
        <v>429</v>
      </c>
      <c r="Y12" s="85" t="s">
        <v>430</v>
      </c>
      <c r="Z12" s="85" t="s">
        <v>465</v>
      </c>
      <c r="AA12" s="85" t="s">
        <v>466</v>
      </c>
      <c r="AB12" s="85" t="s">
        <v>467</v>
      </c>
      <c r="AC12" s="85" t="s">
        <v>469</v>
      </c>
      <c r="AD12" s="85" t="s">
        <v>470</v>
      </c>
      <c r="AE12" s="85" t="s">
        <v>471</v>
      </c>
      <c r="AF12" s="85" t="s">
        <v>472</v>
      </c>
      <c r="AG12" s="85" t="s">
        <v>473</v>
      </c>
      <c r="AH12" s="85" t="s">
        <v>474</v>
      </c>
      <c r="AI12" s="85" t="s">
        <v>475</v>
      </c>
      <c r="AJ12" s="8"/>
      <c r="AK12" s="8" t="s">
        <v>39</v>
      </c>
      <c r="AL12" s="8"/>
      <c r="AM12" s="8" t="s">
        <v>38</v>
      </c>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c r="IW12" s="8"/>
      <c r="IX12" s="8"/>
      <c r="IY12" s="8"/>
      <c r="IZ12" s="8"/>
      <c r="JA12" s="8"/>
      <c r="JB12" s="8"/>
      <c r="JC12" s="8"/>
      <c r="JD12" s="8"/>
      <c r="JE12" s="8"/>
      <c r="JF12" s="8"/>
      <c r="JG12" s="8"/>
      <c r="JH12" s="8"/>
      <c r="JI12" s="8"/>
      <c r="JJ12" s="8"/>
      <c r="JK12" s="8"/>
      <c r="JL12" s="8"/>
      <c r="JM12" s="8"/>
      <c r="JN12" s="8"/>
      <c r="JO12" s="8"/>
      <c r="JP12" s="8"/>
      <c r="JQ12" s="8"/>
    </row>
    <row r="15" spans="1:277" customFormat="1" x14ac:dyDescent="0.2">
      <c r="A15" s="8"/>
      <c r="B15" s="8" t="s">
        <v>432</v>
      </c>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c r="IY15" s="8"/>
      <c r="IZ15" s="8"/>
      <c r="JA15" s="8"/>
      <c r="JB15" s="8"/>
      <c r="JC15" s="8"/>
      <c r="JD15" s="8"/>
      <c r="JE15" s="8"/>
      <c r="JF15" s="8"/>
      <c r="JG15" s="8"/>
      <c r="JH15" s="8"/>
      <c r="JI15" s="8"/>
      <c r="JJ15" s="8"/>
      <c r="JK15" s="8"/>
      <c r="JL15" s="8"/>
      <c r="JM15" s="8"/>
      <c r="JN15" s="8"/>
      <c r="JO15" s="8"/>
      <c r="JP15" s="8"/>
      <c r="JQ15" s="8"/>
    </row>
    <row r="16" spans="1:277" customForma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row>
    <row r="17" spans="1:302" customFormat="1" x14ac:dyDescent="0.2">
      <c r="A17" s="2"/>
      <c r="B17" s="1" t="s">
        <v>140</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row>
    <row r="18" spans="1:302" customFormat="1" x14ac:dyDescent="0.2">
      <c r="A18" s="2"/>
      <c r="B18" s="2" t="s">
        <v>141</v>
      </c>
      <c r="C18" s="2"/>
      <c r="D18" s="2"/>
      <c r="E18" s="2"/>
      <c r="F18" s="2" t="s">
        <v>87</v>
      </c>
      <c r="G18" s="2"/>
      <c r="H18" s="2"/>
      <c r="I18" s="2"/>
      <c r="J18" s="2"/>
      <c r="K18" s="2"/>
      <c r="L18" s="2"/>
      <c r="M18" s="2"/>
      <c r="N18" s="88">
        <v>0.97274046702378592</v>
      </c>
      <c r="O18" s="88">
        <v>0.90701472410848716</v>
      </c>
      <c r="P18" s="88">
        <v>0.91871224013501507</v>
      </c>
      <c r="Q18" s="88">
        <v>1.0051919467557877</v>
      </c>
      <c r="R18" s="88">
        <v>0.98219996899343642</v>
      </c>
      <c r="S18" s="88">
        <v>0.95609999741189933</v>
      </c>
      <c r="T18" s="88">
        <v>0.90407126302395835</v>
      </c>
      <c r="U18" s="88">
        <v>0.86055549598683634</v>
      </c>
      <c r="V18" s="88">
        <v>0.86849357254131532</v>
      </c>
      <c r="W18" s="88">
        <v>0.8488560755859984</v>
      </c>
      <c r="X18" s="88">
        <v>0.82369999078015632</v>
      </c>
      <c r="Y18" s="88">
        <v>0.79342634761306041</v>
      </c>
      <c r="Z18" s="88">
        <v>0.79791479164568124</v>
      </c>
      <c r="AA18" s="88">
        <v>0.80002171786373966</v>
      </c>
      <c r="AB18" s="88">
        <v>0.8353384409204283</v>
      </c>
      <c r="AC18" s="88">
        <v>0.85442477685494689</v>
      </c>
      <c r="AD18" s="88">
        <v>0.8499000537697905</v>
      </c>
      <c r="AE18" s="88">
        <v>0.80624326207345742</v>
      </c>
      <c r="AF18" s="88">
        <v>0.8318653221334652</v>
      </c>
      <c r="AG18" s="88">
        <v>0.80920005346020341</v>
      </c>
      <c r="AH18" s="88">
        <v>0.82691437088627084</v>
      </c>
      <c r="AI18" s="88">
        <v>0.83796196301896686</v>
      </c>
      <c r="AJ18" s="2"/>
      <c r="AK18" s="2" t="s">
        <v>582</v>
      </c>
      <c r="AL18" s="2"/>
      <c r="AM18" s="2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row>
    <row r="19" spans="1:302" customFormat="1" x14ac:dyDescent="0.2">
      <c r="A19" s="2"/>
      <c r="B19" s="2" t="s">
        <v>142</v>
      </c>
      <c r="C19" s="2"/>
      <c r="D19" s="2"/>
      <c r="E19" s="2"/>
      <c r="F19" s="2" t="s">
        <v>143</v>
      </c>
      <c r="G19" s="2"/>
      <c r="H19" s="2"/>
      <c r="I19" s="2"/>
      <c r="J19" s="2"/>
      <c r="K19" s="2"/>
      <c r="L19" s="2"/>
      <c r="M19" s="2"/>
      <c r="N19" s="28">
        <v>2648045</v>
      </c>
      <c r="O19" s="27">
        <v>2594045</v>
      </c>
      <c r="P19" s="28">
        <v>2544302</v>
      </c>
      <c r="Q19" s="28">
        <v>2798276</v>
      </c>
      <c r="R19" s="28">
        <v>2999365</v>
      </c>
      <c r="S19" s="28">
        <v>2936516</v>
      </c>
      <c r="T19" s="28">
        <v>3099672</v>
      </c>
      <c r="U19" s="28">
        <v>3236225</v>
      </c>
      <c r="V19" s="28">
        <v>3404067</v>
      </c>
      <c r="W19" s="28">
        <v>3694335</v>
      </c>
      <c r="X19" s="28">
        <v>3557544</v>
      </c>
      <c r="Y19" s="28">
        <v>3254124</v>
      </c>
      <c r="Z19" s="28">
        <v>2918634</v>
      </c>
      <c r="AA19" s="28">
        <v>2541226</v>
      </c>
      <c r="AB19" s="28">
        <v>2897389</v>
      </c>
      <c r="AC19" s="28">
        <v>2785632</v>
      </c>
      <c r="AD19" s="28">
        <v>3293671</v>
      </c>
      <c r="AE19" s="28">
        <v>2846202</v>
      </c>
      <c r="AF19" s="28">
        <v>2963011</v>
      </c>
      <c r="AG19" s="28">
        <v>3419366</v>
      </c>
      <c r="AH19" s="28">
        <v>3431041</v>
      </c>
      <c r="AI19" s="28">
        <v>3676318</v>
      </c>
      <c r="AJ19" s="2"/>
      <c r="AK19" s="2" t="s">
        <v>583</v>
      </c>
      <c r="AL19" s="2"/>
      <c r="AM19" s="2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row>
    <row r="20" spans="1:302" customFormat="1" x14ac:dyDescent="0.2">
      <c r="A20" s="2"/>
      <c r="B20" s="2"/>
      <c r="C20" s="2"/>
      <c r="D20" s="2"/>
      <c r="E20" s="2"/>
      <c r="F20" s="2"/>
      <c r="G20" s="2"/>
      <c r="H20" s="2"/>
      <c r="I20" s="2"/>
      <c r="J20" s="2"/>
      <c r="K20" s="2"/>
      <c r="L20" s="2"/>
      <c r="M20" s="2"/>
      <c r="N20" s="76"/>
      <c r="O20" s="76"/>
      <c r="P20" s="76"/>
      <c r="Q20" s="76"/>
      <c r="R20" s="76"/>
      <c r="S20" s="76"/>
      <c r="T20" s="76"/>
      <c r="U20" s="76"/>
      <c r="V20" s="76"/>
      <c r="W20" s="76"/>
      <c r="X20" s="76"/>
      <c r="Y20" s="76"/>
      <c r="Z20" s="76"/>
      <c r="AA20" s="76"/>
      <c r="AB20" s="76"/>
      <c r="AC20" s="76"/>
      <c r="AD20" s="76"/>
      <c r="AE20" s="76"/>
      <c r="AF20" s="76"/>
      <c r="AG20" s="76"/>
      <c r="AH20" s="76"/>
      <c r="AI20" s="76"/>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row>
    <row r="21" spans="1:302" customFormat="1" x14ac:dyDescent="0.2">
      <c r="A21" s="2"/>
      <c r="B21" s="23" t="s">
        <v>144</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row>
    <row r="22" spans="1:302" customFormat="1" x14ac:dyDescent="0.2">
      <c r="A22" s="2"/>
      <c r="B22" s="2" t="s">
        <v>145</v>
      </c>
      <c r="C22" s="2"/>
      <c r="D22" s="2"/>
      <c r="E22" s="2"/>
      <c r="F22" s="2" t="s">
        <v>70</v>
      </c>
      <c r="G22" s="2"/>
      <c r="H22" s="2"/>
      <c r="I22" s="2"/>
      <c r="J22" s="33">
        <f>SUM(N22:Y22)</f>
        <v>131616822.87563737</v>
      </c>
      <c r="K22" s="2"/>
      <c r="L22" s="2"/>
      <c r="M22" s="2"/>
      <c r="N22" s="28">
        <v>9335696.1094593797</v>
      </c>
      <c r="O22" s="28">
        <v>9097657.4854985699</v>
      </c>
      <c r="P22" s="28">
        <v>9024869.2856267318</v>
      </c>
      <c r="Q22" s="28">
        <v>9875422.0111781843</v>
      </c>
      <c r="R22" s="28">
        <v>10455004.535303822</v>
      </c>
      <c r="S22" s="28">
        <v>10668582.283410892</v>
      </c>
      <c r="T22" s="28">
        <v>11123948.080640974</v>
      </c>
      <c r="U22" s="28">
        <v>11667941.780836672</v>
      </c>
      <c r="V22" s="28">
        <v>12414678.201799953</v>
      </c>
      <c r="W22" s="28">
        <v>13453816.727164345</v>
      </c>
      <c r="X22" s="28">
        <v>12835175.556332767</v>
      </c>
      <c r="Y22" s="28">
        <v>11664030.818385061</v>
      </c>
      <c r="Z22" s="28">
        <v>10035712.799364895</v>
      </c>
      <c r="AA22" s="28">
        <v>9056986.0018874872</v>
      </c>
      <c r="AB22" s="28">
        <v>10628374.233181268</v>
      </c>
      <c r="AC22" s="28">
        <v>10152910.092924003</v>
      </c>
      <c r="AD22" s="28">
        <v>11898074.032530533</v>
      </c>
      <c r="AE22" s="28">
        <v>10344678.398285406</v>
      </c>
      <c r="AF22" s="28">
        <v>10787078.949941987</v>
      </c>
      <c r="AG22" s="28">
        <v>11865409.83949253</v>
      </c>
      <c r="AH22" s="28">
        <v>11987166.709902495</v>
      </c>
      <c r="AI22" s="28">
        <v>12783785.398686685</v>
      </c>
      <c r="AJ22" s="2"/>
      <c r="AK22" s="2" t="s">
        <v>588</v>
      </c>
      <c r="AL22" s="2"/>
      <c r="AM22" s="2" t="s">
        <v>463</v>
      </c>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row>
    <row r="23" spans="1:302" customFormat="1" x14ac:dyDescent="0.2">
      <c r="A23" s="2"/>
      <c r="B23" s="2" t="s">
        <v>146</v>
      </c>
      <c r="C23" s="2"/>
      <c r="D23" s="2"/>
      <c r="E23" s="2"/>
      <c r="F23" s="2" t="s">
        <v>70</v>
      </c>
      <c r="G23" s="2"/>
      <c r="H23" s="2"/>
      <c r="I23" s="2"/>
      <c r="J23" s="33">
        <f>SUM(N23:Y23)</f>
        <v>35307515.495150097</v>
      </c>
      <c r="K23" s="2"/>
      <c r="L23" s="2"/>
      <c r="M23" s="2"/>
      <c r="N23" s="28">
        <v>3273018.607038795</v>
      </c>
      <c r="O23" s="28">
        <v>2933710.8898452404</v>
      </c>
      <c r="P23" s="28">
        <v>4135478.5819013393</v>
      </c>
      <c r="Q23" s="28">
        <v>3620309.481495556</v>
      </c>
      <c r="R23" s="28">
        <v>3979068.0604282953</v>
      </c>
      <c r="S23" s="28">
        <v>3652070.4630950093</v>
      </c>
      <c r="T23" s="28">
        <v>3357202.3738375348</v>
      </c>
      <c r="U23" s="28">
        <v>3137136.3087714436</v>
      </c>
      <c r="V23" s="28">
        <v>2547649.0139231863</v>
      </c>
      <c r="W23" s="28">
        <v>1634417.7019914228</v>
      </c>
      <c r="X23" s="28">
        <v>1023389.8122667933</v>
      </c>
      <c r="Y23" s="28">
        <v>2014064.2005554824</v>
      </c>
      <c r="Z23" s="28">
        <v>2382262.7017552736</v>
      </c>
      <c r="AA23" s="28">
        <v>2378448.6678919699</v>
      </c>
      <c r="AB23" s="28">
        <v>2601497.8777282666</v>
      </c>
      <c r="AC23" s="28">
        <v>2655867.316742402</v>
      </c>
      <c r="AD23" s="28">
        <v>2798067.0675456836</v>
      </c>
      <c r="AE23" s="28">
        <v>3470201.1803362006</v>
      </c>
      <c r="AF23" s="28">
        <v>3250572.6622380419</v>
      </c>
      <c r="AG23" s="28">
        <v>2466829.0205206648</v>
      </c>
      <c r="AH23" s="28">
        <v>2670662.4283620929</v>
      </c>
      <c r="AI23" s="28">
        <v>2017564.5904424509</v>
      </c>
      <c r="AJ23" s="2"/>
      <c r="AK23" s="2" t="s">
        <v>589</v>
      </c>
      <c r="AL23" s="2"/>
      <c r="AM23" s="2" t="s">
        <v>463</v>
      </c>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row>
    <row r="24" spans="1:302" customForma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row>
    <row r="25" spans="1:302" customFormat="1" x14ac:dyDescent="0.2">
      <c r="A25" s="2"/>
      <c r="B25" s="2" t="s">
        <v>147</v>
      </c>
      <c r="C25" s="2"/>
      <c r="D25" s="2"/>
      <c r="E25" s="2"/>
      <c r="F25" s="2" t="s">
        <v>70</v>
      </c>
      <c r="G25" s="2"/>
      <c r="H25" s="2"/>
      <c r="I25" s="2"/>
      <c r="J25" s="33">
        <f>SUM(N25:Y25)</f>
        <v>166924338.37078744</v>
      </c>
      <c r="K25" s="2"/>
      <c r="L25" s="2"/>
      <c r="M25" s="2"/>
      <c r="N25" s="86">
        <f t="shared" ref="N25:AI25" si="0">N22+N23</f>
        <v>12608714.716498174</v>
      </c>
      <c r="O25" s="86">
        <f t="shared" si="0"/>
        <v>12031368.375343811</v>
      </c>
      <c r="P25" s="86">
        <f t="shared" si="0"/>
        <v>13160347.867528072</v>
      </c>
      <c r="Q25" s="86">
        <f t="shared" si="0"/>
        <v>13495731.49267374</v>
      </c>
      <c r="R25" s="86">
        <f t="shared" si="0"/>
        <v>14434072.595732117</v>
      </c>
      <c r="S25" s="86">
        <f t="shared" si="0"/>
        <v>14320652.746505901</v>
      </c>
      <c r="T25" s="86">
        <f t="shared" si="0"/>
        <v>14481150.454478508</v>
      </c>
      <c r="U25" s="86">
        <f t="shared" si="0"/>
        <v>14805078.089608114</v>
      </c>
      <c r="V25" s="86">
        <f t="shared" si="0"/>
        <v>14962327.21572314</v>
      </c>
      <c r="W25" s="86">
        <f t="shared" si="0"/>
        <v>15088234.429155767</v>
      </c>
      <c r="X25" s="86">
        <f t="shared" si="0"/>
        <v>13858565.36859956</v>
      </c>
      <c r="Y25" s="86">
        <f t="shared" si="0"/>
        <v>13678095.018940544</v>
      </c>
      <c r="Z25" s="86">
        <f t="shared" si="0"/>
        <v>12417975.501120169</v>
      </c>
      <c r="AA25" s="86">
        <f t="shared" si="0"/>
        <v>11435434.669779457</v>
      </c>
      <c r="AB25" s="86">
        <f t="shared" si="0"/>
        <v>13229872.110909535</v>
      </c>
      <c r="AC25" s="86">
        <f t="shared" si="0"/>
        <v>12808777.409666404</v>
      </c>
      <c r="AD25" s="86">
        <f t="shared" si="0"/>
        <v>14696141.100076217</v>
      </c>
      <c r="AE25" s="86">
        <f t="shared" si="0"/>
        <v>13814879.578621607</v>
      </c>
      <c r="AF25" s="86">
        <f t="shared" si="0"/>
        <v>14037651.612180028</v>
      </c>
      <c r="AG25" s="86">
        <f t="shared" si="0"/>
        <v>14332238.860013194</v>
      </c>
      <c r="AH25" s="86">
        <f t="shared" si="0"/>
        <v>14657829.138264589</v>
      </c>
      <c r="AI25" s="86">
        <f t="shared" si="0"/>
        <v>14801349.989129135</v>
      </c>
      <c r="AJ25" s="2"/>
      <c r="AK25" s="2"/>
      <c r="AL25" s="2"/>
      <c r="AM25" s="2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row>
    <row r="26" spans="1:302" customFormat="1" x14ac:dyDescent="0.2">
      <c r="A26" s="2"/>
      <c r="B26" s="2"/>
      <c r="C26" s="2"/>
      <c r="D26" s="2"/>
      <c r="E26" s="2"/>
      <c r="F26" s="2"/>
      <c r="G26" s="2"/>
      <c r="H26" s="2"/>
      <c r="I26" s="2"/>
      <c r="J26" s="2"/>
      <c r="K26" s="2"/>
      <c r="L26" s="2"/>
      <c r="M26" s="2"/>
      <c r="N26" s="76"/>
      <c r="O26" s="76"/>
      <c r="P26" s="76"/>
      <c r="Q26" s="76"/>
      <c r="R26" s="76"/>
      <c r="S26" s="76"/>
      <c r="T26" s="76"/>
      <c r="U26" s="76"/>
      <c r="V26" s="76"/>
      <c r="W26" s="76"/>
      <c r="X26" s="76"/>
      <c r="Y26" s="76"/>
      <c r="Z26" s="76"/>
      <c r="AA26" s="76"/>
      <c r="AB26" s="76"/>
      <c r="AC26" s="76"/>
      <c r="AD26" s="76"/>
      <c r="AE26" s="76"/>
      <c r="AF26" s="76"/>
      <c r="AG26" s="76"/>
      <c r="AH26" s="76"/>
      <c r="AI26" s="76"/>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row>
    <row r="27" spans="1:302" x14ac:dyDescent="0.2">
      <c r="H27" s="42"/>
      <c r="N27" s="87"/>
      <c r="O27" s="87"/>
      <c r="P27" s="87"/>
      <c r="Q27" s="87"/>
      <c r="R27" s="87"/>
      <c r="S27" s="87"/>
      <c r="T27" s="87"/>
      <c r="U27" s="87"/>
      <c r="V27" s="87"/>
      <c r="W27" s="87"/>
      <c r="X27" s="87"/>
      <c r="Y27" s="87"/>
      <c r="Z27" s="87"/>
      <c r="AA27" s="87"/>
      <c r="AB27" s="87"/>
      <c r="AC27" s="87"/>
      <c r="AD27" s="87"/>
      <c r="AE27" s="87"/>
      <c r="AF27" s="87"/>
      <c r="AG27" s="87"/>
      <c r="AH27" s="87"/>
      <c r="AI27" s="87"/>
    </row>
    <row r="28" spans="1:302" customFormat="1" x14ac:dyDescent="0.2">
      <c r="A28" s="8"/>
      <c r="B28" s="8" t="s">
        <v>433</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c r="JA28" s="8"/>
      <c r="JB28" s="8"/>
      <c r="JC28" s="8"/>
      <c r="JD28" s="8"/>
      <c r="JE28" s="8"/>
      <c r="JF28" s="8"/>
      <c r="JG28" s="8"/>
      <c r="JH28" s="8"/>
      <c r="JI28" s="8"/>
      <c r="JJ28" s="8"/>
      <c r="JK28" s="8"/>
      <c r="JL28" s="8"/>
      <c r="JM28" s="8"/>
      <c r="JN28" s="8"/>
      <c r="JO28" s="8"/>
      <c r="JP28" s="8"/>
      <c r="JQ28" s="8"/>
      <c r="JR28" s="8"/>
      <c r="JS28" s="8"/>
      <c r="JT28" s="8"/>
      <c r="JU28" s="8"/>
      <c r="JV28" s="8"/>
      <c r="JW28" s="8"/>
      <c r="JX28" s="8"/>
      <c r="JY28" s="8"/>
      <c r="JZ28" s="8"/>
      <c r="KA28" s="8"/>
      <c r="KB28" s="8"/>
      <c r="KC28" s="8"/>
      <c r="KD28" s="8"/>
      <c r="KE28" s="8"/>
      <c r="KF28" s="8"/>
      <c r="KG28" s="8"/>
      <c r="KH28" s="8"/>
      <c r="KI28" s="8"/>
      <c r="KJ28" s="8"/>
      <c r="KK28" s="8"/>
      <c r="KL28" s="8"/>
      <c r="KM28" s="8"/>
      <c r="KN28" s="8"/>
      <c r="KO28" s="8"/>
      <c r="KP28" s="8"/>
    </row>
    <row r="29" spans="1:302" customForma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row>
    <row r="30" spans="1:302" customFormat="1" x14ac:dyDescent="0.2">
      <c r="A30" s="2"/>
      <c r="B30" s="1" t="s">
        <v>148</v>
      </c>
      <c r="C30" s="2"/>
      <c r="D30" s="2"/>
      <c r="E30" s="2"/>
      <c r="F30" s="2"/>
      <c r="G30" s="2"/>
      <c r="H30" s="2"/>
      <c r="I30" s="2"/>
      <c r="J30" s="2"/>
      <c r="K30" s="2"/>
      <c r="L30" s="2"/>
      <c r="M30" s="2"/>
      <c r="N30" s="2"/>
      <c r="O30" s="2"/>
      <c r="P30" s="2"/>
      <c r="Q30" s="2"/>
      <c r="R30" s="2"/>
      <c r="S30" s="2"/>
      <c r="T30" s="2"/>
      <c r="U30" s="2"/>
      <c r="V30" s="2"/>
      <c r="W30" s="2"/>
      <c r="X30" s="22"/>
      <c r="Y30" s="22"/>
      <c r="Z30" s="22"/>
      <c r="AA30" s="22"/>
      <c r="AB30" s="22"/>
      <c r="AC30" s="22"/>
      <c r="AD30" s="22"/>
      <c r="AE30" s="22"/>
      <c r="AF30" s="22"/>
      <c r="AG30" s="22"/>
      <c r="AH30" s="22"/>
      <c r="AI30" s="2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row>
    <row r="31" spans="1:302" customFormat="1" x14ac:dyDescent="0.2">
      <c r="A31" s="2"/>
      <c r="B31" s="2" t="s">
        <v>149</v>
      </c>
      <c r="C31" s="2"/>
      <c r="D31" s="2"/>
      <c r="E31" s="2"/>
      <c r="F31" s="2" t="s">
        <v>150</v>
      </c>
      <c r="G31" s="2"/>
      <c r="H31" s="2"/>
      <c r="I31" s="2"/>
      <c r="J31" s="2"/>
      <c r="K31" s="2"/>
      <c r="L31" s="2"/>
      <c r="M31" s="2"/>
      <c r="N31" s="121">
        <v>0.34633999999999998</v>
      </c>
      <c r="O31" s="122">
        <v>0.33554</v>
      </c>
      <c r="P31" s="121">
        <v>0.31342999999999999</v>
      </c>
      <c r="Q31" s="121">
        <v>0.31357999999999997</v>
      </c>
      <c r="R31" s="121">
        <v>0.33226999999999995</v>
      </c>
      <c r="S31" s="122">
        <v>0.32774000000000003</v>
      </c>
      <c r="T31" s="121">
        <v>0.32774000000000003</v>
      </c>
      <c r="U31" s="122">
        <v>0.32277999999999996</v>
      </c>
      <c r="V31" s="121">
        <v>0.30443999999999999</v>
      </c>
      <c r="W31" s="121">
        <v>0.30625999999999998</v>
      </c>
      <c r="X31" s="121">
        <v>0.30549999999999999</v>
      </c>
      <c r="Y31" s="122">
        <v>0.29761000000000004</v>
      </c>
      <c r="Z31" s="122">
        <v>0.29852999999999996</v>
      </c>
      <c r="AA31" s="122">
        <v>0.28973000000000004</v>
      </c>
      <c r="AB31" s="122">
        <v>0.29425000000000001</v>
      </c>
      <c r="AC31" s="122">
        <v>0.29335</v>
      </c>
      <c r="AD31" s="122">
        <v>0.30472000000000005</v>
      </c>
      <c r="AE31" s="122">
        <v>0.3039</v>
      </c>
      <c r="AF31" s="122">
        <v>0.3039</v>
      </c>
      <c r="AG31" s="151">
        <v>0.28821000000000002</v>
      </c>
      <c r="AH31" s="151">
        <v>0.29555999999999999</v>
      </c>
      <c r="AI31" s="151">
        <v>0.29555999999999999</v>
      </c>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row>
    <row r="32" spans="1:302" customFormat="1" x14ac:dyDescent="0.2">
      <c r="A32" s="2"/>
      <c r="B32" s="2" t="s">
        <v>151</v>
      </c>
      <c r="C32" s="2"/>
      <c r="D32" s="2"/>
      <c r="E32" s="2"/>
      <c r="F32" s="2" t="s">
        <v>70</v>
      </c>
      <c r="G32" s="2"/>
      <c r="H32" s="2"/>
      <c r="I32" s="2"/>
      <c r="J32" s="2"/>
      <c r="K32" s="2"/>
      <c r="L32" s="2"/>
      <c r="M32" s="2"/>
      <c r="N32" s="28">
        <v>12635070</v>
      </c>
      <c r="O32" s="28">
        <v>12089440</v>
      </c>
      <c r="P32" s="28">
        <v>13250390</v>
      </c>
      <c r="Q32" s="28">
        <v>13591710</v>
      </c>
      <c r="R32" s="28">
        <v>14538270</v>
      </c>
      <c r="S32" s="28">
        <v>14395080</v>
      </c>
      <c r="T32" s="28">
        <v>14475650</v>
      </c>
      <c r="U32" s="28">
        <v>14844582</v>
      </c>
      <c r="V32" s="28">
        <v>15018465</v>
      </c>
      <c r="W32" s="28">
        <v>15199710</v>
      </c>
      <c r="X32" s="28">
        <v>13913910</v>
      </c>
      <c r="Y32" s="28">
        <v>13778310</v>
      </c>
      <c r="Z32" s="28">
        <v>12928020</v>
      </c>
      <c r="AA32" s="28">
        <v>11628900</v>
      </c>
      <c r="AB32" s="28">
        <v>13357070</v>
      </c>
      <c r="AC32" s="28">
        <v>13011580</v>
      </c>
      <c r="AD32" s="28">
        <v>14759500</v>
      </c>
      <c r="AE32" s="28">
        <v>13798730</v>
      </c>
      <c r="AF32" s="28">
        <v>14053910</v>
      </c>
      <c r="AG32" s="28">
        <v>15042810</v>
      </c>
      <c r="AH32" s="28">
        <v>15264580</v>
      </c>
      <c r="AI32" s="28">
        <v>15695890</v>
      </c>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row>
    <row r="33" spans="1:302" customFormat="1" x14ac:dyDescent="0.2">
      <c r="A33" s="2"/>
      <c r="B33" s="2"/>
      <c r="C33" s="2"/>
      <c r="D33" s="2"/>
      <c r="E33" s="2"/>
      <c r="F33" s="2"/>
      <c r="G33" s="2"/>
      <c r="H33" s="2"/>
      <c r="I33" s="2"/>
      <c r="J33" s="2"/>
      <c r="K33" s="2"/>
      <c r="L33" s="2"/>
      <c r="M33" s="2"/>
      <c r="N33" s="4" t="s">
        <v>39</v>
      </c>
      <c r="O33" s="4" t="s">
        <v>39</v>
      </c>
      <c r="P33" s="4" t="s">
        <v>39</v>
      </c>
      <c r="Q33" s="4" t="s">
        <v>39</v>
      </c>
      <c r="R33" s="4" t="s">
        <v>39</v>
      </c>
      <c r="S33" s="4" t="s">
        <v>39</v>
      </c>
      <c r="T33" s="4" t="s">
        <v>39</v>
      </c>
      <c r="U33" s="4" t="s">
        <v>39</v>
      </c>
      <c r="V33" s="4" t="s">
        <v>39</v>
      </c>
      <c r="W33" s="4" t="s">
        <v>39</v>
      </c>
      <c r="X33" s="4" t="s">
        <v>39</v>
      </c>
      <c r="Y33" s="4" t="s">
        <v>39</v>
      </c>
      <c r="Z33" s="4" t="s">
        <v>39</v>
      </c>
      <c r="AA33" s="4" t="s">
        <v>39</v>
      </c>
      <c r="AB33" s="4" t="s">
        <v>39</v>
      </c>
      <c r="AC33" s="4" t="s">
        <v>39</v>
      </c>
      <c r="AD33" s="4" t="s">
        <v>39</v>
      </c>
      <c r="AE33" s="4" t="s">
        <v>39</v>
      </c>
      <c r="AF33" s="4" t="s">
        <v>39</v>
      </c>
      <c r="AG33" s="4" t="s">
        <v>39</v>
      </c>
      <c r="AH33" s="4" t="s">
        <v>39</v>
      </c>
      <c r="AI33" s="4" t="s">
        <v>39</v>
      </c>
      <c r="AJ33" s="2"/>
      <c r="AK33" s="2"/>
      <c r="AL33" s="2"/>
      <c r="AM33" s="22"/>
      <c r="AN33" s="2"/>
      <c r="AO33" s="2"/>
      <c r="AP33" s="2"/>
      <c r="AQ33" s="2"/>
      <c r="AR33" s="2"/>
      <c r="AS33" s="2"/>
      <c r="AT33" s="2"/>
      <c r="AU33" s="2"/>
      <c r="AV33" s="2"/>
      <c r="AW33" s="2"/>
      <c r="AX33" s="2"/>
      <c r="AY33" s="2"/>
      <c r="AZ33" s="2"/>
      <c r="BA33" s="2"/>
      <c r="BB33" s="2"/>
      <c r="BC33" s="2"/>
      <c r="BD33" s="2"/>
      <c r="BE33" s="2"/>
      <c r="BF33" s="2"/>
      <c r="BG33" s="2"/>
      <c r="BH33" s="2"/>
      <c r="BI33" s="2"/>
      <c r="BJ33" s="2"/>
      <c r="BK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row>
    <row r="34" spans="1:302" customFormat="1" x14ac:dyDescent="0.2">
      <c r="A34" s="2"/>
      <c r="B34" s="2"/>
      <c r="C34" s="2"/>
      <c r="D34" s="2"/>
      <c r="E34" s="2"/>
      <c r="F34" s="2"/>
      <c r="G34" s="2"/>
      <c r="H34" s="2"/>
      <c r="I34" s="2"/>
      <c r="J34" s="2"/>
      <c r="K34" s="2"/>
      <c r="L34" s="2"/>
      <c r="M34" s="2"/>
      <c r="N34" s="2" t="s">
        <v>590</v>
      </c>
      <c r="O34" s="2" t="s">
        <v>590</v>
      </c>
      <c r="P34" s="2" t="s">
        <v>590</v>
      </c>
      <c r="Q34" s="2" t="s">
        <v>590</v>
      </c>
      <c r="R34" s="2" t="s">
        <v>597</v>
      </c>
      <c r="S34" s="2" t="s">
        <v>597</v>
      </c>
      <c r="T34" s="2" t="s">
        <v>597</v>
      </c>
      <c r="U34" s="2" t="s">
        <v>597</v>
      </c>
      <c r="V34" s="2" t="s">
        <v>597</v>
      </c>
      <c r="W34" s="2" t="s">
        <v>597</v>
      </c>
      <c r="X34" s="2" t="s">
        <v>593</v>
      </c>
      <c r="Y34" s="2" t="s">
        <v>593</v>
      </c>
      <c r="Z34" s="2" t="s">
        <v>593</v>
      </c>
      <c r="AA34" s="2" t="s">
        <v>593</v>
      </c>
      <c r="AB34" s="2" t="s">
        <v>593</v>
      </c>
      <c r="AC34" s="2" t="s">
        <v>593</v>
      </c>
      <c r="AD34" s="2" t="s">
        <v>593</v>
      </c>
      <c r="AE34" s="2" t="s">
        <v>593</v>
      </c>
      <c r="AF34" s="2" t="s">
        <v>593</v>
      </c>
      <c r="AG34" s="2" t="s">
        <v>574</v>
      </c>
      <c r="AH34" s="2" t="s">
        <v>574</v>
      </c>
      <c r="AI34" s="2" t="s">
        <v>574</v>
      </c>
      <c r="AJ34" s="2"/>
      <c r="AK34" s="2"/>
      <c r="AL34" s="2"/>
      <c r="AM34" s="22"/>
      <c r="AN34" s="2"/>
      <c r="AO34" s="2"/>
      <c r="AP34" s="2"/>
      <c r="AQ34" s="2"/>
      <c r="AR34" s="2"/>
      <c r="AS34" s="2"/>
      <c r="AT34" s="2"/>
      <c r="AU34" s="2"/>
      <c r="AV34" s="2"/>
      <c r="AW34" s="2"/>
      <c r="AX34" s="2"/>
      <c r="AY34" s="2"/>
      <c r="AZ34" s="2"/>
      <c r="BA34" s="2"/>
      <c r="BB34" s="2"/>
      <c r="BC34" s="2"/>
      <c r="BD34" s="2"/>
      <c r="BE34" s="2"/>
      <c r="BF34" s="2"/>
      <c r="BG34" s="2"/>
      <c r="BH34" s="2"/>
      <c r="BI34" s="2"/>
      <c r="BJ34" s="2"/>
      <c r="BK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row>
    <row r="35" spans="1:302" customForma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2"/>
      <c r="AN35" s="2"/>
      <c r="AO35" s="2"/>
      <c r="AP35" s="2"/>
      <c r="AQ35" s="2"/>
      <c r="AR35" s="2"/>
      <c r="AS35" s="2"/>
      <c r="AT35" s="2"/>
      <c r="AU35" s="2"/>
      <c r="AV35" s="2"/>
      <c r="AW35" s="2"/>
      <c r="AX35" s="2"/>
      <c r="AY35" s="2"/>
      <c r="AZ35" s="2"/>
      <c r="BA35" s="2"/>
      <c r="BB35" s="2"/>
      <c r="BC35" s="2"/>
      <c r="BD35" s="2"/>
      <c r="BE35" s="2"/>
      <c r="BF35" s="2"/>
      <c r="BG35" s="2"/>
      <c r="BH35" s="2"/>
      <c r="BI35" s="2"/>
      <c r="BJ35" s="2"/>
      <c r="BK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row>
    <row r="36" spans="1:302" customForma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2"/>
      <c r="AN36" s="2"/>
      <c r="AO36" s="2"/>
      <c r="AP36" s="2"/>
      <c r="AQ36" s="2"/>
      <c r="AR36" s="2"/>
      <c r="AS36" s="2"/>
      <c r="AT36" s="2"/>
      <c r="AU36" s="2"/>
      <c r="AV36" s="2"/>
      <c r="AW36" s="2"/>
      <c r="AX36" s="2"/>
      <c r="AY36" s="2"/>
      <c r="AZ36" s="2"/>
      <c r="BA36" s="2"/>
      <c r="BB36" s="2"/>
      <c r="BC36" s="2"/>
      <c r="BD36" s="2"/>
      <c r="BE36" s="2"/>
      <c r="BF36" s="2"/>
      <c r="BG36" s="2"/>
      <c r="BH36" s="2"/>
      <c r="BI36" s="2"/>
      <c r="BJ36" s="2"/>
      <c r="BK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row>
    <row r="37" spans="1:302" customFormat="1" x14ac:dyDescent="0.2">
      <c r="A37" s="2"/>
      <c r="B37" s="1" t="s">
        <v>152</v>
      </c>
      <c r="C37" s="2"/>
      <c r="D37" s="2"/>
      <c r="E37" s="2"/>
      <c r="F37" s="2"/>
      <c r="G37" s="2"/>
      <c r="H37" s="2"/>
      <c r="I37" s="2"/>
      <c r="J37" s="2"/>
      <c r="K37" s="2"/>
      <c r="L37" s="2"/>
      <c r="M37" s="2"/>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2"/>
      <c r="AK37" s="2"/>
      <c r="AL37" s="2"/>
      <c r="AM37" s="22"/>
      <c r="AN37" s="2"/>
      <c r="AO37" s="2"/>
      <c r="AP37" s="2"/>
      <c r="AQ37" s="2"/>
      <c r="AR37" s="2"/>
      <c r="AS37" s="2"/>
      <c r="AT37" s="2"/>
      <c r="AU37" s="2"/>
      <c r="AV37" s="2"/>
      <c r="AW37" s="2"/>
      <c r="AX37" s="2"/>
      <c r="AY37" s="2"/>
      <c r="AZ37" s="2"/>
      <c r="BA37" s="2"/>
      <c r="BB37" s="2"/>
      <c r="BC37" s="2"/>
      <c r="BD37" s="2"/>
      <c r="BE37" s="2"/>
      <c r="BF37" s="2"/>
      <c r="BG37" s="2"/>
      <c r="BH37" s="2"/>
      <c r="BI37" s="2"/>
      <c r="BJ37" s="2"/>
      <c r="BK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row>
    <row r="38" spans="1:302" customFormat="1" x14ac:dyDescent="0.2">
      <c r="A38" s="2"/>
      <c r="B38" s="2" t="s">
        <v>477</v>
      </c>
      <c r="C38" s="2"/>
      <c r="D38" s="2"/>
      <c r="E38" s="2"/>
      <c r="F38" s="2" t="s">
        <v>150</v>
      </c>
      <c r="G38" s="2"/>
      <c r="H38" s="120">
        <v>0.14101</v>
      </c>
      <c r="I38" s="2"/>
      <c r="J38" s="2"/>
      <c r="K38" s="2"/>
      <c r="M38" s="2"/>
      <c r="N38" s="76"/>
      <c r="O38" s="76"/>
      <c r="P38" s="76"/>
      <c r="Q38" s="76"/>
      <c r="R38" s="76"/>
      <c r="S38" s="76"/>
      <c r="T38" s="76"/>
      <c r="U38" s="76"/>
      <c r="V38" s="76"/>
      <c r="W38" s="76"/>
      <c r="X38" s="76"/>
      <c r="Y38" s="76"/>
      <c r="Z38" s="76"/>
      <c r="AA38" s="76"/>
      <c r="AB38" s="76"/>
      <c r="AC38" s="76"/>
      <c r="AD38" s="76"/>
      <c r="AE38" s="76"/>
      <c r="AF38" s="76"/>
      <c r="AG38" s="76"/>
      <c r="AH38" s="76"/>
      <c r="AI38" s="76"/>
      <c r="AJ38" s="2"/>
      <c r="AK38" s="2" t="s">
        <v>434</v>
      </c>
      <c r="AL38" s="2"/>
      <c r="AM38" s="22"/>
      <c r="AN38" s="2"/>
      <c r="AO38" s="2"/>
      <c r="AP38" s="2"/>
      <c r="AQ38" s="2"/>
      <c r="AR38" s="2"/>
      <c r="AS38" s="2"/>
      <c r="AT38" s="2"/>
      <c r="AU38" s="2"/>
      <c r="AV38" s="2"/>
      <c r="AW38" s="2"/>
      <c r="AX38" s="2"/>
      <c r="AY38" s="2"/>
      <c r="AZ38" s="2"/>
      <c r="BA38" s="2"/>
      <c r="BB38" s="2"/>
      <c r="BC38" s="2"/>
      <c r="BD38" s="2"/>
      <c r="BE38" s="2"/>
      <c r="BF38" s="2"/>
      <c r="BG38" s="2"/>
      <c r="BH38" s="2"/>
      <c r="BI38" s="2"/>
      <c r="BJ38" s="2"/>
      <c r="BK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row>
    <row r="39" spans="1:302" customFormat="1" x14ac:dyDescent="0.2">
      <c r="A39" s="2"/>
      <c r="B39" s="2" t="s">
        <v>478</v>
      </c>
      <c r="C39" s="2"/>
      <c r="D39" s="2"/>
      <c r="E39" s="2"/>
      <c r="F39" s="2" t="s">
        <v>150</v>
      </c>
      <c r="G39" s="2"/>
      <c r="H39" s="151">
        <v>0.12986</v>
      </c>
      <c r="I39" s="2"/>
      <c r="J39" s="2"/>
      <c r="K39" s="2"/>
      <c r="L39" s="2"/>
      <c r="M39" s="2"/>
      <c r="N39" s="89"/>
      <c r="O39" s="89"/>
      <c r="P39" s="89"/>
      <c r="Q39" s="89"/>
      <c r="R39" s="76"/>
      <c r="S39" s="76"/>
      <c r="T39" s="76"/>
      <c r="U39" s="76"/>
      <c r="V39" s="76"/>
      <c r="W39" s="76"/>
      <c r="X39" s="76"/>
      <c r="Y39" s="76"/>
      <c r="Z39" s="76"/>
      <c r="AA39" s="76"/>
      <c r="AB39" s="76"/>
      <c r="AC39" s="76"/>
      <c r="AD39" s="76"/>
      <c r="AE39" s="76"/>
      <c r="AF39" s="76"/>
      <c r="AG39" s="76"/>
      <c r="AH39" s="76"/>
      <c r="AI39" s="76"/>
      <c r="AJ39" s="2"/>
      <c r="AK39" s="2" t="s">
        <v>479</v>
      </c>
      <c r="AL39" s="2"/>
      <c r="AM39" s="22"/>
      <c r="AN39" s="2"/>
      <c r="AO39" s="2"/>
      <c r="AP39" s="2"/>
      <c r="AQ39" s="2"/>
      <c r="AR39" s="2"/>
      <c r="AS39" s="2"/>
      <c r="AT39" s="2"/>
      <c r="AU39" s="2"/>
      <c r="AV39" s="2"/>
      <c r="AW39" s="2"/>
      <c r="AX39" s="2"/>
      <c r="AY39" s="2"/>
      <c r="AZ39" s="2"/>
      <c r="BA39" s="2"/>
      <c r="BB39" s="2"/>
      <c r="BC39" s="2"/>
      <c r="BD39" s="2"/>
      <c r="BE39" s="2"/>
      <c r="BF39" s="2"/>
      <c r="BG39" s="2"/>
      <c r="BH39" s="2"/>
      <c r="BI39" s="2"/>
      <c r="BJ39" s="2"/>
      <c r="BK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row>
    <row r="40" spans="1:302" x14ac:dyDescent="0.2">
      <c r="N40" s="124"/>
      <c r="O40" s="124"/>
      <c r="P40" s="124"/>
      <c r="Q40" s="124"/>
      <c r="S40" s="124"/>
      <c r="T40" s="124"/>
      <c r="U40" s="124"/>
      <c r="V40" s="124"/>
      <c r="W40" s="124"/>
      <c r="X40" s="124"/>
      <c r="Y40" s="124"/>
      <c r="Z40" s="124"/>
      <c r="AA40" s="124"/>
      <c r="AB40" s="124"/>
      <c r="AC40" s="124"/>
      <c r="AD40" s="124"/>
      <c r="AE40" s="124"/>
      <c r="AF40" s="124"/>
      <c r="AG40" s="124"/>
      <c r="AH40" s="124"/>
      <c r="AI40" s="124"/>
    </row>
    <row r="41" spans="1:302" x14ac:dyDescent="0.2">
      <c r="N41" s="125"/>
      <c r="O41" s="125"/>
      <c r="P41" s="125"/>
      <c r="Q41" s="125"/>
      <c r="R41" s="125"/>
      <c r="S41" s="125"/>
      <c r="T41" s="125"/>
      <c r="U41" s="125"/>
      <c r="V41" s="125"/>
      <c r="W41" s="125"/>
      <c r="X41" s="125"/>
      <c r="Y41" s="125"/>
      <c r="Z41" s="135"/>
      <c r="AA41" s="135"/>
      <c r="AB41" s="135"/>
      <c r="AC41" s="135"/>
      <c r="AD41" s="135"/>
      <c r="AE41" s="135"/>
      <c r="AF41" s="135"/>
      <c r="AG41" s="135"/>
      <c r="AH41" s="135"/>
      <c r="AI41" s="135"/>
    </row>
    <row r="42" spans="1:302" x14ac:dyDescent="0.2">
      <c r="W42" s="43"/>
      <c r="Z42" s="77"/>
      <c r="AA42" s="77"/>
      <c r="AB42" s="77"/>
      <c r="AC42" s="77"/>
      <c r="AD42" s="77"/>
      <c r="AE42" s="77"/>
      <c r="AF42" s="77"/>
      <c r="AG42" s="77"/>
      <c r="AH42" s="77"/>
      <c r="AI42" s="77"/>
    </row>
    <row r="43" spans="1:302" x14ac:dyDescent="0.2">
      <c r="W43" s="9"/>
    </row>
    <row r="44" spans="1:302" x14ac:dyDescent="0.2">
      <c r="B44" s="4" t="s">
        <v>63</v>
      </c>
    </row>
    <row r="47" spans="1:302" x14ac:dyDescent="0.2">
      <c r="N47" s="150"/>
      <c r="O47" s="150"/>
      <c r="P47" s="150"/>
      <c r="Q47" s="150"/>
      <c r="R47" s="150"/>
      <c r="S47" s="150"/>
      <c r="T47" s="150"/>
      <c r="U47" s="150"/>
      <c r="V47" s="150"/>
      <c r="W47" s="150"/>
      <c r="X47" s="150"/>
      <c r="Y47" s="150"/>
      <c r="Z47" s="150"/>
      <c r="AA47" s="150"/>
      <c r="AB47" s="150"/>
      <c r="AC47" s="150"/>
      <c r="AD47" s="150"/>
      <c r="AE47" s="150"/>
      <c r="AF47" s="150"/>
      <c r="AG47" s="150"/>
      <c r="AH47" s="150"/>
      <c r="AI47" s="150"/>
    </row>
    <row r="48" spans="1:302" x14ac:dyDescent="0.2">
      <c r="R48" s="43"/>
    </row>
    <row r="49" spans="18:18" x14ac:dyDescent="0.2">
      <c r="R49" s="43"/>
    </row>
    <row r="50" spans="18:18" x14ac:dyDescent="0.2">
      <c r="R50" s="43"/>
    </row>
    <row r="51" spans="18:18" x14ac:dyDescent="0.2">
      <c r="R51" s="43"/>
    </row>
  </sheetData>
  <phoneticPr fontId="34" type="noConversion"/>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ECT67VDXDTCW-640230012-29</_dlc_DocId>
    <_dlc_DocIdUrl xmlns="5e7bef76-b888-41a2-a261-5f525b37d47e">
      <Url>https://intranet.acm.local/project/excellent-in-excel/_layouts/15/DocIdRedir.aspx?ID=ECT67VDXDTCW-640230012-29</Url>
      <Description>ECT67VDXDTCW-640230012-29</Description>
    </_dlc_DocIdUrl>
    <Status xmlns="94b38974-1436-4631-a0be-797faa579778">Actueel</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44c9b78b1b5f99b81785515933270f61">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682d6accd8b13bfc1b5fd9028b61781a"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CDAB9D1-B815-4B0E-93E7-4496A7FE99F6}">
  <ds:schemaRefs>
    <ds:schemaRef ds:uri="http://schemas.microsoft.com/office/2006/documentManagement/types"/>
    <ds:schemaRef ds:uri="5e7bef76-b888-41a2-a261-5f525b37d47e"/>
    <ds:schemaRef ds:uri="http://purl.org/dc/elements/1.1/"/>
    <ds:schemaRef ds:uri="http://schemas.microsoft.com/office/2006/metadata/properties"/>
    <ds:schemaRef ds:uri="http://purl.org/dc/terms/"/>
    <ds:schemaRef ds:uri="http://schemas.openxmlformats.org/package/2006/metadata/core-properties"/>
    <ds:schemaRef ds:uri="94b38974-1436-4631-a0be-797faa579778"/>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3ECAC030-B8B2-44C0-AB4D-D1C896A7A9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835401-F49D-4D00-8F07-BF5788AC8903}">
  <ds:schemaRefs>
    <ds:schemaRef ds:uri="http://schemas.microsoft.com/sharepoint/v3/contenttype/forms"/>
  </ds:schemaRefs>
</ds:datastoreItem>
</file>

<file path=customXml/itemProps4.xml><?xml version="1.0" encoding="utf-8"?>
<ds:datastoreItem xmlns:ds="http://schemas.openxmlformats.org/officeDocument/2006/customXml" ds:itemID="{29821432-9D6D-4FB8-B669-75517133F53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15</vt:i4>
      </vt:variant>
    </vt:vector>
  </HeadingPairs>
  <TitlesOfParts>
    <vt:vector size="15" baseType="lpstr">
      <vt:lpstr>Cover sheet</vt:lpstr>
      <vt:lpstr>Explanation</vt:lpstr>
      <vt:lpstr>Sources and specifics</vt:lpstr>
      <vt:lpstr>Production price 2026</vt:lpstr>
      <vt:lpstr>Dictum and Appendix</vt:lpstr>
      <vt:lpstr>Input --&gt;</vt:lpstr>
      <vt:lpstr>Parameters</vt:lpstr>
      <vt:lpstr>Est. and realized costs 2024</vt:lpstr>
      <vt:lpstr>Production and fuel costs</vt:lpstr>
      <vt:lpstr>Est. production and costs 2026</vt:lpstr>
      <vt:lpstr>Calculations --&gt;</vt:lpstr>
      <vt:lpstr>Calculation RAB</vt:lpstr>
      <vt:lpstr>Fuel costs and income 2024</vt:lpstr>
      <vt:lpstr>Volume and PS corrections 2024</vt:lpstr>
      <vt:lpstr>Total income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2018-05-15T11:27:11Z</dcterms:created>
  <dcterms:modified xsi:type="dcterms:W3CDTF">2025-12-18T13:51:35Z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f800f4c5-783c-48b2-9d9a-fece4497d1d9</vt:lpwstr>
  </property>
</Properties>
</file>