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8_{901A360D-5B22-41B1-AAAE-5C471E1576A1}" xr6:coauthVersionLast="47" xr6:coauthVersionMax="47" xr10:uidLastSave="{00000000-0000-0000-0000-000000000000}"/>
  <bookViews>
    <workbookView xWindow="-120" yWindow="-120" windowWidth="29040" windowHeight="15840" tabRatio="871" xr2:uid="{00000000-000D-0000-FFFF-FFFF00000000}"/>
  </bookViews>
  <sheets>
    <sheet name="Titelblad" sheetId="9" r:id="rId1"/>
    <sheet name="Toelichting" sheetId="10" r:id="rId2"/>
    <sheet name="Bronnen en toepassingen" sheetId="11" r:id="rId3"/>
    <sheet name="1) Resultaat" sheetId="21" r:id="rId4"/>
    <sheet name="Input --&gt;" sheetId="13" r:id="rId5"/>
    <sheet name="2) Parameters" sheetId="26" r:id="rId6"/>
    <sheet name="3) Data" sheetId="18" r:id="rId7"/>
    <sheet name="Berekeningen --&gt;" sheetId="15" r:id="rId8"/>
    <sheet name="4) SAIFI en CAIDI" sheetId="22" r:id="rId9"/>
    <sheet name="5) Verrekening onder-boven" sheetId="25" r:id="rId10"/>
    <sheet name="6) Weert" sheetId="30" r:id="rId11"/>
    <sheet name="7) Q-bedragen" sheetId="2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8" i="28" l="1"/>
  <c r="S98" i="28"/>
  <c r="M98" i="28"/>
  <c r="N98" i="28"/>
  <c r="O98" i="28"/>
  <c r="P98" i="28"/>
  <c r="Q98" i="28"/>
  <c r="L98" i="28"/>
  <c r="H87" i="28"/>
  <c r="H88" i="28"/>
  <c r="H89" i="28"/>
  <c r="H90" i="28"/>
  <c r="H91" i="28"/>
  <c r="H92" i="28"/>
  <c r="H93" i="28"/>
  <c r="H94" i="28"/>
  <c r="H86" i="28"/>
  <c r="P180" i="28" l="1"/>
  <c r="M180" i="28"/>
  <c r="O180" i="28"/>
  <c r="L180" i="28"/>
  <c r="N180" i="28"/>
  <c r="Q180" i="28"/>
  <c r="S72" i="22"/>
  <c r="H71" i="26"/>
  <c r="H60" i="28" s="1"/>
  <c r="H65" i="26"/>
  <c r="H50" i="28" s="1"/>
  <c r="H59" i="26"/>
  <c r="H40" i="28" s="1"/>
  <c r="H53" i="26"/>
  <c r="H30" i="28" s="1"/>
  <c r="H47" i="26"/>
  <c r="H20" i="28" s="1"/>
  <c r="H16" i="30" l="1"/>
  <c r="H13" i="30"/>
  <c r="H17" i="30" l="1"/>
  <c r="H21" i="30" s="1"/>
  <c r="H22" i="30" s="1"/>
  <c r="H23" i="30" s="1"/>
  <c r="H17" i="28" s="1"/>
  <c r="H59" i="28" l="1"/>
  <c r="H161" i="28" l="1"/>
  <c r="H162" i="28"/>
  <c r="S101" i="25" l="1"/>
  <c r="S102" i="25"/>
  <c r="S103" i="25"/>
  <c r="S104" i="25"/>
  <c r="S105" i="25"/>
  <c r="S82" i="25"/>
  <c r="S83" i="25"/>
  <c r="S84" i="25"/>
  <c r="S85" i="25"/>
  <c r="S86" i="25"/>
  <c r="S63" i="25"/>
  <c r="S64" i="25"/>
  <c r="S65" i="25"/>
  <c r="S66" i="25"/>
  <c r="S67" i="25"/>
  <c r="Q29" i="25"/>
  <c r="P28" i="25"/>
  <c r="P26" i="25"/>
  <c r="O27" i="25"/>
  <c r="O25" i="25"/>
  <c r="N26" i="25"/>
  <c r="N24" i="25"/>
  <c r="M25" i="25"/>
  <c r="M23" i="25"/>
  <c r="M45" i="25"/>
  <c r="M43" i="25"/>
  <c r="N46" i="25"/>
  <c r="N44" i="25"/>
  <c r="O47" i="25"/>
  <c r="O45" i="25"/>
  <c r="O49" i="25"/>
  <c r="O48" i="25"/>
  <c r="P48" i="25"/>
  <c r="P46" i="25"/>
  <c r="Q49" i="25"/>
  <c r="Q68" i="25"/>
  <c r="P67" i="25"/>
  <c r="P65" i="25"/>
  <c r="P64" i="25"/>
  <c r="O66" i="25"/>
  <c r="O64" i="25"/>
  <c r="N65" i="25"/>
  <c r="N63" i="25"/>
  <c r="M64" i="25"/>
  <c r="M62" i="25"/>
  <c r="Q87" i="25"/>
  <c r="P86" i="25"/>
  <c r="P84" i="25"/>
  <c r="O85" i="25"/>
  <c r="O83" i="25"/>
  <c r="N84" i="25"/>
  <c r="N82" i="25"/>
  <c r="M83" i="25"/>
  <c r="M81" i="25"/>
  <c r="S44" i="25"/>
  <c r="S43" i="25"/>
  <c r="S24" i="25"/>
  <c r="S23" i="25"/>
  <c r="S30" i="25"/>
  <c r="Q106" i="25"/>
  <c r="P105" i="25"/>
  <c r="P103" i="25"/>
  <c r="O104" i="25"/>
  <c r="O102" i="25"/>
  <c r="N103" i="25"/>
  <c r="M102" i="25"/>
  <c r="S65" i="28"/>
  <c r="S55" i="28"/>
  <c r="S45" i="28"/>
  <c r="S35" i="28"/>
  <c r="S25" i="28"/>
  <c r="S110" i="25"/>
  <c r="S109" i="25"/>
  <c r="S100" i="25"/>
  <c r="S91" i="25"/>
  <c r="S90" i="25"/>
  <c r="S81" i="25"/>
  <c r="S72" i="25"/>
  <c r="S71" i="25"/>
  <c r="S62" i="25"/>
  <c r="S53" i="25"/>
  <c r="S52" i="25"/>
  <c r="S48" i="25"/>
  <c r="S47" i="25"/>
  <c r="S46" i="25"/>
  <c r="S45" i="25"/>
  <c r="S34" i="25"/>
  <c r="S33" i="25"/>
  <c r="S28" i="25"/>
  <c r="S27" i="25"/>
  <c r="S26" i="25"/>
  <c r="S25" i="25"/>
  <c r="S73" i="22"/>
  <c r="S71" i="22"/>
  <c r="S68" i="22"/>
  <c r="S67" i="22"/>
  <c r="S66" i="22"/>
  <c r="S61" i="22"/>
  <c r="S60" i="22"/>
  <c r="S59" i="22"/>
  <c r="S56" i="22"/>
  <c r="S55" i="22"/>
  <c r="S54" i="22"/>
  <c r="S49" i="22"/>
  <c r="S48" i="22"/>
  <c r="S47" i="22"/>
  <c r="S44" i="22"/>
  <c r="S43" i="22"/>
  <c r="S42" i="22"/>
  <c r="S37" i="22"/>
  <c r="S36" i="22"/>
  <c r="S35" i="22"/>
  <c r="S32" i="22"/>
  <c r="S31" i="22"/>
  <c r="S30" i="22"/>
  <c r="S25" i="22"/>
  <c r="S24" i="22"/>
  <c r="S23" i="22"/>
  <c r="S20" i="22"/>
  <c r="S19" i="22"/>
  <c r="S18" i="22"/>
  <c r="S91" i="22" l="1"/>
  <c r="S32" i="28" s="1"/>
  <c r="S109" i="22"/>
  <c r="S52" i="28" s="1"/>
  <c r="S79" i="22"/>
  <c r="S38" i="25" s="1"/>
  <c r="S97" i="22"/>
  <c r="S76" i="25" s="1"/>
  <c r="S115" i="22"/>
  <c r="S114" i="25" s="1"/>
  <c r="S82" i="22"/>
  <c r="S22" i="28" s="1"/>
  <c r="S100" i="22"/>
  <c r="S42" i="28" s="1"/>
  <c r="S106" i="22"/>
  <c r="S95" i="25" s="1"/>
  <c r="S118" i="22"/>
  <c r="S62" i="28" s="1"/>
  <c r="S88" i="22"/>
  <c r="S57" i="25" s="1"/>
  <c r="T25" i="28" l="1"/>
  <c r="M109" i="25"/>
  <c r="N109" i="25"/>
  <c r="O109" i="25"/>
  <c r="P109" i="25"/>
  <c r="Q109" i="25"/>
  <c r="M110" i="25"/>
  <c r="N110" i="25"/>
  <c r="O110" i="25"/>
  <c r="P110" i="25"/>
  <c r="Q110" i="25"/>
  <c r="L110" i="25"/>
  <c r="L109" i="25"/>
  <c r="M90" i="25"/>
  <c r="N90" i="25"/>
  <c r="O90" i="25"/>
  <c r="P90" i="25"/>
  <c r="Q90" i="25"/>
  <c r="M91" i="25"/>
  <c r="N91" i="25"/>
  <c r="O91" i="25"/>
  <c r="P91" i="25"/>
  <c r="Q91" i="25"/>
  <c r="L91" i="25"/>
  <c r="L90" i="25"/>
  <c r="M71" i="25"/>
  <c r="N71" i="25"/>
  <c r="O71" i="25"/>
  <c r="P71" i="25"/>
  <c r="Q71" i="25"/>
  <c r="M72" i="25"/>
  <c r="N72" i="25"/>
  <c r="O72" i="25"/>
  <c r="P72" i="25"/>
  <c r="Q72" i="25"/>
  <c r="L72" i="25"/>
  <c r="L71" i="25"/>
  <c r="L53" i="25"/>
  <c r="M53" i="25"/>
  <c r="N53" i="25"/>
  <c r="O53" i="25"/>
  <c r="P53" i="25"/>
  <c r="Q53" i="25"/>
  <c r="M52" i="25"/>
  <c r="N52" i="25"/>
  <c r="O52" i="25"/>
  <c r="P52" i="25"/>
  <c r="Q52" i="25"/>
  <c r="L52" i="25"/>
  <c r="N62" i="25"/>
  <c r="O62" i="25"/>
  <c r="P62" i="25"/>
  <c r="Q62" i="25"/>
  <c r="L34" i="25"/>
  <c r="M34" i="25"/>
  <c r="N34" i="25"/>
  <c r="O34" i="25"/>
  <c r="P34" i="25"/>
  <c r="Q34" i="25"/>
  <c r="T34" i="25"/>
  <c r="M33" i="25"/>
  <c r="N33" i="25"/>
  <c r="O33" i="25"/>
  <c r="P33" i="25"/>
  <c r="Q33" i="25"/>
  <c r="T33" i="25"/>
  <c r="L33" i="25"/>
  <c r="Q30" i="25"/>
  <c r="L30" i="25"/>
  <c r="M30" i="25"/>
  <c r="N30" i="25"/>
  <c r="O30" i="25"/>
  <c r="P30" i="25"/>
  <c r="T23" i="25"/>
  <c r="T29" i="25"/>
  <c r="T28" i="25"/>
  <c r="T27" i="25"/>
  <c r="T26" i="25"/>
  <c r="T25" i="25"/>
  <c r="T24" i="25"/>
  <c r="T18" i="22"/>
  <c r="T19" i="22"/>
  <c r="T20" i="22"/>
  <c r="T23" i="22"/>
  <c r="T24" i="22"/>
  <c r="T25" i="22"/>
  <c r="T79" i="22" l="1"/>
  <c r="T38" i="25" s="1"/>
  <c r="T82" i="22"/>
  <c r="T22" i="28" s="1"/>
  <c r="H17" i="25" l="1"/>
  <c r="H18" i="25"/>
  <c r="H102" i="28"/>
  <c r="H98" i="26"/>
  <c r="H101" i="28" s="1"/>
  <c r="M65" i="28"/>
  <c r="N65" i="28"/>
  <c r="O65" i="28"/>
  <c r="P65" i="28"/>
  <c r="Q65" i="28"/>
  <c r="L65" i="28"/>
  <c r="M55" i="28"/>
  <c r="N55" i="28"/>
  <c r="O55" i="28"/>
  <c r="P55" i="28"/>
  <c r="Q55" i="28"/>
  <c r="L55" i="28"/>
  <c r="M45" i="28"/>
  <c r="N45" i="28"/>
  <c r="O45" i="28"/>
  <c r="P45" i="28"/>
  <c r="Q45" i="28"/>
  <c r="L45" i="28"/>
  <c r="M35" i="28"/>
  <c r="N35" i="28"/>
  <c r="O35" i="28"/>
  <c r="P35" i="28"/>
  <c r="Q35" i="28"/>
  <c r="L35" i="28"/>
  <c r="J45" i="28" l="1"/>
  <c r="J65" i="28"/>
  <c r="J35" i="28"/>
  <c r="J55" i="28"/>
  <c r="H83" i="28"/>
  <c r="H82" i="28"/>
  <c r="H81" i="28"/>
  <c r="H80" i="28"/>
  <c r="H79" i="28"/>
  <c r="H78" i="28"/>
  <c r="H71" i="28"/>
  <c r="H72" i="28"/>
  <c r="H73" i="28"/>
  <c r="H74" i="28"/>
  <c r="H75" i="28"/>
  <c r="H70" i="28"/>
  <c r="H49" i="28" l="1"/>
  <c r="H39" i="28"/>
  <c r="H29" i="28"/>
  <c r="Q25" i="28"/>
  <c r="P25" i="28"/>
  <c r="O25" i="28"/>
  <c r="N25" i="28"/>
  <c r="M25" i="28"/>
  <c r="L25" i="28"/>
  <c r="H19" i="28"/>
  <c r="H108" i="28" s="1"/>
  <c r="H135" i="28" l="1"/>
  <c r="H136" i="28"/>
  <c r="H148" i="28"/>
  <c r="H149" i="28"/>
  <c r="H122" i="28"/>
  <c r="H123" i="28"/>
  <c r="H109" i="28"/>
  <c r="J25" i="28"/>
  <c r="M100" i="25"/>
  <c r="N100" i="25"/>
  <c r="O100" i="25"/>
  <c r="P100" i="25"/>
  <c r="Q100" i="25"/>
  <c r="N101" i="25"/>
  <c r="O101" i="25"/>
  <c r="P101" i="25"/>
  <c r="Q101" i="25"/>
  <c r="P102" i="25"/>
  <c r="Q102" i="25"/>
  <c r="M103" i="25"/>
  <c r="Q103" i="25"/>
  <c r="M104" i="25"/>
  <c r="N104" i="25"/>
  <c r="Q104" i="25"/>
  <c r="M105" i="25"/>
  <c r="N105" i="25"/>
  <c r="O105" i="25"/>
  <c r="M106" i="25"/>
  <c r="N106" i="25"/>
  <c r="O106" i="25"/>
  <c r="P106" i="25"/>
  <c r="L101" i="25"/>
  <c r="L102" i="25"/>
  <c r="L103" i="25"/>
  <c r="L104" i="25"/>
  <c r="L105" i="25"/>
  <c r="L106" i="25"/>
  <c r="N81" i="25"/>
  <c r="O81" i="25"/>
  <c r="P81" i="25"/>
  <c r="Q81" i="25"/>
  <c r="O82" i="25"/>
  <c r="P82" i="25"/>
  <c r="Q82" i="25"/>
  <c r="P83" i="25"/>
  <c r="Q83" i="25"/>
  <c r="M84" i="25"/>
  <c r="Q84" i="25"/>
  <c r="M85" i="25"/>
  <c r="N85" i="25"/>
  <c r="Q85" i="25"/>
  <c r="M86" i="25"/>
  <c r="N86" i="25"/>
  <c r="O86" i="25"/>
  <c r="M87" i="25"/>
  <c r="N87" i="25"/>
  <c r="O87" i="25"/>
  <c r="P87" i="25"/>
  <c r="L82" i="25"/>
  <c r="L83" i="25"/>
  <c r="L84" i="25"/>
  <c r="L85" i="25"/>
  <c r="L86" i="25"/>
  <c r="L87" i="25"/>
  <c r="O63" i="25"/>
  <c r="P63" i="25"/>
  <c r="Q63" i="25"/>
  <c r="Q64" i="25"/>
  <c r="M65" i="25"/>
  <c r="Q65" i="25"/>
  <c r="M66" i="25"/>
  <c r="N66" i="25"/>
  <c r="Q66" i="25"/>
  <c r="M67" i="25"/>
  <c r="N67" i="25"/>
  <c r="O67" i="25"/>
  <c r="M68" i="25"/>
  <c r="N68" i="25"/>
  <c r="O68" i="25"/>
  <c r="P68" i="25"/>
  <c r="L63" i="25"/>
  <c r="L64" i="25"/>
  <c r="L65" i="25"/>
  <c r="L66" i="25"/>
  <c r="L67" i="25"/>
  <c r="L68" i="25"/>
  <c r="N43" i="25"/>
  <c r="O43" i="25"/>
  <c r="P43" i="25"/>
  <c r="Q43" i="25"/>
  <c r="O44" i="25"/>
  <c r="P44" i="25"/>
  <c r="Q44" i="25"/>
  <c r="P45" i="25"/>
  <c r="Q45" i="25"/>
  <c r="M46" i="25"/>
  <c r="Q46" i="25"/>
  <c r="M47" i="25"/>
  <c r="N47" i="25"/>
  <c r="Q47" i="25"/>
  <c r="M48" i="25"/>
  <c r="N48" i="25"/>
  <c r="M49" i="25"/>
  <c r="N49" i="25"/>
  <c r="P49" i="25"/>
  <c r="L44" i="25"/>
  <c r="L45" i="25"/>
  <c r="L46" i="25"/>
  <c r="L47" i="25"/>
  <c r="L48" i="25"/>
  <c r="L49" i="25"/>
  <c r="N23" i="25"/>
  <c r="O23" i="25"/>
  <c r="P23" i="25"/>
  <c r="Q23" i="25"/>
  <c r="O24" i="25"/>
  <c r="P24" i="25"/>
  <c r="Q24" i="25"/>
  <c r="P25" i="25"/>
  <c r="Q25" i="25"/>
  <c r="M26" i="25"/>
  <c r="Q26" i="25"/>
  <c r="M27" i="25"/>
  <c r="N27" i="25"/>
  <c r="Q27" i="25"/>
  <c r="M28" i="25"/>
  <c r="N28" i="25"/>
  <c r="O28" i="25"/>
  <c r="M29" i="25"/>
  <c r="N29" i="25"/>
  <c r="O29" i="25"/>
  <c r="P29" i="25"/>
  <c r="L25" i="25"/>
  <c r="L26" i="25"/>
  <c r="L27" i="25"/>
  <c r="L28" i="25"/>
  <c r="L29" i="25"/>
  <c r="L24" i="25"/>
  <c r="Q73" i="22" l="1"/>
  <c r="P73" i="22"/>
  <c r="O73" i="22"/>
  <c r="N73" i="22"/>
  <c r="M73" i="22"/>
  <c r="L73" i="22"/>
  <c r="Q72" i="22"/>
  <c r="P72" i="22"/>
  <c r="O72" i="22"/>
  <c r="N72" i="22"/>
  <c r="M72" i="22"/>
  <c r="L72" i="22"/>
  <c r="Q71" i="22"/>
  <c r="P71" i="22"/>
  <c r="O71" i="22"/>
  <c r="N71" i="22"/>
  <c r="M71" i="22"/>
  <c r="L71" i="22"/>
  <c r="Q68" i="22"/>
  <c r="P68" i="22"/>
  <c r="O68" i="22"/>
  <c r="N68" i="22"/>
  <c r="M68" i="22"/>
  <c r="L68" i="22"/>
  <c r="Q67" i="22"/>
  <c r="P67" i="22"/>
  <c r="O67" i="22"/>
  <c r="N67" i="22"/>
  <c r="M67" i="22"/>
  <c r="L67" i="22"/>
  <c r="Q66" i="22"/>
  <c r="P66" i="22"/>
  <c r="O66" i="22"/>
  <c r="N66" i="22"/>
  <c r="M66" i="22"/>
  <c r="L66" i="22"/>
  <c r="Q61" i="22"/>
  <c r="P61" i="22"/>
  <c r="O61" i="22"/>
  <c r="N61" i="22"/>
  <c r="M61" i="22"/>
  <c r="L61" i="22"/>
  <c r="Q60" i="22"/>
  <c r="P60" i="22"/>
  <c r="O60" i="22"/>
  <c r="N60" i="22"/>
  <c r="M60" i="22"/>
  <c r="L60" i="22"/>
  <c r="Q59" i="22"/>
  <c r="P59" i="22"/>
  <c r="O59" i="22"/>
  <c r="N59" i="22"/>
  <c r="M59" i="22"/>
  <c r="L59" i="22"/>
  <c r="Q56" i="22"/>
  <c r="P56" i="22"/>
  <c r="O56" i="22"/>
  <c r="N56" i="22"/>
  <c r="M56" i="22"/>
  <c r="L56" i="22"/>
  <c r="Q55" i="22"/>
  <c r="P55" i="22"/>
  <c r="O55" i="22"/>
  <c r="N55" i="22"/>
  <c r="M55" i="22"/>
  <c r="L55" i="22"/>
  <c r="Q54" i="22"/>
  <c r="P54" i="22"/>
  <c r="O54" i="22"/>
  <c r="N54" i="22"/>
  <c r="M54" i="22"/>
  <c r="L54" i="22"/>
  <c r="Q49" i="22"/>
  <c r="P49" i="22"/>
  <c r="O49" i="22"/>
  <c r="N49" i="22"/>
  <c r="M49" i="22"/>
  <c r="L49" i="22"/>
  <c r="Q48" i="22"/>
  <c r="P48" i="22"/>
  <c r="O48" i="22"/>
  <c r="N48" i="22"/>
  <c r="M48" i="22"/>
  <c r="L48" i="22"/>
  <c r="Q47" i="22"/>
  <c r="P47" i="22"/>
  <c r="O47" i="22"/>
  <c r="N47" i="22"/>
  <c r="M47" i="22"/>
  <c r="L47" i="22"/>
  <c r="Q44" i="22"/>
  <c r="P44" i="22"/>
  <c r="O44" i="22"/>
  <c r="N44" i="22"/>
  <c r="M44" i="22"/>
  <c r="L44" i="22"/>
  <c r="Q43" i="22"/>
  <c r="P43" i="22"/>
  <c r="O43" i="22"/>
  <c r="N43" i="22"/>
  <c r="M43" i="22"/>
  <c r="L43" i="22"/>
  <c r="Q42" i="22"/>
  <c r="P42" i="22"/>
  <c r="O42" i="22"/>
  <c r="N42" i="22"/>
  <c r="M42" i="22"/>
  <c r="L42" i="22"/>
  <c r="Q37" i="22"/>
  <c r="P37" i="22"/>
  <c r="O37" i="22"/>
  <c r="N37" i="22"/>
  <c r="M37" i="22"/>
  <c r="L37" i="22"/>
  <c r="Q36" i="22"/>
  <c r="P36" i="22"/>
  <c r="O36" i="22"/>
  <c r="N36" i="22"/>
  <c r="M36" i="22"/>
  <c r="L36" i="22"/>
  <c r="Q35" i="22"/>
  <c r="P35" i="22"/>
  <c r="O35" i="22"/>
  <c r="N35" i="22"/>
  <c r="M35" i="22"/>
  <c r="L35" i="22"/>
  <c r="Q32" i="22"/>
  <c r="P32" i="22"/>
  <c r="O32" i="22"/>
  <c r="N32" i="22"/>
  <c r="M32" i="22"/>
  <c r="L32" i="22"/>
  <c r="Q31" i="22"/>
  <c r="P31" i="22"/>
  <c r="O31" i="22"/>
  <c r="N31" i="22"/>
  <c r="M31" i="22"/>
  <c r="L31" i="22"/>
  <c r="Q30" i="22"/>
  <c r="P30" i="22"/>
  <c r="O30" i="22"/>
  <c r="N30" i="22"/>
  <c r="M30" i="22"/>
  <c r="L30" i="22"/>
  <c r="Q25" i="22"/>
  <c r="P25" i="22"/>
  <c r="O25" i="22"/>
  <c r="N25" i="22"/>
  <c r="M25" i="22"/>
  <c r="L25" i="22"/>
  <c r="Q24" i="22"/>
  <c r="P24" i="22"/>
  <c r="O24" i="22"/>
  <c r="N24" i="22"/>
  <c r="M24" i="22"/>
  <c r="L24" i="22"/>
  <c r="Q23" i="22"/>
  <c r="P23" i="22"/>
  <c r="O23" i="22"/>
  <c r="N23" i="22"/>
  <c r="M23" i="22"/>
  <c r="L23" i="22"/>
  <c r="M18" i="22"/>
  <c r="N18" i="22"/>
  <c r="O18" i="22"/>
  <c r="P18" i="22"/>
  <c r="Q18" i="22"/>
  <c r="M19" i="22"/>
  <c r="N19" i="22"/>
  <c r="O19" i="22"/>
  <c r="P19" i="22"/>
  <c r="Q19" i="22"/>
  <c r="M20" i="22"/>
  <c r="N20" i="22"/>
  <c r="O20" i="22"/>
  <c r="P20" i="22"/>
  <c r="Q20" i="22"/>
  <c r="L19" i="22"/>
  <c r="L20" i="22"/>
  <c r="L18" i="22"/>
  <c r="L79" i="22" l="1"/>
  <c r="L38" i="25" s="1"/>
  <c r="L82" i="22"/>
  <c r="L22" i="28" s="1"/>
  <c r="J78" i="22"/>
  <c r="J35" i="25" s="1"/>
  <c r="M119" i="25" s="1"/>
  <c r="J87" i="22"/>
  <c r="J54" i="25" s="1"/>
  <c r="J105" i="22"/>
  <c r="J114" i="22"/>
  <c r="J111" i="25" s="1"/>
  <c r="J96" i="22"/>
  <c r="J73" i="25" s="1"/>
  <c r="Q79" i="22"/>
  <c r="Q38" i="25" s="1"/>
  <c r="N91" i="22"/>
  <c r="N32" i="28" s="1"/>
  <c r="L91" i="22"/>
  <c r="L32" i="28" s="1"/>
  <c r="L118" i="22"/>
  <c r="L62" i="28" s="1"/>
  <c r="L109" i="22"/>
  <c r="L52" i="28" s="1"/>
  <c r="P88" i="22"/>
  <c r="P57" i="25" s="1"/>
  <c r="P100" i="22"/>
  <c r="P42" i="28" s="1"/>
  <c r="N97" i="22"/>
  <c r="N76" i="25" s="1"/>
  <c r="N109" i="22"/>
  <c r="N52" i="28" s="1"/>
  <c r="P106" i="22"/>
  <c r="P95" i="25" s="1"/>
  <c r="P118" i="22"/>
  <c r="P62" i="28" s="1"/>
  <c r="N115" i="22"/>
  <c r="N114" i="25" s="1"/>
  <c r="M106" i="22"/>
  <c r="M95" i="25" s="1"/>
  <c r="Q106" i="22"/>
  <c r="Q95" i="25" s="1"/>
  <c r="Q115" i="22"/>
  <c r="Q114" i="25" s="1"/>
  <c r="O109" i="22"/>
  <c r="O52" i="28" s="1"/>
  <c r="M118" i="22"/>
  <c r="M62" i="28" s="1"/>
  <c r="L115" i="22"/>
  <c r="L114" i="25" s="1"/>
  <c r="M115" i="22"/>
  <c r="M114" i="25" s="1"/>
  <c r="N88" i="22"/>
  <c r="N57" i="25" s="1"/>
  <c r="M91" i="22"/>
  <c r="M32" i="28" s="1"/>
  <c r="Q91" i="22"/>
  <c r="Q32" i="28" s="1"/>
  <c r="L88" i="22"/>
  <c r="L57" i="25" s="1"/>
  <c r="O88" i="22"/>
  <c r="O57" i="25" s="1"/>
  <c r="L100" i="22"/>
  <c r="L42" i="28" s="1"/>
  <c r="O100" i="22"/>
  <c r="O42" i="28" s="1"/>
  <c r="M97" i="22"/>
  <c r="M76" i="25" s="1"/>
  <c r="Q97" i="22"/>
  <c r="Q76" i="25" s="1"/>
  <c r="M109" i="22"/>
  <c r="M52" i="28" s="1"/>
  <c r="Q109" i="22"/>
  <c r="Q52" i="28" s="1"/>
  <c r="L106" i="22"/>
  <c r="L95" i="25" s="1"/>
  <c r="O106" i="22"/>
  <c r="O95" i="25" s="1"/>
  <c r="O118" i="22"/>
  <c r="O62" i="28" s="1"/>
  <c r="O91" i="22"/>
  <c r="O32" i="28" s="1"/>
  <c r="M88" i="22"/>
  <c r="M57" i="25" s="1"/>
  <c r="Q88" i="22"/>
  <c r="Q57" i="25" s="1"/>
  <c r="M100" i="22"/>
  <c r="M42" i="28" s="1"/>
  <c r="Q100" i="22"/>
  <c r="Q42" i="28" s="1"/>
  <c r="L97" i="22"/>
  <c r="L76" i="25" s="1"/>
  <c r="O97" i="22"/>
  <c r="O76" i="25" s="1"/>
  <c r="Q118" i="22"/>
  <c r="Q62" i="28" s="1"/>
  <c r="O115" i="22"/>
  <c r="O114" i="25" s="1"/>
  <c r="P91" i="22"/>
  <c r="P32" i="28" s="1"/>
  <c r="N100" i="22"/>
  <c r="N42" i="28" s="1"/>
  <c r="P97" i="22"/>
  <c r="P76" i="25" s="1"/>
  <c r="J92" i="25"/>
  <c r="P109" i="22"/>
  <c r="P52" i="28" s="1"/>
  <c r="N106" i="22"/>
  <c r="N95" i="25" s="1"/>
  <c r="N118" i="22"/>
  <c r="N62" i="28" s="1"/>
  <c r="P115" i="22"/>
  <c r="P114" i="25" s="1"/>
  <c r="Q82" i="22"/>
  <c r="Q22" i="28" s="1"/>
  <c r="P79" i="22"/>
  <c r="P38" i="25" s="1"/>
  <c r="M82" i="22"/>
  <c r="M22" i="28" s="1"/>
  <c r="M79" i="22"/>
  <c r="M38" i="25" s="1"/>
  <c r="O79" i="22"/>
  <c r="O38" i="25" s="1"/>
  <c r="N79" i="22"/>
  <c r="N38" i="25" s="1"/>
  <c r="O82" i="22"/>
  <c r="O22" i="28" s="1"/>
  <c r="N82" i="22"/>
  <c r="N22" i="28" s="1"/>
  <c r="P82" i="22"/>
  <c r="P22" i="28" s="1"/>
  <c r="O146" i="25" l="1"/>
  <c r="S144" i="25"/>
  <c r="N145" i="25"/>
  <c r="S145" i="25"/>
  <c r="Q148" i="25"/>
  <c r="M144" i="25"/>
  <c r="S146" i="25"/>
  <c r="P147" i="25"/>
  <c r="S143" i="25"/>
  <c r="S147" i="25"/>
  <c r="S135" i="25"/>
  <c r="O135" i="25"/>
  <c r="S132" i="25"/>
  <c r="S136" i="25"/>
  <c r="N134" i="25"/>
  <c r="S133" i="25"/>
  <c r="Q137" i="25"/>
  <c r="M133" i="25"/>
  <c r="S134" i="25"/>
  <c r="P136" i="25"/>
  <c r="S122" i="25"/>
  <c r="N122" i="25"/>
  <c r="O120" i="25"/>
  <c r="S126" i="25"/>
  <c r="S123" i="25"/>
  <c r="M121" i="25"/>
  <c r="P120" i="25"/>
  <c r="S120" i="25"/>
  <c r="S124" i="25"/>
  <c r="P124" i="25"/>
  <c r="Q120" i="25"/>
  <c r="S121" i="25"/>
  <c r="O123" i="25"/>
  <c r="N120" i="25"/>
  <c r="Q125" i="25"/>
  <c r="O157" i="25"/>
  <c r="S154" i="25"/>
  <c r="S158" i="25"/>
  <c r="N156" i="25"/>
  <c r="S155" i="25"/>
  <c r="S156" i="25"/>
  <c r="P158" i="25"/>
  <c r="S157" i="25"/>
  <c r="M155" i="25"/>
  <c r="Q159" i="25"/>
  <c r="N167" i="25"/>
  <c r="S169" i="25"/>
  <c r="S165" i="25"/>
  <c r="P169" i="25"/>
  <c r="S166" i="25"/>
  <c r="O168" i="25"/>
  <c r="S167" i="25"/>
  <c r="Q170" i="25"/>
  <c r="M166" i="25"/>
  <c r="S168" i="25"/>
  <c r="S119" i="25"/>
  <c r="P155" i="25"/>
  <c r="S153" i="25"/>
  <c r="S131" i="25"/>
  <c r="Q165" i="25"/>
  <c r="S164" i="25"/>
  <c r="L148" i="25"/>
  <c r="S142" i="25"/>
  <c r="Q119" i="25"/>
  <c r="T122" i="25"/>
  <c r="M126" i="25"/>
  <c r="T121" i="25"/>
  <c r="T125" i="25"/>
  <c r="T123" i="25"/>
  <c r="T124" i="25"/>
  <c r="Q126" i="25"/>
  <c r="P126" i="25"/>
  <c r="O126" i="25"/>
  <c r="N126" i="25"/>
  <c r="L126" i="25"/>
  <c r="T119" i="25"/>
  <c r="T120" i="25"/>
  <c r="L120" i="25"/>
  <c r="Q144" i="25"/>
  <c r="M147" i="25"/>
  <c r="O142" i="25"/>
  <c r="N143" i="25"/>
  <c r="M148" i="25"/>
  <c r="O147" i="25"/>
  <c r="O144" i="25"/>
  <c r="N148" i="25"/>
  <c r="Q143" i="25"/>
  <c r="O143" i="25"/>
  <c r="N147" i="25"/>
  <c r="L145" i="25"/>
  <c r="N142" i="25"/>
  <c r="L146" i="25"/>
  <c r="Q146" i="25"/>
  <c r="M142" i="25"/>
  <c r="P142" i="25"/>
  <c r="L168" i="25"/>
  <c r="Q142" i="25"/>
  <c r="M146" i="25"/>
  <c r="Q145" i="25"/>
  <c r="P143" i="25"/>
  <c r="M164" i="25"/>
  <c r="P148" i="25"/>
  <c r="L144" i="25"/>
  <c r="P165" i="25"/>
  <c r="L169" i="25"/>
  <c r="P164" i="25"/>
  <c r="N170" i="25"/>
  <c r="M169" i="25"/>
  <c r="P167" i="25"/>
  <c r="Q164" i="25"/>
  <c r="M167" i="25"/>
  <c r="O169" i="25"/>
  <c r="P170" i="25"/>
  <c r="N168" i="25"/>
  <c r="P166" i="25"/>
  <c r="L167" i="25"/>
  <c r="O166" i="25"/>
  <c r="O148" i="25"/>
  <c r="N146" i="25"/>
  <c r="L147" i="25"/>
  <c r="P144" i="25"/>
  <c r="M145" i="25"/>
  <c r="P145" i="25"/>
  <c r="L143" i="25"/>
  <c r="M157" i="25"/>
  <c r="O158" i="25"/>
  <c r="Q155" i="25"/>
  <c r="L156" i="25"/>
  <c r="N165" i="25"/>
  <c r="N169" i="25"/>
  <c r="L166" i="25"/>
  <c r="Q166" i="25"/>
  <c r="L165" i="25"/>
  <c r="M168" i="25"/>
  <c r="O164" i="25"/>
  <c r="Q156" i="25"/>
  <c r="L159" i="25"/>
  <c r="N159" i="25"/>
  <c r="L157" i="25"/>
  <c r="O153" i="25"/>
  <c r="O170" i="25"/>
  <c r="N164" i="25"/>
  <c r="M170" i="25"/>
  <c r="Q168" i="25"/>
  <c r="Q167" i="25"/>
  <c r="L170" i="25"/>
  <c r="O165" i="25"/>
  <c r="L158" i="25"/>
  <c r="P153" i="25"/>
  <c r="M156" i="25"/>
  <c r="O159" i="25"/>
  <c r="Q153" i="25"/>
  <c r="Q157" i="25"/>
  <c r="N154" i="25"/>
  <c r="O155" i="25"/>
  <c r="L154" i="25"/>
  <c r="N153" i="25"/>
  <c r="O154" i="25"/>
  <c r="P156" i="25"/>
  <c r="M158" i="25"/>
  <c r="M159" i="25"/>
  <c r="N157" i="25"/>
  <c r="M153" i="25"/>
  <c r="L155" i="25"/>
  <c r="P154" i="25"/>
  <c r="Q154" i="25"/>
  <c r="N158" i="25"/>
  <c r="P159" i="25"/>
  <c r="L124" i="25"/>
  <c r="P122" i="25"/>
  <c r="Q121" i="25"/>
  <c r="O119" i="25"/>
  <c r="Q123" i="25"/>
  <c r="M125" i="25"/>
  <c r="L123" i="25"/>
  <c r="M123" i="25"/>
  <c r="M124" i="25"/>
  <c r="M122" i="25"/>
  <c r="N124" i="25"/>
  <c r="O125" i="25"/>
  <c r="P125" i="25"/>
  <c r="L122" i="25"/>
  <c r="N125" i="25"/>
  <c r="L125" i="25"/>
  <c r="P121" i="25"/>
  <c r="N123" i="25"/>
  <c r="O124" i="25"/>
  <c r="L121" i="25"/>
  <c r="Q122" i="25"/>
  <c r="P119" i="25"/>
  <c r="N119" i="25"/>
  <c r="O121" i="25"/>
  <c r="M136" i="25"/>
  <c r="Q132" i="25"/>
  <c r="L137" i="25"/>
  <c r="Q135" i="25"/>
  <c r="P132" i="25"/>
  <c r="N136" i="25"/>
  <c r="L136" i="25"/>
  <c r="N131" i="25"/>
  <c r="M131" i="25"/>
  <c r="P131" i="25"/>
  <c r="L135" i="25"/>
  <c r="N135" i="25"/>
  <c r="N132" i="25"/>
  <c r="L134" i="25"/>
  <c r="M135" i="25"/>
  <c r="L133" i="25"/>
  <c r="Q131" i="25"/>
  <c r="L132" i="25"/>
  <c r="P137" i="25"/>
  <c r="P134" i="25"/>
  <c r="Q133" i="25"/>
  <c r="O131" i="25"/>
  <c r="P133" i="25"/>
  <c r="O136" i="25"/>
  <c r="O133" i="25"/>
  <c r="M137" i="25"/>
  <c r="O132" i="25"/>
  <c r="O137" i="25"/>
  <c r="N137" i="25"/>
  <c r="M134" i="25"/>
  <c r="Q134" i="25"/>
  <c r="L175" i="25" l="1"/>
  <c r="L211" i="25"/>
  <c r="M184" i="25"/>
  <c r="M185" i="25" s="1"/>
  <c r="Q184" i="25"/>
  <c r="N211" i="25"/>
  <c r="Q193" i="25"/>
  <c r="S175" i="25"/>
  <c r="O211" i="25"/>
  <c r="N202" i="25"/>
  <c r="O193" i="25"/>
  <c r="Q202" i="25"/>
  <c r="N193" i="25"/>
  <c r="N175" i="25"/>
  <c r="M175" i="25"/>
  <c r="O184" i="25"/>
  <c r="L184" i="25"/>
  <c r="P184" i="25"/>
  <c r="P175" i="25"/>
  <c r="S184" i="25"/>
  <c r="P211" i="25"/>
  <c r="Q211" i="25"/>
  <c r="P202" i="25"/>
  <c r="P193" i="25"/>
  <c r="N184" i="25"/>
  <c r="O175" i="25"/>
  <c r="L202" i="25"/>
  <c r="L203" i="25" s="1"/>
  <c r="L206" i="25" s="1"/>
  <c r="L193" i="25"/>
  <c r="T175" i="25"/>
  <c r="Q175" i="25"/>
  <c r="O202" i="25"/>
  <c r="M211" i="25"/>
  <c r="S211" i="25"/>
  <c r="M202" i="25"/>
  <c r="S202" i="25"/>
  <c r="M193" i="25"/>
  <c r="S193" i="25"/>
  <c r="B61" i="10"/>
  <c r="M188" i="25" l="1"/>
  <c r="M33" i="28" s="1"/>
  <c r="T176" i="25"/>
  <c r="S176" i="25"/>
  <c r="P176" i="25"/>
  <c r="M176" i="25"/>
  <c r="Q176" i="25"/>
  <c r="O176" i="25"/>
  <c r="N176" i="25"/>
  <c r="L176" i="25"/>
  <c r="L179" i="25" s="1"/>
  <c r="N194" i="25"/>
  <c r="S194" i="25"/>
  <c r="M194" i="25"/>
  <c r="L194" i="25"/>
  <c r="P194" i="25"/>
  <c r="O194" i="25"/>
  <c r="Q194" i="25"/>
  <c r="M212" i="25"/>
  <c r="S212" i="25"/>
  <c r="P212" i="25"/>
  <c r="O212" i="25"/>
  <c r="L212" i="25"/>
  <c r="Q212" i="25"/>
  <c r="N212" i="25"/>
  <c r="Q203" i="25"/>
  <c r="S203" i="25"/>
  <c r="O203" i="25"/>
  <c r="P203" i="25"/>
  <c r="M203" i="25"/>
  <c r="N203" i="25"/>
  <c r="N185" i="25"/>
  <c r="L185" i="25"/>
  <c r="Q185" i="25"/>
  <c r="S185" i="25"/>
  <c r="O185" i="25"/>
  <c r="P185" i="25"/>
  <c r="L53" i="28"/>
  <c r="B49" i="10"/>
  <c r="B56" i="10" s="1"/>
  <c r="O215" i="25" l="1"/>
  <c r="O63" i="28" s="1"/>
  <c r="N215" i="25"/>
  <c r="P215" i="25"/>
  <c r="P63" i="28" s="1"/>
  <c r="Q215" i="25"/>
  <c r="Q63" i="28" s="1"/>
  <c r="Q165" i="28" s="1"/>
  <c r="S215" i="25"/>
  <c r="S63" i="28" s="1"/>
  <c r="L215" i="25"/>
  <c r="L63" i="28" s="1"/>
  <c r="L164" i="28" s="1"/>
  <c r="M215" i="25"/>
  <c r="M63" i="28" s="1"/>
  <c r="M206" i="25"/>
  <c r="M53" i="28" s="1"/>
  <c r="P206" i="25"/>
  <c r="P53" i="28" s="1"/>
  <c r="Q206" i="25"/>
  <c r="Q53" i="28" s="1"/>
  <c r="O206" i="25"/>
  <c r="O53" i="28" s="1"/>
  <c r="N206" i="25"/>
  <c r="N53" i="28" s="1"/>
  <c r="S206" i="25"/>
  <c r="S53" i="28" s="1"/>
  <c r="Q197" i="25"/>
  <c r="Q43" i="28" s="1"/>
  <c r="M197" i="25"/>
  <c r="M43" i="28" s="1"/>
  <c r="O197" i="25"/>
  <c r="O43" i="28" s="1"/>
  <c r="S197" i="25"/>
  <c r="S43" i="28" s="1"/>
  <c r="P197" i="25"/>
  <c r="P43" i="28" s="1"/>
  <c r="N197" i="25"/>
  <c r="N43" i="28" s="1"/>
  <c r="N139" i="28" s="1"/>
  <c r="L197" i="25"/>
  <c r="L43" i="28" s="1"/>
  <c r="M125" i="28"/>
  <c r="M126" i="28"/>
  <c r="M127" i="28" s="1"/>
  <c r="S188" i="25"/>
  <c r="S33" i="28" s="1"/>
  <c r="P188" i="25"/>
  <c r="P33" i="28" s="1"/>
  <c r="L188" i="25"/>
  <c r="L33" i="28" s="1"/>
  <c r="O188" i="25"/>
  <c r="O33" i="28" s="1"/>
  <c r="N188" i="25"/>
  <c r="N33" i="28" s="1"/>
  <c r="Q188" i="25"/>
  <c r="Q33" i="28" s="1"/>
  <c r="N179" i="25"/>
  <c r="N23" i="28" s="1"/>
  <c r="P179" i="25"/>
  <c r="P23" i="28" s="1"/>
  <c r="O179" i="25"/>
  <c r="O23" i="28" s="1"/>
  <c r="S179" i="25"/>
  <c r="S23" i="28" s="1"/>
  <c r="L23" i="28"/>
  <c r="M179" i="25"/>
  <c r="M23" i="28" s="1"/>
  <c r="Q179" i="25"/>
  <c r="Q23" i="28" s="1"/>
  <c r="T179" i="25"/>
  <c r="T23" i="28" s="1"/>
  <c r="L152" i="28"/>
  <c r="L151" i="28"/>
  <c r="B50" i="10"/>
  <c r="P164" i="28" l="1"/>
  <c r="P165" i="28"/>
  <c r="N63" i="28"/>
  <c r="N165" i="28" s="1"/>
  <c r="M165" i="28"/>
  <c r="M164" i="28"/>
  <c r="S165" i="28"/>
  <c r="S164" i="28"/>
  <c r="O164" i="28"/>
  <c r="O165" i="28"/>
  <c r="Q164" i="28"/>
  <c r="Q166" i="28" s="1"/>
  <c r="L165" i="28"/>
  <c r="L166" i="28" s="1"/>
  <c r="N138" i="28"/>
  <c r="N140" i="28" s="1"/>
  <c r="M138" i="28"/>
  <c r="M139" i="28"/>
  <c r="O151" i="28"/>
  <c r="O152" i="28"/>
  <c r="S138" i="28"/>
  <c r="S139" i="28"/>
  <c r="Q152" i="28"/>
  <c r="Q151" i="28"/>
  <c r="N126" i="28"/>
  <c r="N125" i="28"/>
  <c r="S152" i="28"/>
  <c r="S151" i="28"/>
  <c r="P151" i="28"/>
  <c r="P152" i="28"/>
  <c r="N152" i="28"/>
  <c r="N151" i="28"/>
  <c r="M151" i="28"/>
  <c r="M152" i="28"/>
  <c r="L126" i="28"/>
  <c r="L125" i="28"/>
  <c r="P139" i="28"/>
  <c r="P138" i="28"/>
  <c r="O138" i="28"/>
  <c r="O139" i="28"/>
  <c r="L138" i="28"/>
  <c r="L139" i="28"/>
  <c r="S126" i="28"/>
  <c r="S125" i="28"/>
  <c r="Q138" i="28"/>
  <c r="Q139" i="28"/>
  <c r="O126" i="28"/>
  <c r="O125" i="28"/>
  <c r="Q126" i="28"/>
  <c r="Q125" i="28"/>
  <c r="P125" i="28"/>
  <c r="P126" i="28"/>
  <c r="T111" i="28"/>
  <c r="T112" i="28"/>
  <c r="S111" i="28"/>
  <c r="S112" i="28"/>
  <c r="Q111" i="28"/>
  <c r="Q112" i="28"/>
  <c r="O111" i="28"/>
  <c r="O112" i="28"/>
  <c r="M112" i="28"/>
  <c r="M111" i="28"/>
  <c r="P112" i="28"/>
  <c r="P111" i="28"/>
  <c r="L112" i="28"/>
  <c r="L111" i="28"/>
  <c r="N112" i="28"/>
  <c r="N111" i="28"/>
  <c r="L153" i="28"/>
  <c r="B51" i="10"/>
  <c r="B55" i="10" s="1"/>
  <c r="M140" i="28" l="1"/>
  <c r="N164" i="28"/>
  <c r="N166" i="28" s="1"/>
  <c r="L127" i="28"/>
  <c r="Q153" i="28"/>
  <c r="O140" i="28"/>
  <c r="O153" i="28"/>
  <c r="M166" i="28"/>
  <c r="P166" i="28"/>
  <c r="S166" i="28"/>
  <c r="O166" i="28"/>
  <c r="S127" i="28"/>
  <c r="N113" i="28"/>
  <c r="P127" i="28"/>
  <c r="O127" i="28"/>
  <c r="N153" i="28"/>
  <c r="S153" i="28"/>
  <c r="L140" i="28"/>
  <c r="M153" i="28"/>
  <c r="P153" i="28"/>
  <c r="N127" i="28"/>
  <c r="S140" i="28"/>
  <c r="L113" i="28"/>
  <c r="M113" i="28"/>
  <c r="T113" i="28"/>
  <c r="Q127" i="28"/>
  <c r="Q140" i="28"/>
  <c r="P140" i="28"/>
  <c r="O113" i="28"/>
  <c r="S113" i="28"/>
  <c r="P113" i="28"/>
  <c r="Q113" i="28"/>
  <c r="J168" i="28" l="1"/>
  <c r="N170" i="28" s="1"/>
  <c r="J142" i="28"/>
  <c r="O144" i="28" s="1"/>
  <c r="J155" i="28"/>
  <c r="P157" i="28" s="1"/>
  <c r="J129" i="28"/>
  <c r="O131" i="28" s="1"/>
  <c r="J115" i="28"/>
  <c r="S170" i="28" l="1"/>
  <c r="P170" i="28"/>
  <c r="O170" i="28"/>
  <c r="L170" i="28"/>
  <c r="M170" i="28"/>
  <c r="Q170" i="28"/>
  <c r="L144" i="28"/>
  <c r="N144" i="28"/>
  <c r="S144" i="28"/>
  <c r="Q144" i="28"/>
  <c r="P144" i="28"/>
  <c r="M144" i="28"/>
  <c r="M157" i="28"/>
  <c r="L131" i="28"/>
  <c r="L157" i="28"/>
  <c r="S157" i="28"/>
  <c r="P131" i="28"/>
  <c r="N131" i="28"/>
  <c r="Q131" i="28"/>
  <c r="Q157" i="28"/>
  <c r="O157" i="28"/>
  <c r="N157" i="28"/>
  <c r="M131" i="28"/>
  <c r="S131" i="28"/>
  <c r="O117" i="28"/>
  <c r="O118" i="28" s="1"/>
  <c r="L117" i="28"/>
  <c r="L118" i="28" s="1"/>
  <c r="M117" i="28"/>
  <c r="N117" i="28"/>
  <c r="N118" i="28" s="1"/>
  <c r="S117" i="28"/>
  <c r="S118" i="28" s="1"/>
  <c r="P117" i="28"/>
  <c r="P118" i="28" s="1"/>
  <c r="T117" i="28"/>
  <c r="T118" i="28" s="1"/>
  <c r="T174" i="28" s="1"/>
  <c r="Q117" i="28"/>
  <c r="Q118" i="28" s="1"/>
  <c r="N174" i="28" l="1"/>
  <c r="N176" i="28" s="1"/>
  <c r="N181" i="28" s="1"/>
  <c r="N183" i="28" s="1"/>
  <c r="N14" i="21" s="1"/>
  <c r="O174" i="28"/>
  <c r="O176" i="28" s="1"/>
  <c r="O181" i="28" s="1"/>
  <c r="O183" i="28" s="1"/>
  <c r="O14" i="21" s="1"/>
  <c r="Q174" i="28"/>
  <c r="Q176" i="28" s="1"/>
  <c r="Q181" i="28" s="1"/>
  <c r="Q183" i="28" s="1"/>
  <c r="Q14" i="21" s="1"/>
  <c r="P174" i="28"/>
  <c r="L174" i="28"/>
  <c r="L176" i="28" s="1"/>
  <c r="L181" i="28" s="1"/>
  <c r="L183" i="28" s="1"/>
  <c r="L14" i="21" s="1"/>
  <c r="S174" i="28"/>
  <c r="M118" i="28"/>
  <c r="M174" i="28" s="1"/>
  <c r="M176" i="28" s="1"/>
  <c r="M181" i="28" s="1"/>
  <c r="M183" i="28" s="1"/>
  <c r="M14" i="21" s="1"/>
  <c r="P176" i="28" l="1"/>
  <c r="P181" i="28"/>
  <c r="P183" i="28" s="1"/>
  <c r="P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5"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<sst xmlns="http://schemas.openxmlformats.org/spreadsheetml/2006/main" count="1188" uniqueCount="346">
  <si>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</si>
  <si>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</si>
  <si>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</si>
  <si>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</si>
  <si>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</si>
  <si>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</si>
  <si>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</si>
  <si>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</si>
  <si>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</si>
  <si>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</si>
  <si>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</si>
  <si>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</si>
  <si>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</si>
  <si>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</si>
  <si>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</si>
  <si>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</si>
  <si>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</si>
  <si>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</si>
  <si>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</si>
  <si>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</si>
  <si>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</si>
  <si>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</si>
  <si>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</si>
  <si>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</si>
  <si>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</si>
  <si>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</si>
  <si>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</si>
  <si>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</si>
  <si>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</si>
  <si>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</si>
  <si>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</si>
  <si>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</si>
  <si>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</si>
  <si>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</si>
  <si>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</si>
  <si>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</si>
  <si>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</si>
  <si>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</si>
  <si>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</si>
  <si>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</si>
  <si>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</si>
  <si>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</si>
  <si>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</si>
  <si>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</si>
  <si>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</si>
  <si>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</si>
  <si>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</si>
  <si>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</si>
  <si>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</si>
  <si>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</si>
  <si>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</si>
  <si>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</si>
  <si>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</si>
  <si>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</si>
  <si>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</si>
  <si>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</si>
  <si>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</si>
  <si>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</si>
  <si>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</si>
  <si>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</si>
  <si>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</si>
  <si>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</si>
  <si>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</si>
  <si>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</si>
  <si>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</si>
  <si>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</si>
  <si>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</si>
  <si>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</si>
  <si>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</si>
  <si>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</si>
  <si>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</si>
  <si>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</si>
  <si>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 xml:space="preserve">Deze sheet bevat de data die als input gebruikt worden voor de berekeningen (kwaliteitsdata per netbeheerder). </t>
  </si>
  <si>
    <t>Enduris</t>
  </si>
  <si>
    <t>Enexis</t>
  </si>
  <si>
    <t>Liander</t>
  </si>
  <si>
    <t>RENDO</t>
  </si>
  <si>
    <t>Stedin</t>
  </si>
  <si>
    <t>Westland</t>
  </si>
  <si>
    <t>Data 2017</t>
  </si>
  <si>
    <t xml:space="preserve">MS-netvlak </t>
  </si>
  <si>
    <t>Totaal aantal LS-afnemers</t>
  </si>
  <si>
    <t xml:space="preserve">Aantal verbruikersminuten </t>
  </si>
  <si>
    <t>#</t>
  </si>
  <si>
    <t xml:space="preserve">LS-netvlak </t>
  </si>
  <si>
    <t>Data 2018</t>
  </si>
  <si>
    <t>Data 2020</t>
  </si>
  <si>
    <t>Data 2019</t>
  </si>
  <si>
    <t>Rendo</t>
  </si>
  <si>
    <t>Aantal onderliggende LS-afnemers</t>
  </si>
  <si>
    <t>NE-KDT, Tab 2_Kwal transportdienst, cel F10</t>
  </si>
  <si>
    <t>NE-KDT, Tab 2_Kwal transportdienst, cel G10</t>
  </si>
  <si>
    <t>NE-KDT, Tab 2_Kwal transportdienst, cel H10</t>
  </si>
  <si>
    <t>NE-KDT, Tab 2_Kwal transportdienst, cel F11</t>
  </si>
  <si>
    <t>NE-KDT, Tab 2_Kwal transportdienst, cel G11</t>
  </si>
  <si>
    <t>NE-KDT, Tab 2_Kwal transportdienst, cel H11</t>
  </si>
  <si>
    <t>Data 2016</t>
  </si>
  <si>
    <t>Berekening kwaliteitsprestaties 2016</t>
  </si>
  <si>
    <t>Berekeningen per netvlak</t>
  </si>
  <si>
    <t>Gemiddelde onderbrekingsfrequentie LS-netvlak</t>
  </si>
  <si>
    <t>Gemiddelde onderbrekingsduur</t>
  </si>
  <si>
    <t>Coteq</t>
  </si>
  <si>
    <t>Berekening kwaliteitsprestaties 2017</t>
  </si>
  <si>
    <t>Berekening kwaliteitsprestaties 2018</t>
  </si>
  <si>
    <t>Berekening kwaliteitsprestaties 2019</t>
  </si>
  <si>
    <t>Berekening kwaliteitsprestaties 2020</t>
  </si>
  <si>
    <t>Ophalen gegevens verrekening 2016</t>
  </si>
  <si>
    <t>Ophalen gegevens verrekening 2017</t>
  </si>
  <si>
    <t>Ophalen gegevens verrekening 2018</t>
  </si>
  <si>
    <t>Ophalen gegevens verrekening 2019</t>
  </si>
  <si>
    <t>Ophalen gegevens verrekening 2020</t>
  </si>
  <si>
    <t>Berekening onderliggende getroffen afnemers o.b.v. gemiddelde onderbrekingsfrequentie sector 2016</t>
  </si>
  <si>
    <t>Onderliggende netbeheerder</t>
  </si>
  <si>
    <t>Berekening onderliggende getroffen afnemers o.b.v. gemiddelde onderbrekingsfrequentie sector 2017</t>
  </si>
  <si>
    <t>Berekening onderliggende getroffen afnemers o.b.v. gemiddelde onderbrekingsfrequentie sector 2018</t>
  </si>
  <si>
    <t>Berekening onderliggende getroffen afnemers o.b.v. gemiddelde onderbrekingsfrequentie sector 2019</t>
  </si>
  <si>
    <t>Berekening onderliggende getroffen afnemers o.b.v. gemiddelde onderbrekingsfrequentie sector 2020</t>
  </si>
  <si>
    <t>Parameters</t>
  </si>
  <si>
    <t>- relevante CPI's</t>
  </si>
  <si>
    <t>- verhouding huishoudens / MKB-ers</t>
  </si>
  <si>
    <t xml:space="preserve">CPI </t>
  </si>
  <si>
    <t>Gewicht onder- en bovenliggende netbeeerders</t>
  </si>
  <si>
    <t>Aandeel onderliggende netbeheerders</t>
  </si>
  <si>
    <t>%</t>
  </si>
  <si>
    <t>Ophalen parameters</t>
  </si>
  <si>
    <t>Aandeel bovenliggende netbeheerders</t>
  </si>
  <si>
    <t>Kwaliteitsprestatie 2016</t>
  </si>
  <si>
    <t>Aandeel huishoudens</t>
  </si>
  <si>
    <t>Berekening onderbrekingsfrequentie (SAIFI) en gemiddelde onderbrekingsduur (CAIDI)</t>
  </si>
  <si>
    <t>Gemiddelde onderbrekingsfrequentie</t>
  </si>
  <si>
    <t>Gemiddelde onderbrekingsfrequentie MS-netvlak gehele sector</t>
  </si>
  <si>
    <t>Gecorrigeerde onderbrekingsfrequentie 2017</t>
  </si>
  <si>
    <t>MS-netvlak</t>
  </si>
  <si>
    <t>Gecorrigeerde onderbrekingsfrequentie MS</t>
  </si>
  <si>
    <t>LS-netvlak</t>
  </si>
  <si>
    <t>Totaal</t>
  </si>
  <si>
    <t xml:space="preserve">Gecorrigeerde onderbrekingsfrequentie </t>
  </si>
  <si>
    <t>Gecorrigeerde onderbrekingsfrequentie 2018</t>
  </si>
  <si>
    <t>Gecorrigeerde onderbrekingsfrequentie 2019</t>
  </si>
  <si>
    <t>Gecorrigeerde onderbrekingsfrequentie 2020</t>
  </si>
  <si>
    <t>Gecorrigeerde onderbrekingsfrequentie 2016</t>
  </si>
  <si>
    <t>Aandeel bedrijven</t>
  </si>
  <si>
    <t>Gecorrigeerde onderbrekingsfrequentie</t>
  </si>
  <si>
    <t>Waardering Huishoudens</t>
  </si>
  <si>
    <t>Waardering Bedrijven</t>
  </si>
  <si>
    <t>Kwaliteitsprestatie</t>
  </si>
  <si>
    <t>Gewogen gemiddelde kwaliteitsprestatie sector</t>
  </si>
  <si>
    <t>Q-bedrag 2016</t>
  </si>
  <si>
    <t>Kwaliteitsprestatie 2017</t>
  </si>
  <si>
    <t>Q-bedrag 2017</t>
  </si>
  <si>
    <t>Kwaliteitsprestatie 2018</t>
  </si>
  <si>
    <t>Q-bedrag 2018</t>
  </si>
  <si>
    <t>Kwaliteitsprestatie 2019</t>
  </si>
  <si>
    <t>Q-bedrag 2019</t>
  </si>
  <si>
    <t>Kwaliteitsprestatie 2020</t>
  </si>
  <si>
    <t>Q-bedrag 2020</t>
  </si>
  <si>
    <t>EUR, pp 2016</t>
  </si>
  <si>
    <t>CPI</t>
  </si>
  <si>
    <t>Aandeel Q-bedrag</t>
  </si>
  <si>
    <t>Q-bedrag REG2022</t>
  </si>
  <si>
    <t>Q-bedrag REG2017</t>
  </si>
  <si>
    <t>Totale bedrag dat verrekend moet worden in Q-factor REG2022</t>
  </si>
  <si>
    <t>Ophalen gegevens</t>
  </si>
  <si>
    <t>CPI 2016</t>
  </si>
  <si>
    <t>CPI 2017</t>
  </si>
  <si>
    <t>CPI 2018</t>
  </si>
  <si>
    <t>CPI 2019</t>
  </si>
  <si>
    <t>CPI 2020</t>
  </si>
  <si>
    <t>Gemiddelde onderbrekingsfrequentie MS-netvlak gehele sector (SAIFI)</t>
  </si>
  <si>
    <t>Berekeningen</t>
  </si>
  <si>
    <t>Parameters waardering huishoudens</t>
  </si>
  <si>
    <t>Parameters waarderingsfuncties</t>
  </si>
  <si>
    <t>Parameters waardering bedrijven</t>
  </si>
  <si>
    <t>Beschrijving gegevens</t>
  </si>
  <si>
    <t xml:space="preserve">Totaal aantal LS-afnemers </t>
  </si>
  <si>
    <t>Getroffen LS-afnemers</t>
  </si>
  <si>
    <t xml:space="preserve">Correctie getroffen LS-afnemers </t>
  </si>
  <si>
    <t>Bovenliggende netbeheerder</t>
  </si>
  <si>
    <t>NE-KWA, Tab 4_Gegevens Boven-Onder</t>
  </si>
  <si>
    <t>Q-factor model 2016</t>
  </si>
  <si>
    <t xml:space="preserve">Aandeel bovenliggende netbeheerders </t>
  </si>
  <si>
    <t>https://opendata.cbs.nl/#/CBS/nl/dataset/83131NED/table</t>
  </si>
  <si>
    <t>Methodebesluit Regionale Netbeheerders Elektriciteit 2017-2021 (NE7R)</t>
  </si>
  <si>
    <t>In dit tabblad worden de onderbrekingsfrequenties (SAIFI) en de gemiddelde onderbrekingsduur (CAIDI) berekend.</t>
  </si>
  <si>
    <t>Onderzoek Blauw Research</t>
  </si>
  <si>
    <t>Tabblad Q-bedragen</t>
  </si>
  <si>
    <t>NE-KDT</t>
  </si>
  <si>
    <t>NE-KWA</t>
  </si>
  <si>
    <t>CPI 2013</t>
  </si>
  <si>
    <t>CPI 2014</t>
  </si>
  <si>
    <t>CPI 2015</t>
  </si>
  <si>
    <t xml:space="preserve">EUR, pp. 2012 </t>
  </si>
  <si>
    <t>- parameters voor de waarderingsfuncties uit het onderzoek Blauw Research (2012)</t>
  </si>
  <si>
    <t xml:space="preserve">https://opendata.cbs.nl/statline/#/CBS/nl/dataset/71311ned/table?fromstatweb </t>
  </si>
  <si>
    <t>Verder zijn de CPI's over 2013 tot en met 2016 gebaseerd op de 2006 = 100 dataset.</t>
  </si>
  <si>
    <t>CPI = de relatieve wijziging van de consumentenprijsindex (alle huishoudens), berekend uit het quotiënt van deze prijsindex, gepubliceerd in de vierde maand voorafgaande aan het jaar t, en van deze prijsindex, gepubliceerd in de zestiende maand voorafgaande aan het jaar t, zoals deze maandelijks wordt vastgesteld door het Centraal Bureau voor de Statistiek.</t>
  </si>
  <si>
    <t>Voor de CPI's vanaf 2017 wordt gebruik gemaakt van de CBS 2015 = 100 dataset, omdat de oude tabel niet meer verder is geupdatet.</t>
  </si>
  <si>
    <t xml:space="preserve">Deze sheet bevat de parameters die als input gebruikt worden voor de berekeningen, namelijk de: </t>
  </si>
  <si>
    <t>Endinet</t>
  </si>
  <si>
    <t>Endinet is in 2016 overgenomen door Enexis. De gegevens van Endinet worden voor 2016 nog apart meegenomen, maar vanaf 2017 zijn de gegevens van Endinet volledig verwerkt in de gegevens van Enexis.</t>
  </si>
  <si>
    <t>Het totaal aantal LS-afnemers op het MS-netvlak bevatten zowel de eigen afnemers als de afnemers bij een eventuele onderliggende netbeheerder.</t>
  </si>
  <si>
    <t>Daarnaast zijn het aantal onderliggende LS-afnemers per netbeheerder opgenomen in dit tabblad.</t>
  </si>
  <si>
    <t xml:space="preserve">In dit tabblad worden de gecorrigeerde onderbrekingsfrequenties berekend. Hierbij wordt de gemiddelde onderbrekingsfrequentie op het MS-netvlak gebruikt om de onderliggende getroffen afnemers te bepalen. </t>
  </si>
  <si>
    <t>Q-factor model 2016, tabblad Q-bedragen, regel 52</t>
  </si>
  <si>
    <t>CPI 2021</t>
  </si>
  <si>
    <t>EUR, pp 2021</t>
  </si>
  <si>
    <t>Overdracht Weert</t>
  </si>
  <si>
    <t>Totaal aantal afnemers LS Weert 2016</t>
  </si>
  <si>
    <t>Weert 2016</t>
  </si>
  <si>
    <t>Totaal aantal afnemers LS, incl. Weert</t>
  </si>
  <si>
    <t>Vastrecht kleinverbruikers t/m 3*80A op LS</t>
  </si>
  <si>
    <t>Stedin 2016</t>
  </si>
  <si>
    <t>Verhouding tussen TA en Kleinverbruikers Stedin</t>
  </si>
  <si>
    <t>Berekening aandeel Q-bedrag van Stedin naar Enexis</t>
  </si>
  <si>
    <t>Aandeel Q-bedrag Stedin dat naar Enexis verschuift</t>
  </si>
  <si>
    <t>Q-bedrag 2016 na ruilverkaveling</t>
  </si>
  <si>
    <t>Kwaliteitsdata 2016</t>
  </si>
  <si>
    <t>Kwaliteitsdata 2017</t>
  </si>
  <si>
    <t>Kwaliteitsdata 2018</t>
  </si>
  <si>
    <t>Kwaliteitsdata 2019</t>
  </si>
  <si>
    <t>Kwaliteitsdata 2020</t>
  </si>
  <si>
    <t>Input ruilverkaveling Weert</t>
  </si>
  <si>
    <t>RNB Elektriciteit Q-bedragberekening 2022-2026</t>
  </si>
  <si>
    <t>n</t>
  </si>
  <si>
    <t>j</t>
  </si>
  <si>
    <t>Samenhang van dit bestand met andere bestanden</t>
  </si>
  <si>
    <t>Investeringen</t>
  </si>
  <si>
    <t>GAW model</t>
  </si>
  <si>
    <t>Kosten</t>
  </si>
  <si>
    <t>X-factor</t>
  </si>
  <si>
    <t>SO</t>
  </si>
  <si>
    <t>Q-factor</t>
  </si>
  <si>
    <t>- aandeel Q-bedrag huidige en voorgaande reguleringsperiode</t>
  </si>
  <si>
    <t>Verhouding huishoudens/MKB</t>
  </si>
  <si>
    <t>- gewicht onder- en bovenliggende netbeheerders</t>
  </si>
  <si>
    <t>CBS, CPI 2017-2020; 2015 = 100</t>
  </si>
  <si>
    <t>CBS, CPI 2012-2016; 2006 = 100</t>
  </si>
  <si>
    <t>CBS, CPI 2013-2016; 2006 = 100</t>
  </si>
  <si>
    <t>CBS, CPI 2017-2021; 2015 = 100</t>
  </si>
  <si>
    <t>Aantal huishoudens</t>
  </si>
  <si>
    <t>Aantal MKB-bedrijven</t>
  </si>
  <si>
    <t>https://opendata.cbs.nl/statline/#/CBS/nl/dataset/71486NED/table?fromstatweb</t>
  </si>
  <si>
    <t>CBS, aantal particuliere huishoudens</t>
  </si>
  <si>
    <t>CBS, aantal MKB-bedrijven</t>
  </si>
  <si>
    <t>2016 - 1e kwartaal</t>
  </si>
  <si>
    <t>2016 - 2e kwartaal</t>
  </si>
  <si>
    <t>2016 - 3e kwartaal</t>
  </si>
  <si>
    <t>2016 - 4e kwartaal</t>
  </si>
  <si>
    <t>2017 - 1e kwartaal</t>
  </si>
  <si>
    <t>2018 - 2e kwartaal</t>
  </si>
  <si>
    <t>2019 - 3e kwartaal</t>
  </si>
  <si>
    <t>2020 - 4e kwartaal</t>
  </si>
  <si>
    <t>2017 - 2e kwartaal</t>
  </si>
  <si>
    <t>2018 - 3e kwartaal</t>
  </si>
  <si>
    <t>2019 - 4e kwartaal</t>
  </si>
  <si>
    <t>2017 - 3e kwartaal</t>
  </si>
  <si>
    <t>2017 - 4e kwartaal</t>
  </si>
  <si>
    <t>2018 - 1e kwartaal</t>
  </si>
  <si>
    <t>2018 - 4e kwartaal</t>
  </si>
  <si>
    <t>2019 - 1e kwartaal</t>
  </si>
  <si>
    <t>2019 - 2e kwartaal</t>
  </si>
  <si>
    <t>2020 - 1e kwartaal</t>
  </si>
  <si>
    <t>2020 - 2e kwartaal</t>
  </si>
  <si>
    <t>2020 - 3e kwartaal</t>
  </si>
  <si>
    <t>2016 - gemiddeld</t>
  </si>
  <si>
    <t>2020 - gemiddeld</t>
  </si>
  <si>
    <t>2019 - gemiddeld</t>
  </si>
  <si>
    <t>2018 - gemiddeld</t>
  </si>
  <si>
    <t>2017 - gemiddeld</t>
  </si>
  <si>
    <t>Aantal bedrijven</t>
  </si>
  <si>
    <t>Methodebesluit Regionale Netbeheerders Elektriciteit 2022-2026</t>
  </si>
  <si>
    <t xml:space="preserve">https://www.acm.nl/sites/default/files/old_publication/publicaties/15645_rapport-blauw-aanvullende-opdracht-vereenvoudiging-model-stroomonderbrekingen-januari-2013.pdf </t>
  </si>
  <si>
    <t>Parameter b2 - invloed van onderbrekingsduur</t>
  </si>
  <si>
    <t>Parameter b1 - invloed van onderbrekingsfrequentie</t>
  </si>
  <si>
    <t>Parameter D0 - acceptabele waarde onderbrekingsduur waarbij geen compensatie gewenst is</t>
  </si>
  <si>
    <t>Parameter Fm - acceptabele waarde onderbrekingsfrequentie waarbij geen compensatie gewenst is</t>
  </si>
  <si>
    <t>Parameter GSR - gemiddelde gepercipieerde stroomrekening</t>
  </si>
  <si>
    <t>Parameter - omzetten onderbrekingsduur in minuten naar uren</t>
  </si>
  <si>
    <t>Onderzoek Blauw Research, pagina 5</t>
  </si>
  <si>
    <t>De data betreffen cijfers over getroffen LS-afnemers door een storing op het MS-net en het LS-net, evenals het aantal minuten dat deze storingen hebben geduurd.</t>
  </si>
  <si>
    <t>Verder staan hier gegevens over het totaal aantal LS-afnemers.</t>
  </si>
  <si>
    <t>Het netgebied Weert is in 2017 overgedragen van Stedin aan Enexis. De q-bedragen van 2016 worden hiervoor gecorrigeerd.</t>
  </si>
  <si>
    <t>Q-bedrag reguleringsperiode 2017-2021</t>
  </si>
  <si>
    <t>Aantal getroffen LS-afnemers door een storing op het MS-net</t>
  </si>
  <si>
    <t>Aantal getroffen LS-afnemers door een storing op het LS-net</t>
  </si>
  <si>
    <t>De onderliggende netbeheerder is weergegeven in kolom B, de bovenliggende netbeheerder is weergegeven in kolom L t/m T</t>
  </si>
  <si>
    <t>Informatieverzoek Weert Elektriciteit, Tabel 4 Omzet transport, cel G81</t>
  </si>
  <si>
    <t>Reguleringsdata 2016 Stedin, Tabel 4 Omzet transport, cel O81</t>
  </si>
  <si>
    <t>Gemiddelde onderbrekingsduur LS- en MS-netvlak</t>
  </si>
  <si>
    <t>minuten</t>
  </si>
  <si>
    <t>Berekening verrekening onder- en bovenliggende afnemers</t>
  </si>
  <si>
    <t>Nadat de onderliggende getroffen afnemers zijn berekend, wordt dit aantal vermenigvuldigd met het aandeel onderliggende/bovenliggende netbeheerders.</t>
  </si>
  <si>
    <t>Vervolgens berekent de ACM de gecorrigeerde onderbrekingsfrequentie voor het MS-netvlak.</t>
  </si>
  <si>
    <t>De laatste stap in dit tabblad is om deze gecorrigeerde onderbrekingsfrequentie op het MS-netvlak op te tellen bij de onderbrekingsfrequentie op het LS-netvlak, om tot de totaal gecorrigeerde onderbrekingsfrequentie te komen.</t>
  </si>
  <si>
    <t>Gemiddelde onderbrekingsfrequentie LS</t>
  </si>
  <si>
    <t>Op dit tabblad wordt het aandeel Q-bedrag 2016 dat van Stedin dat naar Enexis verschuift berekend. De kwaliteitsgegevens over 2017 zijn al gecorrigeerd voor de overdacht van Weert.</t>
  </si>
  <si>
    <t xml:space="preserve">De ACM verwerkt deze wijzigingen door het q-bedrag dat bij de uit te wisselen gebieden hoort, met de afnemers mee te laten gaan naar de nieuwe regionale netbeheerder. </t>
  </si>
  <si>
    <t>Minuten</t>
  </si>
  <si>
    <t>Q-bedragen</t>
  </si>
  <si>
    <t xml:space="preserve">Op dit tabblad toont de ACM het totaal aan Q-bedragen die verrekend moeten worden. </t>
  </si>
  <si>
    <t>Deze gegevens zijn het resultaat van de berekeningen op de berekeningstabbladen in dit bestand</t>
  </si>
  <si>
    <t>Informatieverzoek Weert Elektriciteit</t>
  </si>
  <si>
    <t>Reguleringsdata 2016 Stedin</t>
  </si>
  <si>
    <t>Tabblad Tab 2_Kwal transportdienst, module per netbeheerder per jaar</t>
  </si>
  <si>
    <t>Tabblad Tab 4_Gegevens Boven-Onder, module per netbeheerder per jaar</t>
  </si>
  <si>
    <t xml:space="preserve">https://mkbstatline.cbs.nl/#/MKB/nl/dataset/48015NED/table?ts=1564559243917 </t>
  </si>
  <si>
    <t xml:space="preserve">https://www.acm.nl/nl/publicaties/gewijzigd-methodebesluit-rnbs-elektriciteit-2017-2021 </t>
  </si>
  <si>
    <t>https://www.acm.nl/nl/publicaties/publicatie/16348/Q-factorberekening-behorende-bij-de-x-factorbesluiten-RNBs-elektriciteit-2017-2021</t>
  </si>
  <si>
    <t>In dit Q-factor model wordt het totale bedrag berekend dat moet worden verrekend op basis van de kwaliteitsprestatie van de netbeheerders, over de jaren 2016-2020.</t>
  </si>
  <si>
    <t>n.v.t.</t>
  </si>
  <si>
    <t>regulering.energie@acm.nl</t>
  </si>
  <si>
    <t>Toelichting samenhang tabbladen:</t>
  </si>
  <si>
    <t>Input</t>
  </si>
  <si>
    <t>2) Parameters</t>
  </si>
  <si>
    <t>6) Berekening verschil</t>
  </si>
  <si>
    <t>1) Resultaat</t>
  </si>
  <si>
    <t>3) Data</t>
  </si>
  <si>
    <t>4) SAIFI en CAIDI</t>
  </si>
  <si>
    <t>5) Verrekening onder-boven</t>
  </si>
  <si>
    <t>6) Weert</t>
  </si>
  <si>
    <t>Formule (42)</t>
  </si>
  <si>
    <t>Formule (43)</t>
  </si>
  <si>
    <t>Formule (45)</t>
  </si>
  <si>
    <t>Formule (46)</t>
  </si>
  <si>
    <t>Formule (47)</t>
  </si>
  <si>
    <t>Formule (48)</t>
  </si>
  <si>
    <t>Formule (49)</t>
  </si>
  <si>
    <t>Formule (50)</t>
  </si>
  <si>
    <t>Formule (51) en (52)</t>
  </si>
  <si>
    <t>Formule (53)</t>
  </si>
  <si>
    <t>Formule (54)</t>
  </si>
  <si>
    <t>Totale bedrag dat verrekend moet worden in q-factor REG2022</t>
  </si>
  <si>
    <t>Totale q-bedrag 2016-2020</t>
  </si>
  <si>
    <t>Totale q-bedrag 2016-2020 na verschuivingen</t>
  </si>
  <si>
    <t>Berekening q-bedragen</t>
  </si>
  <si>
    <t>Totale q-bedrag 2016 -2020</t>
  </si>
  <si>
    <t>Totaal q-bedrag REG2017</t>
  </si>
  <si>
    <t>Totaal q-bedrag REG2022</t>
  </si>
  <si>
    <t>Enduris wordt vanaf 2022 onderdeel van Stedin. Het q-bedrag voor Enduris wordt om die reden opgeteld bij Stedin.</t>
  </si>
  <si>
    <t>Berekening kwaliteitsprestatie en het totale q-bedrag</t>
  </si>
  <si>
    <t>In dit tabblad worden de waarderingen van huishoudens en bedrijven berekend. Verder wordt de kwaliteitsprestatie per jaar bepaald en wordt het totale q-factor bedrag berekend.</t>
  </si>
  <si>
    <t>Aandeel q-bedrag Stedin dat naar Enexis verschuift</t>
  </si>
  <si>
    <t>Aandeel q-bedrag</t>
  </si>
  <si>
    <t>ACM/23/184726</t>
  </si>
  <si>
    <t>Herstel x-factorbesluit RNB-E 2022-2026</t>
  </si>
  <si>
    <t>Herstel X-factorberekening RNB-E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</si>
</sst>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00_ ;_ * \-#,##0.00_ ;_ * &quot;-&quot;_ ;_ @_ "/>
    <numFmt numFmtId="166" formatCode="_ * #,##0.0_ ;_ * \-#,##0.0_ ;_ * &quot;-&quot;_ ;_ @_ "/>
    <numFmt numFmtId="167" formatCode="_ * #,##0.000_ ;_ * \-#,##0.000_ ;_ * &quot;-&quot;_ ;_ @_ "/>
    <numFmt numFmtId="168" formatCode="_ * #,##0.0000_ ;_ * \-#,##0.0000_ ;_ * &quot;-&quot;_ ;_ @_ "/>
  </numFmts>
  <fonts count="49"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color indexed="8"/>
      <name val="Arial"/>
      <family val="2"/>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FFFFCC"/>
        <bgColor auto="1"/>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hair">
        <color indexed="64"/>
      </right>
      <top style="medium">
        <color indexed="64"/>
      </top>
      <bottom style="hair">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110">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1" fontId="5" fillId="13" borderId="0">
      <alignment vertical="top"/>
    </xf>
    <xf numFmtId="41" fontId="5" fillId="12" borderId="0">
      <alignment vertical="top"/>
    </xf>
    <xf numFmtId="41" fontId="5" fillId="10" borderId="0">
      <alignment vertical="top"/>
    </xf>
    <xf numFmtId="41" fontId="5" fillId="47" borderId="0">
      <alignment vertical="top"/>
    </xf>
    <xf numFmtId="41" fontId="5" fillId="8" borderId="0">
      <alignment vertical="top"/>
    </xf>
    <xf numFmtId="41" fontId="5"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10" fontId="5" fillId="0" borderId="0" applyFont="0" applyFill="0" applyBorder="0" applyAlignment="0" applyProtection="0">
      <alignment vertical="top"/>
    </xf>
    <xf numFmtId="41" fontId="5" fillId="46" borderId="0">
      <alignment vertical="top"/>
    </xf>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1" borderId="0" applyNumberFormat="0" applyBorder="0" applyAlignment="0" applyProtection="0"/>
    <xf numFmtId="0" fontId="31" fillId="54" borderId="0" applyNumberFormat="0" applyBorder="0" applyAlignment="0" applyProtection="0"/>
    <xf numFmtId="0" fontId="31" fillId="57" borderId="0" applyNumberFormat="0" applyBorder="0" applyAlignment="0" applyProtection="0"/>
    <xf numFmtId="0" fontId="32" fillId="58" borderId="0" applyNumberFormat="0" applyBorder="0" applyAlignment="0" applyProtection="0"/>
    <xf numFmtId="0" fontId="32" fillId="55" borderId="0" applyNumberFormat="0" applyBorder="0" applyAlignment="0" applyProtection="0"/>
    <xf numFmtId="0" fontId="32" fillId="56"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5" borderId="0" applyNumberFormat="0" applyBorder="0" applyAlignment="0" applyProtection="0"/>
    <xf numFmtId="0" fontId="33" fillId="66" borderId="12" applyNumberFormat="0" applyAlignment="0" applyProtection="0"/>
    <xf numFmtId="0" fontId="34" fillId="67" borderId="13" applyNumberFormat="0" applyAlignment="0" applyProtection="0"/>
    <xf numFmtId="0" fontId="35" fillId="0" borderId="14" applyNumberFormat="0" applyFill="0" applyAlignment="0" applyProtection="0"/>
    <xf numFmtId="0" fontId="36" fillId="50" borderId="0" applyNumberFormat="0" applyBorder="0" applyAlignment="0" applyProtection="0"/>
    <xf numFmtId="0" fontId="37" fillId="53" borderId="12" applyNumberFormat="0" applyAlignment="0" applyProtection="0"/>
    <xf numFmtId="0" fontId="38" fillId="0" borderId="15" applyNumberFormat="0" applyFill="0" applyAlignment="0" applyProtection="0"/>
    <xf numFmtId="0" fontId="39" fillId="0" borderId="16" applyNumberFormat="0" applyFill="0" applyAlignment="0" applyProtection="0"/>
    <xf numFmtId="0" fontId="40" fillId="0" borderId="17" applyNumberFormat="0" applyFill="0" applyAlignment="0" applyProtection="0"/>
    <xf numFmtId="0" fontId="40" fillId="0" borderId="0" applyNumberFormat="0" applyFill="0" applyBorder="0" applyAlignment="0" applyProtection="0"/>
    <xf numFmtId="0" fontId="41" fillId="68" borderId="0" applyNumberFormat="0" applyBorder="0" applyAlignment="0" applyProtection="0"/>
    <xf numFmtId="0" fontId="5" fillId="69" borderId="18" applyNumberFormat="0" applyFont="0" applyAlignment="0" applyProtection="0"/>
    <xf numFmtId="0" fontId="42" fillId="49" borderId="0" applyNumberFormat="0" applyBorder="0" applyAlignment="0" applyProtection="0"/>
    <xf numFmtId="164" fontId="5" fillId="70" borderId="19" applyBorder="0" applyProtection="0">
      <alignment horizontal="center" vertical="center"/>
    </xf>
    <xf numFmtId="0" fontId="43" fillId="0" borderId="0" applyNumberFormat="0" applyFill="0" applyBorder="0" applyAlignment="0" applyProtection="0"/>
    <xf numFmtId="0" fontId="44" fillId="0" borderId="20" applyNumberFormat="0" applyFill="0" applyAlignment="0" applyProtection="0"/>
    <xf numFmtId="0" fontId="45" fillId="66" borderId="21"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2" fillId="0" borderId="0" applyNumberFormat="0" applyFill="0" applyBorder="0" applyAlignment="0" applyProtection="0">
      <alignment vertical="top"/>
    </xf>
    <xf numFmtId="0" fontId="1" fillId="0" borderId="0">
      <alignment vertical="top"/>
    </xf>
  </cellStyleXfs>
  <cellXfs count="14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0" xfId="4" quotePrefix="1">
      <alignment vertical="top"/>
    </xf>
    <xf numFmtId="0" fontId="5" fillId="0" borderId="2" xfId="4" applyFont="1" applyBorder="1">
      <alignment vertical="top"/>
    </xf>
    <xf numFmtId="49" fontId="11" fillId="0" borderId="0" xfId="14">
      <alignment vertical="top"/>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3" borderId="0" xfId="8">
      <alignment vertical="top"/>
    </xf>
    <xf numFmtId="0" fontId="7" fillId="12" borderId="0" xfId="4" applyFont="1" applyFill="1">
      <alignment vertical="top"/>
    </xf>
    <xf numFmtId="9" fontId="5" fillId="0" borderId="0" xfId="4" applyNumberFormat="1">
      <alignment vertical="top"/>
    </xf>
    <xf numFmtId="41" fontId="5" fillId="10" borderId="0" xfId="10">
      <alignment vertical="top"/>
    </xf>
    <xf numFmtId="41" fontId="5" fillId="8" borderId="0" xfId="12">
      <alignment vertical="top"/>
    </xf>
    <xf numFmtId="41" fontId="5" fillId="47" borderId="0" xfId="11">
      <alignment vertical="top"/>
    </xf>
    <xf numFmtId="41" fontId="5" fillId="47" borderId="2" xfId="11" applyBorder="1">
      <alignment vertical="top"/>
    </xf>
    <xf numFmtId="0" fontId="13" fillId="0" borderId="0" xfId="0" applyFont="1" applyFill="1">
      <alignment vertical="top"/>
    </xf>
    <xf numFmtId="0" fontId="5" fillId="0" borderId="2" xfId="4" applyFont="1" applyBorder="1" applyAlignment="1">
      <alignment horizontal="left" vertical="top" wrapText="1"/>
    </xf>
    <xf numFmtId="41" fontId="5" fillId="46" borderId="0" xfId="65">
      <alignment vertical="top"/>
    </xf>
    <xf numFmtId="41" fontId="5" fillId="14" borderId="0" xfId="13">
      <alignment vertical="top"/>
    </xf>
    <xf numFmtId="41" fontId="5" fillId="12" borderId="0" xfId="9">
      <alignment vertical="top"/>
    </xf>
    <xf numFmtId="49" fontId="9" fillId="5" borderId="1" xfId="5" applyFill="1">
      <alignment vertical="top"/>
    </xf>
    <xf numFmtId="0" fontId="0" fillId="0" borderId="0" xfId="0">
      <alignment vertical="top"/>
    </xf>
    <xf numFmtId="0" fontId="0" fillId="0" borderId="0" xfId="0">
      <alignment vertical="top"/>
    </xf>
    <xf numFmtId="49" fontId="6" fillId="0" borderId="0" xfId="7" applyFont="1">
      <alignment vertical="top"/>
    </xf>
    <xf numFmtId="41" fontId="5" fillId="45" borderId="0" xfId="62" applyNumberFormat="1">
      <alignment vertical="top"/>
    </xf>
    <xf numFmtId="0" fontId="5" fillId="0" borderId="0" xfId="0" applyFont="1">
      <alignment vertical="top"/>
    </xf>
    <xf numFmtId="0" fontId="5" fillId="0" borderId="0" xfId="0" quotePrefix="1" applyFont="1">
      <alignment vertical="top"/>
    </xf>
    <xf numFmtId="49" fontId="5" fillId="0" borderId="0" xfId="15" applyFont="1">
      <alignment vertical="top"/>
    </xf>
    <xf numFmtId="41" fontId="5" fillId="0" borderId="0" xfId="4" applyNumberFormat="1">
      <alignment vertical="top"/>
    </xf>
    <xf numFmtId="49" fontId="5" fillId="0" borderId="0" xfId="7" applyFont="1">
      <alignment vertical="top"/>
    </xf>
    <xf numFmtId="0" fontId="5" fillId="0" borderId="0" xfId="4" applyAlignment="1">
      <alignment horizontal="left" vertical="top"/>
    </xf>
    <xf numFmtId="49" fontId="6" fillId="20" borderId="1" xfId="6" applyAlignment="1">
      <alignment horizontal="left" vertical="top"/>
    </xf>
    <xf numFmtId="0" fontId="6" fillId="0" borderId="0" xfId="4" applyFont="1" applyAlignment="1">
      <alignment horizontal="left" vertical="top"/>
    </xf>
    <xf numFmtId="41" fontId="5" fillId="14" borderId="0" xfId="13" applyNumberFormat="1">
      <alignment vertical="top"/>
    </xf>
    <xf numFmtId="165" fontId="5" fillId="14" borderId="0" xfId="13" applyNumberFormat="1">
      <alignment vertical="top"/>
    </xf>
    <xf numFmtId="41" fontId="5" fillId="12" borderId="0" xfId="9" applyNumberFormat="1">
      <alignment vertical="top"/>
    </xf>
    <xf numFmtId="166" fontId="5" fillId="47" borderId="0" xfId="11" applyNumberFormat="1">
      <alignment vertical="top"/>
    </xf>
    <xf numFmtId="167" fontId="5" fillId="47" borderId="0" xfId="11" applyNumberFormat="1">
      <alignment vertical="top"/>
    </xf>
    <xf numFmtId="166" fontId="5" fillId="14" borderId="0" xfId="13" applyNumberFormat="1">
      <alignment vertical="top"/>
    </xf>
    <xf numFmtId="167" fontId="5" fillId="14" borderId="0" xfId="13" applyNumberFormat="1">
      <alignment vertical="top"/>
    </xf>
    <xf numFmtId="168" fontId="5" fillId="14" borderId="0" xfId="13" applyNumberFormat="1">
      <alignment vertical="top"/>
    </xf>
    <xf numFmtId="0" fontId="10" fillId="0" borderId="0" xfId="4" applyFont="1" applyBorder="1" applyAlignment="1">
      <alignment vertical="center" textRotation="90"/>
    </xf>
    <xf numFmtId="165" fontId="5" fillId="12" borderId="0" xfId="9" applyNumberFormat="1">
      <alignment vertical="top"/>
    </xf>
    <xf numFmtId="2" fontId="5" fillId="12" borderId="0" xfId="9" applyNumberFormat="1">
      <alignment vertical="top"/>
    </xf>
    <xf numFmtId="165" fontId="5" fillId="0" borderId="0" xfId="4" applyNumberFormat="1">
      <alignment vertical="top"/>
    </xf>
    <xf numFmtId="165" fontId="6" fillId="20" borderId="1" xfId="6" applyNumberFormat="1">
      <alignment vertical="top"/>
    </xf>
    <xf numFmtId="10" fontId="5" fillId="14" borderId="0" xfId="13" applyNumberFormat="1">
      <alignment vertical="top"/>
    </xf>
    <xf numFmtId="165" fontId="5" fillId="13" borderId="0" xfId="8" applyNumberFormat="1">
      <alignment vertical="top"/>
    </xf>
    <xf numFmtId="2" fontId="5" fillId="0" borderId="0" xfId="4" applyNumberFormat="1">
      <alignment vertical="top"/>
    </xf>
    <xf numFmtId="2" fontId="5" fillId="13" borderId="0" xfId="8" applyNumberFormat="1">
      <alignment vertical="top"/>
    </xf>
    <xf numFmtId="17" fontId="5" fillId="0" borderId="0" xfId="4" applyNumberFormat="1">
      <alignment vertical="top"/>
    </xf>
    <xf numFmtId="0" fontId="22" fillId="0" borderId="0" xfId="108">
      <alignment vertical="top"/>
    </xf>
    <xf numFmtId="10" fontId="5" fillId="47" borderId="0" xfId="11" applyNumberFormat="1">
      <alignment vertical="top"/>
    </xf>
    <xf numFmtId="41" fontId="5" fillId="13" borderId="0" xfId="8" applyNumberFormat="1">
      <alignment vertical="top"/>
    </xf>
    <xf numFmtId="0" fontId="22" fillId="0" borderId="2" xfId="108" applyBorder="1">
      <alignment vertical="top"/>
    </xf>
    <xf numFmtId="9" fontId="5" fillId="47" borderId="0" xfId="11" applyNumberFormat="1">
      <alignment vertical="top"/>
    </xf>
    <xf numFmtId="41" fontId="5" fillId="0" borderId="0" xfId="11" applyFill="1">
      <alignment vertical="top"/>
    </xf>
    <xf numFmtId="41" fontId="5" fillId="0" borderId="0" xfId="62" applyNumberFormat="1" applyFill="1">
      <alignment vertical="top"/>
    </xf>
    <xf numFmtId="0" fontId="10" fillId="0" borderId="0" xfId="4" applyFont="1" applyFill="1" applyBorder="1" applyAlignment="1">
      <alignment horizontal="center" vertical="top"/>
    </xf>
    <xf numFmtId="41" fontId="5" fillId="0" borderId="0" xfId="10" applyFill="1">
      <alignment vertical="top"/>
    </xf>
    <xf numFmtId="0" fontId="5" fillId="45" borderId="0" xfId="62" applyNumberFormat="1">
      <alignment vertical="top"/>
    </xf>
    <xf numFmtId="41" fontId="5" fillId="0" borderId="0" xfId="13" applyFill="1">
      <alignment vertical="top"/>
    </xf>
    <xf numFmtId="165" fontId="5" fillId="0" borderId="0" xfId="9" applyNumberFormat="1" applyFill="1">
      <alignment vertical="top"/>
    </xf>
    <xf numFmtId="165" fontId="5" fillId="0" borderId="0" xfId="4" applyNumberFormat="1" applyFill="1">
      <alignment vertical="top"/>
    </xf>
    <xf numFmtId="41" fontId="5" fillId="0" borderId="0" xfId="9" applyFill="1">
      <alignment vertical="top"/>
    </xf>
    <xf numFmtId="0" fontId="5" fillId="0" borderId="0" xfId="62" applyNumberFormat="1" applyFill="1">
      <alignment vertical="top"/>
    </xf>
    <xf numFmtId="165" fontId="5" fillId="0" borderId="0" xfId="13" applyNumberFormat="1" applyFill="1">
      <alignment vertical="top"/>
    </xf>
    <xf numFmtId="165" fontId="5" fillId="0" borderId="0" xfId="8" applyNumberFormat="1" applyFill="1">
      <alignment vertical="top"/>
    </xf>
    <xf numFmtId="2" fontId="5" fillId="0" borderId="0" xfId="9" applyNumberFormat="1" applyFill="1">
      <alignment vertical="top"/>
    </xf>
    <xf numFmtId="2" fontId="5" fillId="0" borderId="0" xfId="4" applyNumberFormat="1" applyFill="1">
      <alignment vertical="top"/>
    </xf>
    <xf numFmtId="2" fontId="5" fillId="0" borderId="0" xfId="8" applyNumberFormat="1" applyFill="1">
      <alignment vertical="top"/>
    </xf>
    <xf numFmtId="41" fontId="5" fillId="0" borderId="0" xfId="8" applyFill="1">
      <alignment vertical="top"/>
    </xf>
    <xf numFmtId="41" fontId="5" fillId="0" borderId="0" xfId="9" applyNumberFormat="1" applyFill="1">
      <alignment vertical="top"/>
    </xf>
    <xf numFmtId="41" fontId="5" fillId="0" borderId="0" xfId="8" applyNumberFormat="1" applyFill="1">
      <alignment vertical="top"/>
    </xf>
    <xf numFmtId="43" fontId="5" fillId="0" borderId="0" xfId="4" applyNumberFormat="1">
      <alignment vertical="top"/>
    </xf>
    <xf numFmtId="0" fontId="5" fillId="0" borderId="0" xfId="0" applyFont="1" applyAlignment="1">
      <alignment horizontal="left"/>
    </xf>
    <xf numFmtId="10" fontId="5" fillId="13" borderId="0" xfId="8" applyNumberFormat="1">
      <alignment vertical="top"/>
    </xf>
    <xf numFmtId="0" fontId="48" fillId="0" borderId="0" xfId="0" applyFont="1" applyFill="1" applyBorder="1" applyAlignment="1"/>
    <xf numFmtId="0" fontId="5" fillId="0" borderId="22" xfId="4" applyBorder="1">
      <alignment vertical="top"/>
    </xf>
    <xf numFmtId="0" fontId="5" fillId="0" borderId="23" xfId="4" applyBorder="1">
      <alignment vertical="top"/>
    </xf>
    <xf numFmtId="0" fontId="5" fillId="0" borderId="24" xfId="4" applyBorder="1">
      <alignment vertical="top"/>
    </xf>
    <xf numFmtId="0" fontId="5" fillId="47" borderId="0" xfId="4" applyFill="1" applyBorder="1" applyAlignment="1">
      <alignment horizontal="center" vertical="top"/>
    </xf>
    <xf numFmtId="0" fontId="5" fillId="12" borderId="0" xfId="4" applyFill="1" applyBorder="1" applyAlignment="1">
      <alignment horizontal="center" vertical="top"/>
    </xf>
    <xf numFmtId="0" fontId="5" fillId="0" borderId="27" xfId="4" applyBorder="1">
      <alignment vertical="top"/>
    </xf>
    <xf numFmtId="0" fontId="5" fillId="0" borderId="28" xfId="4" applyBorder="1">
      <alignment vertical="top"/>
    </xf>
    <xf numFmtId="0" fontId="5" fillId="0" borderId="29" xfId="4" applyBorder="1">
      <alignment vertical="top"/>
    </xf>
    <xf numFmtId="0" fontId="5" fillId="0" borderId="0" xfId="4" applyBorder="1">
      <alignment vertical="top"/>
    </xf>
    <xf numFmtId="0" fontId="15" fillId="0" borderId="0" xfId="4" applyFont="1" applyFill="1">
      <alignment vertical="top"/>
    </xf>
    <xf numFmtId="41" fontId="6" fillId="20" borderId="1" xfId="6" applyNumberFormat="1">
      <alignment vertical="top"/>
    </xf>
    <xf numFmtId="1" fontId="5" fillId="0" borderId="0" xfId="4" applyNumberFormat="1">
      <alignment vertical="top"/>
    </xf>
    <xf numFmtId="165" fontId="5" fillId="14" borderId="0" xfId="13" applyNumberFormat="1" applyFont="1">
      <alignment vertical="top"/>
    </xf>
    <xf numFmtId="1" fontId="5" fillId="12" borderId="0" xfId="9" applyNumberFormat="1">
      <alignment vertical="top"/>
    </xf>
    <xf numFmtId="1" fontId="5" fillId="0" borderId="0" xfId="9" applyNumberFormat="1" applyFill="1">
      <alignment vertical="top"/>
    </xf>
    <xf numFmtId="1" fontId="5" fillId="45" borderId="0" xfId="62" applyNumberFormat="1">
      <alignment vertical="top"/>
    </xf>
    <xf numFmtId="9" fontId="5" fillId="12" borderId="0" xfId="9" applyNumberFormat="1">
      <alignment vertical="top"/>
    </xf>
    <xf numFmtId="0" fontId="15" fillId="45" borderId="0" xfId="62" applyNumberFormat="1" applyFont="1">
      <alignment vertical="top"/>
    </xf>
    <xf numFmtId="0" fontId="48" fillId="0" borderId="0" xfId="109" applyFont="1" applyFill="1" applyBorder="1" applyAlignment="1">
      <alignment horizontal="center" vertical="top"/>
    </xf>
    <xf numFmtId="0" fontId="5" fillId="13" borderId="0" xfId="4" applyFill="1" applyBorder="1" applyAlignment="1">
      <alignment horizontal="center" vertical="top"/>
    </xf>
    <xf numFmtId="0" fontId="5" fillId="12" borderId="0" xfId="4" applyFont="1" applyFill="1" applyBorder="1" applyAlignment="1">
      <alignment horizontal="center" vertical="top"/>
    </xf>
    <xf numFmtId="0" fontId="5" fillId="12" borderId="25" xfId="4" applyFill="1" applyBorder="1">
      <alignment vertical="top"/>
    </xf>
    <xf numFmtId="0" fontId="5" fillId="12" borderId="26" xfId="4" applyFill="1" applyBorder="1">
      <alignment vertical="top"/>
    </xf>
    <xf numFmtId="0" fontId="5" fillId="0" borderId="0" xfId="4" applyFont="1" applyFill="1" applyBorder="1" applyAlignment="1">
      <alignment horizontal="center" vertical="top"/>
    </xf>
    <xf numFmtId="0" fontId="5" fillId="0" borderId="0" xfId="4" applyFill="1" applyBorder="1">
      <alignment vertical="top"/>
    </xf>
    <xf numFmtId="0" fontId="5" fillId="47" borderId="25" xfId="4" applyFill="1" applyBorder="1">
      <alignment vertical="top"/>
    </xf>
    <xf numFmtId="0" fontId="5" fillId="47" borderId="26" xfId="4" applyFill="1" applyBorder="1">
      <alignment vertical="top"/>
    </xf>
    <xf numFmtId="0" fontId="5" fillId="71" borderId="0" xfId="4" applyFill="1" applyBorder="1" applyAlignment="1">
      <alignment horizontal="center" vertical="top"/>
    </xf>
    <xf numFmtId="0" fontId="5" fillId="13" borderId="25" xfId="4" applyFill="1" applyBorder="1">
      <alignment vertical="top"/>
    </xf>
    <xf numFmtId="0" fontId="5" fillId="13" borderId="26" xfId="4" applyFill="1" applyBorder="1">
      <alignment vertical="top"/>
    </xf>
    <xf numFmtId="41" fontId="5" fillId="47" borderId="0" xfId="11" applyFont="1">
      <alignment vertical="top"/>
    </xf>
    <xf numFmtId="41" fontId="5" fillId="45" borderId="0" xfId="62" applyNumberFormat="1" applyFont="1">
      <alignment vertical="top"/>
    </xf>
    <xf numFmtId="41" fontId="5" fillId="0" borderId="0" xfId="11" applyFont="1" applyFill="1">
      <alignment vertical="top"/>
    </xf>
    <xf numFmtId="41" fontId="5" fillId="0" borderId="0" xfId="62" applyNumberFormat="1" applyFont="1" applyFill="1">
      <alignment vertical="top"/>
    </xf>
    <xf numFmtId="49" fontId="6" fillId="20" borderId="1" xfId="6" applyBorder="1">
      <alignment vertical="top"/>
    </xf>
    <xf numFmtId="0" fontId="10" fillId="0" borderId="0" xfId="4" applyFont="1" applyBorder="1" applyAlignment="1">
      <alignment horizontal="center" vertical="top"/>
    </xf>
    <xf numFmtId="0" fontId="10" fillId="0" borderId="0" xfId="4" applyFont="1" applyBorder="1" applyAlignment="1">
      <alignment horizontal="right" vertical="center" textRotation="90" wrapText="1"/>
    </xf>
  </cellXfs>
  <cellStyles count="110">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1" xfId="66" builtinId="30" hidden="1" customBuiltin="1"/>
    <cellStyle name="20% - Accent2" xfId="41" builtinId="34" hidden="1"/>
    <cellStyle name="20% - Accent2" xfId="67" builtinId="34" hidden="1" customBuiltin="1"/>
    <cellStyle name="20% - Accent3" xfId="45" builtinId="38" hidden="1"/>
    <cellStyle name="20% - Accent3" xfId="68" builtinId="38" hidden="1" customBuiltin="1"/>
    <cellStyle name="20% - Accent4" xfId="49" builtinId="42" hidden="1"/>
    <cellStyle name="20% - Accent4" xfId="69" builtinId="42" hidden="1" customBuiltin="1"/>
    <cellStyle name="20% - Accent5" xfId="53" builtinId="46" hidden="1"/>
    <cellStyle name="20% - Accent5" xfId="70" builtinId="46" hidden="1" customBuiltin="1"/>
    <cellStyle name="20% - Accent6" xfId="57" builtinId="50" hidden="1"/>
    <cellStyle name="20% - Accent6" xfId="71" builtinId="50" hidden="1" customBuiltin="1"/>
    <cellStyle name="40% - Accent1" xfId="38" builtinId="31" hidden="1"/>
    <cellStyle name="40% - Accent1" xfId="72" builtinId="31" hidden="1" customBuiltin="1"/>
    <cellStyle name="40% - Accent2" xfId="42" builtinId="35" hidden="1"/>
    <cellStyle name="40% - Accent2" xfId="73" builtinId="35" hidden="1" customBuiltin="1"/>
    <cellStyle name="40% - Accent3" xfId="46" builtinId="39" hidden="1"/>
    <cellStyle name="40% - Accent3" xfId="74" builtinId="39" hidden="1" customBuiltin="1"/>
    <cellStyle name="40% - Accent4" xfId="50" builtinId="43" hidden="1"/>
    <cellStyle name="40% - Accent4" xfId="75" builtinId="43" hidden="1" customBuiltin="1"/>
    <cellStyle name="40% - Accent5" xfId="54" builtinId="47" hidden="1"/>
    <cellStyle name="40% - Accent5" xfId="76" builtinId="47" hidden="1" customBuiltin="1"/>
    <cellStyle name="40% - Accent6" xfId="58" builtinId="51" hidden="1"/>
    <cellStyle name="40% - Accent6" xfId="77" builtinId="51" hidden="1" customBuiltin="1"/>
    <cellStyle name="60% - Accent1" xfId="39" builtinId="32" hidden="1"/>
    <cellStyle name="60% - Accent1" xfId="78" builtinId="32" hidden="1" customBuiltin="1"/>
    <cellStyle name="60% - Accent2" xfId="43" builtinId="36" hidden="1"/>
    <cellStyle name="60% - Accent2" xfId="79" builtinId="36" hidden="1" customBuiltin="1"/>
    <cellStyle name="60% - Accent3" xfId="47" builtinId="40" hidden="1"/>
    <cellStyle name="60% - Accent3" xfId="80" builtinId="40" hidden="1" customBuiltin="1"/>
    <cellStyle name="60% - Accent4" xfId="51" builtinId="44" hidden="1"/>
    <cellStyle name="60% - Accent4" xfId="81" builtinId="44" hidden="1" customBuiltin="1"/>
    <cellStyle name="60% - Accent5" xfId="55" builtinId="48" hidden="1"/>
    <cellStyle name="60% - Accent5" xfId="82" builtinId="48" hidden="1" customBuiltin="1"/>
    <cellStyle name="60% - Accent6" xfId="59" builtinId="52" hidden="1"/>
    <cellStyle name="60% - Accent6" xfId="83" builtinId="52" hidden="1" customBuiltin="1"/>
    <cellStyle name="Accent1" xfId="36" builtinId="29" hidden="1"/>
    <cellStyle name="Accent1" xfId="84" builtinId="29" hidden="1" customBuiltin="1"/>
    <cellStyle name="Accent2" xfId="40" builtinId="33" hidden="1"/>
    <cellStyle name="Accent2" xfId="85" builtinId="33" hidden="1" customBuiltin="1"/>
    <cellStyle name="Accent3" xfId="44" builtinId="37" hidden="1"/>
    <cellStyle name="Accent3" xfId="86" builtinId="37" hidden="1" customBuiltin="1"/>
    <cellStyle name="Accent4" xfId="48" builtinId="41" hidden="1"/>
    <cellStyle name="Accent4" xfId="87" builtinId="41" hidden="1" customBuiltin="1"/>
    <cellStyle name="Accent5" xfId="52" builtinId="45" hidden="1"/>
    <cellStyle name="Accent5" xfId="88" builtinId="45" hidden="1" customBuiltin="1"/>
    <cellStyle name="Accent6" xfId="56" builtinId="49" hidden="1"/>
    <cellStyle name="Accent6" xfId="89" builtinId="49" hidden="1" customBuiltin="1"/>
    <cellStyle name="Berekening" xfId="18" builtinId="22" hidden="1"/>
    <cellStyle name="Berekening" xfId="90" builtinId="22" hidden="1" customBuiltin="1"/>
    <cellStyle name="Cel (tussen)resultaat" xfId="8" xr:uid="{00000000-0005-0000-0000-000037000000}"/>
    <cellStyle name="Cel Berekening" xfId="9" xr:uid="{00000000-0005-0000-0000-000038000000}"/>
    <cellStyle name="Cel Bijzonderheid" xfId="10" xr:uid="{00000000-0005-0000-0000-000039000000}"/>
    <cellStyle name="Cel Dataverzoek" xfId="65" xr:uid="{00000000-0005-0000-0000-00003A000000}"/>
    <cellStyle name="Cel Input" xfId="11" xr:uid="{00000000-0005-0000-0000-00003B000000}"/>
    <cellStyle name="Cel n.v.t. (leeg)" xfId="62" xr:uid="{00000000-0005-0000-0000-00003C000000}"/>
    <cellStyle name="Cel PM extern" xfId="12" xr:uid="{00000000-0005-0000-0000-00003D000000}"/>
    <cellStyle name="Cel Verwijzing" xfId="13" xr:uid="{00000000-0005-0000-0000-00003E000000}"/>
    <cellStyle name="Controlecel" xfId="20" builtinId="23" hidden="1"/>
    <cellStyle name="Controlecel" xfId="91" builtinId="23" hidden="1" customBuiltin="1"/>
    <cellStyle name="Gekoppelde cel" xfId="19" builtinId="24" hidden="1"/>
    <cellStyle name="Gekoppelde cel" xfId="92" builtinId="24" hidden="1" customBuiltin="1"/>
    <cellStyle name="Gevolgde hyperlink" xfId="60" builtinId="9" hidden="1"/>
    <cellStyle name="Goed" xfId="1" builtinId="26" hidden="1"/>
    <cellStyle name="Goed" xfId="93" builtinId="26" hidden="1" customBuiltin="1"/>
    <cellStyle name="Hyperlink" xfId="22" builtinId="8" hidden="1"/>
    <cellStyle name="Hyperlink" xfId="61" builtinId="8" hidden="1" customBuiltin="1"/>
    <cellStyle name="Hyperlink" xfId="108" builtinId="8"/>
    <cellStyle name="Invoer" xfId="16" builtinId="20" hidden="1"/>
    <cellStyle name="Invoer" xfId="94" builtinId="20" hidden="1" customBuiltin="1"/>
    <cellStyle name="Komma" xfId="23" builtinId="3" hidden="1"/>
    <cellStyle name="Komma" xfId="63" builtinId="3" hidden="1"/>
    <cellStyle name="Komma [0]" xfId="24" builtinId="6" hidden="1"/>
    <cellStyle name="Kop 1" xfId="29" builtinId="16" hidden="1"/>
    <cellStyle name="Kop 1" xfId="95" builtinId="16" hidden="1" customBuiltin="1"/>
    <cellStyle name="Kop 2" xfId="30" builtinId="17" hidden="1"/>
    <cellStyle name="Kop 2" xfId="96" builtinId="17" hidden="1" customBuiltin="1"/>
    <cellStyle name="Kop 3" xfId="31" builtinId="18" hidden="1"/>
    <cellStyle name="Kop 3" xfId="97" builtinId="18" hidden="1" customBuiltin="1"/>
    <cellStyle name="Kop 4" xfId="32" builtinId="19" hidden="1"/>
    <cellStyle name="Kop 4" xfId="98" builtinId="19" hidden="1" customBuiltin="1"/>
    <cellStyle name="Neutraal" xfId="3" builtinId="28" hidden="1"/>
    <cellStyle name="Neutraal" xfId="99" builtinId="28" hidden="1" customBuiltin="1"/>
    <cellStyle name="Notitie" xfId="21" builtinId="10" hidden="1"/>
    <cellStyle name="Notitie" xfId="100" builtinId="10" hidden="1" customBuiltin="1"/>
    <cellStyle name="Ongeldig" xfId="2" builtinId="27" hidden="1"/>
    <cellStyle name="Ongeldig" xfId="101" builtinId="27" hidden="1" customBuiltin="1"/>
    <cellStyle name="Opm. INTERN" xfId="14" xr:uid="{00000000-0005-0000-0000-00005F000000}"/>
    <cellStyle name="Percentages_oorzaken" xfId="102" xr:uid="{00000000-0005-0000-0000-000064000000}"/>
    <cellStyle name="Procent" xfId="27" builtinId="5" hidden="1"/>
    <cellStyle name="Procent" xfId="64" builtinId="5" hidden="1"/>
    <cellStyle name="Standaard" xfId="0" builtinId="0" customBuiltin="1"/>
    <cellStyle name="Standaard 33" xfId="109" xr:uid="{00000000-0005-0000-0000-000065000000}"/>
    <cellStyle name="Standaard ACM-DE" xfId="4" xr:uid="{00000000-0005-0000-0000-000066000000}"/>
    <cellStyle name="Titel" xfId="28" builtinId="15" hidden="1"/>
    <cellStyle name="Titel" xfId="103" builtinId="15" hidden="1" customBuiltin="1"/>
    <cellStyle name="Toelichting" xfId="15" xr:uid="{00000000-0005-0000-0000-000069000000}"/>
    <cellStyle name="Totaal" xfId="35" builtinId="25" hidden="1"/>
    <cellStyle name="Totaal" xfId="104" builtinId="25" hidden="1" customBuiltin="1"/>
    <cellStyle name="Uitvoer" xfId="17" builtinId="21" hidden="1"/>
    <cellStyle name="Uitvoer" xfId="105" builtinId="21" hidden="1" customBuiltin="1"/>
    <cellStyle name="Valuta" xfId="25" builtinId="4" hidden="1"/>
    <cellStyle name="Valuta [0]" xfId="26" builtinId="7" hidden="1"/>
    <cellStyle name="Verklarende tekst" xfId="34" builtinId="53" hidden="1"/>
    <cellStyle name="Verklarende tekst" xfId="106" builtinId="53" hidden="1" customBuiltin="1"/>
    <cellStyle name="Waarschuwingstekst" xfId="33" builtinId="11" hidden="1"/>
    <cellStyle name="Waarschuwingstekst" xfId="107" builtinId="11" hidden="1" customBuiltin="1"/>
  </cellStyles>
  <dxfs count="0"/>
  <tableStyles count="0" defaultTableStyle="TableStyleMedium2" defaultPivotStyle="PivotStyleLight16"/>
  <colors>
    <mruColors>
      <color rgb="FFCCFFFF"/>
      <color rgb="FFE1FFE1"/>
      <color rgb="FF99FF99"/>
      <color rgb="FFFFFFCC"/>
      <color rgb="FF5F1F7A"/>
      <color rgb="FFCCC8D9"/>
      <color rgb="FF8D84AA"/>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12</xdr:row>
      <xdr:rowOff>63500</xdr:rowOff>
    </xdr:from>
    <xdr:to>
      <xdr:col>9</xdr:col>
      <xdr:colOff>1341438</xdr:colOff>
      <xdr:row>12</xdr:row>
      <xdr:rowOff>63501</xdr:rowOff>
    </xdr:to>
    <xdr:cxnSp macro="">
      <xdr:nvCxnSpPr>
        <xdr:cNvPr id="13" name="Straight Arrow Connector 17">
          <a:extLst>
            <a:ext uri="{FF2B5EF4-FFF2-40B4-BE49-F238E27FC236}">
              <a16:creationId xmlns:a16="http://schemas.microsoft.com/office/drawing/2014/main" id="{00000000-0008-0000-0400-00000D000000}"/>
            </a:ext>
          </a:extLst>
        </xdr:cNvPr>
        <xdr:cNvCxnSpPr/>
      </xdr:nvCxnSpPr>
      <xdr:spPr>
        <a:xfrm>
          <a:off x="9164638" y="256857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14" name="Straight Arrow Connector 20">
          <a:extLst>
            <a:ext uri="{FF2B5EF4-FFF2-40B4-BE49-F238E27FC236}">
              <a16:creationId xmlns:a16="http://schemas.microsoft.com/office/drawing/2014/main" id="{00000000-0008-0000-0400-00000E000000}"/>
            </a:ext>
          </a:extLst>
        </xdr:cNvPr>
        <xdr:cNvCxnSpPr/>
      </xdr:nvCxnSpPr>
      <xdr:spPr>
        <a:xfrm>
          <a:off x="4694464" y="255950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302907</xdr:colOff>
      <xdr:row>14</xdr:row>
      <xdr:rowOff>27214</xdr:rowOff>
    </xdr:from>
    <xdr:to>
      <xdr:col>14</xdr:col>
      <xdr:colOff>13607</xdr:colOff>
      <xdr:row>15</xdr:row>
      <xdr:rowOff>157370</xdr:rowOff>
    </xdr:to>
    <xdr:cxnSp macro="">
      <xdr:nvCxnSpPr>
        <xdr:cNvPr id="15" name="Rechte verbindingslijn met pijl 18">
          <a:extLst>
            <a:ext uri="{FF2B5EF4-FFF2-40B4-BE49-F238E27FC236}">
              <a16:creationId xmlns:a16="http://schemas.microsoft.com/office/drawing/2014/main" id="{00000000-0008-0000-0400-00000F000000}"/>
            </a:ext>
          </a:extLst>
        </xdr:cNvPr>
        <xdr:cNvCxnSpPr/>
      </xdr:nvCxnSpPr>
      <xdr:spPr>
        <a:xfrm flipV="1">
          <a:off x="13837932" y="2856139"/>
          <a:ext cx="1406150" cy="2920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16" name="Rechte verbindingslijn met pijl 19">
          <a:extLst>
            <a:ext uri="{FF2B5EF4-FFF2-40B4-BE49-F238E27FC236}">
              <a16:creationId xmlns:a16="http://schemas.microsoft.com/office/drawing/2014/main" id="{00000000-0008-0000-0400-000010000000}"/>
            </a:ext>
          </a:extLst>
        </xdr:cNvPr>
        <xdr:cNvCxnSpPr/>
      </xdr:nvCxnSpPr>
      <xdr:spPr>
        <a:xfrm flipV="1">
          <a:off x="17019105" y="2824369"/>
          <a:ext cx="0" cy="3072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17" name="Straight Arrow Connector 17">
          <a:extLst>
            <a:ext uri="{FF2B5EF4-FFF2-40B4-BE49-F238E27FC236}">
              <a16:creationId xmlns:a16="http://schemas.microsoft.com/office/drawing/2014/main" id="{00000000-0008-0000-0400-000011000000}"/>
            </a:ext>
          </a:extLst>
        </xdr:cNvPr>
        <xdr:cNvCxnSpPr/>
      </xdr:nvCxnSpPr>
      <xdr:spPr>
        <a:xfrm>
          <a:off x="13899047" y="256305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22412</xdr:colOff>
      <xdr:row>33</xdr:row>
      <xdr:rowOff>77391</xdr:rowOff>
    </xdr:from>
    <xdr:to>
      <xdr:col>10</xdr:col>
      <xdr:colOff>5674</xdr:colOff>
      <xdr:row>33</xdr:row>
      <xdr:rowOff>78441</xdr:rowOff>
    </xdr:to>
    <xdr:cxnSp macro="">
      <xdr:nvCxnSpPr>
        <xdr:cNvPr id="7" name="Rechte verbindingslijn met pijl 2">
          <a:extLst>
            <a:ext uri="{FF2B5EF4-FFF2-40B4-BE49-F238E27FC236}">
              <a16:creationId xmlns:a16="http://schemas.microsoft.com/office/drawing/2014/main" id="{00000000-0008-0000-0400-000007000000}"/>
            </a:ext>
          </a:extLst>
        </xdr:cNvPr>
        <xdr:cNvCxnSpPr/>
      </xdr:nvCxnSpPr>
      <xdr:spPr>
        <a:xfrm flipV="1">
          <a:off x="5468471" y="5321744"/>
          <a:ext cx="588379" cy="1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33</xdr:row>
      <xdr:rowOff>112059</xdr:rowOff>
    </xdr:from>
    <xdr:to>
      <xdr:col>5</xdr:col>
      <xdr:colOff>582706</xdr:colOff>
      <xdr:row>37</xdr:row>
      <xdr:rowOff>125186</xdr:rowOff>
    </xdr:to>
    <xdr:cxnSp macro="">
      <xdr:nvCxnSpPr>
        <xdr:cNvPr id="9" name="Rechte verbindingslijn met pijl 5">
          <a:extLst>
            <a:ext uri="{FF2B5EF4-FFF2-40B4-BE49-F238E27FC236}">
              <a16:creationId xmlns:a16="http://schemas.microsoft.com/office/drawing/2014/main" id="{00000000-0008-0000-0400-000009000000}"/>
            </a:ext>
          </a:extLst>
        </xdr:cNvPr>
        <xdr:cNvCxnSpPr/>
      </xdr:nvCxnSpPr>
      <xdr:spPr>
        <a:xfrm flipV="1">
          <a:off x="2594643" y="5042647"/>
          <a:ext cx="1013651" cy="6406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33</xdr:row>
      <xdr:rowOff>70757</xdr:rowOff>
    </xdr:from>
    <xdr:to>
      <xdr:col>6</xdr:col>
      <xdr:colOff>10886</xdr:colOff>
      <xdr:row>37</xdr:row>
      <xdr:rowOff>163285</xdr:rowOff>
    </xdr:to>
    <xdr:cxnSp macro="">
      <xdr:nvCxnSpPr>
        <xdr:cNvPr id="10" name="Rechte verbindingslijn met pijl 7">
          <a:extLst>
            <a:ext uri="{FF2B5EF4-FFF2-40B4-BE49-F238E27FC236}">
              <a16:creationId xmlns:a16="http://schemas.microsoft.com/office/drawing/2014/main" id="{00000000-0008-0000-0400-00000A000000}"/>
            </a:ext>
          </a:extLst>
        </xdr:cNvPr>
        <xdr:cNvCxnSpPr/>
      </xdr:nvCxnSpPr>
      <xdr:spPr>
        <a:xfrm>
          <a:off x="4665889" y="3223532"/>
          <a:ext cx="1393372" cy="7402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168729</xdr:colOff>
      <xdr:row>38</xdr:row>
      <xdr:rowOff>108858</xdr:rowOff>
    </xdr:from>
    <xdr:to>
      <xdr:col>6</xdr:col>
      <xdr:colOff>10886</xdr:colOff>
      <xdr:row>38</xdr:row>
      <xdr:rowOff>108858</xdr:rowOff>
    </xdr:to>
    <xdr:cxnSp macro="">
      <xdr:nvCxnSpPr>
        <xdr:cNvPr id="11" name="Rechte verbindingslijn met pijl 8">
          <a:extLst>
            <a:ext uri="{FF2B5EF4-FFF2-40B4-BE49-F238E27FC236}">
              <a16:creationId xmlns:a16="http://schemas.microsoft.com/office/drawing/2014/main" id="{00000000-0008-0000-0400-00000B000000}"/>
            </a:ext>
          </a:extLst>
        </xdr:cNvPr>
        <xdr:cNvCxnSpPr/>
      </xdr:nvCxnSpPr>
      <xdr:spPr>
        <a:xfrm>
          <a:off x="4655004" y="4071258"/>
          <a:ext cx="14042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8565</xdr:colOff>
      <xdr:row>27</xdr:row>
      <xdr:rowOff>11206</xdr:rowOff>
    </xdr:from>
    <xdr:to>
      <xdr:col>4</xdr:col>
      <xdr:colOff>11205</xdr:colOff>
      <xdr:row>32</xdr:row>
      <xdr:rowOff>960</xdr:rowOff>
    </xdr:to>
    <xdr:cxnSp macro="">
      <xdr:nvCxnSpPr>
        <xdr:cNvPr id="12" name="Rechte verbindingslijn 14">
          <a:extLst>
            <a:ext uri="{FF2B5EF4-FFF2-40B4-BE49-F238E27FC236}">
              <a16:creationId xmlns:a16="http://schemas.microsoft.com/office/drawing/2014/main" id="{00000000-0008-0000-0400-00000C000000}"/>
            </a:ext>
          </a:extLst>
        </xdr:cNvPr>
        <xdr:cNvCxnSpPr/>
      </xdr:nvCxnSpPr>
      <xdr:spPr>
        <a:xfrm flipV="1">
          <a:off x="2429036" y="4314265"/>
          <a:ext cx="2640" cy="7741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4482</xdr:colOff>
      <xdr:row>27</xdr:row>
      <xdr:rowOff>5443</xdr:rowOff>
    </xdr:from>
    <xdr:to>
      <xdr:col>11</xdr:col>
      <xdr:colOff>324971</xdr:colOff>
      <xdr:row>27</xdr:row>
      <xdr:rowOff>11206</xdr:rowOff>
    </xdr:to>
    <xdr:cxnSp macro="">
      <xdr:nvCxnSpPr>
        <xdr:cNvPr id="18" name="Rechte verbindingslijn 15">
          <a:extLst>
            <a:ext uri="{FF2B5EF4-FFF2-40B4-BE49-F238E27FC236}">
              <a16:creationId xmlns:a16="http://schemas.microsoft.com/office/drawing/2014/main" id="{00000000-0008-0000-0400-000012000000}"/>
            </a:ext>
          </a:extLst>
        </xdr:cNvPr>
        <xdr:cNvCxnSpPr/>
      </xdr:nvCxnSpPr>
      <xdr:spPr>
        <a:xfrm>
          <a:off x="2424953" y="4308502"/>
          <a:ext cx="4556312" cy="57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302559</xdr:colOff>
      <xdr:row>27</xdr:row>
      <xdr:rowOff>11206</xdr:rowOff>
    </xdr:from>
    <xdr:to>
      <xdr:col>11</xdr:col>
      <xdr:colOff>313765</xdr:colOff>
      <xdr:row>31</xdr:row>
      <xdr:rowOff>134471</xdr:rowOff>
    </xdr:to>
    <xdr:cxnSp macro="">
      <xdr:nvCxnSpPr>
        <xdr:cNvPr id="20" name="Rechte verbindingslijn met pijl 17">
          <a:extLst>
            <a:ext uri="{FF2B5EF4-FFF2-40B4-BE49-F238E27FC236}">
              <a16:creationId xmlns:a16="http://schemas.microsoft.com/office/drawing/2014/main" id="{00000000-0008-0000-0400-000014000000}"/>
            </a:ext>
          </a:extLst>
        </xdr:cNvPr>
        <xdr:cNvCxnSpPr/>
      </xdr:nvCxnSpPr>
      <xdr:spPr>
        <a:xfrm flipH="1">
          <a:off x="6958853" y="4314265"/>
          <a:ext cx="11206" cy="750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33</xdr:row>
      <xdr:rowOff>117230</xdr:rowOff>
    </xdr:from>
    <xdr:to>
      <xdr:col>14</xdr:col>
      <xdr:colOff>0</xdr:colOff>
      <xdr:row>33</xdr:row>
      <xdr:rowOff>117230</xdr:rowOff>
    </xdr:to>
    <xdr:cxnSp macro="">
      <xdr:nvCxnSpPr>
        <xdr:cNvPr id="21" name="Rechte verbindingslijn met pijl 27">
          <a:extLst>
            <a:ext uri="{FF2B5EF4-FFF2-40B4-BE49-F238E27FC236}">
              <a16:creationId xmlns:a16="http://schemas.microsoft.com/office/drawing/2014/main" id="{00000000-0008-0000-0400-000015000000}"/>
            </a:ext>
          </a:extLst>
        </xdr:cNvPr>
        <xdr:cNvCxnSpPr/>
      </xdr:nvCxnSpPr>
      <xdr:spPr>
        <a:xfrm>
          <a:off x="7873856" y="5047818"/>
          <a:ext cx="59779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40</xdr:row>
      <xdr:rowOff>15128</xdr:rowOff>
    </xdr:from>
    <xdr:to>
      <xdr:col>4</xdr:col>
      <xdr:colOff>147038</xdr:colOff>
      <xdr:row>41</xdr:row>
      <xdr:rowOff>25053</xdr:rowOff>
    </xdr:to>
    <xdr:cxnSp macro="">
      <xdr:nvCxnSpPr>
        <xdr:cNvPr id="22" name="Rechte verbindingslijn 29">
          <a:extLst>
            <a:ext uri="{FF2B5EF4-FFF2-40B4-BE49-F238E27FC236}">
              <a16:creationId xmlns:a16="http://schemas.microsoft.com/office/drawing/2014/main" id="{00000000-0008-0000-0400-000016000000}"/>
            </a:ext>
          </a:extLst>
        </xdr:cNvPr>
        <xdr:cNvCxnSpPr/>
      </xdr:nvCxnSpPr>
      <xdr:spPr>
        <a:xfrm>
          <a:off x="4633313" y="4301378"/>
          <a:ext cx="0" cy="171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147358</xdr:colOff>
      <xdr:row>41</xdr:row>
      <xdr:rowOff>37539</xdr:rowOff>
    </xdr:from>
    <xdr:to>
      <xdr:col>11</xdr:col>
      <xdr:colOff>347382</xdr:colOff>
      <xdr:row>41</xdr:row>
      <xdr:rowOff>44823</xdr:rowOff>
    </xdr:to>
    <xdr:cxnSp macro="">
      <xdr:nvCxnSpPr>
        <xdr:cNvPr id="23" name="Rechte verbindingslijn 30">
          <a:extLst>
            <a:ext uri="{FF2B5EF4-FFF2-40B4-BE49-F238E27FC236}">
              <a16:creationId xmlns:a16="http://schemas.microsoft.com/office/drawing/2014/main" id="{00000000-0008-0000-0400-000017000000}"/>
            </a:ext>
          </a:extLst>
        </xdr:cNvPr>
        <xdr:cNvCxnSpPr/>
      </xdr:nvCxnSpPr>
      <xdr:spPr>
        <a:xfrm>
          <a:off x="2567829" y="6536951"/>
          <a:ext cx="4435847" cy="72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336178</xdr:colOff>
      <xdr:row>35</xdr:row>
      <xdr:rowOff>22413</xdr:rowOff>
    </xdr:from>
    <xdr:to>
      <xdr:col>11</xdr:col>
      <xdr:colOff>347382</xdr:colOff>
      <xdr:row>41</xdr:row>
      <xdr:rowOff>56029</xdr:rowOff>
    </xdr:to>
    <xdr:cxnSp macro="">
      <xdr:nvCxnSpPr>
        <xdr:cNvPr id="24" name="Rechte verbindingslijn met pijl 31">
          <a:extLst>
            <a:ext uri="{FF2B5EF4-FFF2-40B4-BE49-F238E27FC236}">
              <a16:creationId xmlns:a16="http://schemas.microsoft.com/office/drawing/2014/main" id="{00000000-0008-0000-0400-000018000000}"/>
            </a:ext>
          </a:extLst>
        </xdr:cNvPr>
        <xdr:cNvCxnSpPr/>
      </xdr:nvCxnSpPr>
      <xdr:spPr>
        <a:xfrm flipH="1" flipV="1">
          <a:off x="6992472" y="5580531"/>
          <a:ext cx="11204" cy="9749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33</xdr:row>
      <xdr:rowOff>123265</xdr:rowOff>
    </xdr:from>
    <xdr:to>
      <xdr:col>9</xdr:col>
      <xdr:colOff>593912</xdr:colOff>
      <xdr:row>38</xdr:row>
      <xdr:rowOff>113976</xdr:rowOff>
    </xdr:to>
    <xdr:cxnSp macro="">
      <xdr:nvCxnSpPr>
        <xdr:cNvPr id="25" name="Rechte verbindingslijn met pijl 21">
          <a:extLst>
            <a:ext uri="{FF2B5EF4-FFF2-40B4-BE49-F238E27FC236}">
              <a16:creationId xmlns:a16="http://schemas.microsoft.com/office/drawing/2014/main" id="{00000000-0008-0000-0400-000019000000}"/>
            </a:ext>
          </a:extLst>
        </xdr:cNvPr>
        <xdr:cNvCxnSpPr/>
      </xdr:nvCxnSpPr>
      <xdr:spPr>
        <a:xfrm flipV="1">
          <a:off x="5446059" y="5367618"/>
          <a:ext cx="593912" cy="77512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29</xdr:row>
      <xdr:rowOff>78441</xdr:rowOff>
    </xdr:from>
    <xdr:to>
      <xdr:col>10</xdr:col>
      <xdr:colOff>0</xdr:colOff>
      <xdr:row>33</xdr:row>
      <xdr:rowOff>56029</xdr:rowOff>
    </xdr:to>
    <xdr:cxnSp macro="">
      <xdr:nvCxnSpPr>
        <xdr:cNvPr id="26" name="Rechte verbindingslijn met pijl 22">
          <a:extLst>
            <a:ext uri="{FF2B5EF4-FFF2-40B4-BE49-F238E27FC236}">
              <a16:creationId xmlns:a16="http://schemas.microsoft.com/office/drawing/2014/main" id="{00000000-0008-0000-0400-00001A000000}"/>
            </a:ext>
          </a:extLst>
        </xdr:cNvPr>
        <xdr:cNvCxnSpPr/>
      </xdr:nvCxnSpPr>
      <xdr:spPr>
        <a:xfrm>
          <a:off x="5446059" y="4695265"/>
          <a:ext cx="605117" cy="6051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183536</xdr:colOff>
      <xdr:row>33</xdr:row>
      <xdr:rowOff>67236</xdr:rowOff>
    </xdr:from>
    <xdr:to>
      <xdr:col>6</xdr:col>
      <xdr:colOff>0</xdr:colOff>
      <xdr:row>33</xdr:row>
      <xdr:rowOff>74680</xdr:rowOff>
    </xdr:to>
    <xdr:cxnSp macro="">
      <xdr:nvCxnSpPr>
        <xdr:cNvPr id="28" name="Rechte verbindingslijn met pijl 7">
          <a:extLst>
            <a:ext uri="{FF2B5EF4-FFF2-40B4-BE49-F238E27FC236}">
              <a16:creationId xmlns:a16="http://schemas.microsoft.com/office/drawing/2014/main" id="{00000000-0008-0000-0400-00001C000000}"/>
            </a:ext>
          </a:extLst>
        </xdr:cNvPr>
        <xdr:cNvCxnSpPr/>
      </xdr:nvCxnSpPr>
      <xdr:spPr>
        <a:xfrm flipV="1">
          <a:off x="2604007" y="4997824"/>
          <a:ext cx="1026699" cy="74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203307</xdr:colOff>
      <xdr:row>29</xdr:row>
      <xdr:rowOff>73959</xdr:rowOff>
    </xdr:from>
    <xdr:to>
      <xdr:col>6</xdr:col>
      <xdr:colOff>6723</xdr:colOff>
      <xdr:row>33</xdr:row>
      <xdr:rowOff>87087</xdr:rowOff>
    </xdr:to>
    <xdr:cxnSp macro="">
      <xdr:nvCxnSpPr>
        <xdr:cNvPr id="29" name="Rechte verbindingslijn met pijl 5">
          <a:extLst>
            <a:ext uri="{FF2B5EF4-FFF2-40B4-BE49-F238E27FC236}">
              <a16:creationId xmlns:a16="http://schemas.microsoft.com/office/drawing/2014/main" id="{00000000-0008-0000-0400-00001D000000}"/>
            </a:ext>
          </a:extLst>
        </xdr:cNvPr>
        <xdr:cNvCxnSpPr/>
      </xdr:nvCxnSpPr>
      <xdr:spPr>
        <a:xfrm flipV="1">
          <a:off x="2623778" y="4377018"/>
          <a:ext cx="1013651" cy="6406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sites/default/files/old_publication/publicaties/15645_rapport-blauw-aanvullende-opdracht-vereenvoudiging-model-stroomonderbrekingen-januari-2013.pdf" TargetMode="External"/><Relationship Id="rId7"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opendata.cbs.nl/" TargetMode="External"/><Relationship Id="rId6" Type="http://schemas.openxmlformats.org/officeDocument/2006/relationships/hyperlink" Target="https://www.acm.nl/nl/publicaties/publicatie/16348/Q-factorberekening-behorende-bij-de-x-factorbesluiten-RNBs-elektriciteit-2017-2021" TargetMode="External"/><Relationship Id="rId5" Type="http://schemas.openxmlformats.org/officeDocument/2006/relationships/hyperlink" Target="https://www.acm.nl/nl/publicaties/gewijzigd-methodebesluit-rnbs-elektriciteit-2017-2021" TargetMode="External"/><Relationship Id="rId4" Type="http://schemas.openxmlformats.org/officeDocument/2006/relationships/hyperlink" Target="https://mkb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C45"/>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222</v>
      </c>
    </row>
    <row r="6" spans="2:3" x14ac:dyDescent="0.2">
      <c r="B6" s="3"/>
    </row>
    <row r="13" spans="2:3" s="9" customFormat="1" x14ac:dyDescent="0.2">
      <c r="B13" s="9" t="s">
        <v>0</v>
      </c>
    </row>
    <row r="14" spans="2:3" s="10" customFormat="1" x14ac:dyDescent="0.2"/>
    <row r="15" spans="2:3" x14ac:dyDescent="0.2">
      <c r="B15" s="11" t="s">
        <v>1</v>
      </c>
      <c r="C15" s="12" t="s">
        <v>343</v>
      </c>
    </row>
    <row r="16" spans="2:3" x14ac:dyDescent="0.2">
      <c r="B16" s="11" t="s">
        <v>2</v>
      </c>
      <c r="C16" s="12" t="s">
        <v>222</v>
      </c>
    </row>
    <row r="17" spans="2:3" x14ac:dyDescent="0.2">
      <c r="B17" s="11" t="s">
        <v>3</v>
      </c>
      <c r="C17" s="12" t="s">
        <v>309</v>
      </c>
    </row>
    <row r="18" spans="2:3" x14ac:dyDescent="0.2">
      <c r="B18" s="11" t="s">
        <v>4</v>
      </c>
      <c r="C18" s="12" t="s">
        <v>344</v>
      </c>
    </row>
    <row r="19" spans="2:3" x14ac:dyDescent="0.2">
      <c r="B19" s="11" t="s">
        <v>5</v>
      </c>
      <c r="C19" s="12" t="s">
        <v>309</v>
      </c>
    </row>
    <row r="20" spans="2:3" x14ac:dyDescent="0.2">
      <c r="B20" s="11" t="s">
        <v>6</v>
      </c>
      <c r="C20" s="12"/>
    </row>
    <row r="21" spans="2:3" x14ac:dyDescent="0.2">
      <c r="B21" s="11" t="s">
        <v>7</v>
      </c>
      <c r="C21" s="12" t="s">
        <v>345</v>
      </c>
    </row>
    <row r="22" spans="2:3" x14ac:dyDescent="0.2">
      <c r="B22" s="11" t="s">
        <v>8</v>
      </c>
      <c r="C22" s="12" t="s">
        <v>309</v>
      </c>
    </row>
    <row r="25" spans="2:3" s="9" customFormat="1" x14ac:dyDescent="0.2">
      <c r="B25" s="9" t="s">
        <v>9</v>
      </c>
    </row>
    <row r="27" spans="2:3" x14ac:dyDescent="0.2">
      <c r="B27" s="11" t="s">
        <v>10</v>
      </c>
      <c r="C27" s="12" t="s">
        <v>224</v>
      </c>
    </row>
    <row r="28" spans="2:3" x14ac:dyDescent="0.2">
      <c r="B28" s="43" t="s">
        <v>65</v>
      </c>
      <c r="C28" s="12" t="s">
        <v>224</v>
      </c>
    </row>
    <row r="29" spans="2:3" ht="25.5" x14ac:dyDescent="0.2">
      <c r="B29" s="11" t="s">
        <v>11</v>
      </c>
      <c r="C29" s="12" t="s">
        <v>224</v>
      </c>
    </row>
    <row r="30" spans="2:3" x14ac:dyDescent="0.2">
      <c r="B30" s="34" t="s">
        <v>64</v>
      </c>
      <c r="C30" s="12" t="s">
        <v>223</v>
      </c>
    </row>
    <row r="31" spans="2:3" x14ac:dyDescent="0.2">
      <c r="B31" s="11" t="s">
        <v>12</v>
      </c>
      <c r="C31" s="12"/>
    </row>
    <row r="32" spans="2:3" x14ac:dyDescent="0.2">
      <c r="B32" s="11" t="s">
        <v>8</v>
      </c>
      <c r="C32" s="12"/>
    </row>
    <row r="34" spans="2:2" x14ac:dyDescent="0.2">
      <c r="B34" s="33"/>
    </row>
    <row r="35" spans="2:2" s="9" customFormat="1" x14ac:dyDescent="0.2">
      <c r="B35" s="9" t="s">
        <v>13</v>
      </c>
    </row>
    <row r="37" spans="2:2" x14ac:dyDescent="0.2">
      <c r="B37" s="78" t="s">
        <v>310</v>
      </c>
    </row>
    <row r="39" spans="2:2" s="9" customFormat="1" x14ac:dyDescent="0.2">
      <c r="B39" s="9" t="s">
        <v>14</v>
      </c>
    </row>
    <row r="44" spans="2:2" ht="3.75" customHeight="1" x14ac:dyDescent="0.2"/>
    <row r="45" spans="2:2" hidden="1" x14ac:dyDescent="0.2"/>
  </sheetData>
  <hyperlinks>
    <hyperlink ref="B37" r:id="rId1" xr:uid="{00000000-0004-0000-03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B2:Z216"/>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RowHeight="12.75" x14ac:dyDescent="0.2"/>
  <cols>
    <col min="1" max="1" width="4.7109375" style="2" customWidth="1"/>
    <col min="2" max="2" width="46.28515625" style="2" customWidth="1"/>
    <col min="3" max="3" width="4.7109375" style="2" customWidth="1"/>
    <col min="4" max="4" width="4.5703125" style="2" customWidth="1"/>
    <col min="5" max="5" width="11.85546875" style="2" customWidth="1"/>
    <col min="6" max="6" width="18.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6.7109375" style="2" customWidth="1"/>
    <col min="19" max="22" width="12.5703125" style="2" customWidth="1"/>
    <col min="23" max="25" width="2.7109375" style="2" customWidth="1"/>
    <col min="26" max="40" width="13.7109375" style="2" customWidth="1"/>
    <col min="41" max="16384" width="9.140625" style="2"/>
  </cols>
  <sheetData>
    <row r="2" spans="2:26" s="22" customFormat="1" ht="18" x14ac:dyDescent="0.2">
      <c r="B2" s="22" t="s">
        <v>290</v>
      </c>
    </row>
    <row r="4" spans="2:26" x14ac:dyDescent="0.2">
      <c r="B4" s="32" t="s">
        <v>53</v>
      </c>
      <c r="C4" s="1"/>
      <c r="D4" s="1"/>
    </row>
    <row r="5" spans="2:26" x14ac:dyDescent="0.2">
      <c r="B5" s="27" t="s">
        <v>202</v>
      </c>
      <c r="C5" s="27"/>
      <c r="D5" s="27"/>
      <c r="H5" s="23"/>
    </row>
    <row r="6" spans="2:26" x14ac:dyDescent="0.2">
      <c r="B6" s="27" t="s">
        <v>291</v>
      </c>
      <c r="C6" s="27"/>
      <c r="D6" s="27"/>
      <c r="H6" s="23"/>
    </row>
    <row r="7" spans="2:26" x14ac:dyDescent="0.2">
      <c r="B7" s="27" t="s">
        <v>292</v>
      </c>
      <c r="C7" s="27"/>
      <c r="D7" s="27"/>
      <c r="H7" s="23"/>
    </row>
    <row r="8" spans="2:26" x14ac:dyDescent="0.2">
      <c r="B8" s="27" t="s">
        <v>293</v>
      </c>
      <c r="C8" s="27"/>
      <c r="D8" s="27"/>
      <c r="H8" s="23"/>
    </row>
    <row r="9" spans="2:26" x14ac:dyDescent="0.2">
      <c r="B9" s="27"/>
      <c r="C9" s="27"/>
      <c r="D9" s="27"/>
      <c r="H9" s="23"/>
    </row>
    <row r="10" spans="2:26" x14ac:dyDescent="0.2">
      <c r="B10" s="33" t="s">
        <v>29</v>
      </c>
      <c r="C10" s="27"/>
      <c r="D10" s="27"/>
      <c r="H10" s="23"/>
    </row>
    <row r="11" spans="2:26" x14ac:dyDescent="0.2">
      <c r="B11" s="27" t="s">
        <v>199</v>
      </c>
      <c r="C11" s="27"/>
      <c r="D11" s="27"/>
    </row>
    <row r="13" spans="2:26" s="9" customFormat="1" x14ac:dyDescent="0.2">
      <c r="B13" s="9" t="s">
        <v>44</v>
      </c>
      <c r="F13" s="9" t="s">
        <v>27</v>
      </c>
      <c r="H13" s="9" t="s">
        <v>28</v>
      </c>
      <c r="J13" s="9" t="s">
        <v>48</v>
      </c>
      <c r="L13" s="9" t="s">
        <v>101</v>
      </c>
      <c r="M13" s="9" t="s">
        <v>74</v>
      </c>
      <c r="N13" s="9" t="s">
        <v>75</v>
      </c>
      <c r="O13" s="9" t="s">
        <v>76</v>
      </c>
      <c r="P13" s="9" t="s">
        <v>77</v>
      </c>
      <c r="Q13" s="9" t="s">
        <v>78</v>
      </c>
      <c r="S13" s="9" t="s">
        <v>73</v>
      </c>
      <c r="T13" s="9" t="s">
        <v>198</v>
      </c>
      <c r="Z13" s="9" t="s">
        <v>46</v>
      </c>
    </row>
    <row r="15" spans="2:26" s="9" customFormat="1" x14ac:dyDescent="0.2">
      <c r="B15" s="9" t="s">
        <v>124</v>
      </c>
    </row>
    <row r="17" spans="2:26" x14ac:dyDescent="0.2">
      <c r="B17" s="2" t="s">
        <v>122</v>
      </c>
      <c r="H17" s="73">
        <f>'2) Parameters'!H75</f>
        <v>0.99</v>
      </c>
    </row>
    <row r="18" spans="2:26" x14ac:dyDescent="0.2">
      <c r="B18" s="2" t="s">
        <v>125</v>
      </c>
      <c r="H18" s="73">
        <f>'2) Parameters'!H76</f>
        <v>0.01</v>
      </c>
    </row>
    <row r="20" spans="2:26" s="9" customFormat="1" x14ac:dyDescent="0.2">
      <c r="B20" s="9" t="s">
        <v>106</v>
      </c>
    </row>
    <row r="22" spans="2:26" x14ac:dyDescent="0.2">
      <c r="B22" s="1" t="s">
        <v>89</v>
      </c>
      <c r="R22" s="10"/>
      <c r="Z22" s="2" t="s">
        <v>285</v>
      </c>
    </row>
    <row r="23" spans="2:26" x14ac:dyDescent="0.2">
      <c r="B23" s="2" t="s">
        <v>101</v>
      </c>
      <c r="F23" s="2" t="s">
        <v>83</v>
      </c>
      <c r="L23" s="51"/>
      <c r="M23" s="45">
        <f>'3) Data'!M35</f>
        <v>53095</v>
      </c>
      <c r="N23" s="45">
        <f>'3) Data'!N35</f>
        <v>0</v>
      </c>
      <c r="O23" s="45">
        <f>'3) Data'!O35</f>
        <v>0</v>
      </c>
      <c r="P23" s="45">
        <f>'3) Data'!P35</f>
        <v>0</v>
      </c>
      <c r="Q23" s="45">
        <f>'3) Data'!Q35</f>
        <v>0</v>
      </c>
      <c r="R23" s="88"/>
      <c r="S23" s="45">
        <f>'3) Data'!S35</f>
        <v>0</v>
      </c>
      <c r="T23" s="45">
        <f>'3) Data'!T35</f>
        <v>0</v>
      </c>
      <c r="X23" s="31"/>
    </row>
    <row r="24" spans="2:26" x14ac:dyDescent="0.2">
      <c r="B24" s="2" t="s">
        <v>74</v>
      </c>
      <c r="F24" s="2" t="s">
        <v>83</v>
      </c>
      <c r="L24" s="45">
        <f>'3) Data'!L36</f>
        <v>111</v>
      </c>
      <c r="M24" s="51"/>
      <c r="N24" s="45">
        <f>'3) Data'!N36</f>
        <v>167</v>
      </c>
      <c r="O24" s="45">
        <f>'3) Data'!O36</f>
        <v>0</v>
      </c>
      <c r="P24" s="45">
        <f>'3) Data'!P36</f>
        <v>0</v>
      </c>
      <c r="Q24" s="45">
        <f>'3) Data'!Q36</f>
        <v>0</v>
      </c>
      <c r="R24" s="88"/>
      <c r="S24" s="45">
        <f>'3) Data'!S36</f>
        <v>0</v>
      </c>
      <c r="T24" s="45">
        <f>'3) Data'!T36</f>
        <v>14</v>
      </c>
    </row>
    <row r="25" spans="2:26" x14ac:dyDescent="0.2">
      <c r="B25" s="2" t="s">
        <v>75</v>
      </c>
      <c r="F25" s="2" t="s">
        <v>83</v>
      </c>
      <c r="L25" s="45">
        <f>'3) Data'!L37</f>
        <v>0</v>
      </c>
      <c r="M25" s="45">
        <f>'3) Data'!M37</f>
        <v>16247</v>
      </c>
      <c r="N25" s="51"/>
      <c r="O25" s="45">
        <f>'3) Data'!O37</f>
        <v>0</v>
      </c>
      <c r="P25" s="45">
        <f>'3) Data'!P37</f>
        <v>0</v>
      </c>
      <c r="Q25" s="45">
        <f>'3) Data'!Q37</f>
        <v>0</v>
      </c>
      <c r="R25" s="88"/>
      <c r="S25" s="45">
        <f>'3) Data'!S37</f>
        <v>0</v>
      </c>
      <c r="T25" s="45">
        <f>'3) Data'!T37</f>
        <v>0</v>
      </c>
    </row>
    <row r="26" spans="2:26" x14ac:dyDescent="0.2">
      <c r="B26" s="2" t="s">
        <v>88</v>
      </c>
      <c r="F26" s="2" t="s">
        <v>83</v>
      </c>
      <c r="L26" s="45">
        <f>'3) Data'!L38</f>
        <v>0</v>
      </c>
      <c r="M26" s="45">
        <f>'3) Data'!M38</f>
        <v>32403</v>
      </c>
      <c r="N26" s="45">
        <f>'3) Data'!N38</f>
        <v>0</v>
      </c>
      <c r="O26" s="51"/>
      <c r="P26" s="45">
        <f>'3) Data'!P38</f>
        <v>0</v>
      </c>
      <c r="Q26" s="45">
        <f>'3) Data'!Q38</f>
        <v>0</v>
      </c>
      <c r="R26" s="88"/>
      <c r="S26" s="45">
        <f>'3) Data'!S38</f>
        <v>0</v>
      </c>
      <c r="T26" s="45">
        <f>'3) Data'!T38</f>
        <v>0</v>
      </c>
    </row>
    <row r="27" spans="2:26" x14ac:dyDescent="0.2">
      <c r="B27" s="2" t="s">
        <v>77</v>
      </c>
      <c r="F27" s="2" t="s">
        <v>83</v>
      </c>
      <c r="L27" s="45">
        <f>'3) Data'!L39</f>
        <v>0</v>
      </c>
      <c r="M27" s="45">
        <f>'3) Data'!M39</f>
        <v>23711</v>
      </c>
      <c r="N27" s="45">
        <f>'3) Data'!N39</f>
        <v>26513</v>
      </c>
      <c r="O27" s="45">
        <f>'3) Data'!O39</f>
        <v>0</v>
      </c>
      <c r="P27" s="51"/>
      <c r="Q27" s="45">
        <f>'3) Data'!Q39</f>
        <v>15999</v>
      </c>
      <c r="R27" s="88"/>
      <c r="S27" s="45">
        <f>'3) Data'!S39</f>
        <v>0</v>
      </c>
      <c r="T27" s="45">
        <f>'3) Data'!T39</f>
        <v>0</v>
      </c>
    </row>
    <row r="28" spans="2:26" x14ac:dyDescent="0.2">
      <c r="B28" s="2" t="s">
        <v>78</v>
      </c>
      <c r="F28" s="2" t="s">
        <v>83</v>
      </c>
      <c r="L28" s="45">
        <f>'3) Data'!L40</f>
        <v>0</v>
      </c>
      <c r="M28" s="45">
        <f>'3) Data'!M40</f>
        <v>0</v>
      </c>
      <c r="N28" s="45">
        <f>'3) Data'!N40</f>
        <v>0</v>
      </c>
      <c r="O28" s="45">
        <f>'3) Data'!O40</f>
        <v>0</v>
      </c>
      <c r="P28" s="45">
        <f>'3) Data'!P40</f>
        <v>0</v>
      </c>
      <c r="Q28" s="51"/>
      <c r="R28" s="88"/>
      <c r="S28" s="45">
        <f>'3) Data'!S40</f>
        <v>0</v>
      </c>
      <c r="T28" s="45">
        <f>'3) Data'!T40</f>
        <v>0</v>
      </c>
    </row>
    <row r="29" spans="2:26" x14ac:dyDescent="0.2">
      <c r="B29" s="2" t="s">
        <v>73</v>
      </c>
      <c r="F29" s="2" t="s">
        <v>83</v>
      </c>
      <c r="L29" s="45">
        <f>'3) Data'!L41</f>
        <v>0</v>
      </c>
      <c r="M29" s="45">
        <f>'3) Data'!M41</f>
        <v>0</v>
      </c>
      <c r="N29" s="45">
        <f>'3) Data'!N41</f>
        <v>0</v>
      </c>
      <c r="O29" s="45">
        <f>'3) Data'!O41</f>
        <v>0</v>
      </c>
      <c r="P29" s="45">
        <f>'3) Data'!P41</f>
        <v>0</v>
      </c>
      <c r="Q29" s="45">
        <f>'3) Data'!Q41</f>
        <v>0</v>
      </c>
      <c r="R29" s="84"/>
      <c r="S29" s="51"/>
      <c r="T29" s="45">
        <f>'3) Data'!T41</f>
        <v>0</v>
      </c>
    </row>
    <row r="30" spans="2:26" x14ac:dyDescent="0.2">
      <c r="B30" s="2" t="s">
        <v>198</v>
      </c>
      <c r="F30" s="2" t="s">
        <v>83</v>
      </c>
      <c r="L30" s="45">
        <f>'3) Data'!L42</f>
        <v>0</v>
      </c>
      <c r="M30" s="45">
        <f>'3) Data'!M42</f>
        <v>111007</v>
      </c>
      <c r="N30" s="45">
        <f>'3) Data'!N42</f>
        <v>0</v>
      </c>
      <c r="O30" s="45">
        <f>'3) Data'!O42</f>
        <v>0</v>
      </c>
      <c r="P30" s="45">
        <f>'3) Data'!P42</f>
        <v>0</v>
      </c>
      <c r="Q30" s="45">
        <f>'3) Data'!Q42</f>
        <v>0</v>
      </c>
      <c r="R30" s="88"/>
      <c r="S30" s="45">
        <f>'3) Data'!S42</f>
        <v>0</v>
      </c>
      <c r="T30" s="51"/>
    </row>
    <row r="31" spans="2:26" x14ac:dyDescent="0.2">
      <c r="R31" s="10"/>
    </row>
    <row r="32" spans="2:26" x14ac:dyDescent="0.2">
      <c r="B32" s="1" t="s">
        <v>132</v>
      </c>
      <c r="R32" s="10"/>
    </row>
    <row r="33" spans="2:26" x14ac:dyDescent="0.2">
      <c r="B33" s="2" t="s">
        <v>174</v>
      </c>
      <c r="F33" s="2" t="s">
        <v>83</v>
      </c>
      <c r="L33" s="45">
        <f>'3) Data'!L25</f>
        <v>53206</v>
      </c>
      <c r="M33" s="45">
        <f>'3) Data'!M25</f>
        <v>2840608</v>
      </c>
      <c r="N33" s="45">
        <f>'3) Data'!N25</f>
        <v>3077471</v>
      </c>
      <c r="O33" s="45">
        <f>'3) Data'!O25</f>
        <v>32403</v>
      </c>
      <c r="P33" s="45">
        <f>'3) Data'!P25</f>
        <v>2155537</v>
      </c>
      <c r="Q33" s="45">
        <f>'3) Data'!Q25</f>
        <v>74002</v>
      </c>
      <c r="R33" s="88"/>
      <c r="S33" s="45">
        <f>'3) Data'!S25</f>
        <v>214189</v>
      </c>
      <c r="T33" s="45">
        <f>'3) Data'!T25</f>
        <v>111021</v>
      </c>
    </row>
    <row r="34" spans="2:26" x14ac:dyDescent="0.2">
      <c r="B34" s="2" t="s">
        <v>175</v>
      </c>
      <c r="F34" s="2" t="s">
        <v>83</v>
      </c>
      <c r="L34" s="45">
        <f>'3) Data'!L26</f>
        <v>1146</v>
      </c>
      <c r="M34" s="45">
        <f>'3) Data'!M26</f>
        <v>442930</v>
      </c>
      <c r="N34" s="45">
        <f>'3) Data'!N26</f>
        <v>606974</v>
      </c>
      <c r="O34" s="45">
        <f>'3) Data'!O26</f>
        <v>5396</v>
      </c>
      <c r="P34" s="45">
        <f>'3) Data'!P26</f>
        <v>317425</v>
      </c>
      <c r="Q34" s="45">
        <f>'3) Data'!Q26</f>
        <v>10664</v>
      </c>
      <c r="R34" s="88"/>
      <c r="S34" s="45">
        <f>'3) Data'!S26</f>
        <v>33643</v>
      </c>
      <c r="T34" s="45">
        <f>'3) Data'!T26</f>
        <v>4993</v>
      </c>
    </row>
    <row r="35" spans="2:26" x14ac:dyDescent="0.2">
      <c r="B35" s="27" t="s">
        <v>168</v>
      </c>
      <c r="C35" s="27"/>
      <c r="D35" s="27"/>
      <c r="E35" s="27"/>
      <c r="F35" s="27" t="s">
        <v>83</v>
      </c>
      <c r="G35" s="27"/>
      <c r="H35" s="27"/>
      <c r="I35" s="27"/>
      <c r="J35" s="117">
        <f>'4) SAIFI en CAIDI'!J78</f>
        <v>0.17189778685544566</v>
      </c>
      <c r="R35" s="10"/>
    </row>
    <row r="36" spans="2:26" x14ac:dyDescent="0.2">
      <c r="R36" s="10"/>
    </row>
    <row r="37" spans="2:26" x14ac:dyDescent="0.2">
      <c r="B37" s="1" t="s">
        <v>134</v>
      </c>
      <c r="R37" s="10"/>
    </row>
    <row r="38" spans="2:26" x14ac:dyDescent="0.2">
      <c r="B38" s="2" t="s">
        <v>294</v>
      </c>
      <c r="F38" s="2" t="s">
        <v>83</v>
      </c>
      <c r="L38" s="61">
        <f>'4) SAIFI en CAIDI'!L79</f>
        <v>1.5444015444015444E-2</v>
      </c>
      <c r="M38" s="61">
        <f>'4) SAIFI en CAIDI'!M79</f>
        <v>3.1835016867340339E-2</v>
      </c>
      <c r="N38" s="61">
        <f>'4) SAIFI en CAIDI'!N79</f>
        <v>4.6244400222761897E-2</v>
      </c>
      <c r="O38" s="61">
        <f>'4) SAIFI en CAIDI'!O79</f>
        <v>1.5986174119680275E-2</v>
      </c>
      <c r="P38" s="61">
        <f>'4) SAIFI en CAIDI'!P79</f>
        <v>3.9234770732304761E-2</v>
      </c>
      <c r="Q38" s="61">
        <f>'4) SAIFI en CAIDI'!Q79</f>
        <v>2.6257262555385068E-2</v>
      </c>
      <c r="R38" s="93"/>
      <c r="S38" s="61">
        <f>'4) SAIFI en CAIDI'!S79</f>
        <v>7.911704149139312E-2</v>
      </c>
      <c r="T38" s="61">
        <f>'4) SAIFI en CAIDI'!T79</f>
        <v>1.4629708036430135E-2</v>
      </c>
    </row>
    <row r="40" spans="2:26" s="9" customFormat="1" x14ac:dyDescent="0.2">
      <c r="B40" s="9" t="s">
        <v>107</v>
      </c>
    </row>
    <row r="42" spans="2:26" x14ac:dyDescent="0.2">
      <c r="B42" s="1" t="s">
        <v>89</v>
      </c>
      <c r="R42" s="10"/>
      <c r="Z42" s="2" t="s">
        <v>285</v>
      </c>
    </row>
    <row r="43" spans="2:26" x14ac:dyDescent="0.2">
      <c r="B43" s="2" t="s">
        <v>101</v>
      </c>
      <c r="F43" s="2" t="s">
        <v>83</v>
      </c>
      <c r="L43" s="51"/>
      <c r="M43" s="45">
        <f>'3) Data'!M57</f>
        <v>53269</v>
      </c>
      <c r="N43" s="45">
        <f>'3) Data'!N57</f>
        <v>0</v>
      </c>
      <c r="O43" s="45">
        <f>'3) Data'!O57</f>
        <v>0</v>
      </c>
      <c r="P43" s="45">
        <f>'3) Data'!P57</f>
        <v>0</v>
      </c>
      <c r="Q43" s="45">
        <f>'3) Data'!Q57</f>
        <v>0</v>
      </c>
      <c r="R43" s="88"/>
      <c r="S43" s="45">
        <f>'3) Data'!S55</f>
        <v>0</v>
      </c>
      <c r="T43" s="87"/>
      <c r="X43" s="31"/>
    </row>
    <row r="44" spans="2:26" x14ac:dyDescent="0.2">
      <c r="B44" s="2" t="s">
        <v>74</v>
      </c>
      <c r="F44" s="2" t="s">
        <v>83</v>
      </c>
      <c r="L44" s="45">
        <f>'3) Data'!L58</f>
        <v>114</v>
      </c>
      <c r="M44" s="51"/>
      <c r="N44" s="45">
        <f>'3) Data'!N58</f>
        <v>469</v>
      </c>
      <c r="O44" s="45">
        <f>'3) Data'!O58</f>
        <v>0</v>
      </c>
      <c r="P44" s="45">
        <f>'3) Data'!P58</f>
        <v>0</v>
      </c>
      <c r="Q44" s="45">
        <f>'3) Data'!Q58</f>
        <v>0</v>
      </c>
      <c r="R44" s="88"/>
      <c r="S44" s="45">
        <f>'3) Data'!S56</f>
        <v>0</v>
      </c>
      <c r="T44" s="87"/>
    </row>
    <row r="45" spans="2:26" x14ac:dyDescent="0.2">
      <c r="B45" s="2" t="s">
        <v>75</v>
      </c>
      <c r="F45" s="2" t="s">
        <v>83</v>
      </c>
      <c r="L45" s="45">
        <f>'3) Data'!L59</f>
        <v>0</v>
      </c>
      <c r="M45" s="45">
        <f>'3) Data'!M59</f>
        <v>16099</v>
      </c>
      <c r="N45" s="51"/>
      <c r="O45" s="45">
        <f>'3) Data'!O59</f>
        <v>0</v>
      </c>
      <c r="P45" s="45">
        <f>'3) Data'!P59</f>
        <v>0</v>
      </c>
      <c r="Q45" s="45">
        <f>'3) Data'!Q59</f>
        <v>0</v>
      </c>
      <c r="R45" s="88"/>
      <c r="S45" s="45">
        <f>'3) Data'!S59</f>
        <v>0</v>
      </c>
      <c r="T45" s="87"/>
    </row>
    <row r="46" spans="2:26" x14ac:dyDescent="0.2">
      <c r="B46" s="2" t="s">
        <v>88</v>
      </c>
      <c r="F46" s="2" t="s">
        <v>83</v>
      </c>
      <c r="L46" s="45">
        <f>'3) Data'!L60</f>
        <v>0</v>
      </c>
      <c r="M46" s="45">
        <f>'3) Data'!M60</f>
        <v>32551</v>
      </c>
      <c r="N46" s="45">
        <f>'3) Data'!N60</f>
        <v>0</v>
      </c>
      <c r="O46" s="51"/>
      <c r="P46" s="45">
        <f>'3) Data'!P60</f>
        <v>0</v>
      </c>
      <c r="Q46" s="45">
        <f>'3) Data'!Q60</f>
        <v>0</v>
      </c>
      <c r="R46" s="88"/>
      <c r="S46" s="45">
        <f>'3) Data'!S60</f>
        <v>0</v>
      </c>
      <c r="T46" s="87"/>
    </row>
    <row r="47" spans="2:26" x14ac:dyDescent="0.2">
      <c r="B47" s="2" t="s">
        <v>77</v>
      </c>
      <c r="F47" s="2" t="s">
        <v>83</v>
      </c>
      <c r="L47" s="45">
        <f>'3) Data'!L61</f>
        <v>0</v>
      </c>
      <c r="M47" s="45">
        <f>'3) Data'!M61</f>
        <v>0</v>
      </c>
      <c r="N47" s="45">
        <f>'3) Data'!N61</f>
        <v>32883</v>
      </c>
      <c r="O47" s="45">
        <f>'3) Data'!O61</f>
        <v>0</v>
      </c>
      <c r="P47" s="51"/>
      <c r="Q47" s="45">
        <f>'3) Data'!Q61</f>
        <v>16042</v>
      </c>
      <c r="R47" s="88"/>
      <c r="S47" s="45">
        <f>'3) Data'!S61</f>
        <v>0</v>
      </c>
      <c r="T47" s="87"/>
    </row>
    <row r="48" spans="2:26" x14ac:dyDescent="0.2">
      <c r="B48" s="2" t="s">
        <v>78</v>
      </c>
      <c r="F48" s="2" t="s">
        <v>83</v>
      </c>
      <c r="L48" s="45">
        <f>'3) Data'!L62</f>
        <v>0</v>
      </c>
      <c r="M48" s="45">
        <f>'3) Data'!M62</f>
        <v>0</v>
      </c>
      <c r="N48" s="45">
        <f>'3) Data'!N62</f>
        <v>0</v>
      </c>
      <c r="O48" s="45">
        <f>'3) Data'!O62</f>
        <v>0</v>
      </c>
      <c r="P48" s="45">
        <f>'3) Data'!P62</f>
        <v>0</v>
      </c>
      <c r="Q48" s="51"/>
      <c r="R48" s="88"/>
      <c r="S48" s="45">
        <f>'3) Data'!S62</f>
        <v>0</v>
      </c>
      <c r="T48" s="87"/>
    </row>
    <row r="49" spans="2:26" x14ac:dyDescent="0.2">
      <c r="B49" s="2" t="s">
        <v>73</v>
      </c>
      <c r="F49" s="2" t="s">
        <v>83</v>
      </c>
      <c r="L49" s="45">
        <f>'3) Data'!L63</f>
        <v>0</v>
      </c>
      <c r="M49" s="45">
        <f>'3) Data'!M63</f>
        <v>0</v>
      </c>
      <c r="N49" s="45">
        <f>'3) Data'!N63</f>
        <v>0</v>
      </c>
      <c r="O49" s="45">
        <f>'3) Data'!O63</f>
        <v>0</v>
      </c>
      <c r="P49" s="45">
        <f>'3) Data'!P63</f>
        <v>0</v>
      </c>
      <c r="Q49" s="45">
        <f>'3) Data'!Q63</f>
        <v>0</v>
      </c>
      <c r="R49" s="84"/>
      <c r="S49" s="51"/>
      <c r="T49" s="87"/>
    </row>
    <row r="50" spans="2:26" x14ac:dyDescent="0.2">
      <c r="R50" s="10"/>
    </row>
    <row r="51" spans="2:26" x14ac:dyDescent="0.2">
      <c r="B51" s="1" t="s">
        <v>132</v>
      </c>
      <c r="R51" s="10"/>
    </row>
    <row r="52" spans="2:26" x14ac:dyDescent="0.2">
      <c r="B52" s="2" t="s">
        <v>174</v>
      </c>
      <c r="F52" s="2" t="s">
        <v>83</v>
      </c>
      <c r="L52" s="45">
        <f>'3) Data'!L47</f>
        <v>53383</v>
      </c>
      <c r="M52" s="45">
        <f>'3) Data'!M47</f>
        <v>2863833</v>
      </c>
      <c r="N52" s="45">
        <f>'3) Data'!N47</f>
        <v>3120655</v>
      </c>
      <c r="O52" s="45">
        <f>'3) Data'!O47</f>
        <v>32551</v>
      </c>
      <c r="P52" s="45">
        <f>'3) Data'!P47</f>
        <v>2162498</v>
      </c>
      <c r="Q52" s="45">
        <f>'3) Data'!Q47</f>
        <v>74674</v>
      </c>
      <c r="R52" s="88"/>
      <c r="S52" s="45">
        <f>'3) Data'!S47</f>
        <v>212740</v>
      </c>
      <c r="T52" s="87"/>
    </row>
    <row r="53" spans="2:26" x14ac:dyDescent="0.2">
      <c r="B53" s="2" t="s">
        <v>175</v>
      </c>
      <c r="F53" s="2" t="s">
        <v>83</v>
      </c>
      <c r="L53" s="45">
        <f>'3) Data'!L48</f>
        <v>4729</v>
      </c>
      <c r="M53" s="45">
        <f>'3) Data'!M48</f>
        <v>307601</v>
      </c>
      <c r="N53" s="45">
        <f>'3) Data'!N48</f>
        <v>506537</v>
      </c>
      <c r="O53" s="45">
        <f>'3) Data'!O48</f>
        <v>12</v>
      </c>
      <c r="P53" s="45">
        <f>'3) Data'!P48</f>
        <v>299411</v>
      </c>
      <c r="Q53" s="45">
        <f>'3) Data'!Q48</f>
        <v>5364</v>
      </c>
      <c r="R53" s="88"/>
      <c r="S53" s="45">
        <f>'3) Data'!S48</f>
        <v>44616</v>
      </c>
      <c r="T53" s="87"/>
    </row>
    <row r="54" spans="2:26" x14ac:dyDescent="0.2">
      <c r="B54" s="27" t="s">
        <v>168</v>
      </c>
      <c r="C54" s="27"/>
      <c r="D54" s="27"/>
      <c r="E54" s="27"/>
      <c r="F54" s="27" t="s">
        <v>83</v>
      </c>
      <c r="G54" s="27"/>
      <c r="H54" s="27"/>
      <c r="I54" s="27"/>
      <c r="J54" s="117">
        <f>'4) SAIFI en CAIDI'!J87</f>
        <v>0.13959648494122351</v>
      </c>
      <c r="R54" s="10"/>
    </row>
    <row r="55" spans="2:26" x14ac:dyDescent="0.2">
      <c r="R55" s="10"/>
    </row>
    <row r="56" spans="2:26" x14ac:dyDescent="0.2">
      <c r="B56" s="1" t="s">
        <v>134</v>
      </c>
      <c r="R56" s="10"/>
    </row>
    <row r="57" spans="2:26" x14ac:dyDescent="0.2">
      <c r="B57" s="2" t="s">
        <v>294</v>
      </c>
      <c r="F57" s="2" t="s">
        <v>83</v>
      </c>
      <c r="L57" s="61">
        <f>'4) SAIFI en CAIDI'!L88</f>
        <v>1.6106928983085848E-2</v>
      </c>
      <c r="M57" s="61">
        <f>'4) SAIFI en CAIDI'!M88</f>
        <v>3.1366653704641055E-2</v>
      </c>
      <c r="N57" s="61">
        <f>'4) SAIFI en CAIDI'!N88</f>
        <v>4.5958883854289652E-2</v>
      </c>
      <c r="O57" s="61">
        <f>'4) SAIFI en CAIDI'!O88</f>
        <v>2.4054560535774632E-2</v>
      </c>
      <c r="P57" s="61">
        <f>'4) SAIFI en CAIDI'!P88</f>
        <v>3.9606048190564798E-2</v>
      </c>
      <c r="Q57" s="61">
        <f>'4) SAIFI en CAIDI'!Q88</f>
        <v>1.9699140401146131E-2</v>
      </c>
      <c r="R57" s="93"/>
      <c r="S57" s="61">
        <f>'4) SAIFI en CAIDI'!S88</f>
        <v>7.9702923756698324E-2</v>
      </c>
      <c r="T57" s="87"/>
    </row>
    <row r="58" spans="2:26" x14ac:dyDescent="0.2">
      <c r="R58" s="10"/>
    </row>
    <row r="59" spans="2:26" s="9" customFormat="1" x14ac:dyDescent="0.2">
      <c r="B59" s="9" t="s">
        <v>108</v>
      </c>
    </row>
    <row r="61" spans="2:26" x14ac:dyDescent="0.2">
      <c r="B61" s="1" t="s">
        <v>89</v>
      </c>
      <c r="R61" s="10"/>
      <c r="Z61" s="2" t="s">
        <v>285</v>
      </c>
    </row>
    <row r="62" spans="2:26" x14ac:dyDescent="0.2">
      <c r="B62" s="2" t="s">
        <v>101</v>
      </c>
      <c r="F62" s="2" t="s">
        <v>83</v>
      </c>
      <c r="L62" s="51"/>
      <c r="M62" s="45">
        <f>'3) Data'!M78</f>
        <v>53549</v>
      </c>
      <c r="N62" s="45">
        <f>'3) Data'!N78</f>
        <v>0</v>
      </c>
      <c r="O62" s="45">
        <f>'3) Data'!O78</f>
        <v>0</v>
      </c>
      <c r="P62" s="45">
        <f>'3) Data'!P78</f>
        <v>0</v>
      </c>
      <c r="Q62" s="45">
        <f>'3) Data'!Q78</f>
        <v>0</v>
      </c>
      <c r="R62" s="88"/>
      <c r="S62" s="45">
        <f>'3) Data'!S78</f>
        <v>0</v>
      </c>
      <c r="T62" s="87"/>
      <c r="X62" s="31"/>
    </row>
    <row r="63" spans="2:26" x14ac:dyDescent="0.2">
      <c r="B63" s="2" t="s">
        <v>74</v>
      </c>
      <c r="F63" s="2" t="s">
        <v>83</v>
      </c>
      <c r="L63" s="45">
        <f>'3) Data'!L79</f>
        <v>0</v>
      </c>
      <c r="M63" s="51"/>
      <c r="N63" s="45">
        <f>'3) Data'!N79</f>
        <v>471</v>
      </c>
      <c r="O63" s="45">
        <f>'3) Data'!O79</f>
        <v>0</v>
      </c>
      <c r="P63" s="45">
        <f>'3) Data'!P79</f>
        <v>0</v>
      </c>
      <c r="Q63" s="45">
        <f>'3) Data'!Q79</f>
        <v>0</v>
      </c>
      <c r="R63" s="88"/>
      <c r="S63" s="45">
        <f>'3) Data'!S79</f>
        <v>0</v>
      </c>
      <c r="T63" s="87"/>
    </row>
    <row r="64" spans="2:26" x14ac:dyDescent="0.2">
      <c r="B64" s="2" t="s">
        <v>75</v>
      </c>
      <c r="F64" s="2" t="s">
        <v>83</v>
      </c>
      <c r="L64" s="45">
        <f>'3) Data'!L80</f>
        <v>0</v>
      </c>
      <c r="M64" s="45">
        <f>'3) Data'!M80</f>
        <v>16211</v>
      </c>
      <c r="N64" s="51"/>
      <c r="O64" s="45">
        <f>'3) Data'!O80</f>
        <v>0</v>
      </c>
      <c r="P64" s="45">
        <f>'3) Data'!P80</f>
        <v>0</v>
      </c>
      <c r="Q64" s="45">
        <f>'3) Data'!Q80</f>
        <v>0</v>
      </c>
      <c r="R64" s="88"/>
      <c r="S64" s="45">
        <f>'3) Data'!S80</f>
        <v>0</v>
      </c>
      <c r="T64" s="87"/>
    </row>
    <row r="65" spans="2:26" x14ac:dyDescent="0.2">
      <c r="B65" s="2" t="s">
        <v>88</v>
      </c>
      <c r="F65" s="2" t="s">
        <v>83</v>
      </c>
      <c r="L65" s="45">
        <f>'3) Data'!L81</f>
        <v>0</v>
      </c>
      <c r="M65" s="45">
        <f>'3) Data'!M81</f>
        <v>32546</v>
      </c>
      <c r="N65" s="45">
        <f>'3) Data'!N81</f>
        <v>0</v>
      </c>
      <c r="O65" s="51"/>
      <c r="P65" s="45">
        <f>'3) Data'!P81</f>
        <v>0</v>
      </c>
      <c r="Q65" s="45">
        <f>'3) Data'!Q81</f>
        <v>0</v>
      </c>
      <c r="R65" s="88"/>
      <c r="S65" s="45">
        <f>'3) Data'!S81</f>
        <v>0</v>
      </c>
      <c r="T65" s="87"/>
    </row>
    <row r="66" spans="2:26" x14ac:dyDescent="0.2">
      <c r="B66" s="2" t="s">
        <v>77</v>
      </c>
      <c r="F66" s="2" t="s">
        <v>83</v>
      </c>
      <c r="L66" s="45">
        <f>'3) Data'!L82</f>
        <v>0</v>
      </c>
      <c r="M66" s="45">
        <f>'3) Data'!M82</f>
        <v>0</v>
      </c>
      <c r="N66" s="45">
        <f>'3) Data'!N82</f>
        <v>26431</v>
      </c>
      <c r="O66" s="45">
        <f>'3) Data'!O82</f>
        <v>0</v>
      </c>
      <c r="P66" s="51"/>
      <c r="Q66" s="45">
        <f>'3) Data'!Q82</f>
        <v>15781</v>
      </c>
      <c r="R66" s="88"/>
      <c r="S66" s="45">
        <f>'3) Data'!S82</f>
        <v>0</v>
      </c>
      <c r="T66" s="87"/>
    </row>
    <row r="67" spans="2:26" x14ac:dyDescent="0.2">
      <c r="B67" s="2" t="s">
        <v>78</v>
      </c>
      <c r="F67" s="2" t="s">
        <v>83</v>
      </c>
      <c r="L67" s="45">
        <f>'3) Data'!L83</f>
        <v>0</v>
      </c>
      <c r="M67" s="45">
        <f>'3) Data'!M83</f>
        <v>0</v>
      </c>
      <c r="N67" s="45">
        <f>'3) Data'!N83</f>
        <v>0</v>
      </c>
      <c r="O67" s="45">
        <f>'3) Data'!O83</f>
        <v>0</v>
      </c>
      <c r="P67" s="45">
        <f>'3) Data'!P83</f>
        <v>0</v>
      </c>
      <c r="Q67" s="51"/>
      <c r="R67" s="88"/>
      <c r="S67" s="45">
        <f>'3) Data'!S83</f>
        <v>0</v>
      </c>
      <c r="T67" s="87"/>
    </row>
    <row r="68" spans="2:26" x14ac:dyDescent="0.2">
      <c r="B68" s="2" t="s">
        <v>73</v>
      </c>
      <c r="F68" s="2" t="s">
        <v>83</v>
      </c>
      <c r="L68" s="45">
        <f>'3) Data'!L84</f>
        <v>0</v>
      </c>
      <c r="M68" s="45">
        <f>'3) Data'!M84</f>
        <v>0</v>
      </c>
      <c r="N68" s="45">
        <f>'3) Data'!N84</f>
        <v>0</v>
      </c>
      <c r="O68" s="45">
        <f>'3) Data'!O84</f>
        <v>0</v>
      </c>
      <c r="P68" s="45">
        <f>'3) Data'!P84</f>
        <v>0</v>
      </c>
      <c r="Q68" s="45">
        <f>'3) Data'!Q84</f>
        <v>0</v>
      </c>
      <c r="R68" s="84"/>
      <c r="S68" s="51"/>
      <c r="T68" s="87"/>
    </row>
    <row r="69" spans="2:26" x14ac:dyDescent="0.2">
      <c r="R69" s="10"/>
    </row>
    <row r="70" spans="2:26" x14ac:dyDescent="0.2">
      <c r="B70" s="1" t="s">
        <v>132</v>
      </c>
      <c r="R70" s="10"/>
    </row>
    <row r="71" spans="2:26" x14ac:dyDescent="0.2">
      <c r="B71" s="2" t="s">
        <v>174</v>
      </c>
      <c r="F71" s="2" t="s">
        <v>83</v>
      </c>
      <c r="L71" s="45">
        <f>'3) Data'!L68</f>
        <v>53549</v>
      </c>
      <c r="M71" s="45">
        <f>'3) Data'!M68</f>
        <v>2873514</v>
      </c>
      <c r="N71" s="45">
        <f>'3) Data'!N68</f>
        <v>3145128</v>
      </c>
      <c r="O71" s="45">
        <f>'3) Data'!O68</f>
        <v>32546</v>
      </c>
      <c r="P71" s="45">
        <f>'3) Data'!P68</f>
        <v>2111530</v>
      </c>
      <c r="Q71" s="45">
        <f>'3) Data'!Q68</f>
        <v>75437</v>
      </c>
      <c r="R71" s="88"/>
      <c r="S71" s="45">
        <f>'3) Data'!S68</f>
        <v>214178</v>
      </c>
      <c r="T71" s="87"/>
    </row>
    <row r="72" spans="2:26" x14ac:dyDescent="0.2">
      <c r="B72" s="2" t="s">
        <v>175</v>
      </c>
      <c r="F72" s="2" t="s">
        <v>83</v>
      </c>
      <c r="L72" s="45">
        <f>'3) Data'!L69</f>
        <v>4752</v>
      </c>
      <c r="M72" s="45">
        <f>'3) Data'!M69</f>
        <v>457469</v>
      </c>
      <c r="N72" s="45">
        <f>'3) Data'!N69</f>
        <v>827312</v>
      </c>
      <c r="O72" s="45">
        <f>'3) Data'!O69</f>
        <v>4231</v>
      </c>
      <c r="P72" s="45">
        <f>'3) Data'!P69</f>
        <v>373042</v>
      </c>
      <c r="Q72" s="45">
        <f>'3) Data'!Q69</f>
        <v>10655</v>
      </c>
      <c r="R72" s="88"/>
      <c r="S72" s="45">
        <f>'3) Data'!S69</f>
        <v>38598</v>
      </c>
      <c r="T72" s="87"/>
    </row>
    <row r="73" spans="2:26" x14ac:dyDescent="0.2">
      <c r="B73" s="27" t="s">
        <v>168</v>
      </c>
      <c r="C73" s="27"/>
      <c r="D73" s="27"/>
      <c r="E73" s="27"/>
      <c r="F73" s="27" t="s">
        <v>83</v>
      </c>
      <c r="G73" s="27"/>
      <c r="H73" s="27"/>
      <c r="I73" s="27"/>
      <c r="J73" s="117">
        <f>'4) SAIFI en CAIDI'!J96</f>
        <v>0.20524829106173229</v>
      </c>
      <c r="R73" s="10"/>
    </row>
    <row r="74" spans="2:26" x14ac:dyDescent="0.2">
      <c r="R74" s="10"/>
    </row>
    <row r="75" spans="2:26" x14ac:dyDescent="0.2">
      <c r="B75" s="1" t="s">
        <v>134</v>
      </c>
      <c r="R75" s="10"/>
    </row>
    <row r="76" spans="2:26" x14ac:dyDescent="0.2">
      <c r="B76" s="2" t="s">
        <v>294</v>
      </c>
      <c r="F76" s="2" t="s">
        <v>83</v>
      </c>
      <c r="L76" s="61">
        <f>'4) SAIFI en CAIDI'!L97</f>
        <v>1.9290743057760181E-2</v>
      </c>
      <c r="M76" s="61">
        <f>'4) SAIFI en CAIDI'!M97</f>
        <v>3.3627573246035665E-2</v>
      </c>
      <c r="N76" s="61">
        <f>'4) SAIFI en CAIDI'!N97</f>
        <v>4.8640797684324354E-2</v>
      </c>
      <c r="O76" s="61">
        <f>'4) SAIFI en CAIDI'!O97</f>
        <v>2.706937872549622E-2</v>
      </c>
      <c r="P76" s="61">
        <f>'4) SAIFI en CAIDI'!P97</f>
        <v>4.4383456545727507E-2</v>
      </c>
      <c r="Q76" s="61">
        <f>'4) SAIFI en CAIDI'!Q97</f>
        <v>2.3417594206785571E-2</v>
      </c>
      <c r="R76" s="93"/>
      <c r="S76" s="61">
        <f>'4) SAIFI en CAIDI'!S97</f>
        <v>6.4063535937397859E-2</v>
      </c>
      <c r="T76" s="87"/>
    </row>
    <row r="77" spans="2:26" x14ac:dyDescent="0.2">
      <c r="R77" s="10"/>
    </row>
    <row r="78" spans="2:26" s="9" customFormat="1" x14ac:dyDescent="0.2">
      <c r="B78" s="9" t="s">
        <v>109</v>
      </c>
    </row>
    <row r="80" spans="2:26" x14ac:dyDescent="0.2">
      <c r="B80" s="1" t="s">
        <v>89</v>
      </c>
      <c r="R80" s="10"/>
      <c r="Z80" s="2" t="s">
        <v>285</v>
      </c>
    </row>
    <row r="81" spans="2:24" x14ac:dyDescent="0.2">
      <c r="B81" s="2" t="s">
        <v>101</v>
      </c>
      <c r="F81" s="2" t="s">
        <v>83</v>
      </c>
      <c r="L81" s="51"/>
      <c r="M81" s="45">
        <f>'3) Data'!M99</f>
        <v>53898</v>
      </c>
      <c r="N81" s="45">
        <f>'3) Data'!N99</f>
        <v>0</v>
      </c>
      <c r="O81" s="45">
        <f>'3) Data'!O99</f>
        <v>0</v>
      </c>
      <c r="P81" s="45">
        <f>'3) Data'!P99</f>
        <v>0</v>
      </c>
      <c r="Q81" s="45">
        <f>'3) Data'!Q99</f>
        <v>0</v>
      </c>
      <c r="R81" s="88"/>
      <c r="S81" s="45">
        <f>'3) Data'!S99</f>
        <v>0</v>
      </c>
      <c r="T81" s="87"/>
      <c r="X81" s="31"/>
    </row>
    <row r="82" spans="2:24" x14ac:dyDescent="0.2">
      <c r="B82" s="2" t="s">
        <v>74</v>
      </c>
      <c r="F82" s="2" t="s">
        <v>83</v>
      </c>
      <c r="L82" s="45">
        <f>'3) Data'!L100</f>
        <v>0</v>
      </c>
      <c r="M82" s="51"/>
      <c r="N82" s="45">
        <f>'3) Data'!N100</f>
        <v>466</v>
      </c>
      <c r="O82" s="45">
        <f>'3) Data'!O100</f>
        <v>0</v>
      </c>
      <c r="P82" s="45">
        <f>'3) Data'!P100</f>
        <v>0</v>
      </c>
      <c r="Q82" s="45">
        <f>'3) Data'!Q100</f>
        <v>0</v>
      </c>
      <c r="R82" s="88"/>
      <c r="S82" s="45">
        <f>'3) Data'!S100</f>
        <v>0</v>
      </c>
      <c r="T82" s="87"/>
    </row>
    <row r="83" spans="2:24" x14ac:dyDescent="0.2">
      <c r="B83" s="2" t="s">
        <v>75</v>
      </c>
      <c r="F83" s="2" t="s">
        <v>83</v>
      </c>
      <c r="L83" s="45">
        <f>'3) Data'!L101</f>
        <v>0</v>
      </c>
      <c r="M83" s="45">
        <f>'3) Data'!M101</f>
        <v>16283</v>
      </c>
      <c r="N83" s="51"/>
      <c r="O83" s="45">
        <f>'3) Data'!O101</f>
        <v>0</v>
      </c>
      <c r="P83" s="45">
        <f>'3) Data'!P101</f>
        <v>0</v>
      </c>
      <c r="Q83" s="45">
        <f>'3) Data'!Q101</f>
        <v>0</v>
      </c>
      <c r="R83" s="88"/>
      <c r="S83" s="45">
        <f>'3) Data'!S101</f>
        <v>0</v>
      </c>
      <c r="T83" s="87"/>
    </row>
    <row r="84" spans="2:24" x14ac:dyDescent="0.2">
      <c r="B84" s="2" t="s">
        <v>88</v>
      </c>
      <c r="F84" s="2" t="s">
        <v>83</v>
      </c>
      <c r="L84" s="45">
        <f>'3) Data'!L102</f>
        <v>0</v>
      </c>
      <c r="M84" s="45">
        <f>'3) Data'!M102</f>
        <v>32966</v>
      </c>
      <c r="N84" s="45">
        <f>'3) Data'!N102</f>
        <v>0</v>
      </c>
      <c r="O84" s="51"/>
      <c r="P84" s="45">
        <f>'3) Data'!P102</f>
        <v>0</v>
      </c>
      <c r="Q84" s="45">
        <f>'3) Data'!Q102</f>
        <v>0</v>
      </c>
      <c r="R84" s="88"/>
      <c r="S84" s="45">
        <f>'3) Data'!S102</f>
        <v>0</v>
      </c>
      <c r="T84" s="87"/>
    </row>
    <row r="85" spans="2:24" x14ac:dyDescent="0.2">
      <c r="B85" s="2" t="s">
        <v>77</v>
      </c>
      <c r="F85" s="2" t="s">
        <v>83</v>
      </c>
      <c r="L85" s="45">
        <f>'3) Data'!L103</f>
        <v>0</v>
      </c>
      <c r="M85" s="45">
        <f>'3) Data'!M103</f>
        <v>0</v>
      </c>
      <c r="N85" s="45">
        <f>'3) Data'!N103</f>
        <v>26780</v>
      </c>
      <c r="O85" s="45">
        <f>'3) Data'!O103</f>
        <v>0</v>
      </c>
      <c r="P85" s="51"/>
      <c r="Q85" s="45">
        <f>'3) Data'!Q103</f>
        <v>15827</v>
      </c>
      <c r="R85" s="88"/>
      <c r="S85" s="45">
        <f>'3) Data'!S103</f>
        <v>0</v>
      </c>
      <c r="T85" s="87"/>
    </row>
    <row r="86" spans="2:24" x14ac:dyDescent="0.2">
      <c r="B86" s="2" t="s">
        <v>78</v>
      </c>
      <c r="F86" s="2" t="s">
        <v>83</v>
      </c>
      <c r="L86" s="45">
        <f>'3) Data'!L104</f>
        <v>0</v>
      </c>
      <c r="M86" s="45">
        <f>'3) Data'!M104</f>
        <v>0</v>
      </c>
      <c r="N86" s="45">
        <f>'3) Data'!N104</f>
        <v>0</v>
      </c>
      <c r="O86" s="45">
        <f>'3) Data'!O104</f>
        <v>0</v>
      </c>
      <c r="P86" s="45">
        <f>'3) Data'!P104</f>
        <v>0</v>
      </c>
      <c r="Q86" s="51"/>
      <c r="R86" s="88"/>
      <c r="S86" s="45">
        <f>'3) Data'!S104</f>
        <v>0</v>
      </c>
      <c r="T86" s="87"/>
    </row>
    <row r="87" spans="2:24" x14ac:dyDescent="0.2">
      <c r="B87" s="2" t="s">
        <v>73</v>
      </c>
      <c r="F87" s="2" t="s">
        <v>83</v>
      </c>
      <c r="L87" s="45">
        <f>'3) Data'!L105</f>
        <v>0</v>
      </c>
      <c r="M87" s="45">
        <f>'3) Data'!M105</f>
        <v>0</v>
      </c>
      <c r="N87" s="45">
        <f>'3) Data'!N105</f>
        <v>0</v>
      </c>
      <c r="O87" s="45">
        <f>'3) Data'!O105</f>
        <v>0</v>
      </c>
      <c r="P87" s="45">
        <f>'3) Data'!P105</f>
        <v>0</v>
      </c>
      <c r="Q87" s="45">
        <f>'3) Data'!Q105</f>
        <v>0</v>
      </c>
      <c r="R87" s="84"/>
      <c r="S87" s="51"/>
      <c r="T87" s="87"/>
    </row>
    <row r="88" spans="2:24" x14ac:dyDescent="0.2">
      <c r="R88" s="10"/>
    </row>
    <row r="89" spans="2:24" x14ac:dyDescent="0.2">
      <c r="B89" s="1" t="s">
        <v>132</v>
      </c>
      <c r="R89" s="10"/>
    </row>
    <row r="90" spans="2:24" x14ac:dyDescent="0.2">
      <c r="B90" s="2" t="s">
        <v>174</v>
      </c>
      <c r="F90" s="2" t="s">
        <v>83</v>
      </c>
      <c r="L90" s="45">
        <f>'3) Data'!L89</f>
        <v>53898</v>
      </c>
      <c r="M90" s="45">
        <f>'3) Data'!M89</f>
        <v>2902934</v>
      </c>
      <c r="N90" s="45">
        <f>'3) Data'!N89</f>
        <v>3209908</v>
      </c>
      <c r="O90" s="45">
        <f>'3) Data'!O89</f>
        <v>32966</v>
      </c>
      <c r="P90" s="45">
        <f>'3) Data'!P89</f>
        <v>2120286</v>
      </c>
      <c r="Q90" s="45">
        <f>'3) Data'!Q89</f>
        <v>75794</v>
      </c>
      <c r="R90" s="88"/>
      <c r="S90" s="45">
        <f>'3) Data'!S89</f>
        <v>216139</v>
      </c>
      <c r="T90" s="87"/>
    </row>
    <row r="91" spans="2:24" x14ac:dyDescent="0.2">
      <c r="B91" s="2" t="s">
        <v>175</v>
      </c>
      <c r="F91" s="2" t="s">
        <v>83</v>
      </c>
      <c r="L91" s="45">
        <f>'3) Data'!L90</f>
        <v>1305</v>
      </c>
      <c r="M91" s="45">
        <f>'3) Data'!M90</f>
        <v>421924</v>
      </c>
      <c r="N91" s="45">
        <f>'3) Data'!N90</f>
        <v>640407</v>
      </c>
      <c r="O91" s="45">
        <f>'3) Data'!O90</f>
        <v>1211</v>
      </c>
      <c r="P91" s="45">
        <f>'3) Data'!P90</f>
        <v>419538</v>
      </c>
      <c r="Q91" s="45">
        <f>'3) Data'!Q90</f>
        <v>5246</v>
      </c>
      <c r="R91" s="88"/>
      <c r="S91" s="45">
        <f>'3) Data'!S90</f>
        <v>37357</v>
      </c>
      <c r="T91" s="87"/>
    </row>
    <row r="92" spans="2:24" x14ac:dyDescent="0.2">
      <c r="B92" s="27" t="s">
        <v>168</v>
      </c>
      <c r="F92" s="2" t="s">
        <v>83</v>
      </c>
      <c r="J92" s="61">
        <f>'4) SAIFI en CAIDI'!J105</f>
        <v>0.18037340067956537</v>
      </c>
      <c r="R92" s="10"/>
    </row>
    <row r="93" spans="2:24" x14ac:dyDescent="0.2">
      <c r="R93" s="10"/>
    </row>
    <row r="94" spans="2:24" x14ac:dyDescent="0.2">
      <c r="B94" s="1" t="s">
        <v>134</v>
      </c>
      <c r="R94" s="10"/>
    </row>
    <row r="95" spans="2:24" x14ac:dyDescent="0.2">
      <c r="B95" s="2" t="s">
        <v>294</v>
      </c>
      <c r="F95" s="2" t="s">
        <v>83</v>
      </c>
      <c r="L95" s="61">
        <f>'4) SAIFI en CAIDI'!L106</f>
        <v>3.2060558833351883E-2</v>
      </c>
      <c r="M95" s="61">
        <f>'4) SAIFI en CAIDI'!M106</f>
        <v>3.2275669542004448E-2</v>
      </c>
      <c r="N95" s="61">
        <f>'4) SAIFI en CAIDI'!N106</f>
        <v>5.1422991194163881E-2</v>
      </c>
      <c r="O95" s="61">
        <f>'4) SAIFI en CAIDI'!O106</f>
        <v>2.4965115573621306E-2</v>
      </c>
      <c r="P95" s="61">
        <f>'4) SAIFI en CAIDI'!P106</f>
        <v>4.6623898851381372E-2</v>
      </c>
      <c r="Q95" s="61">
        <f>'4) SAIFI en CAIDI'!Q106</f>
        <v>2.2912601931062083E-2</v>
      </c>
      <c r="R95" s="93"/>
      <c r="S95" s="61">
        <f>'4) SAIFI en CAIDI'!S106</f>
        <v>6.5837262132238977E-2</v>
      </c>
      <c r="T95" s="87"/>
    </row>
    <row r="96" spans="2:24" x14ac:dyDescent="0.2">
      <c r="R96" s="10"/>
    </row>
    <row r="97" spans="2:26" s="9" customFormat="1" x14ac:dyDescent="0.2">
      <c r="B97" s="9" t="s">
        <v>110</v>
      </c>
    </row>
    <row r="98" spans="2:26" x14ac:dyDescent="0.2">
      <c r="R98" s="10"/>
    </row>
    <row r="99" spans="2:26" x14ac:dyDescent="0.2">
      <c r="B99" s="1" t="s">
        <v>89</v>
      </c>
      <c r="R99" s="10"/>
      <c r="Z99" s="2" t="s">
        <v>285</v>
      </c>
    </row>
    <row r="100" spans="2:26" x14ac:dyDescent="0.2">
      <c r="B100" s="2" t="s">
        <v>101</v>
      </c>
      <c r="F100" s="2" t="s">
        <v>83</v>
      </c>
      <c r="L100" s="51"/>
      <c r="M100" s="45">
        <f>'3) Data'!M120</f>
        <v>54255</v>
      </c>
      <c r="N100" s="45">
        <f>'3) Data'!N120</f>
        <v>0</v>
      </c>
      <c r="O100" s="45">
        <f>'3) Data'!O120</f>
        <v>0</v>
      </c>
      <c r="P100" s="45">
        <f>'3) Data'!P120</f>
        <v>0</v>
      </c>
      <c r="Q100" s="45">
        <f>'3) Data'!Q120</f>
        <v>0</v>
      </c>
      <c r="R100" s="88"/>
      <c r="S100" s="45">
        <f>'3) Data'!S120</f>
        <v>0</v>
      </c>
      <c r="T100" s="87"/>
      <c r="X100" s="31"/>
    </row>
    <row r="101" spans="2:26" x14ac:dyDescent="0.2">
      <c r="B101" s="2" t="s">
        <v>74</v>
      </c>
      <c r="F101" s="2" t="s">
        <v>83</v>
      </c>
      <c r="L101" s="45">
        <f>'3) Data'!L121</f>
        <v>0</v>
      </c>
      <c r="M101" s="51"/>
      <c r="N101" s="45">
        <f>'3) Data'!N121</f>
        <v>467</v>
      </c>
      <c r="O101" s="45">
        <f>'3) Data'!O121</f>
        <v>0</v>
      </c>
      <c r="P101" s="45">
        <f>'3) Data'!P121</f>
        <v>0</v>
      </c>
      <c r="Q101" s="45">
        <f>'3) Data'!Q121</f>
        <v>0</v>
      </c>
      <c r="R101" s="88"/>
      <c r="S101" s="45">
        <f>'3) Data'!S121</f>
        <v>0</v>
      </c>
      <c r="T101" s="87"/>
    </row>
    <row r="102" spans="2:26" x14ac:dyDescent="0.2">
      <c r="B102" s="2" t="s">
        <v>75</v>
      </c>
      <c r="F102" s="2" t="s">
        <v>83</v>
      </c>
      <c r="L102" s="45">
        <f>'3) Data'!L122</f>
        <v>0</v>
      </c>
      <c r="M102" s="45">
        <f>'3) Data'!M122</f>
        <v>16539</v>
      </c>
      <c r="N102" s="51"/>
      <c r="O102" s="45">
        <f>'3) Data'!O122</f>
        <v>0</v>
      </c>
      <c r="P102" s="45">
        <f>'3) Data'!P122</f>
        <v>0</v>
      </c>
      <c r="Q102" s="45">
        <f>'3) Data'!Q122</f>
        <v>0</v>
      </c>
      <c r="R102" s="88"/>
      <c r="S102" s="45">
        <f>'3) Data'!S122</f>
        <v>0</v>
      </c>
      <c r="T102" s="87"/>
    </row>
    <row r="103" spans="2:26" x14ac:dyDescent="0.2">
      <c r="B103" s="2" t="s">
        <v>88</v>
      </c>
      <c r="F103" s="2" t="s">
        <v>83</v>
      </c>
      <c r="L103" s="45">
        <f>'3) Data'!L123</f>
        <v>0</v>
      </c>
      <c r="M103" s="45">
        <f>'3) Data'!M123</f>
        <v>33197</v>
      </c>
      <c r="N103" s="45">
        <f>'3) Data'!N123</f>
        <v>0</v>
      </c>
      <c r="O103" s="51"/>
      <c r="P103" s="45">
        <f>'3) Data'!P123</f>
        <v>0</v>
      </c>
      <c r="Q103" s="45">
        <f>'3) Data'!Q123</f>
        <v>0</v>
      </c>
      <c r="R103" s="88"/>
      <c r="S103" s="45">
        <f>'3) Data'!S123</f>
        <v>0</v>
      </c>
      <c r="T103" s="87"/>
    </row>
    <row r="104" spans="2:26" x14ac:dyDescent="0.2">
      <c r="B104" s="2" t="s">
        <v>77</v>
      </c>
      <c r="F104" s="2" t="s">
        <v>83</v>
      </c>
      <c r="L104" s="45">
        <f>'3) Data'!L124</f>
        <v>0</v>
      </c>
      <c r="M104" s="45">
        <f>'3) Data'!M124</f>
        <v>0</v>
      </c>
      <c r="N104" s="45">
        <f>'3) Data'!N124</f>
        <v>27195</v>
      </c>
      <c r="O104" s="45">
        <f>'3) Data'!O124</f>
        <v>0</v>
      </c>
      <c r="P104" s="51"/>
      <c r="Q104" s="45">
        <f>'3) Data'!Q124</f>
        <v>15906</v>
      </c>
      <c r="R104" s="88"/>
      <c r="S104" s="45">
        <f>'3) Data'!S124</f>
        <v>0</v>
      </c>
      <c r="T104" s="87"/>
    </row>
    <row r="105" spans="2:26" x14ac:dyDescent="0.2">
      <c r="B105" s="2" t="s">
        <v>78</v>
      </c>
      <c r="F105" s="2" t="s">
        <v>83</v>
      </c>
      <c r="L105" s="45">
        <f>'3) Data'!L125</f>
        <v>0</v>
      </c>
      <c r="M105" s="45">
        <f>'3) Data'!M125</f>
        <v>0</v>
      </c>
      <c r="N105" s="45">
        <f>'3) Data'!N125</f>
        <v>0</v>
      </c>
      <c r="O105" s="45">
        <f>'3) Data'!O125</f>
        <v>0</v>
      </c>
      <c r="P105" s="45">
        <f>'3) Data'!P125</f>
        <v>0</v>
      </c>
      <c r="Q105" s="51"/>
      <c r="R105" s="88"/>
      <c r="S105" s="45">
        <f>'3) Data'!S125</f>
        <v>0</v>
      </c>
      <c r="T105" s="87"/>
    </row>
    <row r="106" spans="2:26" x14ac:dyDescent="0.2">
      <c r="B106" s="2" t="s">
        <v>73</v>
      </c>
      <c r="F106" s="2" t="s">
        <v>83</v>
      </c>
      <c r="L106" s="45">
        <f>'3) Data'!L126</f>
        <v>0</v>
      </c>
      <c r="M106" s="45">
        <f>'3) Data'!M126</f>
        <v>0</v>
      </c>
      <c r="N106" s="45">
        <f>'3) Data'!N126</f>
        <v>0</v>
      </c>
      <c r="O106" s="45">
        <f>'3) Data'!O126</f>
        <v>0</v>
      </c>
      <c r="P106" s="45">
        <f>'3) Data'!P126</f>
        <v>0</v>
      </c>
      <c r="Q106" s="45">
        <f>'3) Data'!Q126</f>
        <v>0</v>
      </c>
      <c r="R106" s="84"/>
      <c r="S106" s="51"/>
      <c r="T106" s="87"/>
    </row>
    <row r="107" spans="2:26" x14ac:dyDescent="0.2">
      <c r="R107" s="10"/>
    </row>
    <row r="108" spans="2:26" x14ac:dyDescent="0.2">
      <c r="B108" s="1" t="s">
        <v>132</v>
      </c>
      <c r="R108" s="10"/>
    </row>
    <row r="109" spans="2:26" x14ac:dyDescent="0.2">
      <c r="B109" s="2" t="s">
        <v>174</v>
      </c>
      <c r="F109" s="2" t="s">
        <v>83</v>
      </c>
      <c r="L109" s="45">
        <f>'3) Data'!L110</f>
        <v>54255</v>
      </c>
      <c r="M109" s="45">
        <f>'3) Data'!M110</f>
        <v>2938523</v>
      </c>
      <c r="N109" s="45">
        <f>'3) Data'!N110</f>
        <v>3248893</v>
      </c>
      <c r="O109" s="45">
        <f>'3) Data'!O110</f>
        <v>33197</v>
      </c>
      <c r="P109" s="45">
        <f>'3) Data'!P110</f>
        <v>2136891</v>
      </c>
      <c r="Q109" s="45">
        <f>'3) Data'!Q110</f>
        <v>77937</v>
      </c>
      <c r="R109" s="88"/>
      <c r="S109" s="45">
        <f>'3) Data'!S110</f>
        <v>217740</v>
      </c>
      <c r="T109" s="87"/>
    </row>
    <row r="110" spans="2:26" x14ac:dyDescent="0.2">
      <c r="B110" s="2" t="s">
        <v>175</v>
      </c>
      <c r="F110" s="2" t="s">
        <v>83</v>
      </c>
      <c r="L110" s="45">
        <f>'3) Data'!L111</f>
        <v>1099</v>
      </c>
      <c r="M110" s="45">
        <f>'3) Data'!M111</f>
        <v>388888</v>
      </c>
      <c r="N110" s="45">
        <f>'3) Data'!N111</f>
        <v>780268</v>
      </c>
      <c r="O110" s="45">
        <f>'3) Data'!O111</f>
        <v>2767</v>
      </c>
      <c r="P110" s="45">
        <f>'3) Data'!P111</f>
        <v>397023</v>
      </c>
      <c r="Q110" s="45">
        <f>'3) Data'!Q111</f>
        <v>721</v>
      </c>
      <c r="R110" s="88"/>
      <c r="S110" s="45">
        <f>'3) Data'!S111</f>
        <v>35419</v>
      </c>
      <c r="T110" s="87"/>
    </row>
    <row r="111" spans="2:26" x14ac:dyDescent="0.2">
      <c r="B111" s="27" t="s">
        <v>168</v>
      </c>
      <c r="C111" s="27"/>
      <c r="D111" s="27"/>
      <c r="E111" s="27"/>
      <c r="F111" s="27" t="s">
        <v>83</v>
      </c>
      <c r="G111" s="27"/>
      <c r="H111" s="27"/>
      <c r="I111" s="27"/>
      <c r="J111" s="117">
        <f>'4) SAIFI en CAIDI'!J114</f>
        <v>0.18764113082466022</v>
      </c>
      <c r="R111" s="10"/>
    </row>
    <row r="112" spans="2:26" x14ac:dyDescent="0.2">
      <c r="R112" s="10"/>
    </row>
    <row r="113" spans="2:26" x14ac:dyDescent="0.2">
      <c r="B113" s="1" t="s">
        <v>134</v>
      </c>
      <c r="R113" s="10"/>
    </row>
    <row r="114" spans="2:26" x14ac:dyDescent="0.2">
      <c r="B114" s="2" t="s">
        <v>294</v>
      </c>
      <c r="F114" s="2" t="s">
        <v>83</v>
      </c>
      <c r="L114" s="61">
        <f>'4) SAIFI en CAIDI'!L115</f>
        <v>2.8421343654962676E-2</v>
      </c>
      <c r="M114" s="61">
        <f>'4) SAIFI en CAIDI'!M115</f>
        <v>3.5285895519965908E-2</v>
      </c>
      <c r="N114" s="61">
        <f>'4) SAIFI en CAIDI'!N115</f>
        <v>5.0392846709844778E-2</v>
      </c>
      <c r="O114" s="61">
        <f>'4) SAIFI en CAIDI'!O115</f>
        <v>1.8254661565804138E-2</v>
      </c>
      <c r="P114" s="61">
        <f>'4) SAIFI en CAIDI'!P115</f>
        <v>4.6461892534527968E-2</v>
      </c>
      <c r="Q114" s="61">
        <f>'4) SAIFI en CAIDI'!Q115</f>
        <v>2.6841418000677082E-2</v>
      </c>
      <c r="R114" s="93"/>
      <c r="S114" s="61">
        <f>'4) SAIFI en CAIDI'!S115</f>
        <v>6.8352163130338942E-2</v>
      </c>
      <c r="T114" s="87"/>
    </row>
    <row r="116" spans="2:26" s="9" customFormat="1" x14ac:dyDescent="0.2">
      <c r="B116" s="9" t="s">
        <v>111</v>
      </c>
    </row>
    <row r="118" spans="2:26" x14ac:dyDescent="0.2">
      <c r="B118" s="1" t="s">
        <v>112</v>
      </c>
      <c r="R118" s="10"/>
      <c r="Z118" s="2" t="s">
        <v>285</v>
      </c>
    </row>
    <row r="119" spans="2:26" x14ac:dyDescent="0.2">
      <c r="B119" s="2" t="s">
        <v>101</v>
      </c>
      <c r="F119" s="2" t="s">
        <v>83</v>
      </c>
      <c r="L119" s="51"/>
      <c r="M119" s="46">
        <f>M23*$J$35</f>
        <v>9126.9129930898871</v>
      </c>
      <c r="N119" s="46">
        <f>N23*$J$35</f>
        <v>0</v>
      </c>
      <c r="O119" s="46">
        <f>O23*$J$35</f>
        <v>0</v>
      </c>
      <c r="P119" s="46">
        <f>P23*$J$35</f>
        <v>0</v>
      </c>
      <c r="Q119" s="46">
        <f>Q23*$J$35</f>
        <v>0</v>
      </c>
      <c r="R119" s="91"/>
      <c r="S119" s="46">
        <f t="shared" ref="S119:T124" si="0">S23*$J$35</f>
        <v>0</v>
      </c>
      <c r="T119" s="46">
        <f t="shared" si="0"/>
        <v>0</v>
      </c>
      <c r="X119" s="31"/>
    </row>
    <row r="120" spans="2:26" x14ac:dyDescent="0.2">
      <c r="B120" s="2" t="s">
        <v>74</v>
      </c>
      <c r="F120" s="2" t="s">
        <v>83</v>
      </c>
      <c r="L120" s="46">
        <f t="shared" ref="L120:L126" si="1">L24*$J$35</f>
        <v>19.080654340954467</v>
      </c>
      <c r="M120" s="51"/>
      <c r="N120" s="46">
        <f>N24*$J$35</f>
        <v>28.706930404859424</v>
      </c>
      <c r="O120" s="46">
        <f>O24*$J$35</f>
        <v>0</v>
      </c>
      <c r="P120" s="46">
        <f>P24*$J$35</f>
        <v>0</v>
      </c>
      <c r="Q120" s="46">
        <f>Q24*$J$35</f>
        <v>0</v>
      </c>
      <c r="R120" s="91"/>
      <c r="S120" s="46">
        <f t="shared" si="0"/>
        <v>0</v>
      </c>
      <c r="T120" s="46">
        <f t="shared" si="0"/>
        <v>2.4065690159762392</v>
      </c>
    </row>
    <row r="121" spans="2:26" x14ac:dyDescent="0.2">
      <c r="B121" s="2" t="s">
        <v>75</v>
      </c>
      <c r="F121" s="2" t="s">
        <v>83</v>
      </c>
      <c r="L121" s="46">
        <f t="shared" si="1"/>
        <v>0</v>
      </c>
      <c r="M121" s="46">
        <f t="shared" ref="M121:M126" si="2">M25*$J$35</f>
        <v>2792.8233430404257</v>
      </c>
      <c r="N121" s="51"/>
      <c r="O121" s="46">
        <f>O25*$J$35</f>
        <v>0</v>
      </c>
      <c r="P121" s="46">
        <f>P25*$J$35</f>
        <v>0</v>
      </c>
      <c r="Q121" s="46">
        <f>Q25*$J$35</f>
        <v>0</v>
      </c>
      <c r="R121" s="91"/>
      <c r="S121" s="46">
        <f t="shared" si="0"/>
        <v>0</v>
      </c>
      <c r="T121" s="46">
        <f t="shared" si="0"/>
        <v>0</v>
      </c>
    </row>
    <row r="122" spans="2:26" x14ac:dyDescent="0.2">
      <c r="B122" s="2" t="s">
        <v>88</v>
      </c>
      <c r="F122" s="2" t="s">
        <v>83</v>
      </c>
      <c r="L122" s="46">
        <f t="shared" si="1"/>
        <v>0</v>
      </c>
      <c r="M122" s="46">
        <f t="shared" si="2"/>
        <v>5570.0039874770055</v>
      </c>
      <c r="N122" s="46">
        <f>N26*$J$35</f>
        <v>0</v>
      </c>
      <c r="O122" s="51"/>
      <c r="P122" s="46">
        <f>P26*$J$35</f>
        <v>0</v>
      </c>
      <c r="Q122" s="46">
        <f>Q26*$J$35</f>
        <v>0</v>
      </c>
      <c r="R122" s="91"/>
      <c r="S122" s="46">
        <f t="shared" si="0"/>
        <v>0</v>
      </c>
      <c r="T122" s="46">
        <f t="shared" si="0"/>
        <v>0</v>
      </c>
    </row>
    <row r="123" spans="2:26" x14ac:dyDescent="0.2">
      <c r="B123" s="2" t="s">
        <v>77</v>
      </c>
      <c r="F123" s="2" t="s">
        <v>83</v>
      </c>
      <c r="L123" s="46">
        <f t="shared" si="1"/>
        <v>0</v>
      </c>
      <c r="M123" s="46">
        <f t="shared" si="2"/>
        <v>4075.8684241294718</v>
      </c>
      <c r="N123" s="46">
        <f>N27*$J$35</f>
        <v>4557.5260228984307</v>
      </c>
      <c r="O123" s="46">
        <f>O27*$J$35</f>
        <v>0</v>
      </c>
      <c r="P123" s="51"/>
      <c r="Q123" s="46">
        <f>Q27*$J$35</f>
        <v>2750.1926919002749</v>
      </c>
      <c r="R123" s="91"/>
      <c r="S123" s="46">
        <f t="shared" si="0"/>
        <v>0</v>
      </c>
      <c r="T123" s="46">
        <f t="shared" si="0"/>
        <v>0</v>
      </c>
    </row>
    <row r="124" spans="2:26" x14ac:dyDescent="0.2">
      <c r="B124" s="2" t="s">
        <v>78</v>
      </c>
      <c r="F124" s="2" t="s">
        <v>83</v>
      </c>
      <c r="L124" s="46">
        <f t="shared" si="1"/>
        <v>0</v>
      </c>
      <c r="M124" s="46">
        <f t="shared" si="2"/>
        <v>0</v>
      </c>
      <c r="N124" s="46">
        <f>N28*$J$35</f>
        <v>0</v>
      </c>
      <c r="O124" s="46">
        <f>O28*$J$35</f>
        <v>0</v>
      </c>
      <c r="P124" s="46">
        <f>P28*$J$35</f>
        <v>0</v>
      </c>
      <c r="Q124" s="51"/>
      <c r="R124" s="91"/>
      <c r="S124" s="46">
        <f t="shared" si="0"/>
        <v>0</v>
      </c>
      <c r="T124" s="46">
        <f t="shared" si="0"/>
        <v>0</v>
      </c>
    </row>
    <row r="125" spans="2:26" x14ac:dyDescent="0.2">
      <c r="B125" s="2" t="s">
        <v>73</v>
      </c>
      <c r="F125" s="2" t="s">
        <v>83</v>
      </c>
      <c r="L125" s="46">
        <f t="shared" si="1"/>
        <v>0</v>
      </c>
      <c r="M125" s="46">
        <f t="shared" si="2"/>
        <v>0</v>
      </c>
      <c r="N125" s="46">
        <f>N29*$J$35</f>
        <v>0</v>
      </c>
      <c r="O125" s="46">
        <f>O29*$J$35</f>
        <v>0</v>
      </c>
      <c r="P125" s="46">
        <f>P29*$J$35</f>
        <v>0</v>
      </c>
      <c r="Q125" s="46">
        <f>Q29*$J$35</f>
        <v>0</v>
      </c>
      <c r="R125" s="84"/>
      <c r="S125" s="51"/>
      <c r="T125" s="46">
        <f>T29*$J$35</f>
        <v>0</v>
      </c>
    </row>
    <row r="126" spans="2:26" x14ac:dyDescent="0.2">
      <c r="B126" s="2" t="s">
        <v>198</v>
      </c>
      <c r="F126" s="2" t="s">
        <v>83</v>
      </c>
      <c r="L126" s="46">
        <f t="shared" si="1"/>
        <v>0</v>
      </c>
      <c r="M126" s="46">
        <f t="shared" si="2"/>
        <v>19081.857625462457</v>
      </c>
      <c r="N126" s="46">
        <f>N30*$J$35</f>
        <v>0</v>
      </c>
      <c r="O126" s="46">
        <f>O30*$J$35</f>
        <v>0</v>
      </c>
      <c r="P126" s="46">
        <f>P30*$J$35</f>
        <v>0</v>
      </c>
      <c r="Q126" s="46">
        <f>Q30*$J$35</f>
        <v>0</v>
      </c>
      <c r="R126" s="91"/>
      <c r="S126" s="46">
        <f>S30*$J$35</f>
        <v>0</v>
      </c>
      <c r="T126" s="51"/>
    </row>
    <row r="127" spans="2:26" x14ac:dyDescent="0.2">
      <c r="R127" s="10"/>
    </row>
    <row r="128" spans="2:26" s="9" customFormat="1" x14ac:dyDescent="0.2">
      <c r="B128" s="9" t="s">
        <v>113</v>
      </c>
    </row>
    <row r="129" spans="2:26" x14ac:dyDescent="0.2">
      <c r="R129" s="10"/>
    </row>
    <row r="130" spans="2:26" x14ac:dyDescent="0.2">
      <c r="B130" s="1" t="s">
        <v>112</v>
      </c>
      <c r="R130" s="10"/>
      <c r="Z130" s="2" t="s">
        <v>285</v>
      </c>
    </row>
    <row r="131" spans="2:26" x14ac:dyDescent="0.2">
      <c r="B131" s="2" t="s">
        <v>101</v>
      </c>
      <c r="F131" s="2" t="s">
        <v>83</v>
      </c>
      <c r="L131" s="51"/>
      <c r="M131" s="46">
        <f>M43*$J$54</f>
        <v>7436.1651563340347</v>
      </c>
      <c r="N131" s="46">
        <f>N43*$J$54</f>
        <v>0</v>
      </c>
      <c r="O131" s="46">
        <f>O43*$J$54</f>
        <v>0</v>
      </c>
      <c r="P131" s="46">
        <f>P43*$J$54</f>
        <v>0</v>
      </c>
      <c r="Q131" s="46">
        <f>Q43*$J$54</f>
        <v>0</v>
      </c>
      <c r="R131" s="91"/>
      <c r="S131" s="46">
        <f t="shared" ref="S131:S136" si="3">S43*$J$54</f>
        <v>0</v>
      </c>
      <c r="T131" s="87"/>
      <c r="X131" s="31"/>
    </row>
    <row r="132" spans="2:26" x14ac:dyDescent="0.2">
      <c r="B132" s="2" t="s">
        <v>74</v>
      </c>
      <c r="F132" s="2" t="s">
        <v>83</v>
      </c>
      <c r="L132" s="46">
        <f t="shared" ref="L132:L137" si="4">L44*$J$54</f>
        <v>15.91399928329948</v>
      </c>
      <c r="M132" s="51"/>
      <c r="N132" s="46">
        <f>N44*$J$54</f>
        <v>65.470751437433819</v>
      </c>
      <c r="O132" s="46">
        <f>O44*$J$54</f>
        <v>0</v>
      </c>
      <c r="P132" s="46">
        <f>P44*$J$54</f>
        <v>0</v>
      </c>
      <c r="Q132" s="46">
        <f>Q44*$J$54</f>
        <v>0</v>
      </c>
      <c r="R132" s="91"/>
      <c r="S132" s="46">
        <f t="shared" si="3"/>
        <v>0</v>
      </c>
      <c r="T132" s="87"/>
    </row>
    <row r="133" spans="2:26" x14ac:dyDescent="0.2">
      <c r="B133" s="2" t="s">
        <v>75</v>
      </c>
      <c r="F133" s="2" t="s">
        <v>83</v>
      </c>
      <c r="L133" s="46">
        <f t="shared" si="4"/>
        <v>0</v>
      </c>
      <c r="M133" s="46">
        <f>M45*$J$54</f>
        <v>2247.3638110687571</v>
      </c>
      <c r="N133" s="51"/>
      <c r="O133" s="46">
        <f>O45*$J$54</f>
        <v>0</v>
      </c>
      <c r="P133" s="46">
        <f>P45*$J$54</f>
        <v>0</v>
      </c>
      <c r="Q133" s="46">
        <f>Q45*$J$54</f>
        <v>0</v>
      </c>
      <c r="R133" s="91"/>
      <c r="S133" s="46">
        <f t="shared" si="3"/>
        <v>0</v>
      </c>
      <c r="T133" s="87"/>
    </row>
    <row r="134" spans="2:26" x14ac:dyDescent="0.2">
      <c r="B134" s="2" t="s">
        <v>88</v>
      </c>
      <c r="F134" s="2" t="s">
        <v>83</v>
      </c>
      <c r="L134" s="46">
        <f t="shared" si="4"/>
        <v>0</v>
      </c>
      <c r="M134" s="46">
        <f>M46*$J$54</f>
        <v>4544.005181321766</v>
      </c>
      <c r="N134" s="46">
        <f>N46*$J$54</f>
        <v>0</v>
      </c>
      <c r="O134" s="51"/>
      <c r="P134" s="46">
        <f>P46*$J$54</f>
        <v>0</v>
      </c>
      <c r="Q134" s="46">
        <f>Q46*$J$54</f>
        <v>0</v>
      </c>
      <c r="R134" s="91"/>
      <c r="S134" s="46">
        <f t="shared" si="3"/>
        <v>0</v>
      </c>
      <c r="T134" s="87"/>
    </row>
    <row r="135" spans="2:26" x14ac:dyDescent="0.2">
      <c r="B135" s="2" t="s">
        <v>77</v>
      </c>
      <c r="F135" s="2" t="s">
        <v>83</v>
      </c>
      <c r="L135" s="46">
        <f t="shared" si="4"/>
        <v>0</v>
      </c>
      <c r="M135" s="46">
        <f>M47*$J$54</f>
        <v>0</v>
      </c>
      <c r="N135" s="46">
        <f>N47*$J$54</f>
        <v>4590.3512143222524</v>
      </c>
      <c r="O135" s="46">
        <f>O47*$J$54</f>
        <v>0</v>
      </c>
      <c r="P135" s="51"/>
      <c r="Q135" s="46">
        <f>Q47*$J$54</f>
        <v>2239.4068114271076</v>
      </c>
      <c r="R135" s="91"/>
      <c r="S135" s="46">
        <f t="shared" si="3"/>
        <v>0</v>
      </c>
      <c r="T135" s="87"/>
    </row>
    <row r="136" spans="2:26" x14ac:dyDescent="0.2">
      <c r="B136" s="2" t="s">
        <v>78</v>
      </c>
      <c r="F136" s="2" t="s">
        <v>83</v>
      </c>
      <c r="L136" s="46">
        <f t="shared" si="4"/>
        <v>0</v>
      </c>
      <c r="M136" s="46">
        <f>M48*$J$54</f>
        <v>0</v>
      </c>
      <c r="N136" s="46">
        <f>N48*$J$54</f>
        <v>0</v>
      </c>
      <c r="O136" s="46">
        <f>O48*$J$54</f>
        <v>0</v>
      </c>
      <c r="P136" s="46">
        <f>P48*$J$54</f>
        <v>0</v>
      </c>
      <c r="Q136" s="51"/>
      <c r="R136" s="91"/>
      <c r="S136" s="46">
        <f t="shared" si="3"/>
        <v>0</v>
      </c>
      <c r="T136" s="87"/>
    </row>
    <row r="137" spans="2:26" x14ac:dyDescent="0.2">
      <c r="B137" s="2" t="s">
        <v>73</v>
      </c>
      <c r="F137" s="2" t="s">
        <v>83</v>
      </c>
      <c r="L137" s="46">
        <f t="shared" si="4"/>
        <v>0</v>
      </c>
      <c r="M137" s="46">
        <f>M49*$J$54</f>
        <v>0</v>
      </c>
      <c r="N137" s="46">
        <f>N49*$J$54</f>
        <v>0</v>
      </c>
      <c r="O137" s="46">
        <f>O49*$J$54</f>
        <v>0</v>
      </c>
      <c r="P137" s="46">
        <f>P49*$J$54</f>
        <v>0</v>
      </c>
      <c r="Q137" s="46">
        <f>Q49*$J$54</f>
        <v>0</v>
      </c>
      <c r="R137" s="84"/>
      <c r="S137" s="51"/>
      <c r="T137" s="87"/>
    </row>
    <row r="138" spans="2:26" x14ac:dyDescent="0.2">
      <c r="R138" s="10"/>
    </row>
    <row r="139" spans="2:26" s="9" customFormat="1" x14ac:dyDescent="0.2">
      <c r="B139" s="9" t="s">
        <v>114</v>
      </c>
    </row>
    <row r="141" spans="2:26" x14ac:dyDescent="0.2">
      <c r="B141" s="1" t="s">
        <v>112</v>
      </c>
      <c r="R141" s="10"/>
      <c r="Z141" s="2" t="s">
        <v>285</v>
      </c>
    </row>
    <row r="142" spans="2:26" x14ac:dyDescent="0.2">
      <c r="B142" s="2" t="s">
        <v>101</v>
      </c>
      <c r="F142" s="2" t="s">
        <v>83</v>
      </c>
      <c r="L142" s="51"/>
      <c r="M142" s="46">
        <f>M62*$J$73</f>
        <v>10990.840738064702</v>
      </c>
      <c r="N142" s="46">
        <f>N62*$J$73</f>
        <v>0</v>
      </c>
      <c r="O142" s="46">
        <f>O62*$J$73</f>
        <v>0</v>
      </c>
      <c r="P142" s="46">
        <f>P62*$J$73</f>
        <v>0</v>
      </c>
      <c r="Q142" s="46">
        <f>Q62*$J$73</f>
        <v>0</v>
      </c>
      <c r="R142" s="91"/>
      <c r="S142" s="46">
        <f t="shared" ref="S142:S147" si="5">S62*$J$73</f>
        <v>0</v>
      </c>
      <c r="T142" s="87"/>
      <c r="X142" s="31"/>
    </row>
    <row r="143" spans="2:26" x14ac:dyDescent="0.2">
      <c r="B143" s="2" t="s">
        <v>74</v>
      </c>
      <c r="F143" s="2" t="s">
        <v>83</v>
      </c>
      <c r="L143" s="46">
        <f t="shared" ref="L143:L148" si="6">L63*$J$73</f>
        <v>0</v>
      </c>
      <c r="M143" s="51"/>
      <c r="N143" s="46">
        <f>N63*$J$73</f>
        <v>96.671945090075909</v>
      </c>
      <c r="O143" s="46">
        <f>O63*$J$73</f>
        <v>0</v>
      </c>
      <c r="P143" s="46">
        <f>P63*$J$73</f>
        <v>0</v>
      </c>
      <c r="Q143" s="46">
        <f>Q63*$J$73</f>
        <v>0</v>
      </c>
      <c r="R143" s="91"/>
      <c r="S143" s="46">
        <f t="shared" si="5"/>
        <v>0</v>
      </c>
      <c r="T143" s="87"/>
    </row>
    <row r="144" spans="2:26" x14ac:dyDescent="0.2">
      <c r="B144" s="2" t="s">
        <v>75</v>
      </c>
      <c r="F144" s="2" t="s">
        <v>83</v>
      </c>
      <c r="L144" s="46">
        <f t="shared" si="6"/>
        <v>0</v>
      </c>
      <c r="M144" s="46">
        <f>M64*$J$73</f>
        <v>3327.2800464017419</v>
      </c>
      <c r="N144" s="51"/>
      <c r="O144" s="46">
        <f>O64*$J$73</f>
        <v>0</v>
      </c>
      <c r="P144" s="46">
        <f>P64*$J$73</f>
        <v>0</v>
      </c>
      <c r="Q144" s="46">
        <f>Q64*$J$73</f>
        <v>0</v>
      </c>
      <c r="R144" s="91"/>
      <c r="S144" s="46">
        <f t="shared" si="5"/>
        <v>0</v>
      </c>
      <c r="T144" s="87"/>
    </row>
    <row r="145" spans="2:26" x14ac:dyDescent="0.2">
      <c r="B145" s="2" t="s">
        <v>88</v>
      </c>
      <c r="F145" s="2" t="s">
        <v>83</v>
      </c>
      <c r="L145" s="46">
        <f t="shared" si="6"/>
        <v>0</v>
      </c>
      <c r="M145" s="46">
        <f>M65*$J$73</f>
        <v>6680.0108808951391</v>
      </c>
      <c r="N145" s="46">
        <f>N65*$J$73</f>
        <v>0</v>
      </c>
      <c r="O145" s="51"/>
      <c r="P145" s="46">
        <f>P65*$J$73</f>
        <v>0</v>
      </c>
      <c r="Q145" s="46">
        <f>Q65*$J$73</f>
        <v>0</v>
      </c>
      <c r="R145" s="91"/>
      <c r="S145" s="46">
        <f t="shared" si="5"/>
        <v>0</v>
      </c>
      <c r="T145" s="87"/>
    </row>
    <row r="146" spans="2:26" x14ac:dyDescent="0.2">
      <c r="B146" s="2" t="s">
        <v>77</v>
      </c>
      <c r="F146" s="2" t="s">
        <v>83</v>
      </c>
      <c r="L146" s="46">
        <f t="shared" si="6"/>
        <v>0</v>
      </c>
      <c r="M146" s="46">
        <f>M66*$J$73</f>
        <v>0</v>
      </c>
      <c r="N146" s="46">
        <f>N66*$J$73</f>
        <v>5424.9175810526458</v>
      </c>
      <c r="O146" s="46">
        <f>O66*$J$73</f>
        <v>0</v>
      </c>
      <c r="P146" s="51"/>
      <c r="Q146" s="46">
        <f>Q66*$J$73</f>
        <v>3239.0232812451973</v>
      </c>
      <c r="R146" s="91"/>
      <c r="S146" s="46">
        <f t="shared" si="5"/>
        <v>0</v>
      </c>
      <c r="T146" s="87"/>
    </row>
    <row r="147" spans="2:26" x14ac:dyDescent="0.2">
      <c r="B147" s="2" t="s">
        <v>78</v>
      </c>
      <c r="F147" s="2" t="s">
        <v>83</v>
      </c>
      <c r="L147" s="46">
        <f t="shared" si="6"/>
        <v>0</v>
      </c>
      <c r="M147" s="46">
        <f>M67*$J$73</f>
        <v>0</v>
      </c>
      <c r="N147" s="46">
        <f>N67*$J$73</f>
        <v>0</v>
      </c>
      <c r="O147" s="46">
        <f>O67*$J$73</f>
        <v>0</v>
      </c>
      <c r="P147" s="46">
        <f>P67*$J$73</f>
        <v>0</v>
      </c>
      <c r="Q147" s="51"/>
      <c r="R147" s="91"/>
      <c r="S147" s="46">
        <f t="shared" si="5"/>
        <v>0</v>
      </c>
      <c r="T147" s="87"/>
    </row>
    <row r="148" spans="2:26" x14ac:dyDescent="0.2">
      <c r="B148" s="2" t="s">
        <v>73</v>
      </c>
      <c r="F148" s="2" t="s">
        <v>83</v>
      </c>
      <c r="L148" s="46">
        <f t="shared" si="6"/>
        <v>0</v>
      </c>
      <c r="M148" s="46">
        <f>M68*$J$73</f>
        <v>0</v>
      </c>
      <c r="N148" s="46">
        <f>N68*$J$73</f>
        <v>0</v>
      </c>
      <c r="O148" s="46">
        <f>O68*$J$73</f>
        <v>0</v>
      </c>
      <c r="P148" s="46">
        <f>P68*$J$73</f>
        <v>0</v>
      </c>
      <c r="Q148" s="46">
        <f>Q68*$J$73</f>
        <v>0</v>
      </c>
      <c r="R148" s="84"/>
      <c r="S148" s="51"/>
      <c r="T148" s="87"/>
    </row>
    <row r="149" spans="2:26" x14ac:dyDescent="0.2">
      <c r="R149" s="10"/>
    </row>
    <row r="150" spans="2:26" s="9" customFormat="1" x14ac:dyDescent="0.2">
      <c r="B150" s="9" t="s">
        <v>115</v>
      </c>
    </row>
    <row r="152" spans="2:26" x14ac:dyDescent="0.2">
      <c r="B152" s="1" t="s">
        <v>112</v>
      </c>
      <c r="R152" s="10"/>
      <c r="Z152" s="2" t="s">
        <v>285</v>
      </c>
    </row>
    <row r="153" spans="2:26" x14ac:dyDescent="0.2">
      <c r="B153" s="2" t="s">
        <v>101</v>
      </c>
      <c r="F153" s="2" t="s">
        <v>83</v>
      </c>
      <c r="L153" s="51"/>
      <c r="M153" s="46">
        <f>M81*$J$92</f>
        <v>9721.7655498272143</v>
      </c>
      <c r="N153" s="46">
        <f>N81*$J$92</f>
        <v>0</v>
      </c>
      <c r="O153" s="46">
        <f>O81*$J$92</f>
        <v>0</v>
      </c>
      <c r="P153" s="46">
        <f>P81*$J$92</f>
        <v>0</v>
      </c>
      <c r="Q153" s="46">
        <f>Q81*$J$92</f>
        <v>0</v>
      </c>
      <c r="R153" s="91"/>
      <c r="S153" s="46">
        <f t="shared" ref="S153:S158" si="7">S81*$J$92</f>
        <v>0</v>
      </c>
      <c r="T153" s="87"/>
      <c r="X153" s="31"/>
    </row>
    <row r="154" spans="2:26" x14ac:dyDescent="0.2">
      <c r="B154" s="2" t="s">
        <v>74</v>
      </c>
      <c r="F154" s="2" t="s">
        <v>83</v>
      </c>
      <c r="L154" s="46">
        <f t="shared" ref="L154:L159" si="8">L82*$J$92</f>
        <v>0</v>
      </c>
      <c r="M154" s="51"/>
      <c r="N154" s="46">
        <f>N82*$J$92</f>
        <v>84.054004716677454</v>
      </c>
      <c r="O154" s="46">
        <f>O82*$J$92</f>
        <v>0</v>
      </c>
      <c r="P154" s="46">
        <f>P82*$J$92</f>
        <v>0</v>
      </c>
      <c r="Q154" s="46">
        <f>Q82*$J$92</f>
        <v>0</v>
      </c>
      <c r="R154" s="91"/>
      <c r="S154" s="46">
        <f t="shared" si="7"/>
        <v>0</v>
      </c>
      <c r="T154" s="87"/>
    </row>
    <row r="155" spans="2:26" x14ac:dyDescent="0.2">
      <c r="B155" s="2" t="s">
        <v>75</v>
      </c>
      <c r="F155" s="2" t="s">
        <v>83</v>
      </c>
      <c r="L155" s="46">
        <f t="shared" si="8"/>
        <v>0</v>
      </c>
      <c r="M155" s="46">
        <f>M83*$J$92</f>
        <v>2937.0200832653627</v>
      </c>
      <c r="N155" s="51"/>
      <c r="O155" s="46">
        <f>O83*$J$92</f>
        <v>0</v>
      </c>
      <c r="P155" s="46">
        <f>P83*$J$92</f>
        <v>0</v>
      </c>
      <c r="Q155" s="46">
        <f>Q83*$J$92</f>
        <v>0</v>
      </c>
      <c r="R155" s="91"/>
      <c r="S155" s="46">
        <f t="shared" si="7"/>
        <v>0</v>
      </c>
      <c r="T155" s="87"/>
    </row>
    <row r="156" spans="2:26" x14ac:dyDescent="0.2">
      <c r="B156" s="2" t="s">
        <v>88</v>
      </c>
      <c r="F156" s="2" t="s">
        <v>83</v>
      </c>
      <c r="L156" s="46">
        <f t="shared" si="8"/>
        <v>0</v>
      </c>
      <c r="M156" s="46">
        <f>M84*$J$92</f>
        <v>5946.1895268025519</v>
      </c>
      <c r="N156" s="46">
        <f>N84*$J$92</f>
        <v>0</v>
      </c>
      <c r="O156" s="51"/>
      <c r="P156" s="46">
        <f>P84*$J$92</f>
        <v>0</v>
      </c>
      <c r="Q156" s="46">
        <f>Q84*$J$92</f>
        <v>0</v>
      </c>
      <c r="R156" s="91"/>
      <c r="S156" s="46">
        <f t="shared" si="7"/>
        <v>0</v>
      </c>
      <c r="T156" s="87"/>
    </row>
    <row r="157" spans="2:26" x14ac:dyDescent="0.2">
      <c r="B157" s="2" t="s">
        <v>77</v>
      </c>
      <c r="F157" s="2" t="s">
        <v>83</v>
      </c>
      <c r="L157" s="46">
        <f t="shared" si="8"/>
        <v>0</v>
      </c>
      <c r="M157" s="46">
        <f>M85*$J$92</f>
        <v>0</v>
      </c>
      <c r="N157" s="46">
        <f>N85*$J$92</f>
        <v>4830.3996701987608</v>
      </c>
      <c r="O157" s="46">
        <f>O85*$J$92</f>
        <v>0</v>
      </c>
      <c r="P157" s="51"/>
      <c r="Q157" s="46">
        <f>Q85*$J$92</f>
        <v>2854.7698125554812</v>
      </c>
      <c r="R157" s="91"/>
      <c r="S157" s="46">
        <f t="shared" si="7"/>
        <v>0</v>
      </c>
      <c r="T157" s="87"/>
    </row>
    <row r="158" spans="2:26" x14ac:dyDescent="0.2">
      <c r="B158" s="2" t="s">
        <v>78</v>
      </c>
      <c r="F158" s="2" t="s">
        <v>83</v>
      </c>
      <c r="L158" s="46">
        <f t="shared" si="8"/>
        <v>0</v>
      </c>
      <c r="M158" s="46">
        <f>M86*$J$92</f>
        <v>0</v>
      </c>
      <c r="N158" s="46">
        <f>N86*$J$92</f>
        <v>0</v>
      </c>
      <c r="O158" s="46">
        <f>O86*$J$92</f>
        <v>0</v>
      </c>
      <c r="P158" s="46">
        <f>P86*$J$92</f>
        <v>0</v>
      </c>
      <c r="Q158" s="51"/>
      <c r="R158" s="91"/>
      <c r="S158" s="46">
        <f t="shared" si="7"/>
        <v>0</v>
      </c>
      <c r="T158" s="87"/>
    </row>
    <row r="159" spans="2:26" x14ac:dyDescent="0.2">
      <c r="B159" s="2" t="s">
        <v>73</v>
      </c>
      <c r="F159" s="2" t="s">
        <v>83</v>
      </c>
      <c r="L159" s="46">
        <f t="shared" si="8"/>
        <v>0</v>
      </c>
      <c r="M159" s="46">
        <f>M87*$J$92</f>
        <v>0</v>
      </c>
      <c r="N159" s="46">
        <f>N87*$J$92</f>
        <v>0</v>
      </c>
      <c r="O159" s="46">
        <f>O87*$J$92</f>
        <v>0</v>
      </c>
      <c r="P159" s="46">
        <f>P87*$J$92</f>
        <v>0</v>
      </c>
      <c r="Q159" s="46">
        <f>Q87*$J$92</f>
        <v>0</v>
      </c>
      <c r="R159" s="84"/>
      <c r="S159" s="51"/>
      <c r="T159" s="87"/>
    </row>
    <row r="160" spans="2:26" x14ac:dyDescent="0.2">
      <c r="R160" s="10"/>
    </row>
    <row r="161" spans="2:26" s="9" customFormat="1" x14ac:dyDescent="0.2">
      <c r="B161" s="9" t="s">
        <v>116</v>
      </c>
    </row>
    <row r="163" spans="2:26" x14ac:dyDescent="0.2">
      <c r="B163" s="1" t="s">
        <v>112</v>
      </c>
      <c r="R163" s="10"/>
      <c r="Z163" s="2" t="s">
        <v>285</v>
      </c>
    </row>
    <row r="164" spans="2:26" x14ac:dyDescent="0.2">
      <c r="B164" s="2" t="s">
        <v>101</v>
      </c>
      <c r="F164" s="2" t="s">
        <v>83</v>
      </c>
      <c r="L164" s="51"/>
      <c r="M164" s="46">
        <f>M100*$J$111</f>
        <v>10180.46955289194</v>
      </c>
      <c r="N164" s="46">
        <f>N100*$J$111</f>
        <v>0</v>
      </c>
      <c r="O164" s="46">
        <f>O100*$J$111</f>
        <v>0</v>
      </c>
      <c r="P164" s="46">
        <f>P100*$J$111</f>
        <v>0</v>
      </c>
      <c r="Q164" s="46">
        <f>Q100*$J$111</f>
        <v>0</v>
      </c>
      <c r="R164" s="91"/>
      <c r="S164" s="46">
        <f t="shared" ref="S164:S169" si="9">S100*$J$111</f>
        <v>0</v>
      </c>
      <c r="T164" s="87"/>
      <c r="X164" s="31"/>
    </row>
    <row r="165" spans="2:26" x14ac:dyDescent="0.2">
      <c r="B165" s="2" t="s">
        <v>74</v>
      </c>
      <c r="F165" s="2" t="s">
        <v>83</v>
      </c>
      <c r="L165" s="46">
        <f t="shared" ref="L165:L170" si="10">L101*$J$111</f>
        <v>0</v>
      </c>
      <c r="M165" s="51"/>
      <c r="N165" s="46">
        <f>N101*$J$111</f>
        <v>87.628408095116328</v>
      </c>
      <c r="O165" s="46">
        <f>O101*$J$111</f>
        <v>0</v>
      </c>
      <c r="P165" s="46">
        <f>P101*$J$111</f>
        <v>0</v>
      </c>
      <c r="Q165" s="46">
        <f>Q101*$J$111</f>
        <v>0</v>
      </c>
      <c r="R165" s="91"/>
      <c r="S165" s="46">
        <f t="shared" si="9"/>
        <v>0</v>
      </c>
      <c r="T165" s="87"/>
    </row>
    <row r="166" spans="2:26" x14ac:dyDescent="0.2">
      <c r="B166" s="2" t="s">
        <v>75</v>
      </c>
      <c r="F166" s="2" t="s">
        <v>83</v>
      </c>
      <c r="L166" s="46">
        <f t="shared" si="10"/>
        <v>0</v>
      </c>
      <c r="M166" s="46">
        <f>M102*$J$111</f>
        <v>3103.3966627090554</v>
      </c>
      <c r="N166" s="51"/>
      <c r="O166" s="46">
        <f>O102*$J$111</f>
        <v>0</v>
      </c>
      <c r="P166" s="46">
        <f>P102*$J$111</f>
        <v>0</v>
      </c>
      <c r="Q166" s="46">
        <f>Q102*$J$111</f>
        <v>0</v>
      </c>
      <c r="R166" s="91"/>
      <c r="S166" s="46">
        <f t="shared" si="9"/>
        <v>0</v>
      </c>
      <c r="T166" s="87"/>
    </row>
    <row r="167" spans="2:26" x14ac:dyDescent="0.2">
      <c r="B167" s="2" t="s">
        <v>88</v>
      </c>
      <c r="F167" s="2" t="s">
        <v>83</v>
      </c>
      <c r="L167" s="46">
        <f t="shared" si="10"/>
        <v>0</v>
      </c>
      <c r="M167" s="46">
        <f>M103*$J$111</f>
        <v>6229.1226199862449</v>
      </c>
      <c r="N167" s="46">
        <f>N103*$J$111</f>
        <v>0</v>
      </c>
      <c r="O167" s="51"/>
      <c r="P167" s="46">
        <f>P103*$J$111</f>
        <v>0</v>
      </c>
      <c r="Q167" s="46">
        <f>Q103*$J$111</f>
        <v>0</v>
      </c>
      <c r="R167" s="91"/>
      <c r="S167" s="46">
        <f t="shared" si="9"/>
        <v>0</v>
      </c>
      <c r="T167" s="87"/>
    </row>
    <row r="168" spans="2:26" x14ac:dyDescent="0.2">
      <c r="B168" s="2" t="s">
        <v>77</v>
      </c>
      <c r="F168" s="2" t="s">
        <v>83</v>
      </c>
      <c r="L168" s="46">
        <f t="shared" si="10"/>
        <v>0</v>
      </c>
      <c r="M168" s="46">
        <f>M104*$J$111</f>
        <v>0</v>
      </c>
      <c r="N168" s="46">
        <f>N104*$J$111</f>
        <v>5102.9005527766349</v>
      </c>
      <c r="O168" s="46">
        <f>O104*$J$111</f>
        <v>0</v>
      </c>
      <c r="P168" s="51"/>
      <c r="Q168" s="46">
        <f>Q104*$J$111</f>
        <v>2984.6198268970456</v>
      </c>
      <c r="R168" s="91"/>
      <c r="S168" s="46">
        <f t="shared" si="9"/>
        <v>0</v>
      </c>
      <c r="T168" s="87"/>
    </row>
    <row r="169" spans="2:26" x14ac:dyDescent="0.2">
      <c r="B169" s="2" t="s">
        <v>78</v>
      </c>
      <c r="F169" s="2" t="s">
        <v>83</v>
      </c>
      <c r="L169" s="46">
        <f t="shared" si="10"/>
        <v>0</v>
      </c>
      <c r="M169" s="46">
        <f>M105*$J$111</f>
        <v>0</v>
      </c>
      <c r="N169" s="46">
        <f>N105*$J$111</f>
        <v>0</v>
      </c>
      <c r="O169" s="46">
        <f>O105*$J$111</f>
        <v>0</v>
      </c>
      <c r="P169" s="46">
        <f>P105*$J$111</f>
        <v>0</v>
      </c>
      <c r="Q169" s="51"/>
      <c r="R169" s="91"/>
      <c r="S169" s="46">
        <f t="shared" si="9"/>
        <v>0</v>
      </c>
      <c r="T169" s="87"/>
    </row>
    <row r="170" spans="2:26" x14ac:dyDescent="0.2">
      <c r="B170" s="2" t="s">
        <v>73</v>
      </c>
      <c r="F170" s="2" t="s">
        <v>83</v>
      </c>
      <c r="L170" s="46">
        <f t="shared" si="10"/>
        <v>0</v>
      </c>
      <c r="M170" s="46">
        <f>M106*$J$111</f>
        <v>0</v>
      </c>
      <c r="N170" s="46">
        <f>N106*$J$111</f>
        <v>0</v>
      </c>
      <c r="O170" s="46">
        <f>O106*$J$111</f>
        <v>0</v>
      </c>
      <c r="P170" s="46">
        <f>P106*$J$111</f>
        <v>0</v>
      </c>
      <c r="Q170" s="46">
        <f>Q106*$J$111</f>
        <v>0</v>
      </c>
      <c r="R170" s="84"/>
      <c r="S170" s="51"/>
      <c r="T170" s="87"/>
    </row>
    <row r="171" spans="2:26" x14ac:dyDescent="0.2">
      <c r="R171" s="10"/>
    </row>
    <row r="172" spans="2:26" s="9" customFormat="1" x14ac:dyDescent="0.2">
      <c r="B172" s="9" t="s">
        <v>140</v>
      </c>
    </row>
    <row r="174" spans="2:26" x14ac:dyDescent="0.2">
      <c r="B174" s="1" t="s">
        <v>132</v>
      </c>
      <c r="R174" s="10"/>
    </row>
    <row r="175" spans="2:26" x14ac:dyDescent="0.2">
      <c r="B175" s="2" t="s">
        <v>176</v>
      </c>
      <c r="F175" s="2" t="s">
        <v>83</v>
      </c>
      <c r="L175" s="62">
        <f>($H$17*SUM(L119:L126))+($H$18*SUM(L119:T119))</f>
        <v>110.1589777284438</v>
      </c>
      <c r="M175" s="62">
        <f>($H$17*SUM(M119:M126))+($H$18*SUM(L120:T120))</f>
        <v>40241.493651004872</v>
      </c>
      <c r="N175" s="62">
        <f>($H$17*SUM(N119:N126))+($H$18*SUM(L121:T121))</f>
        <v>4568.2988572006616</v>
      </c>
      <c r="O175" s="62">
        <f>($H$17*SUM(O119:O126))+($H$18*SUM(L122:T122))</f>
        <v>55.700039874770056</v>
      </c>
      <c r="P175" s="62">
        <f>($H$17*SUM(P119:P126))+($H$18*SUM(L123:T123))</f>
        <v>113.83587138928176</v>
      </c>
      <c r="Q175" s="62">
        <f>($H$17*SUM(Q119:Q126))+($H$18*SUM(L124:T124))</f>
        <v>2722.690764981272</v>
      </c>
      <c r="R175" s="99"/>
      <c r="S175" s="62">
        <f>($H$17*SUM(S119:S126))+($H$18*SUM(K125:T125))</f>
        <v>0</v>
      </c>
      <c r="T175" s="62">
        <f>($H$17*SUM(T119:T126))+($H$18*SUM(L126:T126))</f>
        <v>193.20107958044105</v>
      </c>
      <c r="Z175" s="5" t="s">
        <v>324</v>
      </c>
    </row>
    <row r="176" spans="2:26" x14ac:dyDescent="0.2">
      <c r="B176" s="2" t="s">
        <v>133</v>
      </c>
      <c r="F176" s="2" t="s">
        <v>83</v>
      </c>
      <c r="L176" s="69">
        <f t="shared" ref="L176:Q176" si="11">(L34+L175)/L33</f>
        <v>2.3609348151119119E-2</v>
      </c>
      <c r="M176" s="69">
        <f t="shared" si="11"/>
        <v>0.17009439304930665</v>
      </c>
      <c r="N176" s="69">
        <f t="shared" si="11"/>
        <v>0.19871586080167797</v>
      </c>
      <c r="O176" s="69">
        <f t="shared" si="11"/>
        <v>0.16824676850522391</v>
      </c>
      <c r="P176" s="69">
        <f t="shared" si="11"/>
        <v>0.14731309918196223</v>
      </c>
      <c r="Q176" s="69">
        <f t="shared" si="11"/>
        <v>0.18089633746359923</v>
      </c>
      <c r="R176" s="89"/>
      <c r="S176" s="69">
        <f>(S34+S175)/S33</f>
        <v>0.15707155829664454</v>
      </c>
      <c r="T176" s="69">
        <f>(T34+T175)/T33</f>
        <v>4.6713694522481697E-2</v>
      </c>
      <c r="Z176" s="5" t="s">
        <v>322</v>
      </c>
    </row>
    <row r="177" spans="2:26" x14ac:dyDescent="0.2">
      <c r="L177" s="71"/>
      <c r="M177" s="71"/>
      <c r="N177" s="71"/>
      <c r="O177" s="71"/>
      <c r="P177" s="71"/>
      <c r="Q177" s="71"/>
      <c r="R177" s="90"/>
      <c r="S177" s="71"/>
    </row>
    <row r="178" spans="2:26" x14ac:dyDescent="0.2">
      <c r="B178" s="1" t="s">
        <v>135</v>
      </c>
      <c r="L178" s="71"/>
      <c r="M178" s="71"/>
      <c r="N178" s="71"/>
      <c r="O178" s="71"/>
      <c r="P178" s="71"/>
      <c r="Q178" s="71"/>
      <c r="R178" s="90"/>
      <c r="S178" s="71"/>
    </row>
    <row r="179" spans="2:26" x14ac:dyDescent="0.2">
      <c r="B179" s="2" t="s">
        <v>136</v>
      </c>
      <c r="F179" s="2" t="s">
        <v>83</v>
      </c>
      <c r="L179" s="74">
        <f>L176+L38</f>
        <v>3.905336359513456E-2</v>
      </c>
      <c r="M179" s="74">
        <f t="shared" ref="M179:T179" si="12">M176+M38</f>
        <v>0.20192940991664698</v>
      </c>
      <c r="N179" s="74">
        <f t="shared" si="12"/>
        <v>0.24496026102443985</v>
      </c>
      <c r="O179" s="74">
        <f t="shared" si="12"/>
        <v>0.18423294262490419</v>
      </c>
      <c r="P179" s="74">
        <f t="shared" si="12"/>
        <v>0.18654786991426697</v>
      </c>
      <c r="Q179" s="74">
        <f t="shared" si="12"/>
        <v>0.20715360001898431</v>
      </c>
      <c r="R179" s="94"/>
      <c r="S179" s="74">
        <f t="shared" si="12"/>
        <v>0.23618859978803766</v>
      </c>
      <c r="T179" s="74">
        <f t="shared" si="12"/>
        <v>6.1343402558911832E-2</v>
      </c>
      <c r="Z179" s="5" t="s">
        <v>325</v>
      </c>
    </row>
    <row r="180" spans="2:26" x14ac:dyDescent="0.2">
      <c r="L180" s="71"/>
      <c r="M180" s="71"/>
      <c r="N180" s="71"/>
      <c r="O180" s="71"/>
      <c r="P180" s="71"/>
      <c r="Q180" s="71"/>
      <c r="R180" s="90"/>
      <c r="S180" s="71"/>
    </row>
    <row r="181" spans="2:26" s="9" customFormat="1" x14ac:dyDescent="0.2">
      <c r="B181" s="9" t="s">
        <v>131</v>
      </c>
    </row>
    <row r="183" spans="2:26" x14ac:dyDescent="0.2">
      <c r="B183" s="1" t="s">
        <v>132</v>
      </c>
      <c r="R183" s="10"/>
    </row>
    <row r="184" spans="2:26" x14ac:dyDescent="0.2">
      <c r="B184" s="2" t="s">
        <v>176</v>
      </c>
      <c r="F184" s="2" t="s">
        <v>83</v>
      </c>
      <c r="L184" s="118">
        <f>($H$17*SUM(L131:L137))+($H$18*SUM(L131:S131))</f>
        <v>90.11651085380683</v>
      </c>
      <c r="M184" s="118">
        <f>($H$17*SUM(M131:M137))+($H$18*SUM(L132:S132))</f>
        <v>14086.072654744517</v>
      </c>
      <c r="N184" s="118">
        <f>($H$17*SUM(N131:N137))+($H$18*SUM(L133:S133))</f>
        <v>4631.7373842127772</v>
      </c>
      <c r="O184" s="118">
        <f>($H$17*SUM(O131:O137))+($H$18*SUM(L134:S134))</f>
        <v>45.440051813217664</v>
      </c>
      <c r="P184" s="118">
        <f>($H$17*SUM(P131:P137))+($H$18*SUM(L135:S135))</f>
        <v>68.297580257493607</v>
      </c>
      <c r="Q184" s="118">
        <f>($H$17*SUM(Q131:Q137))+($H$18*SUM(L136:S136))</f>
        <v>2217.0127433128364</v>
      </c>
      <c r="R184" s="119"/>
      <c r="S184" s="46">
        <f>($H$17*SUM(S131:S137))+($H$18*SUM(L137:S137))</f>
        <v>0</v>
      </c>
      <c r="T184" s="120"/>
      <c r="U184" s="116"/>
      <c r="Z184" s="5" t="s">
        <v>324</v>
      </c>
    </row>
    <row r="185" spans="2:26" x14ac:dyDescent="0.2">
      <c r="B185" s="2" t="s">
        <v>133</v>
      </c>
      <c r="F185" s="2" t="s">
        <v>83</v>
      </c>
      <c r="L185" s="69">
        <f t="shared" ref="L185:Q185" si="13">(L53+L184)/L52</f>
        <v>9.027436657463625E-2</v>
      </c>
      <c r="M185" s="69">
        <f t="shared" si="13"/>
        <v>0.11232745507672566</v>
      </c>
      <c r="N185" s="69">
        <f t="shared" si="13"/>
        <v>0.16380174591046201</v>
      </c>
      <c r="O185" s="69">
        <f t="shared" si="13"/>
        <v>1.7646171181597389E-3</v>
      </c>
      <c r="P185" s="69">
        <f t="shared" si="13"/>
        <v>0.13848766453437528</v>
      </c>
      <c r="Q185" s="69">
        <f t="shared" si="13"/>
        <v>0.10152144981269032</v>
      </c>
      <c r="R185" s="89"/>
      <c r="S185" s="69">
        <f>(S53+S184)/S52</f>
        <v>0.20972078593588417</v>
      </c>
      <c r="T185" s="87"/>
      <c r="Z185" s="5" t="s">
        <v>322</v>
      </c>
    </row>
    <row r="186" spans="2:26" x14ac:dyDescent="0.2">
      <c r="L186" s="71"/>
      <c r="M186" s="71"/>
      <c r="N186" s="71"/>
      <c r="O186" s="71"/>
      <c r="P186" s="71"/>
      <c r="Q186" s="71"/>
      <c r="R186" s="90"/>
      <c r="S186" s="71"/>
    </row>
    <row r="187" spans="2:26" x14ac:dyDescent="0.2">
      <c r="B187" s="1" t="s">
        <v>135</v>
      </c>
      <c r="L187" s="71"/>
      <c r="M187" s="71"/>
      <c r="N187" s="71"/>
      <c r="O187" s="71"/>
      <c r="P187" s="71"/>
      <c r="Q187" s="71"/>
      <c r="R187" s="90"/>
      <c r="S187" s="71"/>
    </row>
    <row r="188" spans="2:26" x14ac:dyDescent="0.2">
      <c r="B188" s="2" t="s">
        <v>136</v>
      </c>
      <c r="F188" s="2" t="s">
        <v>83</v>
      </c>
      <c r="L188" s="74">
        <f>L185+L57</f>
        <v>0.10638129555772211</v>
      </c>
      <c r="M188" s="74">
        <f t="shared" ref="M188:S188" si="14">M185+M57</f>
        <v>0.14369410878136671</v>
      </c>
      <c r="N188" s="74">
        <f t="shared" si="14"/>
        <v>0.20976062976475165</v>
      </c>
      <c r="O188" s="74">
        <f t="shared" si="14"/>
        <v>2.5819177653934371E-2</v>
      </c>
      <c r="P188" s="74">
        <f t="shared" si="14"/>
        <v>0.17809371272494007</v>
      </c>
      <c r="Q188" s="74">
        <f t="shared" si="14"/>
        <v>0.12122059021383645</v>
      </c>
      <c r="R188" s="94"/>
      <c r="S188" s="74">
        <f t="shared" si="14"/>
        <v>0.28942370969258246</v>
      </c>
      <c r="T188" s="87"/>
      <c r="Z188" s="5" t="s">
        <v>325</v>
      </c>
    </row>
    <row r="190" spans="2:26" s="9" customFormat="1" x14ac:dyDescent="0.2">
      <c r="B190" s="9" t="s">
        <v>137</v>
      </c>
    </row>
    <row r="192" spans="2:26" x14ac:dyDescent="0.2">
      <c r="B192" s="1" t="s">
        <v>132</v>
      </c>
      <c r="R192" s="10"/>
    </row>
    <row r="193" spans="2:26" x14ac:dyDescent="0.2">
      <c r="B193" s="2" t="s">
        <v>176</v>
      </c>
      <c r="F193" s="2" t="s">
        <v>83</v>
      </c>
      <c r="L193" s="118">
        <f>($H$17*SUM(L142:L148))+($H$18*SUM(L142:S142))</f>
        <v>109.90840738064702</v>
      </c>
      <c r="M193" s="118">
        <f>($H$17*SUM(M142:M148))+($H$18*SUM(L143:S143))</f>
        <v>20789.11706815887</v>
      </c>
      <c r="N193" s="118">
        <f>($H$17*SUM(N142:N148))+($H$18*SUM(L144:S144))</f>
        <v>5499.6464313453116</v>
      </c>
      <c r="O193" s="118">
        <f>($H$17*SUM(O142:O148))+($H$18*SUM(L145:S145))</f>
        <v>66.800108808951393</v>
      </c>
      <c r="P193" s="118">
        <f>($H$17*SUM(P142:P148))+($H$18*SUM(L146:S146))</f>
        <v>86.639408622978422</v>
      </c>
      <c r="Q193" s="118">
        <f>($H$17*SUM(Q142:Q148))+($H$18*SUM(L147:S147))</f>
        <v>3206.6330484327455</v>
      </c>
      <c r="R193" s="119"/>
      <c r="S193" s="46">
        <f>($H$17*SUM(S142:S148))+($H$18*SUM(L148:S148))</f>
        <v>0</v>
      </c>
      <c r="T193" s="120"/>
      <c r="U193" s="116"/>
      <c r="Z193" s="5" t="s">
        <v>324</v>
      </c>
    </row>
    <row r="194" spans="2:26" x14ac:dyDescent="0.2">
      <c r="B194" s="2" t="s">
        <v>133</v>
      </c>
      <c r="F194" s="2" t="s">
        <v>83</v>
      </c>
      <c r="L194" s="70">
        <f t="shared" ref="L194:Q194" si="15">(L72+L193)/L71</f>
        <v>9.0793635873324383E-2</v>
      </c>
      <c r="M194" s="70">
        <f t="shared" si="15"/>
        <v>0.1664366754670967</v>
      </c>
      <c r="N194" s="70">
        <f t="shared" si="15"/>
        <v>0.26479419802034931</v>
      </c>
      <c r="O194" s="70">
        <f t="shared" si="15"/>
        <v>0.13205309742545784</v>
      </c>
      <c r="P194" s="70">
        <f t="shared" si="15"/>
        <v>0.17671008198255436</v>
      </c>
      <c r="Q194" s="70">
        <f t="shared" si="15"/>
        <v>0.18375111746798978</v>
      </c>
      <c r="R194" s="95"/>
      <c r="S194" s="70">
        <f>(S72+S193)/S71</f>
        <v>0.1802145878661674</v>
      </c>
      <c r="T194" s="87"/>
      <c r="Z194" s="5" t="s">
        <v>322</v>
      </c>
    </row>
    <row r="195" spans="2:26" x14ac:dyDescent="0.2">
      <c r="L195" s="75"/>
      <c r="M195" s="75"/>
      <c r="N195" s="75"/>
      <c r="O195" s="75"/>
      <c r="P195" s="75"/>
      <c r="Q195" s="75"/>
      <c r="R195" s="96"/>
      <c r="S195" s="75"/>
    </row>
    <row r="196" spans="2:26" x14ac:dyDescent="0.2">
      <c r="B196" s="1" t="s">
        <v>135</v>
      </c>
      <c r="L196" s="75"/>
      <c r="M196" s="75"/>
      <c r="N196" s="75"/>
      <c r="O196" s="75"/>
      <c r="P196" s="75"/>
      <c r="Q196" s="75"/>
      <c r="R196" s="96"/>
      <c r="S196" s="75"/>
    </row>
    <row r="197" spans="2:26" x14ac:dyDescent="0.2">
      <c r="B197" s="2" t="s">
        <v>136</v>
      </c>
      <c r="F197" s="2" t="s">
        <v>83</v>
      </c>
      <c r="L197" s="76">
        <f>L194+L76</f>
        <v>0.11008437893108457</v>
      </c>
      <c r="M197" s="76">
        <f t="shared" ref="M197:S197" si="16">M194+M76</f>
        <v>0.20006424871313236</v>
      </c>
      <c r="N197" s="76">
        <f t="shared" si="16"/>
        <v>0.31343499570467365</v>
      </c>
      <c r="O197" s="76">
        <f t="shared" si="16"/>
        <v>0.15912247615095407</v>
      </c>
      <c r="P197" s="76">
        <f t="shared" si="16"/>
        <v>0.22109353852828187</v>
      </c>
      <c r="Q197" s="76">
        <f t="shared" si="16"/>
        <v>0.20716871167477535</v>
      </c>
      <c r="R197" s="97"/>
      <c r="S197" s="76">
        <f t="shared" si="16"/>
        <v>0.24427812380356526</v>
      </c>
      <c r="T197" s="87"/>
      <c r="Z197" s="5" t="s">
        <v>325</v>
      </c>
    </row>
    <row r="199" spans="2:26" s="9" customFormat="1" x14ac:dyDescent="0.2">
      <c r="B199" s="9" t="s">
        <v>138</v>
      </c>
    </row>
    <row r="201" spans="2:26" x14ac:dyDescent="0.2">
      <c r="B201" s="1" t="s">
        <v>132</v>
      </c>
      <c r="R201" s="10"/>
    </row>
    <row r="202" spans="2:26" x14ac:dyDescent="0.2">
      <c r="B202" s="2" t="s">
        <v>176</v>
      </c>
      <c r="F202" s="2" t="s">
        <v>83</v>
      </c>
      <c r="L202" s="118">
        <f>($H$17*SUM(L153:L159))+($H$18*SUM(L153:S153))</f>
        <v>97.217655498272151</v>
      </c>
      <c r="M202" s="118">
        <f>($H$17*SUM(M153:M159))+($H$18*SUM(L154:S154))</f>
        <v>18419.765948343345</v>
      </c>
      <c r="N202" s="118">
        <f>($H$17*SUM(N153:N159))+($H$18*SUM(L155:S155))</f>
        <v>4894.679338998938</v>
      </c>
      <c r="O202" s="118">
        <f>($H$17*SUM(O153:O159))+($H$18*SUM(L156:S156))</f>
        <v>59.461895268025522</v>
      </c>
      <c r="P202" s="118">
        <f>($H$17*SUM(P153:P159))+($H$18*SUM(L157:S157))</f>
        <v>76.851694827542417</v>
      </c>
      <c r="Q202" s="118">
        <f>($H$17*SUM(Q153:Q159))+($H$18*SUM(L158:S158))</f>
        <v>2826.2221144299265</v>
      </c>
      <c r="R202" s="119"/>
      <c r="S202" s="46">
        <f>($H$17*SUM(S153:S159))+($H$18*SUM(L159:S159))</f>
        <v>0</v>
      </c>
      <c r="T202" s="120"/>
      <c r="U202" s="116"/>
      <c r="Z202" s="5" t="s">
        <v>324</v>
      </c>
    </row>
    <row r="203" spans="2:26" x14ac:dyDescent="0.2">
      <c r="B203" s="2" t="s">
        <v>133</v>
      </c>
      <c r="F203" s="2" t="s">
        <v>83</v>
      </c>
      <c r="L203" s="70">
        <f t="shared" ref="L203:Q203" si="17">(L91+L202)/L90</f>
        <v>2.6016135209066607E-2</v>
      </c>
      <c r="M203" s="70">
        <f t="shared" si="17"/>
        <v>0.15168921027772017</v>
      </c>
      <c r="N203" s="70">
        <f t="shared" si="17"/>
        <v>0.20103432227309909</v>
      </c>
      <c r="O203" s="70">
        <f t="shared" si="17"/>
        <v>3.8538551697749973E-2</v>
      </c>
      <c r="P203" s="70">
        <f t="shared" si="17"/>
        <v>0.19790483533581202</v>
      </c>
      <c r="Q203" s="70">
        <f t="shared" si="17"/>
        <v>0.10650212568844403</v>
      </c>
      <c r="R203" s="95"/>
      <c r="S203" s="70">
        <f>(S91+S202)/S90</f>
        <v>0.17283784971708022</v>
      </c>
      <c r="T203" s="87"/>
      <c r="Z203" s="5" t="s">
        <v>322</v>
      </c>
    </row>
    <row r="204" spans="2:26" x14ac:dyDescent="0.2">
      <c r="L204" s="75"/>
      <c r="M204" s="75"/>
      <c r="N204" s="75"/>
      <c r="O204" s="75"/>
      <c r="P204" s="75"/>
      <c r="Q204" s="75"/>
      <c r="R204" s="96"/>
      <c r="S204" s="75"/>
    </row>
    <row r="205" spans="2:26" x14ac:dyDescent="0.2">
      <c r="B205" s="1" t="s">
        <v>135</v>
      </c>
      <c r="L205" s="75"/>
      <c r="M205" s="75"/>
      <c r="N205" s="75"/>
      <c r="O205" s="75"/>
      <c r="P205" s="75"/>
      <c r="Q205" s="75"/>
      <c r="R205" s="96"/>
      <c r="S205" s="75"/>
    </row>
    <row r="206" spans="2:26" x14ac:dyDescent="0.2">
      <c r="B206" s="2" t="s">
        <v>136</v>
      </c>
      <c r="F206" s="2" t="s">
        <v>83</v>
      </c>
      <c r="L206" s="76">
        <f>L203+L95</f>
        <v>5.807669404241849E-2</v>
      </c>
      <c r="M206" s="76">
        <f t="shared" ref="M206:S206" si="18">M203+M95</f>
        <v>0.18396487981972462</v>
      </c>
      <c r="N206" s="76">
        <f t="shared" si="18"/>
        <v>0.25245731346726297</v>
      </c>
      <c r="O206" s="76">
        <f t="shared" si="18"/>
        <v>6.3503667271371272E-2</v>
      </c>
      <c r="P206" s="76">
        <f t="shared" si="18"/>
        <v>0.2445287341871934</v>
      </c>
      <c r="Q206" s="76">
        <f t="shared" si="18"/>
        <v>0.12941472761950612</v>
      </c>
      <c r="R206" s="97"/>
      <c r="S206" s="76">
        <f t="shared" si="18"/>
        <v>0.23867511184931919</v>
      </c>
      <c r="T206" s="87"/>
      <c r="Z206" s="5" t="s">
        <v>325</v>
      </c>
    </row>
    <row r="207" spans="2:26" x14ac:dyDescent="0.2">
      <c r="R207" s="10"/>
    </row>
    <row r="208" spans="2:26" s="9" customFormat="1" x14ac:dyDescent="0.2">
      <c r="B208" s="9" t="s">
        <v>139</v>
      </c>
    </row>
    <row r="209" spans="2:26" x14ac:dyDescent="0.2">
      <c r="R209" s="10"/>
    </row>
    <row r="210" spans="2:26" x14ac:dyDescent="0.2">
      <c r="B210" s="1" t="s">
        <v>132</v>
      </c>
      <c r="R210" s="10"/>
    </row>
    <row r="211" spans="2:26" x14ac:dyDescent="0.2">
      <c r="B211" s="2" t="s">
        <v>176</v>
      </c>
      <c r="F211" s="2" t="s">
        <v>83</v>
      </c>
      <c r="L211" s="118">
        <f>($H$17*SUM(L164:L170))+($H$18*SUM(L164:S164))</f>
        <v>101.80469552891941</v>
      </c>
      <c r="M211" s="118">
        <f>($H$17*SUM(M164:M170))+($H$18*SUM(L165:S165))</f>
        <v>19318.735231312316</v>
      </c>
      <c r="N211" s="118">
        <f>($H$17*SUM(N164:N170))+($H$18*SUM(L166:S166))</f>
        <v>5169.6576378901236</v>
      </c>
      <c r="O211" s="118">
        <f>($H$17*SUM(O164:O170))+($H$18*SUM(L167:S167))</f>
        <v>62.29122619986245</v>
      </c>
      <c r="P211" s="118">
        <f>($H$17*SUM(P164:P170))+($H$18*SUM(L168:S168))</f>
        <v>80.875203796736812</v>
      </c>
      <c r="Q211" s="118">
        <f>($H$17*SUM(Q164:Q170))+($H$18*SUM(L169:S169))</f>
        <v>2954.7736286280751</v>
      </c>
      <c r="R211" s="119"/>
      <c r="S211" s="46">
        <f>($H$17*SUM(S164:S170))+($H$18*SUM(L170:S170))</f>
        <v>0</v>
      </c>
      <c r="T211" s="120"/>
      <c r="U211" s="116"/>
      <c r="Z211" s="5" t="s">
        <v>324</v>
      </c>
    </row>
    <row r="212" spans="2:26" x14ac:dyDescent="0.2">
      <c r="B212" s="2" t="s">
        <v>133</v>
      </c>
      <c r="F212" s="2" t="s">
        <v>83</v>
      </c>
      <c r="L212" s="69">
        <f t="shared" ref="L212:Q212" si="19">(L110+L211)/L109</f>
        <v>2.2132608893722594E-2</v>
      </c>
      <c r="M212" s="69">
        <f t="shared" si="19"/>
        <v>0.13891561686987386</v>
      </c>
      <c r="N212" s="69">
        <f t="shared" si="19"/>
        <v>0.241755471059801</v>
      </c>
      <c r="O212" s="69">
        <f t="shared" si="19"/>
        <v>8.5227316510523926E-2</v>
      </c>
      <c r="P212" s="69">
        <f t="shared" si="19"/>
        <v>0.18583253671048111</v>
      </c>
      <c r="Q212" s="69">
        <f t="shared" si="19"/>
        <v>4.7163396443641342E-2</v>
      </c>
      <c r="R212" s="89"/>
      <c r="S212" s="69">
        <f>(S110+S211)/S109</f>
        <v>0.16266648296133002</v>
      </c>
      <c r="T212" s="87"/>
      <c r="Z212" s="5" t="s">
        <v>322</v>
      </c>
    </row>
    <row r="213" spans="2:26" x14ac:dyDescent="0.2">
      <c r="L213" s="71"/>
      <c r="M213" s="71"/>
      <c r="N213" s="71"/>
      <c r="O213" s="71"/>
      <c r="P213" s="71"/>
      <c r="Q213" s="71"/>
      <c r="R213" s="90"/>
      <c r="S213" s="71"/>
    </row>
    <row r="214" spans="2:26" x14ac:dyDescent="0.2">
      <c r="B214" s="1" t="s">
        <v>135</v>
      </c>
      <c r="L214" s="71"/>
      <c r="M214" s="71"/>
      <c r="N214" s="71"/>
      <c r="O214" s="71"/>
      <c r="P214" s="71"/>
      <c r="Q214" s="71"/>
      <c r="R214" s="90"/>
      <c r="S214" s="71"/>
    </row>
    <row r="215" spans="2:26" x14ac:dyDescent="0.2">
      <c r="B215" s="2" t="s">
        <v>136</v>
      </c>
      <c r="F215" s="2" t="s">
        <v>83</v>
      </c>
      <c r="L215" s="74">
        <f>L212+L114</f>
        <v>5.055395254868527E-2</v>
      </c>
      <c r="M215" s="74">
        <f t="shared" ref="M215:S215" si="20">M212+M114</f>
        <v>0.17420151238983977</v>
      </c>
      <c r="N215" s="74">
        <f t="shared" si="20"/>
        <v>0.29214831776964578</v>
      </c>
      <c r="O215" s="74">
        <f t="shared" si="20"/>
        <v>0.10348197807632806</v>
      </c>
      <c r="P215" s="74">
        <f t="shared" si="20"/>
        <v>0.23229442924500909</v>
      </c>
      <c r="Q215" s="74">
        <f t="shared" si="20"/>
        <v>7.4004814444318417E-2</v>
      </c>
      <c r="R215" s="94"/>
      <c r="S215" s="74">
        <f t="shared" si="20"/>
        <v>0.23101864609166894</v>
      </c>
      <c r="T215" s="87"/>
      <c r="Z215" s="5" t="s">
        <v>325</v>
      </c>
    </row>
    <row r="216" spans="2:26" x14ac:dyDescent="0.2">
      <c r="R216" s="1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2:Q23"/>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43.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6" width="2.7109375" style="2" customWidth="1"/>
    <col min="17" max="31" width="13.7109375" style="2" customWidth="1"/>
    <col min="32" max="16384" width="9.140625" style="2"/>
  </cols>
  <sheetData>
    <row r="2" spans="2:17" s="22" customFormat="1" ht="18" x14ac:dyDescent="0.2">
      <c r="B2" s="22" t="s">
        <v>206</v>
      </c>
    </row>
    <row r="4" spans="2:17" x14ac:dyDescent="0.2">
      <c r="B4" s="32"/>
      <c r="C4" s="1"/>
      <c r="D4" s="1"/>
    </row>
    <row r="5" spans="2:17" x14ac:dyDescent="0.2">
      <c r="B5" s="27" t="s">
        <v>295</v>
      </c>
      <c r="C5" s="27"/>
      <c r="D5" s="27"/>
      <c r="H5" s="23"/>
    </row>
    <row r="6" spans="2:17" x14ac:dyDescent="0.2">
      <c r="B6" s="27" t="s">
        <v>296</v>
      </c>
      <c r="C6" s="27"/>
      <c r="D6" s="27"/>
      <c r="H6" s="23"/>
    </row>
    <row r="8" spans="2:17" s="9" customFormat="1" x14ac:dyDescent="0.2">
      <c r="B8" s="9" t="s">
        <v>44</v>
      </c>
      <c r="F8" s="9" t="s">
        <v>27</v>
      </c>
      <c r="H8" s="9" t="s">
        <v>28</v>
      </c>
      <c r="J8" s="9" t="s">
        <v>48</v>
      </c>
      <c r="Q8" s="9" t="s">
        <v>46</v>
      </c>
    </row>
    <row r="10" spans="2:17" s="9" customFormat="1" x14ac:dyDescent="0.2">
      <c r="B10" s="9" t="s">
        <v>162</v>
      </c>
    </row>
    <row r="12" spans="2:17" x14ac:dyDescent="0.2">
      <c r="B12" s="1" t="s">
        <v>208</v>
      </c>
    </row>
    <row r="13" spans="2:17" x14ac:dyDescent="0.2">
      <c r="B13" s="102" t="s">
        <v>210</v>
      </c>
      <c r="F13" s="2" t="s">
        <v>156</v>
      </c>
      <c r="H13" s="45">
        <f>'3) Data'!H131</f>
        <v>21900.983888888888</v>
      </c>
    </row>
    <row r="15" spans="2:17" x14ac:dyDescent="0.2">
      <c r="B15" s="1" t="s">
        <v>211</v>
      </c>
    </row>
    <row r="16" spans="2:17" x14ac:dyDescent="0.2">
      <c r="B16" s="102" t="s">
        <v>210</v>
      </c>
      <c r="F16" s="2" t="s">
        <v>156</v>
      </c>
      <c r="H16" s="45">
        <f>'3) Data'!H134</f>
        <v>2034640.216471757</v>
      </c>
    </row>
    <row r="17" spans="2:8" x14ac:dyDescent="0.2">
      <c r="B17" s="2" t="s">
        <v>209</v>
      </c>
      <c r="F17" s="2" t="s">
        <v>83</v>
      </c>
      <c r="H17" s="45">
        <f>'3) Data'!P30</f>
        <v>2155537</v>
      </c>
    </row>
    <row r="19" spans="2:8" s="9" customFormat="1" x14ac:dyDescent="0.2">
      <c r="B19" s="9" t="s">
        <v>213</v>
      </c>
      <c r="H19" s="72"/>
    </row>
    <row r="21" spans="2:8" x14ac:dyDescent="0.2">
      <c r="B21" s="2" t="s">
        <v>212</v>
      </c>
      <c r="H21" s="69">
        <f>H17/H16</f>
        <v>1.059419244026292</v>
      </c>
    </row>
    <row r="22" spans="2:8" x14ac:dyDescent="0.2">
      <c r="B22" s="2" t="s">
        <v>207</v>
      </c>
      <c r="F22" s="2" t="s">
        <v>83</v>
      </c>
      <c r="H22" s="46">
        <f>H21*H13</f>
        <v>23202.323794998665</v>
      </c>
    </row>
    <row r="23" spans="2:8" x14ac:dyDescent="0.2">
      <c r="B23" s="2" t="s">
        <v>214</v>
      </c>
      <c r="H23" s="103">
        <f>H22/H17</f>
        <v>1.0764057306832898E-2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2:V187"/>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57.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3.5703125" style="2" bestFit="1" customWidth="1"/>
    <col min="15" max="15" width="12.5703125" style="2" customWidth="1"/>
    <col min="16" max="16" width="13.5703125" style="2" bestFit="1" customWidth="1"/>
    <col min="17" max="17" width="12.5703125" style="2" customWidth="1"/>
    <col min="18" max="18" width="3.85546875" style="2" customWidth="1"/>
    <col min="19" max="20" width="12.5703125" style="2" customWidth="1"/>
    <col min="21" max="21" width="2.7109375" style="2" customWidth="1"/>
    <col min="22" max="36" width="13.7109375" style="2" customWidth="1"/>
    <col min="37" max="16384" width="9.140625" style="2"/>
  </cols>
  <sheetData>
    <row r="2" spans="2:22" s="22" customFormat="1" ht="18" x14ac:dyDescent="0.2">
      <c r="B2" s="22" t="s">
        <v>339</v>
      </c>
    </row>
    <row r="4" spans="2:22" x14ac:dyDescent="0.2">
      <c r="B4" s="32" t="s">
        <v>53</v>
      </c>
      <c r="C4" s="1"/>
      <c r="D4" s="1"/>
    </row>
    <row r="5" spans="2:22" x14ac:dyDescent="0.2">
      <c r="B5" s="27" t="s">
        <v>340</v>
      </c>
      <c r="C5" s="27"/>
      <c r="D5" s="27"/>
      <c r="H5" s="23"/>
    </row>
    <row r="6" spans="2:22" x14ac:dyDescent="0.2">
      <c r="B6" s="27"/>
      <c r="C6" s="27"/>
      <c r="D6" s="27"/>
      <c r="H6" s="23"/>
    </row>
    <row r="7" spans="2:22" x14ac:dyDescent="0.2">
      <c r="B7" s="33" t="s">
        <v>29</v>
      </c>
      <c r="C7" s="27"/>
      <c r="D7" s="27"/>
      <c r="H7" s="23"/>
    </row>
    <row r="8" spans="2:22" x14ac:dyDescent="0.2">
      <c r="B8" s="27" t="s">
        <v>199</v>
      </c>
      <c r="C8" s="27"/>
      <c r="D8" s="27"/>
    </row>
    <row r="9" spans="2:22" x14ac:dyDescent="0.2">
      <c r="B9" s="27" t="s">
        <v>338</v>
      </c>
    </row>
    <row r="11" spans="2:22" s="9" customFormat="1" x14ac:dyDescent="0.2">
      <c r="B11" s="9" t="s">
        <v>44</v>
      </c>
      <c r="F11" s="9" t="s">
        <v>27</v>
      </c>
      <c r="H11" s="9" t="s">
        <v>28</v>
      </c>
      <c r="J11" s="9" t="s">
        <v>48</v>
      </c>
      <c r="L11" s="9" t="s">
        <v>101</v>
      </c>
      <c r="M11" s="9" t="s">
        <v>74</v>
      </c>
      <c r="N11" s="9" t="s">
        <v>75</v>
      </c>
      <c r="O11" s="9" t="s">
        <v>76</v>
      </c>
      <c r="P11" s="9" t="s">
        <v>77</v>
      </c>
      <c r="Q11" s="9" t="s">
        <v>78</v>
      </c>
      <c r="S11" s="9" t="s">
        <v>73</v>
      </c>
      <c r="T11" s="9" t="s">
        <v>198</v>
      </c>
      <c r="V11" s="9" t="s">
        <v>46</v>
      </c>
    </row>
    <row r="13" spans="2:22" s="139" customFormat="1" x14ac:dyDescent="0.2">
      <c r="B13" s="139" t="s">
        <v>162</v>
      </c>
    </row>
    <row r="15" spans="2:22" s="9" customFormat="1" x14ac:dyDescent="0.2">
      <c r="B15" s="9" t="s">
        <v>126</v>
      </c>
    </row>
    <row r="17" spans="2:20" x14ac:dyDescent="0.2">
      <c r="B17" s="2" t="s">
        <v>341</v>
      </c>
      <c r="H17" s="73">
        <f>'6) Weert'!H23</f>
        <v>1.0764057306832898E-2</v>
      </c>
    </row>
    <row r="19" spans="2:20" x14ac:dyDescent="0.2">
      <c r="B19" s="2" t="s">
        <v>239</v>
      </c>
      <c r="F19" s="2" t="s">
        <v>83</v>
      </c>
      <c r="H19" s="60">
        <f>'2) Parameters'!H36</f>
        <v>7720787</v>
      </c>
    </row>
    <row r="20" spans="2:20" x14ac:dyDescent="0.2">
      <c r="B20" s="2" t="s">
        <v>269</v>
      </c>
      <c r="F20" s="2" t="s">
        <v>83</v>
      </c>
      <c r="H20" s="60">
        <f>'2) Parameters'!H47</f>
        <v>1560776.25</v>
      </c>
    </row>
    <row r="21" spans="2:20" x14ac:dyDescent="0.2">
      <c r="H21" s="55"/>
      <c r="R21" s="10"/>
    </row>
    <row r="22" spans="2:20" x14ac:dyDescent="0.2">
      <c r="B22" s="2" t="s">
        <v>100</v>
      </c>
      <c r="F22" s="2" t="s">
        <v>297</v>
      </c>
      <c r="H22" s="55"/>
      <c r="L22" s="61">
        <f>'4) SAIFI en CAIDI'!L82</f>
        <v>28.034587995930824</v>
      </c>
      <c r="M22" s="61">
        <f>'4) SAIFI en CAIDI'!M82</f>
        <v>79.23343152673948</v>
      </c>
      <c r="N22" s="61">
        <f>'4) SAIFI en CAIDI'!N82</f>
        <v>85.641603035066893</v>
      </c>
      <c r="O22" s="61">
        <f>'4) SAIFI en CAIDI'!O82</f>
        <v>63.950118363205952</v>
      </c>
      <c r="P22" s="61">
        <f>'4) SAIFI en CAIDI'!P82</f>
        <v>90.701706729154694</v>
      </c>
      <c r="Q22" s="61">
        <f>'4) SAIFI en CAIDI'!Q82</f>
        <v>65.53475014359563</v>
      </c>
      <c r="R22" s="93"/>
      <c r="S22" s="61">
        <f>'4) SAIFI en CAIDI'!S82</f>
        <v>61.705153294194389</v>
      </c>
      <c r="T22" s="61">
        <f>'4) SAIFI en CAIDI'!T82</f>
        <v>42.422396856581535</v>
      </c>
    </row>
    <row r="23" spans="2:20" x14ac:dyDescent="0.2">
      <c r="B23" s="2" t="s">
        <v>142</v>
      </c>
      <c r="F23" s="2" t="s">
        <v>83</v>
      </c>
      <c r="H23" s="55"/>
      <c r="L23" s="61">
        <f>'5) Verrekening onder-boven'!L179</f>
        <v>3.905336359513456E-2</v>
      </c>
      <c r="M23" s="61">
        <f>'5) Verrekening onder-boven'!M179</f>
        <v>0.20192940991664698</v>
      </c>
      <c r="N23" s="61">
        <f>'5) Verrekening onder-boven'!N179</f>
        <v>0.24496026102443985</v>
      </c>
      <c r="O23" s="61">
        <f>'5) Verrekening onder-boven'!O179</f>
        <v>0.18423294262490419</v>
      </c>
      <c r="P23" s="61">
        <f>'5) Verrekening onder-boven'!P179</f>
        <v>0.18654786991426697</v>
      </c>
      <c r="Q23" s="61">
        <f>'5) Verrekening onder-boven'!Q179</f>
        <v>0.20715360001898431</v>
      </c>
      <c r="R23" s="93"/>
      <c r="S23" s="61">
        <f>'5) Verrekening onder-boven'!S179</f>
        <v>0.23618859978803766</v>
      </c>
      <c r="T23" s="61">
        <f>'5) Verrekening onder-boven'!T179</f>
        <v>6.1343402558911832E-2</v>
      </c>
    </row>
    <row r="24" spans="2:20" x14ac:dyDescent="0.2">
      <c r="H24" s="55"/>
      <c r="R24" s="10"/>
    </row>
    <row r="25" spans="2:20" x14ac:dyDescent="0.2">
      <c r="B25" s="2" t="s">
        <v>81</v>
      </c>
      <c r="F25" s="2" t="s">
        <v>83</v>
      </c>
      <c r="H25" s="55"/>
      <c r="J25" s="46">
        <f>SUM(L25:T25)</f>
        <v>8279170</v>
      </c>
      <c r="L25" s="45">
        <f>'3) Data'!L30</f>
        <v>53095</v>
      </c>
      <c r="M25" s="45">
        <f>'3) Data'!M30</f>
        <v>2604145</v>
      </c>
      <c r="N25" s="45">
        <f>'3) Data'!N30</f>
        <v>3050791</v>
      </c>
      <c r="O25" s="45">
        <f>'3) Data'!O30</f>
        <v>32403</v>
      </c>
      <c r="P25" s="45">
        <f>'3) Data'!P30</f>
        <v>2155537</v>
      </c>
      <c r="Q25" s="45">
        <f>'3) Data'!Q30</f>
        <v>58003</v>
      </c>
      <c r="R25" s="88"/>
      <c r="S25" s="45">
        <f>'3) Data'!S30</f>
        <v>214189</v>
      </c>
      <c r="T25" s="45">
        <f>'3) Data'!T30</f>
        <v>111007</v>
      </c>
    </row>
    <row r="26" spans="2:20" x14ac:dyDescent="0.2">
      <c r="H26" s="55"/>
      <c r="R26" s="10"/>
    </row>
    <row r="27" spans="2:20" s="9" customFormat="1" x14ac:dyDescent="0.2">
      <c r="B27" s="9" t="s">
        <v>148</v>
      </c>
      <c r="H27" s="115"/>
    </row>
    <row r="28" spans="2:20" x14ac:dyDescent="0.2">
      <c r="H28" s="55"/>
    </row>
    <row r="29" spans="2:20" x14ac:dyDescent="0.2">
      <c r="B29" s="2" t="s">
        <v>239</v>
      </c>
      <c r="F29" s="2" t="s">
        <v>83</v>
      </c>
      <c r="H29" s="60">
        <f>'2) Parameters'!H37</f>
        <v>7794075</v>
      </c>
    </row>
    <row r="30" spans="2:20" x14ac:dyDescent="0.2">
      <c r="B30" s="2" t="s">
        <v>269</v>
      </c>
      <c r="F30" s="2" t="s">
        <v>83</v>
      </c>
      <c r="H30" s="60">
        <f>'2) Parameters'!H53</f>
        <v>1618030</v>
      </c>
    </row>
    <row r="31" spans="2:20" x14ac:dyDescent="0.2">
      <c r="H31" s="55"/>
      <c r="R31" s="10"/>
    </row>
    <row r="32" spans="2:20" x14ac:dyDescent="0.2">
      <c r="B32" s="2" t="s">
        <v>100</v>
      </c>
      <c r="F32" s="2" t="s">
        <v>297</v>
      </c>
      <c r="H32" s="55"/>
      <c r="L32" s="61">
        <f>'4) SAIFI en CAIDI'!L91</f>
        <v>49.218006085555757</v>
      </c>
      <c r="M32" s="61">
        <f>'4) SAIFI en CAIDI'!M91</f>
        <v>98.349004269049018</v>
      </c>
      <c r="N32" s="61">
        <f>'4) SAIFI en CAIDI'!N91</f>
        <v>84.475994176667811</v>
      </c>
      <c r="O32" s="61">
        <f>'4) SAIFI en CAIDI'!O91</f>
        <v>121.49937106918239</v>
      </c>
      <c r="P32" s="61">
        <f>'4) SAIFI en CAIDI'!P91</f>
        <v>92.219680620372458</v>
      </c>
      <c r="Q32" s="61">
        <f>'4) SAIFI en CAIDI'!Q91</f>
        <v>95.35051388249731</v>
      </c>
      <c r="R32" s="93"/>
      <c r="S32" s="61">
        <f>'4) SAIFI en CAIDI'!S91</f>
        <v>58.284658611056976</v>
      </c>
      <c r="T32" s="87"/>
    </row>
    <row r="33" spans="2:20" x14ac:dyDescent="0.2">
      <c r="B33" s="2" t="s">
        <v>142</v>
      </c>
      <c r="F33" s="2" t="s">
        <v>83</v>
      </c>
      <c r="H33" s="55"/>
      <c r="L33" s="61">
        <f>'5) Verrekening onder-boven'!L188</f>
        <v>0.10638129555772211</v>
      </c>
      <c r="M33" s="61">
        <f>'5) Verrekening onder-boven'!M188</f>
        <v>0.14369410878136671</v>
      </c>
      <c r="N33" s="61">
        <f>'5) Verrekening onder-boven'!N188</f>
        <v>0.20976062976475165</v>
      </c>
      <c r="O33" s="61">
        <f>'5) Verrekening onder-boven'!O188</f>
        <v>2.5819177653934371E-2</v>
      </c>
      <c r="P33" s="61">
        <f>'5) Verrekening onder-boven'!P188</f>
        <v>0.17809371272494007</v>
      </c>
      <c r="Q33" s="61">
        <f>'5) Verrekening onder-boven'!Q188</f>
        <v>0.12122059021383645</v>
      </c>
      <c r="R33" s="93"/>
      <c r="S33" s="61">
        <f>'5) Verrekening onder-boven'!S188</f>
        <v>0.28942370969258246</v>
      </c>
      <c r="T33" s="87"/>
    </row>
    <row r="34" spans="2:20" x14ac:dyDescent="0.2">
      <c r="H34" s="55"/>
      <c r="R34" s="10"/>
    </row>
    <row r="35" spans="2:20" x14ac:dyDescent="0.2">
      <c r="B35" s="2" t="s">
        <v>81</v>
      </c>
      <c r="F35" s="2" t="s">
        <v>83</v>
      </c>
      <c r="H35" s="55"/>
      <c r="J35" s="46">
        <f>SUM(L35:S35)</f>
        <v>8368907</v>
      </c>
      <c r="L35" s="45">
        <f>'3) Data'!L52</f>
        <v>53269</v>
      </c>
      <c r="M35" s="45">
        <f>'3) Data'!M52</f>
        <v>2761914</v>
      </c>
      <c r="N35" s="45">
        <f>'3) Data'!N52</f>
        <v>3087303</v>
      </c>
      <c r="O35" s="45">
        <f>'3) Data'!O52</f>
        <v>32551</v>
      </c>
      <c r="P35" s="45">
        <f>'3) Data'!P52</f>
        <v>2162498</v>
      </c>
      <c r="Q35" s="45">
        <f>'3) Data'!Q52</f>
        <v>58632</v>
      </c>
      <c r="R35" s="88"/>
      <c r="S35" s="45">
        <f>'3) Data'!S52</f>
        <v>212740</v>
      </c>
      <c r="T35" s="87"/>
    </row>
    <row r="36" spans="2:20" x14ac:dyDescent="0.2">
      <c r="H36" s="55"/>
      <c r="R36" s="10"/>
    </row>
    <row r="37" spans="2:20" s="9" customFormat="1" x14ac:dyDescent="0.2">
      <c r="B37" s="9" t="s">
        <v>150</v>
      </c>
      <c r="H37" s="115"/>
    </row>
    <row r="38" spans="2:20" x14ac:dyDescent="0.2">
      <c r="H38" s="55"/>
    </row>
    <row r="39" spans="2:20" x14ac:dyDescent="0.2">
      <c r="B39" s="2" t="s">
        <v>239</v>
      </c>
      <c r="F39" s="2" t="s">
        <v>83</v>
      </c>
      <c r="H39" s="60">
        <f>'2) Parameters'!H38</f>
        <v>7857914</v>
      </c>
    </row>
    <row r="40" spans="2:20" x14ac:dyDescent="0.2">
      <c r="B40" s="2" t="s">
        <v>269</v>
      </c>
      <c r="F40" s="2" t="s">
        <v>83</v>
      </c>
      <c r="H40" s="60">
        <f>'2) Parameters'!H59</f>
        <v>1693080</v>
      </c>
      <c r="R40" s="10"/>
    </row>
    <row r="41" spans="2:20" x14ac:dyDescent="0.2">
      <c r="H41" s="55"/>
      <c r="R41" s="10"/>
    </row>
    <row r="42" spans="2:20" x14ac:dyDescent="0.2">
      <c r="B42" s="2" t="s">
        <v>100</v>
      </c>
      <c r="F42" s="2" t="s">
        <v>297</v>
      </c>
      <c r="H42" s="55"/>
      <c r="L42" s="61">
        <f>'4) SAIFI en CAIDI'!L100</f>
        <v>49.933621434745028</v>
      </c>
      <c r="M42" s="61">
        <f>'4) SAIFI en CAIDI'!M100</f>
        <v>81.259496820167868</v>
      </c>
      <c r="N42" s="61">
        <f>'4) SAIFI en CAIDI'!N100</f>
        <v>88.371545018565143</v>
      </c>
      <c r="O42" s="61">
        <f>'4) SAIFI en CAIDI'!O100</f>
        <v>87.770344287949925</v>
      </c>
      <c r="P42" s="61">
        <f>'4) SAIFI en CAIDI'!P100</f>
        <v>77.76360820037749</v>
      </c>
      <c r="Q42" s="61">
        <f>'4) SAIFI en CAIDI'!Q100</f>
        <v>64.290076335877856</v>
      </c>
      <c r="R42" s="93"/>
      <c r="S42" s="61">
        <f>'4) SAIFI en CAIDI'!S100</f>
        <v>62.241633058735829</v>
      </c>
      <c r="T42" s="87"/>
    </row>
    <row r="43" spans="2:20" x14ac:dyDescent="0.2">
      <c r="B43" s="2" t="s">
        <v>142</v>
      </c>
      <c r="F43" s="2" t="s">
        <v>83</v>
      </c>
      <c r="H43" s="55"/>
      <c r="L43" s="61">
        <f>'5) Verrekening onder-boven'!L197</f>
        <v>0.11008437893108457</v>
      </c>
      <c r="M43" s="61">
        <f>'5) Verrekening onder-boven'!M197</f>
        <v>0.20006424871313236</v>
      </c>
      <c r="N43" s="61">
        <f>'5) Verrekening onder-boven'!N197</f>
        <v>0.31343499570467365</v>
      </c>
      <c r="O43" s="61">
        <f>'5) Verrekening onder-boven'!O197</f>
        <v>0.15912247615095407</v>
      </c>
      <c r="P43" s="61">
        <f>'5) Verrekening onder-boven'!P197</f>
        <v>0.22109353852828187</v>
      </c>
      <c r="Q43" s="61">
        <f>'5) Verrekening onder-boven'!Q197</f>
        <v>0.20716871167477535</v>
      </c>
      <c r="R43" s="93"/>
      <c r="S43" s="61">
        <f>'5) Verrekening onder-boven'!S197</f>
        <v>0.24427812380356526</v>
      </c>
      <c r="T43" s="87"/>
    </row>
    <row r="44" spans="2:20" x14ac:dyDescent="0.2">
      <c r="H44" s="55"/>
      <c r="R44" s="10"/>
    </row>
    <row r="45" spans="2:20" x14ac:dyDescent="0.2">
      <c r="B45" s="2" t="s">
        <v>81</v>
      </c>
      <c r="F45" s="2" t="s">
        <v>83</v>
      </c>
      <c r="H45" s="55"/>
      <c r="J45" s="46">
        <f>SUM(L45:S45)</f>
        <v>8360893</v>
      </c>
      <c r="L45" s="45">
        <f>'3) Data'!L73</f>
        <v>53549</v>
      </c>
      <c r="M45" s="45">
        <f>'3) Data'!M73</f>
        <v>2771208</v>
      </c>
      <c r="N45" s="45">
        <f>'3) Data'!N73</f>
        <v>3118226</v>
      </c>
      <c r="O45" s="45">
        <f>'3) Data'!O73</f>
        <v>32546</v>
      </c>
      <c r="P45" s="45">
        <f>'3) Data'!P73</f>
        <v>2111530</v>
      </c>
      <c r="Q45" s="45">
        <f>'3) Data'!Q73</f>
        <v>59656</v>
      </c>
      <c r="R45" s="88"/>
      <c r="S45" s="45">
        <f>'3) Data'!S73</f>
        <v>214178</v>
      </c>
      <c r="T45" s="87"/>
    </row>
    <row r="46" spans="2:20" x14ac:dyDescent="0.2">
      <c r="H46" s="55"/>
    </row>
    <row r="47" spans="2:20" s="9" customFormat="1" x14ac:dyDescent="0.2">
      <c r="B47" s="9" t="s">
        <v>152</v>
      </c>
      <c r="H47" s="115"/>
    </row>
    <row r="48" spans="2:20" x14ac:dyDescent="0.2">
      <c r="H48" s="55"/>
    </row>
    <row r="49" spans="2:20" x14ac:dyDescent="0.2">
      <c r="B49" s="2" t="s">
        <v>239</v>
      </c>
      <c r="F49" s="2" t="s">
        <v>83</v>
      </c>
      <c r="H49" s="60">
        <f>'2) Parameters'!H39</f>
        <v>7924691</v>
      </c>
    </row>
    <row r="50" spans="2:20" x14ac:dyDescent="0.2">
      <c r="B50" s="2" t="s">
        <v>269</v>
      </c>
      <c r="F50" s="2" t="s">
        <v>83</v>
      </c>
      <c r="H50" s="60">
        <f>'2) Parameters'!H65</f>
        <v>1786961.25</v>
      </c>
    </row>
    <row r="51" spans="2:20" x14ac:dyDescent="0.2">
      <c r="H51" s="55"/>
      <c r="R51" s="10"/>
    </row>
    <row r="52" spans="2:20" x14ac:dyDescent="0.2">
      <c r="B52" s="2" t="s">
        <v>100</v>
      </c>
      <c r="F52" s="2" t="s">
        <v>297</v>
      </c>
      <c r="H52" s="55"/>
      <c r="L52" s="61">
        <f>'4) SAIFI en CAIDI'!L109</f>
        <v>80.524892845367617</v>
      </c>
      <c r="M52" s="61">
        <f>'4) SAIFI en CAIDI'!M109</f>
        <v>76.835663072992006</v>
      </c>
      <c r="N52" s="61">
        <f>'4) SAIFI en CAIDI'!N109</f>
        <v>79.475688031748518</v>
      </c>
      <c r="O52" s="61">
        <f>'4) SAIFI en CAIDI'!O109</f>
        <v>92.883480825958699</v>
      </c>
      <c r="P52" s="61">
        <f>'4) SAIFI en CAIDI'!P109</f>
        <v>85.998358391493724</v>
      </c>
      <c r="Q52" s="61">
        <f>'4) SAIFI en CAIDI'!Q109</f>
        <v>53.111027190332329</v>
      </c>
      <c r="R52" s="93"/>
      <c r="S52" s="61">
        <f>'4) SAIFI en CAIDI'!S109</f>
        <v>64.451257099656885</v>
      </c>
      <c r="T52" s="87"/>
    </row>
    <row r="53" spans="2:20" x14ac:dyDescent="0.2">
      <c r="B53" s="2" t="s">
        <v>142</v>
      </c>
      <c r="F53" s="2" t="s">
        <v>83</v>
      </c>
      <c r="H53" s="55"/>
      <c r="L53" s="61">
        <f>'5) Verrekening onder-boven'!L206</f>
        <v>5.807669404241849E-2</v>
      </c>
      <c r="M53" s="61">
        <f>'5) Verrekening onder-boven'!M206</f>
        <v>0.18396487981972462</v>
      </c>
      <c r="N53" s="61">
        <f>'5) Verrekening onder-boven'!N206</f>
        <v>0.25245731346726297</v>
      </c>
      <c r="O53" s="61">
        <f>'5) Verrekening onder-boven'!O206</f>
        <v>6.3503667271371272E-2</v>
      </c>
      <c r="P53" s="61">
        <f>'5) Verrekening onder-boven'!P206</f>
        <v>0.2445287341871934</v>
      </c>
      <c r="Q53" s="61">
        <f>'5) Verrekening onder-boven'!Q206</f>
        <v>0.12941472761950612</v>
      </c>
      <c r="R53" s="93"/>
      <c r="S53" s="61">
        <f>'5) Verrekening onder-boven'!S206</f>
        <v>0.23867511184931919</v>
      </c>
      <c r="T53" s="87"/>
    </row>
    <row r="54" spans="2:20" x14ac:dyDescent="0.2">
      <c r="H54" s="55"/>
      <c r="R54" s="10"/>
    </row>
    <row r="55" spans="2:20" x14ac:dyDescent="0.2">
      <c r="B55" s="2" t="s">
        <v>81</v>
      </c>
      <c r="F55" s="2" t="s">
        <v>83</v>
      </c>
      <c r="H55" s="55"/>
      <c r="J55" s="46">
        <f>SUM(L55:S55)</f>
        <v>8465705</v>
      </c>
      <c r="L55" s="45">
        <f>'3) Data'!L94</f>
        <v>53898</v>
      </c>
      <c r="M55" s="45">
        <f>'3) Data'!M94</f>
        <v>2799787</v>
      </c>
      <c r="N55" s="45">
        <f>'3) Data'!N94</f>
        <v>3182662</v>
      </c>
      <c r="O55" s="45">
        <f>'3) Data'!O94</f>
        <v>32966</v>
      </c>
      <c r="P55" s="45">
        <f>'3) Data'!P94</f>
        <v>2120286</v>
      </c>
      <c r="Q55" s="45">
        <f>'3) Data'!Q94</f>
        <v>59967</v>
      </c>
      <c r="R55" s="88"/>
      <c r="S55" s="45">
        <f>'3) Data'!S94</f>
        <v>216139</v>
      </c>
      <c r="T55" s="87"/>
    </row>
    <row r="56" spans="2:20" x14ac:dyDescent="0.2">
      <c r="H56" s="55"/>
      <c r="R56" s="10"/>
    </row>
    <row r="57" spans="2:20" s="9" customFormat="1" x14ac:dyDescent="0.2">
      <c r="B57" s="9" t="s">
        <v>154</v>
      </c>
      <c r="H57" s="115"/>
    </row>
    <row r="58" spans="2:20" x14ac:dyDescent="0.2">
      <c r="H58" s="55"/>
    </row>
    <row r="59" spans="2:20" x14ac:dyDescent="0.2">
      <c r="B59" s="2" t="s">
        <v>239</v>
      </c>
      <c r="F59" s="2" t="s">
        <v>83</v>
      </c>
      <c r="H59" s="60">
        <f>'2) Parameters'!H40</f>
        <v>7997800</v>
      </c>
    </row>
    <row r="60" spans="2:20" x14ac:dyDescent="0.2">
      <c r="B60" s="2" t="s">
        <v>269</v>
      </c>
      <c r="F60" s="2" t="s">
        <v>83</v>
      </c>
      <c r="H60" s="60">
        <f>'2) Parameters'!H71</f>
        <v>1879731.25</v>
      </c>
    </row>
    <row r="61" spans="2:20" x14ac:dyDescent="0.2">
      <c r="H61" s="55"/>
      <c r="R61" s="10"/>
    </row>
    <row r="62" spans="2:20" x14ac:dyDescent="0.2">
      <c r="B62" s="2" t="s">
        <v>100</v>
      </c>
      <c r="F62" s="2" t="s">
        <v>297</v>
      </c>
      <c r="H62" s="55"/>
      <c r="L62" s="61">
        <f>'4) SAIFI en CAIDI'!L118</f>
        <v>65.49905338886785</v>
      </c>
      <c r="M62" s="61">
        <f>'4) SAIFI en CAIDI'!M118</f>
        <v>76.620453378658922</v>
      </c>
      <c r="N62" s="61">
        <f>'4) SAIFI en CAIDI'!N118</f>
        <v>75.839158917668783</v>
      </c>
      <c r="O62" s="61">
        <f>'4) SAIFI en CAIDI'!O118</f>
        <v>111.20071153276015</v>
      </c>
      <c r="P62" s="61">
        <f>'4) SAIFI en CAIDI'!P118</f>
        <v>117.31003391046268</v>
      </c>
      <c r="Q62" s="61">
        <f>'4) SAIFI en CAIDI'!Q118</f>
        <v>128.58927074601843</v>
      </c>
      <c r="R62" s="93"/>
      <c r="S62" s="61">
        <f>'4) SAIFI en CAIDI'!S118</f>
        <v>61.526420420659221</v>
      </c>
      <c r="T62" s="87"/>
    </row>
    <row r="63" spans="2:20" x14ac:dyDescent="0.2">
      <c r="B63" s="2" t="s">
        <v>142</v>
      </c>
      <c r="F63" s="2" t="s">
        <v>83</v>
      </c>
      <c r="L63" s="61">
        <f>'5) Verrekening onder-boven'!L215</f>
        <v>5.055395254868527E-2</v>
      </c>
      <c r="M63" s="61">
        <f>'5) Verrekening onder-boven'!M215</f>
        <v>0.17420151238983977</v>
      </c>
      <c r="N63" s="61">
        <f>'5) Verrekening onder-boven'!N215</f>
        <v>0.29214831776964578</v>
      </c>
      <c r="O63" s="61">
        <f>'5) Verrekening onder-boven'!O215</f>
        <v>0.10348197807632806</v>
      </c>
      <c r="P63" s="61">
        <f>'5) Verrekening onder-boven'!P215</f>
        <v>0.23229442924500909</v>
      </c>
      <c r="Q63" s="61">
        <f>'5) Verrekening onder-boven'!Q215</f>
        <v>7.4004814444318417E-2</v>
      </c>
      <c r="R63" s="93"/>
      <c r="S63" s="61">
        <f>'5) Verrekening onder-boven'!S215</f>
        <v>0.23101864609166894</v>
      </c>
      <c r="T63" s="87"/>
    </row>
    <row r="64" spans="2:20" x14ac:dyDescent="0.2">
      <c r="R64" s="10"/>
    </row>
    <row r="65" spans="2:20" x14ac:dyDescent="0.2">
      <c r="B65" s="2" t="s">
        <v>81</v>
      </c>
      <c r="F65" s="2" t="s">
        <v>83</v>
      </c>
      <c r="J65" s="46">
        <f>SUM(L65:S65)</f>
        <v>8559877</v>
      </c>
      <c r="L65" s="45">
        <f>'3) Data'!L115</f>
        <v>54255</v>
      </c>
      <c r="M65" s="45">
        <f>'3) Data'!M115</f>
        <v>2834532</v>
      </c>
      <c r="N65" s="45">
        <f>'3) Data'!N115</f>
        <v>3221231</v>
      </c>
      <c r="O65" s="45">
        <f>'3) Data'!O115</f>
        <v>33197</v>
      </c>
      <c r="P65" s="45">
        <f>'3) Data'!P115</f>
        <v>2136891</v>
      </c>
      <c r="Q65" s="45">
        <f>'3) Data'!Q115</f>
        <v>62031</v>
      </c>
      <c r="R65" s="88"/>
      <c r="S65" s="45">
        <f>'3) Data'!S115</f>
        <v>217740</v>
      </c>
      <c r="T65" s="87"/>
    </row>
    <row r="67" spans="2:20" s="9" customFormat="1" x14ac:dyDescent="0.2">
      <c r="B67" s="9" t="s">
        <v>171</v>
      </c>
    </row>
    <row r="69" spans="2:20" x14ac:dyDescent="0.2">
      <c r="B69" s="1" t="s">
        <v>170</v>
      </c>
    </row>
    <row r="70" spans="2:20" x14ac:dyDescent="0.2">
      <c r="B70" s="2" t="s">
        <v>273</v>
      </c>
      <c r="H70" s="67">
        <f>'2) Parameters'!H81</f>
        <v>0.15709999999999999</v>
      </c>
    </row>
    <row r="71" spans="2:20" x14ac:dyDescent="0.2">
      <c r="B71" s="2" t="s">
        <v>275</v>
      </c>
      <c r="H71" s="65">
        <f>'2) Parameters'!H82</f>
        <v>0.2</v>
      </c>
    </row>
    <row r="72" spans="2:20" x14ac:dyDescent="0.2">
      <c r="B72" s="2" t="s">
        <v>272</v>
      </c>
      <c r="H72" s="67">
        <f>'2) Parameters'!H83</f>
        <v>0.4899</v>
      </c>
    </row>
    <row r="73" spans="2:20" x14ac:dyDescent="0.2">
      <c r="B73" s="2" t="s">
        <v>277</v>
      </c>
      <c r="H73" s="45">
        <f>'2) Parameters'!H84</f>
        <v>60</v>
      </c>
    </row>
    <row r="74" spans="2:20" x14ac:dyDescent="0.2">
      <c r="B74" s="2" t="s">
        <v>274</v>
      </c>
      <c r="H74" s="66">
        <f>'2) Parameters'!H85</f>
        <v>8.3000000000000004E-2</v>
      </c>
    </row>
    <row r="75" spans="2:20" x14ac:dyDescent="0.2">
      <c r="B75" s="2" t="s">
        <v>276</v>
      </c>
      <c r="H75" s="45">
        <f>'2) Parameters'!H86</f>
        <v>54</v>
      </c>
    </row>
    <row r="77" spans="2:20" x14ac:dyDescent="0.2">
      <c r="B77" s="1" t="s">
        <v>172</v>
      </c>
    </row>
    <row r="78" spans="2:20" x14ac:dyDescent="0.2">
      <c r="B78" s="2" t="s">
        <v>273</v>
      </c>
      <c r="H78" s="67">
        <f>'2) Parameters'!H89</f>
        <v>0.21929999999999999</v>
      </c>
    </row>
    <row r="79" spans="2:20" x14ac:dyDescent="0.2">
      <c r="B79" s="2" t="s">
        <v>275</v>
      </c>
      <c r="H79" s="65">
        <f>'2) Parameters'!H90</f>
        <v>0.2</v>
      </c>
    </row>
    <row r="80" spans="2:20" x14ac:dyDescent="0.2">
      <c r="B80" s="2" t="s">
        <v>272</v>
      </c>
      <c r="H80" s="67">
        <f>'2) Parameters'!H91</f>
        <v>0.31119999999999998</v>
      </c>
    </row>
    <row r="81" spans="2:20" x14ac:dyDescent="0.2">
      <c r="B81" s="2" t="s">
        <v>277</v>
      </c>
      <c r="H81" s="45">
        <f>'2) Parameters'!H92</f>
        <v>60</v>
      </c>
    </row>
    <row r="82" spans="2:20" x14ac:dyDescent="0.2">
      <c r="B82" s="2" t="s">
        <v>274</v>
      </c>
      <c r="H82" s="66">
        <f>'2) Parameters'!H93</f>
        <v>8.3000000000000004E-2</v>
      </c>
      <c r="L82" s="101"/>
      <c r="M82" s="101"/>
      <c r="N82" s="101"/>
      <c r="O82" s="101"/>
      <c r="P82" s="101"/>
      <c r="Q82" s="101"/>
      <c r="R82" s="101"/>
      <c r="S82" s="101"/>
      <c r="T82" s="101"/>
    </row>
    <row r="83" spans="2:20" x14ac:dyDescent="0.2">
      <c r="B83" s="2" t="s">
        <v>276</v>
      </c>
      <c r="H83" s="45">
        <f>'2) Parameters'!H94</f>
        <v>372</v>
      </c>
    </row>
    <row r="84" spans="2:20" s="10" customFormat="1" x14ac:dyDescent="0.2">
      <c r="H84" s="88"/>
    </row>
    <row r="85" spans="2:20" x14ac:dyDescent="0.2">
      <c r="B85" s="1" t="s">
        <v>157</v>
      </c>
    </row>
    <row r="86" spans="2:20" x14ac:dyDescent="0.2">
      <c r="B86" s="27" t="s">
        <v>188</v>
      </c>
      <c r="F86" s="2" t="s">
        <v>123</v>
      </c>
      <c r="H86" s="73">
        <f>'2) Parameters'!H23</f>
        <v>2.3E-2</v>
      </c>
    </row>
    <row r="87" spans="2:20" x14ac:dyDescent="0.2">
      <c r="B87" s="27" t="s">
        <v>189</v>
      </c>
      <c r="F87" s="2" t="s">
        <v>123</v>
      </c>
      <c r="H87" s="73">
        <f>'2) Parameters'!H24</f>
        <v>2.8000000000000001E-2</v>
      </c>
    </row>
    <row r="88" spans="2:20" x14ac:dyDescent="0.2">
      <c r="B88" s="27" t="s">
        <v>190</v>
      </c>
      <c r="F88" s="2" t="s">
        <v>123</v>
      </c>
      <c r="H88" s="73">
        <f>'2) Parameters'!H25</f>
        <v>0.01</v>
      </c>
    </row>
    <row r="89" spans="2:20" x14ac:dyDescent="0.2">
      <c r="B89" s="27" t="s">
        <v>163</v>
      </c>
      <c r="F89" s="2" t="s">
        <v>123</v>
      </c>
      <c r="H89" s="73">
        <f>'2) Parameters'!H26</f>
        <v>8.0000000000000002E-3</v>
      </c>
    </row>
    <row r="90" spans="2:20" x14ac:dyDescent="0.2">
      <c r="B90" s="27" t="s">
        <v>164</v>
      </c>
      <c r="F90" s="2" t="s">
        <v>123</v>
      </c>
      <c r="H90" s="73">
        <f>'2) Parameters'!H27</f>
        <v>2E-3</v>
      </c>
    </row>
    <row r="91" spans="2:20" x14ac:dyDescent="0.2">
      <c r="B91" s="27" t="s">
        <v>165</v>
      </c>
      <c r="F91" s="2" t="s">
        <v>123</v>
      </c>
      <c r="H91" s="73">
        <f>'2) Parameters'!H28</f>
        <v>1.4E-2</v>
      </c>
    </row>
    <row r="92" spans="2:20" x14ac:dyDescent="0.2">
      <c r="B92" s="27" t="s">
        <v>166</v>
      </c>
      <c r="F92" s="2" t="s">
        <v>123</v>
      </c>
      <c r="H92" s="73">
        <f>'2) Parameters'!H29</f>
        <v>2.1000000000000001E-2</v>
      </c>
    </row>
    <row r="93" spans="2:20" x14ac:dyDescent="0.2">
      <c r="B93" s="27" t="s">
        <v>167</v>
      </c>
      <c r="F93" s="2" t="s">
        <v>123</v>
      </c>
      <c r="H93" s="73">
        <f>'2) Parameters'!H30</f>
        <v>2.8000000000000001E-2</v>
      </c>
    </row>
    <row r="94" spans="2:20" x14ac:dyDescent="0.2">
      <c r="B94" s="27" t="s">
        <v>204</v>
      </c>
      <c r="F94" s="2" t="s">
        <v>123</v>
      </c>
      <c r="H94" s="73">
        <f>'2) Parameters'!H31</f>
        <v>7.0000000000000001E-3</v>
      </c>
    </row>
    <row r="95" spans="2:20" x14ac:dyDescent="0.2">
      <c r="H95" s="88"/>
    </row>
    <row r="96" spans="2:20" s="9" customFormat="1" x14ac:dyDescent="0.2">
      <c r="B96" s="9" t="s">
        <v>298</v>
      </c>
    </row>
    <row r="98" spans="2:22" x14ac:dyDescent="0.2">
      <c r="B98" s="2" t="s">
        <v>336</v>
      </c>
      <c r="F98" s="2" t="s">
        <v>156</v>
      </c>
      <c r="L98" s="45">
        <f>'3) Data'!L20</f>
        <v>1591639.7618644107</v>
      </c>
      <c r="M98" s="45">
        <f>'3) Data'!M20</f>
        <v>3372452.2728191609</v>
      </c>
      <c r="N98" s="45">
        <f>'3) Data'!N20</f>
        <v>4847253.747961428</v>
      </c>
      <c r="O98" s="45">
        <f>'3) Data'!O20</f>
        <v>87909.96688196664</v>
      </c>
      <c r="P98" s="45">
        <f>'3) Data'!P20</f>
        <v>-17593083.788134813</v>
      </c>
      <c r="Q98" s="45">
        <f>'3) Data'!Q20</f>
        <v>1190131.3444372653</v>
      </c>
      <c r="S98" s="45">
        <f>'3) Data'!S20</f>
        <v>4995918.9438198702</v>
      </c>
      <c r="T98" s="45">
        <f>'3) Data'!T20</f>
        <v>1507777.7503506462</v>
      </c>
    </row>
    <row r="100" spans="2:22" x14ac:dyDescent="0.2">
      <c r="B100" s="1" t="s">
        <v>342</v>
      </c>
      <c r="L100" s="55"/>
    </row>
    <row r="101" spans="2:22" x14ac:dyDescent="0.2">
      <c r="B101" s="27" t="s">
        <v>160</v>
      </c>
      <c r="H101" s="73">
        <f>'2) Parameters'!H98</f>
        <v>0.33333333333333331</v>
      </c>
    </row>
    <row r="102" spans="2:22" x14ac:dyDescent="0.2">
      <c r="B102" s="27" t="s">
        <v>159</v>
      </c>
      <c r="H102" s="73">
        <f>'2) Parameters'!H99</f>
        <v>1</v>
      </c>
      <c r="L102" s="55"/>
    </row>
    <row r="104" spans="2:22" s="9" customFormat="1" x14ac:dyDescent="0.2">
      <c r="B104" s="9" t="s">
        <v>169</v>
      </c>
    </row>
    <row r="106" spans="2:22" s="9" customFormat="1" x14ac:dyDescent="0.2">
      <c r="B106" s="9" t="s">
        <v>126</v>
      </c>
    </row>
    <row r="107" spans="2:22" x14ac:dyDescent="0.2">
      <c r="H107" s="55"/>
    </row>
    <row r="108" spans="2:22" x14ac:dyDescent="0.2">
      <c r="B108" s="2" t="s">
        <v>127</v>
      </c>
      <c r="H108" s="121">
        <f>H19/(H19+H20)</f>
        <v>0.83184123105555519</v>
      </c>
    </row>
    <row r="109" spans="2:22" x14ac:dyDescent="0.2">
      <c r="B109" s="2" t="s">
        <v>141</v>
      </c>
      <c r="H109" s="121">
        <f>H20/(H19+H20)</f>
        <v>0.16815876894444479</v>
      </c>
    </row>
    <row r="110" spans="2:22" x14ac:dyDescent="0.2">
      <c r="R110" s="10"/>
    </row>
    <row r="111" spans="2:22" x14ac:dyDescent="0.2">
      <c r="B111" s="2" t="s">
        <v>143</v>
      </c>
      <c r="F111" s="2" t="s">
        <v>191</v>
      </c>
      <c r="L111" s="69">
        <f t="shared" ref="L111:Q111" si="0">-($H$70*LN(L23-$H$71+1)+$H$72*LN((L22/$H$73)-$H$74+1))*$H$75</f>
        <v>-7.1131309397051021</v>
      </c>
      <c r="M111" s="69">
        <f t="shared" si="0"/>
        <v>-21.322483105667953</v>
      </c>
      <c r="N111" s="69">
        <f t="shared" si="0"/>
        <v>-22.912739194864393</v>
      </c>
      <c r="O111" s="69">
        <f t="shared" si="0"/>
        <v>-17.974084998648635</v>
      </c>
      <c r="P111" s="69">
        <f t="shared" si="0"/>
        <v>-23.359704030669903</v>
      </c>
      <c r="Q111" s="69">
        <f t="shared" si="0"/>
        <v>-18.519417843790176</v>
      </c>
      <c r="R111" s="89"/>
      <c r="S111" s="69">
        <f>-($H$70*LN(S23-$H$71+1)+$H$72*LN((S22/$H$73)-$H$74+1))*$H$75</f>
        <v>-17.906518715539285</v>
      </c>
      <c r="T111" s="69">
        <f>-($H$70*LN(T23-$H$71+1)+$H$72*LN((T22/$H$73)-$H$74+1))*$H$75</f>
        <v>-11.562031670853635</v>
      </c>
      <c r="V111" s="5" t="s">
        <v>326</v>
      </c>
    </row>
    <row r="112" spans="2:22" x14ac:dyDescent="0.2">
      <c r="B112" s="2" t="s">
        <v>144</v>
      </c>
      <c r="F112" s="2" t="s">
        <v>191</v>
      </c>
      <c r="L112" s="69">
        <f t="shared" ref="L112:Q112" si="1">-($H$78 * LN(L23-$H$79+1)+$H$80* LN((L22/$H$81)-$H$82+1))*$H$83</f>
        <v>-23.32618460552877</v>
      </c>
      <c r="M112" s="69">
        <f t="shared" si="1"/>
        <v>-93.393739826995414</v>
      </c>
      <c r="N112" s="69">
        <f t="shared" si="1"/>
        <v>-102.22219340143683</v>
      </c>
      <c r="O112" s="69">
        <f t="shared" si="1"/>
        <v>-77.948799867057019</v>
      </c>
      <c r="P112" s="69">
        <f t="shared" si="1"/>
        <v>-101.62092467945146</v>
      </c>
      <c r="Q112" s="69">
        <f t="shared" si="1"/>
        <v>-81.358609431068501</v>
      </c>
      <c r="R112" s="89"/>
      <c r="S112" s="69">
        <f>-($H$78 * LN(S23-$H$79+1)+$H$80* LN((S22/$H$81)-$H$82+1))*$H$83</f>
        <v>-79.940020867495903</v>
      </c>
      <c r="T112" s="69">
        <f>-($H$78 * LN(T23-$H$79+1)+$H$80* LN((T22/$H$81)-$H$82+1))*$H$83</f>
        <v>-43.960341555517594</v>
      </c>
      <c r="V112" s="5" t="s">
        <v>327</v>
      </c>
    </row>
    <row r="113" spans="2:22" x14ac:dyDescent="0.2">
      <c r="B113" s="2" t="s">
        <v>145</v>
      </c>
      <c r="F113" s="2" t="s">
        <v>191</v>
      </c>
      <c r="L113" s="69">
        <f>($H108*L111+$H109*L112)</f>
        <v>-9.839498084980228</v>
      </c>
      <c r="M113" s="69">
        <f t="shared" ref="M113:T113" si="2">($H108*M111+$H109*M112)</f>
        <v>-33.441896912205422</v>
      </c>
      <c r="N113" s="69">
        <f t="shared" si="2"/>
        <v>-36.249319379897429</v>
      </c>
      <c r="O113" s="69">
        <f t="shared" si="2"/>
        <v>-28.059359218714278</v>
      </c>
      <c r="P113" s="69">
        <f t="shared" si="2"/>
        <v>-36.520014551058566</v>
      </c>
      <c r="Q113" s="69">
        <f t="shared" si="2"/>
        <v>-29.08637894257101</v>
      </c>
      <c r="R113" s="89"/>
      <c r="S113" s="69">
        <f t="shared" si="2"/>
        <v>-28.337996070724877</v>
      </c>
      <c r="T113" s="69">
        <f t="shared" si="2"/>
        <v>-17.010091576939363</v>
      </c>
      <c r="V113" s="5" t="s">
        <v>328</v>
      </c>
    </row>
    <row r="114" spans="2:22" x14ac:dyDescent="0.2">
      <c r="L114" s="71"/>
      <c r="M114" s="71"/>
      <c r="N114" s="71"/>
      <c r="O114" s="71"/>
      <c r="P114" s="71"/>
      <c r="Q114" s="71"/>
      <c r="R114" s="90"/>
      <c r="S114" s="71"/>
    </row>
    <row r="115" spans="2:22" x14ac:dyDescent="0.2">
      <c r="B115" s="2" t="s">
        <v>146</v>
      </c>
      <c r="F115" s="2" t="s">
        <v>191</v>
      </c>
      <c r="J115" s="69">
        <f>(SUMPRODUCT(L113:T113,L25:T25)/J25)</f>
        <v>-34.722508130834711</v>
      </c>
      <c r="L115" s="71"/>
      <c r="M115" s="71"/>
      <c r="N115" s="71"/>
      <c r="O115" s="71"/>
      <c r="P115" s="71"/>
      <c r="Q115" s="71"/>
      <c r="R115" s="90"/>
      <c r="S115" s="71"/>
      <c r="V115" s="5" t="s">
        <v>330</v>
      </c>
    </row>
    <row r="116" spans="2:22" x14ac:dyDescent="0.2">
      <c r="L116" s="71"/>
      <c r="M116" s="71"/>
      <c r="N116" s="71"/>
      <c r="O116" s="71"/>
      <c r="P116" s="71"/>
      <c r="Q116" s="71"/>
      <c r="R116" s="90"/>
      <c r="S116" s="71"/>
    </row>
    <row r="117" spans="2:22" x14ac:dyDescent="0.2">
      <c r="B117" s="2" t="s">
        <v>147</v>
      </c>
      <c r="F117" s="2" t="s">
        <v>191</v>
      </c>
      <c r="L117" s="62">
        <f t="shared" ref="L117:Q117" si="3">(L113-$J115)*L25</f>
        <v>1321163.4183846437</v>
      </c>
      <c r="M117" s="62">
        <f t="shared" si="3"/>
        <v>3334897.3019373706</v>
      </c>
      <c r="N117" s="62">
        <f t="shared" si="3"/>
        <v>-4657982.0173392966</v>
      </c>
      <c r="O117" s="62">
        <f t="shared" si="3"/>
        <v>215906.01419943842</v>
      </c>
      <c r="P117" s="62">
        <f t="shared" si="3"/>
        <v>-3874591.5965300659</v>
      </c>
      <c r="Q117" s="62">
        <f t="shared" si="3"/>
        <v>326912.40130685951</v>
      </c>
      <c r="R117" s="99"/>
      <c r="S117" s="62">
        <f>(S113-$J115)*S25</f>
        <v>1367492.2536428652</v>
      </c>
      <c r="T117" s="62">
        <f>(T113-$J115)*T25</f>
        <v>1966202.2243982609</v>
      </c>
      <c r="V117" s="5"/>
    </row>
    <row r="118" spans="2:22" x14ac:dyDescent="0.2">
      <c r="B118" s="2" t="s">
        <v>215</v>
      </c>
      <c r="F118" s="2" t="s">
        <v>191</v>
      </c>
      <c r="L118" s="62">
        <f>L117</f>
        <v>1321163.4183846437</v>
      </c>
      <c r="M118" s="38">
        <f>M117+(H17*P117)</f>
        <v>3293190.975951748</v>
      </c>
      <c r="N118" s="62">
        <f>N117</f>
        <v>-4657982.0173392966</v>
      </c>
      <c r="O118" s="62">
        <f>O117</f>
        <v>215906.01419943842</v>
      </c>
      <c r="P118" s="38">
        <f>P117-(H17*P117)</f>
        <v>-3832885.2705444433</v>
      </c>
      <c r="Q118" s="62">
        <f>Q117</f>
        <v>326912.40130685951</v>
      </c>
      <c r="R118" s="99"/>
      <c r="S118" s="62">
        <f>S117</f>
        <v>1367492.2536428652</v>
      </c>
      <c r="T118" s="62">
        <f>T117</f>
        <v>1966202.2243982609</v>
      </c>
    </row>
    <row r="119" spans="2:22" x14ac:dyDescent="0.2">
      <c r="L119" s="71"/>
      <c r="M119" s="71"/>
      <c r="N119" s="71"/>
      <c r="O119" s="71"/>
      <c r="P119" s="71"/>
      <c r="Q119" s="71"/>
      <c r="R119" s="71"/>
      <c r="S119" s="71"/>
    </row>
    <row r="120" spans="2:22" s="9" customFormat="1" x14ac:dyDescent="0.2">
      <c r="B120" s="9" t="s">
        <v>148</v>
      </c>
      <c r="L120" s="72"/>
      <c r="M120" s="72"/>
      <c r="N120" s="72"/>
      <c r="O120" s="72"/>
      <c r="P120" s="72"/>
      <c r="Q120" s="72"/>
      <c r="R120" s="72"/>
      <c r="S120" s="72"/>
    </row>
    <row r="121" spans="2:22" x14ac:dyDescent="0.2">
      <c r="H121" s="55"/>
    </row>
    <row r="122" spans="2:22" x14ac:dyDescent="0.2">
      <c r="B122" s="2" t="s">
        <v>127</v>
      </c>
      <c r="H122" s="121">
        <f>H29/(H29+H30)</f>
        <v>0.82809052810184336</v>
      </c>
    </row>
    <row r="123" spans="2:22" x14ac:dyDescent="0.2">
      <c r="B123" s="2" t="s">
        <v>141</v>
      </c>
      <c r="H123" s="121">
        <f>H30/(H29+H30)</f>
        <v>0.1719094718981567</v>
      </c>
    </row>
    <row r="124" spans="2:22" x14ac:dyDescent="0.2">
      <c r="L124" s="71"/>
      <c r="M124" s="71"/>
      <c r="N124" s="71"/>
      <c r="O124" s="71"/>
      <c r="P124" s="71"/>
      <c r="Q124" s="71"/>
      <c r="R124" s="90"/>
      <c r="S124" s="71"/>
      <c r="T124" s="92"/>
    </row>
    <row r="125" spans="2:22" x14ac:dyDescent="0.2">
      <c r="B125" s="2" t="s">
        <v>143</v>
      </c>
      <c r="F125" s="2" t="s">
        <v>191</v>
      </c>
      <c r="L125" s="69">
        <f t="shared" ref="L125:Q125" si="4">-($H$70*LN(L33-$H$71+1)+$H$72*LN((L32/$H$73)-$H$74+1))*$H$75</f>
        <v>-13.777850991208441</v>
      </c>
      <c r="M125" s="69">
        <f t="shared" si="4"/>
        <v>-24.336061372500858</v>
      </c>
      <c r="N125" s="69">
        <f t="shared" si="4"/>
        <v>-22.40191830538809</v>
      </c>
      <c r="O125" s="69">
        <f t="shared" si="4"/>
        <v>-26.923241698470367</v>
      </c>
      <c r="P125" s="69">
        <f t="shared" si="4"/>
        <v>-23.560843283489454</v>
      </c>
      <c r="Q125" s="69">
        <f t="shared" si="4"/>
        <v>-23.609257701528655</v>
      </c>
      <c r="R125" s="89"/>
      <c r="S125" s="69">
        <f>-($H$70*LN(S33-$H$71+1)+$H$72*LN((S32/$H$73)-$H$74+1))*$H$75</f>
        <v>-17.544727694902924</v>
      </c>
      <c r="T125" s="87"/>
      <c r="V125" s="5" t="s">
        <v>326</v>
      </c>
    </row>
    <row r="126" spans="2:22" x14ac:dyDescent="0.2">
      <c r="B126" s="2" t="s">
        <v>144</v>
      </c>
      <c r="F126" s="2" t="s">
        <v>191</v>
      </c>
      <c r="L126" s="69">
        <f t="shared" ref="L126:Q126" si="5">-($H$78 * LN(L33-$H$79+1)+$H$80* LN((L32/$H$81)-$H$82+1))*$H$83</f>
        <v>-55.922631752342831</v>
      </c>
      <c r="M126" s="69">
        <f t="shared" si="5"/>
        <v>-103.91922756010372</v>
      </c>
      <c r="N126" s="69">
        <f t="shared" si="5"/>
        <v>-98.463514515633875</v>
      </c>
      <c r="O126" s="69">
        <f t="shared" si="5"/>
        <v>-109.30924998525504</v>
      </c>
      <c r="P126" s="69">
        <f t="shared" si="5"/>
        <v>-102.11851458687939</v>
      </c>
      <c r="Q126" s="69">
        <f t="shared" si="5"/>
        <v>-99.667204459105406</v>
      </c>
      <c r="R126" s="89"/>
      <c r="S126" s="69">
        <f>-($H$78 * LN(S33-$H$79+1)+$H$80* LN((S32/$H$81)-$H$82+1))*$H$83</f>
        <v>-80.584034840430377</v>
      </c>
      <c r="T126" s="87"/>
      <c r="V126" s="5" t="s">
        <v>327</v>
      </c>
    </row>
    <row r="127" spans="2:22" x14ac:dyDescent="0.2">
      <c r="B127" s="2" t="s">
        <v>145</v>
      </c>
      <c r="F127" s="2" t="s">
        <v>191</v>
      </c>
      <c r="L127" s="69">
        <f>($H122*L125+$H123*L126)</f>
        <v>-21.022937995118649</v>
      </c>
      <c r="M127" s="69">
        <f t="shared" ref="M127:S127" si="6">($H122*M125+$H123*M126)</f>
        <v>-38.017161443794905</v>
      </c>
      <c r="N127" s="69">
        <f t="shared" si="6"/>
        <v>-35.477627141622278</v>
      </c>
      <c r="O127" s="69">
        <f t="shared" si="6"/>
        <v>-41.086176874848682</v>
      </c>
      <c r="P127" s="69">
        <f t="shared" si="6"/>
        <v>-37.065651070804194</v>
      </c>
      <c r="Q127" s="69">
        <f t="shared" si="6"/>
        <v>-36.684339162281802</v>
      </c>
      <c r="R127" s="89"/>
      <c r="S127" s="69">
        <f t="shared" si="6"/>
        <v>-28.381781695116246</v>
      </c>
      <c r="T127" s="87"/>
      <c r="V127" s="5" t="s">
        <v>328</v>
      </c>
    </row>
    <row r="128" spans="2:22" x14ac:dyDescent="0.2">
      <c r="L128" s="71"/>
      <c r="M128" s="71"/>
      <c r="N128" s="71"/>
      <c r="O128" s="71"/>
      <c r="P128" s="71"/>
      <c r="Q128" s="71"/>
      <c r="R128" s="90"/>
      <c r="S128" s="71"/>
    </row>
    <row r="129" spans="2:22" x14ac:dyDescent="0.2">
      <c r="B129" s="2" t="s">
        <v>146</v>
      </c>
      <c r="F129" s="2" t="s">
        <v>191</v>
      </c>
      <c r="J129" s="69">
        <f>(SUMPRODUCT(L127:S127,L35:S35)/J35)</f>
        <v>-36.483951236105064</v>
      </c>
      <c r="L129" s="71"/>
      <c r="M129" s="71"/>
      <c r="N129" s="71"/>
      <c r="O129" s="71"/>
      <c r="P129" s="71"/>
      <c r="Q129" s="71"/>
      <c r="R129" s="90"/>
      <c r="S129" s="71"/>
      <c r="V129" s="5" t="s">
        <v>330</v>
      </c>
    </row>
    <row r="130" spans="2:22" x14ac:dyDescent="0.2">
      <c r="L130" s="71"/>
      <c r="M130" s="71"/>
      <c r="N130" s="71"/>
      <c r="O130" s="71"/>
      <c r="P130" s="71"/>
      <c r="Q130" s="71"/>
      <c r="R130" s="90"/>
      <c r="S130" s="71"/>
    </row>
    <row r="131" spans="2:22" x14ac:dyDescent="0.2">
      <c r="B131" s="2" t="s">
        <v>149</v>
      </c>
      <c r="F131" s="2" t="s">
        <v>191</v>
      </c>
      <c r="L131" s="62">
        <f t="shared" ref="L131:Q131" si="7">(L127-$J129)*L35</f>
        <v>823592.71433410526</v>
      </c>
      <c r="M131" s="62">
        <f t="shared" si="7"/>
        <v>-4234594.7375614792</v>
      </c>
      <c r="N131" s="62">
        <f t="shared" si="7"/>
        <v>3106827.3958689868</v>
      </c>
      <c r="O131" s="62">
        <f t="shared" si="7"/>
        <v>-149807.04676674353</v>
      </c>
      <c r="P131" s="62">
        <f t="shared" si="7"/>
        <v>-1257924.7291371988</v>
      </c>
      <c r="Q131" s="62">
        <f t="shared" si="7"/>
        <v>-11749.144887594506</v>
      </c>
      <c r="R131" s="99"/>
      <c r="S131" s="62">
        <f>(S127-$J129)*S35</f>
        <v>1723655.5481499613</v>
      </c>
      <c r="T131" s="87"/>
      <c r="V131" s="5"/>
    </row>
    <row r="132" spans="2:22" x14ac:dyDescent="0.2">
      <c r="L132" s="71"/>
      <c r="M132" s="71"/>
      <c r="N132" s="71"/>
      <c r="O132" s="71"/>
      <c r="P132" s="71"/>
      <c r="Q132" s="71"/>
      <c r="R132" s="90"/>
      <c r="S132" s="71"/>
    </row>
    <row r="133" spans="2:22" s="9" customFormat="1" x14ac:dyDescent="0.2">
      <c r="B133" s="9" t="s">
        <v>150</v>
      </c>
      <c r="L133" s="72"/>
      <c r="M133" s="72"/>
      <c r="N133" s="72"/>
      <c r="O133" s="72"/>
      <c r="P133" s="72"/>
      <c r="Q133" s="72"/>
      <c r="R133" s="72"/>
      <c r="S133" s="72"/>
    </row>
    <row r="134" spans="2:22" x14ac:dyDescent="0.2">
      <c r="H134" s="55"/>
    </row>
    <row r="135" spans="2:22" x14ac:dyDescent="0.2">
      <c r="B135" s="2" t="s">
        <v>127</v>
      </c>
      <c r="H135" s="121">
        <f>H39/(H39+H40)</f>
        <v>0.82273258678625494</v>
      </c>
    </row>
    <row r="136" spans="2:22" x14ac:dyDescent="0.2">
      <c r="B136" s="2" t="s">
        <v>141</v>
      </c>
      <c r="H136" s="121">
        <f>H40/(H39+H40)</f>
        <v>0.17726741321374509</v>
      </c>
    </row>
    <row r="137" spans="2:22" x14ac:dyDescent="0.2">
      <c r="L137" s="71"/>
      <c r="M137" s="71"/>
      <c r="N137" s="71"/>
      <c r="O137" s="71"/>
      <c r="P137" s="71"/>
      <c r="Q137" s="71"/>
      <c r="R137" s="90"/>
      <c r="S137" s="71"/>
    </row>
    <row r="138" spans="2:22" x14ac:dyDescent="0.2">
      <c r="B138" s="2" t="s">
        <v>143</v>
      </c>
      <c r="F138" s="2" t="s">
        <v>191</v>
      </c>
      <c r="L138" s="69">
        <f t="shared" ref="L138:Q138" si="8">-($H$70*LN(L43-$H$71+1)+$H$72*LN((L42/$H$73)-$H$74+1))*$H$75</f>
        <v>-13.993435589794103</v>
      </c>
      <c r="M138" s="69">
        <f t="shared" si="8"/>
        <v>-21.702928999781566</v>
      </c>
      <c r="N138" s="69">
        <f t="shared" si="8"/>
        <v>-23.95969751578259</v>
      </c>
      <c r="O138" s="69">
        <f t="shared" si="8"/>
        <v>-22.582940296263022</v>
      </c>
      <c r="P138" s="69">
        <f t="shared" si="8"/>
        <v>-21.191989306569578</v>
      </c>
      <c r="Q138" s="69">
        <f t="shared" si="8"/>
        <v>-18.244993469542671</v>
      </c>
      <c r="R138" s="89"/>
      <c r="S138" s="69">
        <f>-($H$70*LN(S43-$H$71+1)+$H$72*LN((S42/$H$73)-$H$74+1))*$H$75</f>
        <v>-18.09380068977044</v>
      </c>
      <c r="T138" s="87"/>
      <c r="V138" s="5" t="s">
        <v>326</v>
      </c>
    </row>
    <row r="139" spans="2:22" x14ac:dyDescent="0.2">
      <c r="B139" s="2" t="s">
        <v>144</v>
      </c>
      <c r="F139" s="2" t="s">
        <v>191</v>
      </c>
      <c r="L139" s="69">
        <f t="shared" ref="L139:Q139" si="9">-($H$78 * LN(L43-$H$79+1)+$H$80* LN((L42/$H$81)-$H$82+1))*$H$83</f>
        <v>-57.047296302639602</v>
      </c>
      <c r="M139" s="69">
        <f t="shared" si="9"/>
        <v>-94.975751584523493</v>
      </c>
      <c r="N139" s="69">
        <f t="shared" si="9"/>
        <v>-109.62538439665092</v>
      </c>
      <c r="O139" s="69">
        <f t="shared" si="9"/>
        <v>-96.968426885531599</v>
      </c>
      <c r="P139" s="69">
        <f t="shared" si="9"/>
        <v>-93.66498174401157</v>
      </c>
      <c r="Q139" s="69">
        <f t="shared" si="9"/>
        <v>-80.158384291224593</v>
      </c>
      <c r="R139" s="89"/>
      <c r="S139" s="69">
        <f>-($H$78 * LN(S43-$H$79+1)+$H$80* LN((S42/$H$81)-$H$82+1))*$H$83</f>
        <v>-81.105293779901189</v>
      </c>
      <c r="T139" s="87"/>
      <c r="V139" s="5" t="s">
        <v>327</v>
      </c>
    </row>
    <row r="140" spans="2:22" x14ac:dyDescent="0.2">
      <c r="B140" s="2" t="s">
        <v>145</v>
      </c>
      <c r="F140" s="2" t="s">
        <v>191</v>
      </c>
      <c r="L140" s="69">
        <f>($H135*L138+$H136*L139)</f>
        <v>-21.62548210722511</v>
      </c>
      <c r="M140" s="69">
        <f t="shared" ref="M140:S140" si="10">($H135*M138+$H136*M139)</f>
        <v>-34.691812718248443</v>
      </c>
      <c r="N140" s="69">
        <f t="shared" si="10"/>
        <v>-39.14543223033278</v>
      </c>
      <c r="O140" s="69">
        <f t="shared" si="10"/>
        <v>-35.769063084588389</v>
      </c>
      <c r="P140" s="69">
        <f t="shared" si="10"/>
        <v>-34.039089203814228</v>
      </c>
      <c r="Q140" s="69">
        <f t="shared" si="10"/>
        <v>-29.220220103793853</v>
      </c>
      <c r="R140" s="89"/>
      <c r="S140" s="69">
        <f t="shared" si="10"/>
        <v>-29.263685072593692</v>
      </c>
      <c r="T140" s="87"/>
      <c r="V140" s="5" t="s">
        <v>328</v>
      </c>
    </row>
    <row r="141" spans="2:22" x14ac:dyDescent="0.2">
      <c r="L141" s="71"/>
      <c r="M141" s="71"/>
      <c r="N141" s="71"/>
      <c r="O141" s="71"/>
      <c r="P141" s="71"/>
      <c r="Q141" s="71"/>
      <c r="R141" s="90"/>
      <c r="S141" s="71"/>
    </row>
    <row r="142" spans="2:22" x14ac:dyDescent="0.2">
      <c r="B142" s="2" t="s">
        <v>146</v>
      </c>
      <c r="F142" s="2" t="s">
        <v>191</v>
      </c>
      <c r="J142" s="69">
        <f>(SUMPRODUCT(L140:S140,L45:S45)/J45)</f>
        <v>-35.930378894719034</v>
      </c>
      <c r="L142" s="71"/>
      <c r="M142" s="71"/>
      <c r="N142" s="71"/>
      <c r="O142" s="71"/>
      <c r="P142" s="71"/>
      <c r="Q142" s="71"/>
      <c r="R142" s="90"/>
      <c r="S142" s="71"/>
      <c r="V142" s="5" t="s">
        <v>330</v>
      </c>
    </row>
    <row r="143" spans="2:22" x14ac:dyDescent="0.2">
      <c r="L143" s="71"/>
      <c r="M143" s="71"/>
      <c r="N143" s="71"/>
      <c r="O143" s="71"/>
      <c r="P143" s="71"/>
      <c r="Q143" s="71"/>
      <c r="R143" s="90"/>
      <c r="S143" s="71"/>
    </row>
    <row r="144" spans="2:22" x14ac:dyDescent="0.2">
      <c r="B144" s="2" t="s">
        <v>151</v>
      </c>
      <c r="F144" s="2" t="s">
        <v>191</v>
      </c>
      <c r="L144" s="62">
        <f t="shared" ref="L144:Q144" si="11">(L140-$J142)*L45</f>
        <v>766012.91807351215</v>
      </c>
      <c r="M144" s="62">
        <f t="shared" si="11"/>
        <v>3432324.4967647148</v>
      </c>
      <c r="N144" s="62">
        <f t="shared" si="11"/>
        <v>-10025262.902497508</v>
      </c>
      <c r="O144" s="62">
        <f t="shared" si="11"/>
        <v>5250.1843565119834</v>
      </c>
      <c r="P144" s="62">
        <f t="shared" si="11"/>
        <v>3993514.9210362248</v>
      </c>
      <c r="Q144" s="62">
        <f t="shared" si="11"/>
        <v>400301.2328314326</v>
      </c>
      <c r="R144" s="99"/>
      <c r="S144" s="62">
        <f>(S140-$J142)*S45</f>
        <v>1427859.1494351616</v>
      </c>
      <c r="T144" s="87"/>
      <c r="V144" s="5"/>
    </row>
    <row r="145" spans="2:22" x14ac:dyDescent="0.2">
      <c r="L145" s="71"/>
      <c r="M145" s="71"/>
      <c r="N145" s="71"/>
      <c r="O145" s="71"/>
      <c r="P145" s="71"/>
      <c r="Q145" s="71"/>
      <c r="R145" s="90"/>
      <c r="S145" s="71"/>
    </row>
    <row r="146" spans="2:22" s="9" customFormat="1" x14ac:dyDescent="0.2">
      <c r="B146" s="9" t="s">
        <v>152</v>
      </c>
      <c r="L146" s="72"/>
      <c r="M146" s="72"/>
      <c r="N146" s="72"/>
      <c r="O146" s="72"/>
      <c r="P146" s="72"/>
      <c r="Q146" s="72"/>
      <c r="R146" s="72"/>
      <c r="S146" s="72"/>
    </row>
    <row r="147" spans="2:22" x14ac:dyDescent="0.2">
      <c r="H147" s="55"/>
    </row>
    <row r="148" spans="2:22" x14ac:dyDescent="0.2">
      <c r="B148" s="2" t="s">
        <v>127</v>
      </c>
      <c r="H148" s="121">
        <f>H49/(H49+H50)</f>
        <v>0.81599822522475518</v>
      </c>
    </row>
    <row r="149" spans="2:22" x14ac:dyDescent="0.2">
      <c r="B149" s="2" t="s">
        <v>141</v>
      </c>
      <c r="H149" s="121">
        <f>H50/(H49+H50)</f>
        <v>0.18400177477524485</v>
      </c>
    </row>
    <row r="150" spans="2:22" x14ac:dyDescent="0.2">
      <c r="L150" s="71"/>
      <c r="M150" s="71"/>
      <c r="N150" s="71"/>
      <c r="O150" s="71"/>
      <c r="P150" s="71"/>
      <c r="Q150" s="71"/>
      <c r="R150" s="90"/>
      <c r="S150" s="71"/>
    </row>
    <row r="151" spans="2:22" x14ac:dyDescent="0.2">
      <c r="B151" s="2" t="s">
        <v>143</v>
      </c>
      <c r="F151" s="2" t="s">
        <v>191</v>
      </c>
      <c r="L151" s="69">
        <f t="shared" ref="L151:Q151" si="12">-($H$70*LN(L53-$H$71+1)+$H$72*LN((L52/$H$73)-$H$74+1))*$H$75</f>
        <v>-20.260912344237337</v>
      </c>
      <c r="M151" s="69">
        <f t="shared" si="12"/>
        <v>-20.692246383087376</v>
      </c>
      <c r="N151" s="69">
        <f t="shared" si="12"/>
        <v>-21.787561447909166</v>
      </c>
      <c r="O151" s="69">
        <f t="shared" si="12"/>
        <v>-22.622746518000348</v>
      </c>
      <c r="P151" s="69">
        <f t="shared" si="12"/>
        <v>-22.976246147241074</v>
      </c>
      <c r="Q151" s="69">
        <f t="shared" si="12"/>
        <v>-14.960750049072425</v>
      </c>
      <c r="R151" s="89"/>
      <c r="S151" s="69">
        <f>-($H$70*LN(S53-$H$71+1)+$H$72*LN((S52/$H$73)-$H$74+1))*$H$75</f>
        <v>-18.542020670990787</v>
      </c>
      <c r="T151" s="87"/>
      <c r="V151" s="5" t="s">
        <v>326</v>
      </c>
    </row>
    <row r="152" spans="2:22" x14ac:dyDescent="0.2">
      <c r="B152" s="2" t="s">
        <v>144</v>
      </c>
      <c r="F152" s="2" t="s">
        <v>191</v>
      </c>
      <c r="L152" s="69">
        <f t="shared" ref="L152:Q152" si="13">-($H$78 * LN(L53-$H$79+1)+$H$80* LN((L52/$H$81)-$H$82+1))*$H$83</f>
        <v>-81.858072545156602</v>
      </c>
      <c r="M152" s="69">
        <f t="shared" si="13"/>
        <v>-89.831474539423724</v>
      </c>
      <c r="N152" s="69">
        <f t="shared" si="13"/>
        <v>-97.616179559228854</v>
      </c>
      <c r="O152" s="69">
        <f t="shared" si="13"/>
        <v>-92.473833869789246</v>
      </c>
      <c r="P152" s="69">
        <f t="shared" si="13"/>
        <v>-102.48174009311452</v>
      </c>
      <c r="Q152" s="69">
        <f t="shared" si="13"/>
        <v>-62.214666188051865</v>
      </c>
      <c r="R152" s="89"/>
      <c r="S152" s="69">
        <f>-($H$78 * LN(S53-$H$79+1)+$H$80* LN((S52/$H$81)-$H$82+1))*$H$83</f>
        <v>-82.827554888673546</v>
      </c>
      <c r="T152" s="87"/>
      <c r="V152" s="5" t="s">
        <v>327</v>
      </c>
    </row>
    <row r="153" spans="2:22" x14ac:dyDescent="0.2">
      <c r="B153" s="2" t="s">
        <v>145</v>
      </c>
      <c r="F153" s="2" t="s">
        <v>191</v>
      </c>
      <c r="L153" s="69">
        <f>($H148*L151+$H149*L152)</f>
        <v>-31.594899142321559</v>
      </c>
      <c r="M153" s="69">
        <f t="shared" ref="M153:S153" si="14">($H148*M151+$H149*M152)</f>
        <v>-33.413987070443845</v>
      </c>
      <c r="N153" s="69">
        <f t="shared" si="14"/>
        <v>-35.740161759146261</v>
      </c>
      <c r="O153" s="69">
        <f t="shared" si="14"/>
        <v>-35.475470560710164</v>
      </c>
      <c r="P153" s="69">
        <f t="shared" si="14"/>
        <v>-37.605398137664274</v>
      </c>
      <c r="Q153" s="69">
        <f t="shared" si="14"/>
        <v>-23.655554483725226</v>
      </c>
      <c r="R153" s="89"/>
      <c r="S153" s="69">
        <f t="shared" si="14"/>
        <v>-30.370673059419147</v>
      </c>
      <c r="T153" s="87"/>
      <c r="V153" s="5" t="s">
        <v>328</v>
      </c>
    </row>
    <row r="154" spans="2:22" x14ac:dyDescent="0.2">
      <c r="L154" s="71"/>
      <c r="M154" s="71"/>
      <c r="N154" s="71"/>
      <c r="O154" s="71"/>
      <c r="P154" s="71"/>
      <c r="Q154" s="71"/>
      <c r="R154" s="90"/>
      <c r="S154" s="71"/>
    </row>
    <row r="155" spans="2:22" x14ac:dyDescent="0.2">
      <c r="B155" s="2" t="s">
        <v>146</v>
      </c>
      <c r="F155" s="2" t="s">
        <v>191</v>
      </c>
      <c r="J155" s="69">
        <f>(SUMPRODUCT(L153:S153,L55:S55)/J55)</f>
        <v>-35.187893541647497</v>
      </c>
      <c r="L155" s="71"/>
      <c r="M155" s="71"/>
      <c r="N155" s="71"/>
      <c r="O155" s="71"/>
      <c r="P155" s="71"/>
      <c r="Q155" s="71"/>
      <c r="R155" s="90"/>
      <c r="S155" s="71"/>
      <c r="V155" s="5" t="s">
        <v>330</v>
      </c>
    </row>
    <row r="156" spans="2:22" x14ac:dyDescent="0.2">
      <c r="L156" s="71"/>
      <c r="M156" s="71"/>
      <c r="N156" s="71"/>
      <c r="O156" s="71"/>
      <c r="P156" s="71"/>
      <c r="Q156" s="71"/>
      <c r="R156" s="90"/>
      <c r="S156" s="71"/>
    </row>
    <row r="157" spans="2:22" x14ac:dyDescent="0.2">
      <c r="B157" s="2" t="s">
        <v>153</v>
      </c>
      <c r="F157" s="2" t="s">
        <v>191</v>
      </c>
      <c r="L157" s="62">
        <f t="shared" ref="L157:Q157" si="15">(L153-$J155)*L55</f>
        <v>193655.21213486945</v>
      </c>
      <c r="M157" s="62">
        <f t="shared" si="15"/>
        <v>4966560.2772918604</v>
      </c>
      <c r="N157" s="62">
        <f t="shared" si="15"/>
        <v>-1757683.0696410502</v>
      </c>
      <c r="O157" s="62">
        <f t="shared" si="15"/>
        <v>-9480.2640104198726</v>
      </c>
      <c r="P157" s="62">
        <f t="shared" si="15"/>
        <v>-5125801.1498700269</v>
      </c>
      <c r="Q157" s="62">
        <f t="shared" si="15"/>
        <v>691559.77628642484</v>
      </c>
      <c r="R157" s="99"/>
      <c r="S157" s="62">
        <f>(S153-$J155)*S55</f>
        <v>1041189.2178083535</v>
      </c>
      <c r="T157" s="87"/>
      <c r="V157" s="5"/>
    </row>
    <row r="158" spans="2:22" x14ac:dyDescent="0.2">
      <c r="L158" s="71"/>
      <c r="M158" s="71"/>
      <c r="N158" s="71"/>
      <c r="O158" s="71"/>
      <c r="P158" s="71"/>
      <c r="Q158" s="71"/>
      <c r="R158" s="71"/>
      <c r="S158" s="71"/>
    </row>
    <row r="159" spans="2:22" s="9" customFormat="1" x14ac:dyDescent="0.2">
      <c r="B159" s="9" t="s">
        <v>154</v>
      </c>
      <c r="L159" s="72"/>
      <c r="M159" s="72"/>
      <c r="N159" s="72"/>
      <c r="O159" s="72"/>
      <c r="P159" s="72"/>
      <c r="Q159" s="72"/>
      <c r="R159" s="72"/>
      <c r="S159" s="72"/>
    </row>
    <row r="160" spans="2:22" x14ac:dyDescent="0.2">
      <c r="H160" s="55"/>
    </row>
    <row r="161" spans="2:22" x14ac:dyDescent="0.2">
      <c r="B161" s="2" t="s">
        <v>127</v>
      </c>
      <c r="H161" s="121">
        <f>H59/(H59+H60)</f>
        <v>0.8096962487463657</v>
      </c>
    </row>
    <row r="162" spans="2:22" x14ac:dyDescent="0.2">
      <c r="B162" s="2" t="s">
        <v>141</v>
      </c>
      <c r="H162" s="121">
        <f>H60/(H59+H60)</f>
        <v>0.19030375125363436</v>
      </c>
    </row>
    <row r="163" spans="2:22" x14ac:dyDescent="0.2">
      <c r="L163" s="71"/>
      <c r="M163" s="71"/>
      <c r="N163" s="71"/>
      <c r="O163" s="71"/>
      <c r="P163" s="71"/>
      <c r="Q163" s="71"/>
      <c r="R163" s="90"/>
      <c r="S163" s="71"/>
    </row>
    <row r="164" spans="2:22" x14ac:dyDescent="0.2">
      <c r="B164" s="2" t="s">
        <v>143</v>
      </c>
      <c r="F164" s="2" t="s">
        <v>191</v>
      </c>
      <c r="L164" s="69">
        <f t="shared" ref="L164:Q164" si="16">-($H$70*LN(L63-$H$71+1)+$H$72*LN((L62/$H$73)-$H$74+1))*$H$75</f>
        <v>-17.077926373031424</v>
      </c>
      <c r="M164" s="69">
        <f t="shared" si="16"/>
        <v>-20.564436205890278</v>
      </c>
      <c r="N164" s="69">
        <f t="shared" si="16"/>
        <v>-21.376473839539941</v>
      </c>
      <c r="O164" s="69">
        <f t="shared" si="16"/>
        <v>-26.095437234110396</v>
      </c>
      <c r="P164" s="69">
        <f t="shared" si="16"/>
        <v>-28.181007984751311</v>
      </c>
      <c r="Q164" s="69">
        <f t="shared" si="16"/>
        <v>-28.446100663526412</v>
      </c>
      <c r="R164" s="89"/>
      <c r="S164" s="69">
        <f>-($H$70*LN(S63-$H$71+1)+$H$72*LN((S62/$H$73)-$H$74+1))*$H$75</f>
        <v>-17.823546659681035</v>
      </c>
      <c r="T164" s="87"/>
      <c r="V164" s="5" t="s">
        <v>326</v>
      </c>
    </row>
    <row r="165" spans="2:22" x14ac:dyDescent="0.2">
      <c r="B165" s="2" t="s">
        <v>144</v>
      </c>
      <c r="F165" s="2" t="s">
        <v>191</v>
      </c>
      <c r="L165" s="69">
        <f t="shared" ref="L165:Q165" si="17">-($H$78 * LN(L63-$H$79+1)+$H$80* LN((L62/$H$81)-$H$82+1))*$H$83</f>
        <v>-67.537734669503877</v>
      </c>
      <c r="M165" s="69">
        <f t="shared" si="17"/>
        <v>-88.828856420085373</v>
      </c>
      <c r="N165" s="69">
        <f t="shared" si="17"/>
        <v>-97.462954752434584</v>
      </c>
      <c r="O165" s="69">
        <f t="shared" si="17"/>
        <v>-109.68245482371393</v>
      </c>
      <c r="P165" s="69">
        <f>-($H$78 * LN(P63-$H$79+1)+$H$80* LN((P62/$H$81)-$H$82+1))*$H$83</f>
        <v>-124.73421417922972</v>
      </c>
      <c r="Q165" s="69">
        <f t="shared" si="17"/>
        <v>-118.49443855653284</v>
      </c>
      <c r="R165" s="89"/>
      <c r="S165" s="69">
        <f>-($H$78 * LN(S63-$H$79+1)+$H$80* LN((S62/$H$81)-$H$82+1))*$H$83</f>
        <v>-79.354568588022858</v>
      </c>
      <c r="T165" s="87"/>
      <c r="V165" s="5" t="s">
        <v>327</v>
      </c>
    </row>
    <row r="166" spans="2:22" x14ac:dyDescent="0.2">
      <c r="B166" s="2" t="s">
        <v>145</v>
      </c>
      <c r="F166" s="2" t="s">
        <v>191</v>
      </c>
      <c r="L166" s="69">
        <f>($H161*L164+$H162*L165)</f>
        <v>-26.680617179389394</v>
      </c>
      <c r="M166" s="69">
        <f t="shared" ref="M166:S166" si="18">($H161*M164+$H162*M165)</f>
        <v>-33.55541144980603</v>
      </c>
      <c r="N166" s="69">
        <f t="shared" si="18"/>
        <v>-35.856016576951845</v>
      </c>
      <c r="O166" s="69">
        <f t="shared" si="18"/>
        <v>-42.002360237515461</v>
      </c>
      <c r="P166" s="69">
        <f t="shared" si="18"/>
        <v>-46.5554453191262</v>
      </c>
      <c r="Q166" s="69">
        <f t="shared" si="18"/>
        <v>-45.582637158720331</v>
      </c>
      <c r="R166" s="89"/>
      <c r="S166" s="69">
        <f t="shared" si="18"/>
        <v>-29.533130951114121</v>
      </c>
      <c r="T166" s="87"/>
      <c r="V166" s="5" t="s">
        <v>328</v>
      </c>
    </row>
    <row r="167" spans="2:22" x14ac:dyDescent="0.2">
      <c r="L167" s="71"/>
      <c r="M167" s="71"/>
      <c r="N167" s="71"/>
      <c r="O167" s="71"/>
      <c r="P167" s="71"/>
      <c r="Q167" s="71"/>
      <c r="R167" s="90"/>
      <c r="S167" s="71"/>
    </row>
    <row r="168" spans="2:22" x14ac:dyDescent="0.2">
      <c r="B168" s="2" t="s">
        <v>146</v>
      </c>
      <c r="F168" s="2" t="s">
        <v>191</v>
      </c>
      <c r="J168" s="69">
        <f>(SUMPRODUCT(L166:S166,L65:S65)/J65)</f>
        <v>-37.640529355973975</v>
      </c>
      <c r="L168" s="71"/>
      <c r="M168" s="71"/>
      <c r="N168" s="71"/>
      <c r="O168" s="71"/>
      <c r="P168" s="71"/>
      <c r="Q168" s="71"/>
      <c r="R168" s="90"/>
      <c r="S168" s="71"/>
      <c r="V168" s="5" t="s">
        <v>330</v>
      </c>
    </row>
    <row r="169" spans="2:22" x14ac:dyDescent="0.2">
      <c r="L169" s="71"/>
      <c r="M169" s="71"/>
      <c r="N169" s="71"/>
      <c r="O169" s="71"/>
      <c r="P169" s="71"/>
      <c r="Q169" s="71"/>
      <c r="R169" s="90"/>
      <c r="S169" s="71"/>
    </row>
    <row r="170" spans="2:22" x14ac:dyDescent="0.2">
      <c r="B170" s="2" t="s">
        <v>155</v>
      </c>
      <c r="F170" s="2" t="s">
        <v>191</v>
      </c>
      <c r="L170" s="62">
        <f t="shared" ref="L170:Q170" si="19">(L166-$J168)*L65</f>
        <v>594630.03514059645</v>
      </c>
      <c r="M170" s="62">
        <f t="shared" si="19"/>
        <v>11579397.428806037</v>
      </c>
      <c r="N170" s="62">
        <f>(N166-$J168)*N65</f>
        <v>5748327.8836822342</v>
      </c>
      <c r="O170" s="62">
        <f t="shared" si="19"/>
        <v>-144799.69977453272</v>
      </c>
      <c r="P170" s="62">
        <f>(P166-$J168)*P65</f>
        <v>-19050203.687416323</v>
      </c>
      <c r="Q170" s="62">
        <f t="shared" si="19"/>
        <v>-492656.88911215926</v>
      </c>
      <c r="R170" s="99"/>
      <c r="S170" s="62">
        <f>(S166-$J168)*S65</f>
        <v>1765304.9286741847</v>
      </c>
      <c r="T170" s="87"/>
    </row>
    <row r="171" spans="2:22" x14ac:dyDescent="0.2">
      <c r="R171" s="10"/>
    </row>
    <row r="172" spans="2:22" s="9" customFormat="1" x14ac:dyDescent="0.2">
      <c r="B172" s="9" t="s">
        <v>335</v>
      </c>
    </row>
    <row r="173" spans="2:22" x14ac:dyDescent="0.2">
      <c r="R173" s="10"/>
    </row>
    <row r="174" spans="2:22" x14ac:dyDescent="0.2">
      <c r="B174" s="2" t="s">
        <v>332</v>
      </c>
      <c r="F174" s="2" t="s">
        <v>191</v>
      </c>
      <c r="L174" s="35">
        <f t="shared" ref="L174:Q174" si="20">L118+L131+L144+L157+L170</f>
        <v>3699054.2980677267</v>
      </c>
      <c r="M174" s="35">
        <f t="shared" si="20"/>
        <v>19036878.44125288</v>
      </c>
      <c r="N174" s="35">
        <f t="shared" si="20"/>
        <v>-7585772.7099266332</v>
      </c>
      <c r="O174" s="35">
        <f t="shared" si="20"/>
        <v>-82930.811995745724</v>
      </c>
      <c r="P174" s="35">
        <f t="shared" si="20"/>
        <v>-25273299.915931769</v>
      </c>
      <c r="Q174" s="35">
        <f t="shared" si="20"/>
        <v>914367.37642496324</v>
      </c>
      <c r="R174" s="98"/>
      <c r="S174" s="35">
        <f>S118+S131+S144+S157+S170</f>
        <v>7325501.0977105265</v>
      </c>
      <c r="T174" s="38">
        <f>T118</f>
        <v>1966202.2243982609</v>
      </c>
      <c r="V174" s="5"/>
    </row>
    <row r="175" spans="2:22" x14ac:dyDescent="0.2">
      <c r="R175" s="10"/>
    </row>
    <row r="176" spans="2:22" x14ac:dyDescent="0.2">
      <c r="B176" s="2" t="s">
        <v>333</v>
      </c>
      <c r="F176" s="2" t="s">
        <v>191</v>
      </c>
      <c r="L176" s="35">
        <f>L174</f>
        <v>3699054.2980677267</v>
      </c>
      <c r="M176" s="38">
        <f>M174+T174</f>
        <v>21003080.665651143</v>
      </c>
      <c r="N176" s="35">
        <f>N174</f>
        <v>-7585772.7099266332</v>
      </c>
      <c r="O176" s="35">
        <f t="shared" ref="O176:Q176" si="21">O174</f>
        <v>-82930.811995745724</v>
      </c>
      <c r="P176" s="38">
        <f>P174+S174</f>
        <v>-17947798.818221241</v>
      </c>
      <c r="Q176" s="35">
        <f t="shared" si="21"/>
        <v>914367.37642496324</v>
      </c>
      <c r="R176" s="98"/>
      <c r="S176" s="51"/>
      <c r="T176" s="87"/>
      <c r="V176" s="5"/>
    </row>
    <row r="178" spans="2:22" s="9" customFormat="1" x14ac:dyDescent="0.2">
      <c r="B178" s="9" t="s">
        <v>334</v>
      </c>
    </row>
    <row r="180" spans="2:22" x14ac:dyDescent="0.2">
      <c r="B180" s="2" t="s">
        <v>336</v>
      </c>
      <c r="F180" s="2" t="s">
        <v>205</v>
      </c>
      <c r="L180" s="46">
        <f>L98*((1+$H$90)*(1+$H$91)*(1+$H$92)*(1+$H$93)*(1+$H$94))</f>
        <v>1709223.2189165319</v>
      </c>
      <c r="M180" s="38">
        <f>(M98+T98)*((1+$H$90)*(1+$H$91)*(1+$H$92)*(1+$H$93)*(1+$H$94))</f>
        <v>5240760.2958375886</v>
      </c>
      <c r="N180" s="46">
        <f t="shared" ref="N180:Q180" si="22">N98*((1+$H$90)*(1+$H$91)*(1+$H$92)*(1+$H$93)*(1+$H$94))</f>
        <v>5205347.8761368394</v>
      </c>
      <c r="O180" s="46">
        <f t="shared" si="22"/>
        <v>94404.374764319917</v>
      </c>
      <c r="P180" s="38">
        <f>(P98+S98)*((1+$H$90)*(1+$H$91)*(1+$H$92)*(1+$H$93)*(1+$H$94))</f>
        <v>-13527788.862977892</v>
      </c>
      <c r="Q180" s="46">
        <f t="shared" si="22"/>
        <v>1278053.0973225415</v>
      </c>
      <c r="S180" s="91"/>
      <c r="V180" s="5" t="s">
        <v>329</v>
      </c>
    </row>
    <row r="181" spans="2:22" x14ac:dyDescent="0.2">
      <c r="B181" s="56" t="s">
        <v>337</v>
      </c>
      <c r="F181" s="2" t="s">
        <v>205</v>
      </c>
      <c r="L181" s="62">
        <f>L176*((1+$H$86)*(1+$H$87)*(1+$H$88)*(1+$H$89)*(1+$H$90)*(1+$H$91)*(1+$H$92)*(1+$H$93)*(1+$H$94))</f>
        <v>4252999.8208647138</v>
      </c>
      <c r="M181" s="62">
        <f t="shared" ref="M181:Q181" si="23">M176*((1+$H$86)*(1+$H$87)*(1+$H$88)*(1+$H$89)*(1+$H$90)*(1+$H$91)*(1+$H$92)*(1+$H$93)*(1+$H$94))</f>
        <v>24148360.935194351</v>
      </c>
      <c r="N181" s="62">
        <f t="shared" si="23"/>
        <v>-8721767.0725437161</v>
      </c>
      <c r="O181" s="62">
        <f t="shared" si="23"/>
        <v>-95349.9733016393</v>
      </c>
      <c r="P181" s="62">
        <f>P176*((1+$H$86)*(1+$H$87)*(1+$H$88)*(1+$H$89)*(1+$H$90)*(1+$H$91)*(1+$H$92)*(1+$H$93)*(1+$H$94))</f>
        <v>-20635540.602549244</v>
      </c>
      <c r="Q181" s="62">
        <f t="shared" si="23"/>
        <v>1051296.892335779</v>
      </c>
      <c r="S181" s="99"/>
      <c r="V181" s="5" t="s">
        <v>329</v>
      </c>
    </row>
    <row r="182" spans="2:22" x14ac:dyDescent="0.2">
      <c r="S182" s="10"/>
    </row>
    <row r="183" spans="2:22" x14ac:dyDescent="0.2">
      <c r="B183" s="2" t="s">
        <v>331</v>
      </c>
      <c r="F183" s="2" t="s">
        <v>205</v>
      </c>
      <c r="L183" s="80">
        <f>$H$101*L180+$H$102*L181</f>
        <v>4822740.8938368913</v>
      </c>
      <c r="M183" s="80">
        <f t="shared" ref="M183:Q183" si="24">$H$101*M180+$H$102*M181</f>
        <v>25895281.033806879</v>
      </c>
      <c r="N183" s="80">
        <f t="shared" si="24"/>
        <v>-6986651.1138314363</v>
      </c>
      <c r="O183" s="80">
        <f t="shared" si="24"/>
        <v>-63881.848380199328</v>
      </c>
      <c r="P183" s="80">
        <f t="shared" si="24"/>
        <v>-25144803.556875207</v>
      </c>
      <c r="Q183" s="80">
        <f t="shared" si="24"/>
        <v>1477314.5914432928</v>
      </c>
      <c r="S183" s="100"/>
    </row>
    <row r="184" spans="2:22" x14ac:dyDescent="0.2">
      <c r="L184" s="10"/>
      <c r="M184" s="10"/>
      <c r="N184" s="10"/>
      <c r="O184" s="10"/>
      <c r="P184" s="10"/>
      <c r="Q184" s="10"/>
      <c r="R184" s="10"/>
      <c r="S184" s="10"/>
      <c r="T184" s="10"/>
    </row>
    <row r="187" spans="2:22" x14ac:dyDescent="0.2">
      <c r="L187" s="100"/>
      <c r="M187" s="100"/>
      <c r="N187" s="100"/>
      <c r="O187" s="100"/>
      <c r="P187" s="100"/>
      <c r="Q187" s="10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A2:T74"/>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7" width="9.140625" style="2" customWidth="1"/>
    <col min="8" max="16384" width="9.140625" style="2"/>
  </cols>
  <sheetData>
    <row r="2" spans="2:20" s="8" customFormat="1" ht="18" x14ac:dyDescent="0.2">
      <c r="B2" s="8" t="s">
        <v>49</v>
      </c>
      <c r="T2" s="47"/>
    </row>
    <row r="4" spans="2:20" s="9" customFormat="1" x14ac:dyDescent="0.2">
      <c r="B4" s="9" t="s">
        <v>15</v>
      </c>
    </row>
    <row r="6" spans="2:20" x14ac:dyDescent="0.2">
      <c r="B6" s="27" t="s">
        <v>308</v>
      </c>
    </row>
    <row r="7" spans="2:20" x14ac:dyDescent="0.2">
      <c r="H7" s="37"/>
    </row>
    <row r="9" spans="2:20" s="9" customFormat="1" x14ac:dyDescent="0.2">
      <c r="B9" s="9" t="s">
        <v>225</v>
      </c>
    </row>
    <row r="10" spans="2:20" x14ac:dyDescent="0.2">
      <c r="F10" s="104"/>
    </row>
    <row r="11" spans="2:20" x14ac:dyDescent="0.2">
      <c r="F11" s="104"/>
    </row>
    <row r="12" spans="2:20" x14ac:dyDescent="0.2">
      <c r="C12" s="105"/>
      <c r="D12" s="106"/>
      <c r="E12" s="107"/>
      <c r="G12" s="105"/>
      <c r="H12" s="106"/>
      <c r="I12" s="107"/>
      <c r="K12" s="105"/>
      <c r="L12" s="106"/>
      <c r="M12" s="107"/>
      <c r="O12" s="105"/>
      <c r="P12" s="106"/>
      <c r="Q12" s="107"/>
    </row>
    <row r="13" spans="2:20" x14ac:dyDescent="0.2">
      <c r="C13" s="130"/>
      <c r="D13" s="108" t="s">
        <v>226</v>
      </c>
      <c r="E13" s="131"/>
      <c r="G13" s="126"/>
      <c r="H13" s="109" t="s">
        <v>227</v>
      </c>
      <c r="I13" s="127"/>
      <c r="K13" s="126"/>
      <c r="L13" s="132" t="s">
        <v>228</v>
      </c>
      <c r="M13" s="127"/>
      <c r="O13" s="126"/>
      <c r="P13" s="109" t="s">
        <v>229</v>
      </c>
      <c r="Q13" s="127"/>
    </row>
    <row r="14" spans="2:20" x14ac:dyDescent="0.2">
      <c r="C14" s="110"/>
      <c r="D14" s="111"/>
      <c r="E14" s="112"/>
      <c r="G14" s="110"/>
      <c r="H14" s="111"/>
      <c r="I14" s="112"/>
      <c r="K14" s="110"/>
      <c r="L14" s="111"/>
      <c r="M14" s="112"/>
      <c r="O14" s="110"/>
      <c r="P14" s="111"/>
      <c r="Q14" s="112"/>
    </row>
    <row r="15" spans="2:20" x14ac:dyDescent="0.2">
      <c r="C15" s="113"/>
      <c r="D15" s="113"/>
      <c r="E15" s="113"/>
      <c r="G15" s="113"/>
      <c r="H15" s="113"/>
      <c r="I15" s="113"/>
    </row>
    <row r="16" spans="2:20" x14ac:dyDescent="0.2">
      <c r="C16" s="113"/>
      <c r="D16" s="113"/>
      <c r="E16" s="113"/>
      <c r="G16" s="113"/>
      <c r="H16" s="113"/>
      <c r="I16" s="113"/>
    </row>
    <row r="17" spans="1:17" x14ac:dyDescent="0.2">
      <c r="C17" s="113"/>
      <c r="D17" s="113"/>
      <c r="E17" s="113"/>
      <c r="G17" s="113"/>
      <c r="H17" s="113"/>
      <c r="I17" s="113"/>
      <c r="K17" s="105"/>
      <c r="L17" s="106"/>
      <c r="M17" s="107"/>
      <c r="O17" s="105"/>
      <c r="P17" s="106"/>
      <c r="Q17" s="107"/>
    </row>
    <row r="18" spans="1:17" x14ac:dyDescent="0.2">
      <c r="C18" s="113"/>
      <c r="D18" s="113"/>
      <c r="E18" s="113"/>
      <c r="G18" s="113"/>
      <c r="H18" s="113"/>
      <c r="I18" s="113"/>
      <c r="K18" s="126"/>
      <c r="L18" s="109" t="s">
        <v>230</v>
      </c>
      <c r="M18" s="127"/>
      <c r="O18" s="126"/>
      <c r="P18" s="109" t="s">
        <v>231</v>
      </c>
      <c r="Q18" s="127"/>
    </row>
    <row r="19" spans="1:17" x14ac:dyDescent="0.2">
      <c r="C19" s="113"/>
      <c r="D19" s="113"/>
      <c r="E19" s="113"/>
      <c r="G19" s="113"/>
      <c r="H19" s="113"/>
      <c r="I19" s="113"/>
      <c r="K19" s="110"/>
      <c r="L19" s="111"/>
      <c r="M19" s="112"/>
      <c r="O19" s="110"/>
      <c r="P19" s="111"/>
      <c r="Q19" s="112"/>
    </row>
    <row r="20" spans="1:17" x14ac:dyDescent="0.2">
      <c r="C20" s="113"/>
      <c r="D20" s="113"/>
      <c r="E20" s="113"/>
      <c r="G20" s="113"/>
      <c r="H20" s="113"/>
      <c r="I20" s="113"/>
    </row>
    <row r="21" spans="1:17" x14ac:dyDescent="0.2">
      <c r="C21" s="113"/>
      <c r="D21" s="113"/>
      <c r="E21" s="113"/>
      <c r="G21" s="113"/>
      <c r="H21" s="113"/>
      <c r="I21" s="113"/>
    </row>
    <row r="22" spans="1:17" s="9" customFormat="1" x14ac:dyDescent="0.2">
      <c r="B22" s="9" t="s">
        <v>56</v>
      </c>
    </row>
    <row r="23" spans="1:17" x14ac:dyDescent="0.2">
      <c r="F23" s="104"/>
    </row>
    <row r="24" spans="1:17" x14ac:dyDescent="0.2">
      <c r="A24" s="10"/>
      <c r="B24" s="2" t="s">
        <v>311</v>
      </c>
    </row>
    <row r="25" spans="1:17" x14ac:dyDescent="0.2">
      <c r="A25" s="10"/>
    </row>
    <row r="26" spans="1:17" x14ac:dyDescent="0.2">
      <c r="A26" s="10"/>
      <c r="D26" s="123" t="s">
        <v>312</v>
      </c>
      <c r="J26" s="123" t="s">
        <v>169</v>
      </c>
      <c r="P26" s="123" t="s">
        <v>32</v>
      </c>
    </row>
    <row r="27" spans="1:17" x14ac:dyDescent="0.2">
      <c r="A27" s="10"/>
    </row>
    <row r="28" spans="1:17" x14ac:dyDescent="0.2">
      <c r="A28" s="10"/>
    </row>
    <row r="29" spans="1:17" x14ac:dyDescent="0.2">
      <c r="A29" s="10"/>
      <c r="D29" s="123"/>
      <c r="G29" s="105"/>
      <c r="H29" s="106"/>
      <c r="I29" s="107"/>
    </row>
    <row r="30" spans="1:17" x14ac:dyDescent="0.2">
      <c r="A30" s="10"/>
      <c r="D30" s="123"/>
      <c r="G30" s="126"/>
      <c r="H30" s="109" t="s">
        <v>317</v>
      </c>
      <c r="I30" s="127"/>
    </row>
    <row r="31" spans="1:17" x14ac:dyDescent="0.2">
      <c r="A31" s="10"/>
      <c r="D31" s="123"/>
      <c r="G31" s="110"/>
      <c r="H31" s="111"/>
      <c r="I31" s="112"/>
    </row>
    <row r="32" spans="1:17" x14ac:dyDescent="0.2">
      <c r="A32" s="10"/>
      <c r="D32" s="123"/>
    </row>
    <row r="33" spans="1:17" x14ac:dyDescent="0.2">
      <c r="A33" s="10"/>
      <c r="C33" s="105"/>
      <c r="D33" s="106"/>
      <c r="E33" s="107"/>
      <c r="G33" s="105"/>
      <c r="H33" s="106"/>
      <c r="I33" s="107"/>
      <c r="K33" s="105"/>
      <c r="L33" s="106"/>
      <c r="M33" s="107"/>
      <c r="O33" s="105"/>
      <c r="P33" s="106"/>
      <c r="Q33" s="107"/>
    </row>
    <row r="34" spans="1:17" x14ac:dyDescent="0.2">
      <c r="A34" s="10"/>
      <c r="C34" s="130"/>
      <c r="D34" s="108" t="s">
        <v>313</v>
      </c>
      <c r="E34" s="131"/>
      <c r="G34" s="126"/>
      <c r="H34" s="125" t="s">
        <v>318</v>
      </c>
      <c r="I34" s="127"/>
      <c r="K34" s="126"/>
      <c r="L34" s="109" t="s">
        <v>314</v>
      </c>
      <c r="M34" s="127"/>
      <c r="O34" s="133"/>
      <c r="P34" s="124" t="s">
        <v>315</v>
      </c>
      <c r="Q34" s="134"/>
    </row>
    <row r="35" spans="1:17" x14ac:dyDescent="0.2">
      <c r="A35" s="10"/>
      <c r="C35" s="110"/>
      <c r="D35" s="111"/>
      <c r="E35" s="112"/>
      <c r="G35" s="110"/>
      <c r="H35" s="111"/>
      <c r="I35" s="112"/>
      <c r="K35" s="110"/>
      <c r="L35" s="111"/>
      <c r="M35" s="112"/>
      <c r="O35" s="110"/>
      <c r="P35" s="111"/>
      <c r="Q35" s="112"/>
    </row>
    <row r="36" spans="1:17" x14ac:dyDescent="0.2">
      <c r="A36" s="10"/>
      <c r="C36" s="113"/>
      <c r="D36" s="113"/>
      <c r="E36" s="113"/>
      <c r="G36" s="113"/>
      <c r="H36" s="113"/>
      <c r="I36" s="113"/>
    </row>
    <row r="37" spans="1:17" x14ac:dyDescent="0.2">
      <c r="A37" s="10"/>
      <c r="C37" s="113"/>
      <c r="D37" s="113"/>
      <c r="E37" s="113"/>
      <c r="G37" s="113"/>
      <c r="H37" s="113"/>
      <c r="I37" s="113"/>
      <c r="K37" s="129"/>
      <c r="L37" s="129"/>
      <c r="M37" s="129"/>
    </row>
    <row r="38" spans="1:17" x14ac:dyDescent="0.2">
      <c r="A38" s="10"/>
      <c r="C38" s="105"/>
      <c r="D38" s="106"/>
      <c r="E38" s="107"/>
      <c r="G38" s="105"/>
      <c r="H38" s="106"/>
      <c r="I38" s="107"/>
      <c r="K38" s="129"/>
      <c r="L38" s="129"/>
      <c r="M38" s="129"/>
    </row>
    <row r="39" spans="1:17" x14ac:dyDescent="0.2">
      <c r="A39" s="10"/>
      <c r="C39" s="130"/>
      <c r="D39" s="108" t="s">
        <v>316</v>
      </c>
      <c r="E39" s="131"/>
      <c r="G39" s="126"/>
      <c r="H39" s="125" t="s">
        <v>319</v>
      </c>
      <c r="I39" s="127"/>
      <c r="K39" s="129"/>
      <c r="L39" s="128"/>
      <c r="M39" s="129"/>
    </row>
    <row r="40" spans="1:17" x14ac:dyDescent="0.2">
      <c r="A40" s="10"/>
      <c r="C40" s="110"/>
      <c r="D40" s="111"/>
      <c r="E40" s="112"/>
      <c r="G40" s="110"/>
      <c r="H40" s="111"/>
      <c r="I40" s="112"/>
      <c r="K40" s="129"/>
      <c r="L40" s="129"/>
      <c r="M40" s="129"/>
    </row>
    <row r="41" spans="1:17" x14ac:dyDescent="0.2">
      <c r="A41" s="10"/>
      <c r="C41" s="113"/>
      <c r="D41" s="113"/>
      <c r="E41" s="113"/>
      <c r="G41" s="113"/>
      <c r="H41" s="113"/>
      <c r="I41" s="113"/>
      <c r="K41" s="129"/>
      <c r="L41" s="129"/>
      <c r="M41" s="129"/>
    </row>
    <row r="42" spans="1:17" x14ac:dyDescent="0.2">
      <c r="A42" s="10"/>
      <c r="C42" s="113"/>
      <c r="D42" s="113"/>
      <c r="E42" s="113"/>
      <c r="G42" s="113"/>
      <c r="H42" s="113"/>
      <c r="I42" s="113"/>
    </row>
    <row r="43" spans="1:17" x14ac:dyDescent="0.2">
      <c r="C43" s="113"/>
      <c r="D43" s="113"/>
      <c r="E43" s="113"/>
      <c r="G43" s="113"/>
      <c r="H43" s="113"/>
      <c r="I43" s="113"/>
    </row>
    <row r="44" spans="1:17" s="9" customFormat="1" x14ac:dyDescent="0.2">
      <c r="B44" s="9" t="s">
        <v>16</v>
      </c>
    </row>
    <row r="45" spans="1:17" x14ac:dyDescent="0.2">
      <c r="C45" s="10"/>
    </row>
    <row r="46" spans="1:17" x14ac:dyDescent="0.2">
      <c r="B46" s="32" t="s">
        <v>38</v>
      </c>
      <c r="C46" s="10"/>
      <c r="D46" s="32" t="s">
        <v>17</v>
      </c>
      <c r="F46" s="14"/>
    </row>
    <row r="47" spans="1:17" x14ac:dyDescent="0.2">
      <c r="C47" s="10"/>
    </row>
    <row r="48" spans="1:17" x14ac:dyDescent="0.2">
      <c r="B48" s="40">
        <v>123</v>
      </c>
      <c r="C48" s="10"/>
      <c r="D48" s="27" t="s">
        <v>66</v>
      </c>
    </row>
    <row r="49" spans="2:7" x14ac:dyDescent="0.2">
      <c r="B49" s="45">
        <f>B48</f>
        <v>123</v>
      </c>
      <c r="C49" s="10"/>
      <c r="D49" s="2" t="s">
        <v>18</v>
      </c>
    </row>
    <row r="50" spans="2:7" x14ac:dyDescent="0.2">
      <c r="B50" s="46">
        <f>B49+B48</f>
        <v>246</v>
      </c>
      <c r="C50" s="10"/>
      <c r="D50" s="2" t="s">
        <v>19</v>
      </c>
    </row>
    <row r="51" spans="2:7" x14ac:dyDescent="0.2">
      <c r="B51" s="35">
        <f>B49+B50</f>
        <v>369</v>
      </c>
      <c r="C51" s="10"/>
      <c r="D51" s="27" t="s">
        <v>67</v>
      </c>
      <c r="E51" s="14"/>
      <c r="F51" s="6"/>
    </row>
    <row r="52" spans="2:7" x14ac:dyDescent="0.2">
      <c r="B52" s="15"/>
      <c r="C52" s="10"/>
      <c r="D52" s="27" t="s">
        <v>20</v>
      </c>
      <c r="E52" s="14"/>
    </row>
    <row r="53" spans="2:7" x14ac:dyDescent="0.2">
      <c r="B53" s="10"/>
      <c r="C53" s="10"/>
    </row>
    <row r="54" spans="2:7" x14ac:dyDescent="0.2">
      <c r="B54" s="33" t="s">
        <v>21</v>
      </c>
      <c r="C54" s="10"/>
    </row>
    <row r="55" spans="2:7" x14ac:dyDescent="0.2">
      <c r="B55" s="38">
        <f>B51+16</f>
        <v>385</v>
      </c>
      <c r="C55" s="10"/>
      <c r="D55" s="2" t="s">
        <v>68</v>
      </c>
    </row>
    <row r="56" spans="2:7" x14ac:dyDescent="0.2">
      <c r="B56" s="39">
        <f>B49*PI()</f>
        <v>386.41589639154455</v>
      </c>
      <c r="C56" s="17"/>
      <c r="D56" s="2" t="s">
        <v>22</v>
      </c>
    </row>
    <row r="57" spans="2:7" x14ac:dyDescent="0.2">
      <c r="B57" s="17"/>
      <c r="C57" s="17"/>
    </row>
    <row r="58" spans="2:7" x14ac:dyDescent="0.2">
      <c r="B58" s="33" t="s">
        <v>23</v>
      </c>
      <c r="C58" s="18"/>
    </row>
    <row r="59" spans="2:7" x14ac:dyDescent="0.2">
      <c r="B59" s="44">
        <v>123</v>
      </c>
      <c r="C59" s="18"/>
      <c r="D59" s="27" t="s">
        <v>69</v>
      </c>
      <c r="G59" s="14"/>
    </row>
    <row r="60" spans="2:7" x14ac:dyDescent="0.2">
      <c r="B60" s="41">
        <v>124</v>
      </c>
      <c r="C60" s="18"/>
      <c r="D60" s="27" t="s">
        <v>71</v>
      </c>
    </row>
    <row r="61" spans="2:7" x14ac:dyDescent="0.2">
      <c r="B61" s="42">
        <f>B59-B60</f>
        <v>-1</v>
      </c>
      <c r="C61" s="19"/>
      <c r="D61" s="2" t="s">
        <v>55</v>
      </c>
    </row>
    <row r="64" spans="2:7" x14ac:dyDescent="0.2">
      <c r="B64" s="32" t="s">
        <v>33</v>
      </c>
    </row>
    <row r="65" spans="2:4" x14ac:dyDescent="0.2">
      <c r="B65" s="1"/>
    </row>
    <row r="66" spans="2:4" x14ac:dyDescent="0.2">
      <c r="B66" s="33" t="s">
        <v>39</v>
      </c>
    </row>
    <row r="67" spans="2:4" x14ac:dyDescent="0.2">
      <c r="B67" s="24" t="s">
        <v>32</v>
      </c>
      <c r="C67" s="10"/>
      <c r="D67" s="3" t="s">
        <v>42</v>
      </c>
    </row>
    <row r="68" spans="2:4" x14ac:dyDescent="0.2">
      <c r="B68" s="40" t="s">
        <v>30</v>
      </c>
      <c r="C68" s="10"/>
      <c r="D68" s="3" t="s">
        <v>34</v>
      </c>
    </row>
    <row r="69" spans="2:4" x14ac:dyDescent="0.2">
      <c r="B69" s="36" t="s">
        <v>31</v>
      </c>
      <c r="C69" s="10"/>
      <c r="D69" s="3" t="s">
        <v>35</v>
      </c>
    </row>
    <row r="70" spans="2:4" x14ac:dyDescent="0.2">
      <c r="B70" s="16" t="s">
        <v>31</v>
      </c>
      <c r="C70" s="10"/>
      <c r="D70" s="3" t="s">
        <v>37</v>
      </c>
    </row>
    <row r="71" spans="2:4" x14ac:dyDescent="0.2">
      <c r="C71" s="10"/>
      <c r="D71" s="3"/>
    </row>
    <row r="72" spans="2:4" x14ac:dyDescent="0.2">
      <c r="B72" s="33" t="s">
        <v>41</v>
      </c>
      <c r="C72" s="10"/>
      <c r="D72" s="3"/>
    </row>
    <row r="73" spans="2:4" x14ac:dyDescent="0.2">
      <c r="B73" s="25" t="s">
        <v>36</v>
      </c>
      <c r="C73" s="10"/>
      <c r="D73" s="3" t="s">
        <v>43</v>
      </c>
    </row>
    <row r="74" spans="2:4" x14ac:dyDescent="0.2">
      <c r="B74" s="26" t="s">
        <v>40</v>
      </c>
      <c r="D74" s="27" t="s">
        <v>70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F21"/>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61.140625" style="2" customWidth="1"/>
    <col min="4" max="4" width="65.7109375" style="2" customWidth="1"/>
    <col min="5" max="5" width="36.28515625" style="2" customWidth="1"/>
    <col min="6" max="6" width="63"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13" customFormat="1" ht="18" x14ac:dyDescent="0.2">
      <c r="B2" s="4" t="s">
        <v>24</v>
      </c>
    </row>
    <row r="4" spans="2:6" s="9" customFormat="1" x14ac:dyDescent="0.2">
      <c r="B4" s="9" t="s">
        <v>25</v>
      </c>
    </row>
    <row r="6" spans="2:6" x14ac:dyDescent="0.2">
      <c r="B6" s="33" t="s">
        <v>61</v>
      </c>
    </row>
    <row r="7" spans="2:6" x14ac:dyDescent="0.2">
      <c r="B7" s="33" t="s">
        <v>62</v>
      </c>
    </row>
    <row r="9" spans="2:6" x14ac:dyDescent="0.2">
      <c r="B9" s="20" t="s">
        <v>50</v>
      </c>
      <c r="C9" s="20" t="s">
        <v>51</v>
      </c>
      <c r="D9" s="20" t="s">
        <v>52</v>
      </c>
      <c r="E9" s="20" t="s">
        <v>60</v>
      </c>
      <c r="F9" s="20" t="s">
        <v>57</v>
      </c>
    </row>
    <row r="10" spans="2:6" x14ac:dyDescent="0.2">
      <c r="B10" s="21"/>
      <c r="C10" s="28" t="s">
        <v>59</v>
      </c>
      <c r="D10" s="28" t="s">
        <v>26</v>
      </c>
      <c r="E10" s="28" t="s">
        <v>63</v>
      </c>
      <c r="F10" s="28" t="s">
        <v>58</v>
      </c>
    </row>
    <row r="11" spans="2:6" x14ac:dyDescent="0.2">
      <c r="B11" s="30">
        <v>1</v>
      </c>
      <c r="C11" s="7" t="s">
        <v>235</v>
      </c>
      <c r="D11" s="81" t="s">
        <v>181</v>
      </c>
      <c r="E11" s="7"/>
      <c r="F11" s="7"/>
    </row>
    <row r="12" spans="2:6" x14ac:dyDescent="0.2">
      <c r="B12" s="7">
        <v>2</v>
      </c>
      <c r="C12" s="7" t="s">
        <v>236</v>
      </c>
      <c r="D12" s="81" t="s">
        <v>193</v>
      </c>
      <c r="E12" s="7"/>
      <c r="F12" s="7"/>
    </row>
    <row r="13" spans="2:6" x14ac:dyDescent="0.2">
      <c r="B13" s="7">
        <v>3</v>
      </c>
      <c r="C13" s="7" t="s">
        <v>184</v>
      </c>
      <c r="D13" s="81" t="s">
        <v>271</v>
      </c>
      <c r="E13" s="7"/>
      <c r="F13" s="7"/>
    </row>
    <row r="14" spans="2:6" x14ac:dyDescent="0.2">
      <c r="B14" s="7">
        <v>4</v>
      </c>
      <c r="C14" s="7" t="s">
        <v>182</v>
      </c>
      <c r="D14" s="81" t="s">
        <v>306</v>
      </c>
      <c r="E14" s="7"/>
      <c r="F14" s="7"/>
    </row>
    <row r="15" spans="2:6" x14ac:dyDescent="0.2">
      <c r="B15" s="7">
        <v>5</v>
      </c>
      <c r="C15" s="7" t="s">
        <v>179</v>
      </c>
      <c r="D15" s="81" t="s">
        <v>307</v>
      </c>
      <c r="E15" s="7"/>
      <c r="F15" s="7" t="s">
        <v>185</v>
      </c>
    </row>
    <row r="16" spans="2:6" x14ac:dyDescent="0.2">
      <c r="B16" s="7">
        <v>6</v>
      </c>
      <c r="C16" s="7" t="s">
        <v>186</v>
      </c>
      <c r="D16" s="7"/>
      <c r="E16" s="7"/>
      <c r="F16" s="7" t="s">
        <v>303</v>
      </c>
    </row>
    <row r="17" spans="2:6" x14ac:dyDescent="0.2">
      <c r="B17" s="7">
        <v>7</v>
      </c>
      <c r="C17" s="7" t="s">
        <v>187</v>
      </c>
      <c r="D17" s="7"/>
      <c r="E17" s="7"/>
      <c r="F17" s="7" t="s">
        <v>304</v>
      </c>
    </row>
    <row r="18" spans="2:6" x14ac:dyDescent="0.2">
      <c r="B18" s="7">
        <v>8</v>
      </c>
      <c r="C18" s="7" t="s">
        <v>242</v>
      </c>
      <c r="D18" s="81" t="s">
        <v>241</v>
      </c>
      <c r="E18" s="7"/>
      <c r="F18" s="7"/>
    </row>
    <row r="19" spans="2:6" x14ac:dyDescent="0.2">
      <c r="B19" s="7">
        <v>9</v>
      </c>
      <c r="C19" s="7" t="s">
        <v>243</v>
      </c>
      <c r="D19" s="81" t="s">
        <v>305</v>
      </c>
      <c r="E19" s="7"/>
      <c r="F19" s="7"/>
    </row>
    <row r="20" spans="2:6" x14ac:dyDescent="0.2">
      <c r="B20" s="7">
        <v>10</v>
      </c>
      <c r="C20" s="7" t="s">
        <v>301</v>
      </c>
      <c r="D20" s="7"/>
      <c r="E20" s="7"/>
      <c r="F20" s="7"/>
    </row>
    <row r="21" spans="2:6" x14ac:dyDescent="0.2">
      <c r="B21" s="7">
        <v>11</v>
      </c>
      <c r="C21" s="7" t="s">
        <v>302</v>
      </c>
      <c r="D21" s="7"/>
      <c r="E21" s="7"/>
      <c r="F21" s="7"/>
    </row>
  </sheetData>
  <hyperlinks>
    <hyperlink ref="D11" r:id="rId1" location="/CBS/nl/dataset/83131NED/table" xr:uid="{00000000-0004-0000-0500-000000000000}"/>
    <hyperlink ref="D18" r:id="rId2" location="/CBS/nl/dataset/71486NED/table?fromstatweb" xr:uid="{00000000-0004-0000-0500-000001000000}"/>
    <hyperlink ref="D13" r:id="rId3" xr:uid="{00000000-0004-0000-0500-000002000000}"/>
    <hyperlink ref="D19" r:id="rId4" location="/MKB/nl/dataset/48015NED/table?ts=1564559243917 " xr:uid="{00000000-0004-0000-0500-000003000000}"/>
    <hyperlink ref="D14" r:id="rId5" xr:uid="{00000000-0004-0000-0500-000004000000}"/>
    <hyperlink ref="D15" r:id="rId6" xr:uid="{00000000-0004-0000-0500-000005000000}"/>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Y16"/>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85546875" style="2" customWidth="1"/>
    <col min="19" max="21" width="12.5703125" style="2" customWidth="1"/>
    <col min="22" max="24" width="2.7109375" style="2" customWidth="1"/>
    <col min="25" max="39" width="13.7109375" style="2" customWidth="1"/>
    <col min="40" max="16384" width="9.140625" style="2"/>
  </cols>
  <sheetData>
    <row r="2" spans="2:25" s="22" customFormat="1" ht="18" x14ac:dyDescent="0.2">
      <c r="B2" s="22" t="s">
        <v>32</v>
      </c>
    </row>
    <row r="4" spans="2:25" x14ac:dyDescent="0.2">
      <c r="B4" s="32" t="s">
        <v>54</v>
      </c>
      <c r="C4" s="1"/>
      <c r="D4" s="1"/>
    </row>
    <row r="5" spans="2:25" x14ac:dyDescent="0.2">
      <c r="B5" s="27" t="s">
        <v>299</v>
      </c>
      <c r="C5" s="3"/>
      <c r="D5" s="3"/>
      <c r="H5" s="23"/>
    </row>
    <row r="6" spans="2:25" x14ac:dyDescent="0.2">
      <c r="B6" s="33" t="s">
        <v>300</v>
      </c>
      <c r="C6" s="3"/>
      <c r="D6" s="3"/>
      <c r="H6" s="23"/>
    </row>
    <row r="7" spans="2:25" x14ac:dyDescent="0.2">
      <c r="B7" s="5"/>
      <c r="C7" s="3"/>
      <c r="D7" s="3"/>
    </row>
    <row r="8" spans="2:25" x14ac:dyDescent="0.2">
      <c r="B8" s="5"/>
      <c r="C8" s="27"/>
      <c r="D8" s="27"/>
    </row>
    <row r="10" spans="2:25" s="9" customFormat="1" x14ac:dyDescent="0.2">
      <c r="B10" s="9" t="s">
        <v>44</v>
      </c>
      <c r="F10" s="9" t="s">
        <v>27</v>
      </c>
      <c r="H10" s="9" t="s">
        <v>28</v>
      </c>
      <c r="J10" s="9" t="s">
        <v>48</v>
      </c>
      <c r="L10" s="9" t="s">
        <v>101</v>
      </c>
      <c r="M10" s="9" t="s">
        <v>74</v>
      </c>
      <c r="N10" s="9" t="s">
        <v>75</v>
      </c>
      <c r="O10" s="9" t="s">
        <v>76</v>
      </c>
      <c r="P10" s="9" t="s">
        <v>77</v>
      </c>
      <c r="Q10" s="9" t="s">
        <v>78</v>
      </c>
      <c r="Y10" s="9" t="s">
        <v>46</v>
      </c>
    </row>
    <row r="13" spans="2:25" x14ac:dyDescent="0.2">
      <c r="S13" s="10"/>
    </row>
    <row r="14" spans="2:25" x14ac:dyDescent="0.2">
      <c r="B14" s="2" t="s">
        <v>161</v>
      </c>
      <c r="F14" s="2" t="s">
        <v>205</v>
      </c>
      <c r="L14" s="80">
        <f>'7) Q-bedragen'!L183</f>
        <v>4822740.8938368913</v>
      </c>
      <c r="M14" s="80">
        <f>'7) Q-bedragen'!M183</f>
        <v>25895281.033806879</v>
      </c>
      <c r="N14" s="80">
        <f>'7) Q-bedragen'!N183</f>
        <v>-6986651.1138314363</v>
      </c>
      <c r="O14" s="80">
        <f>'7) Q-bedragen'!O183</f>
        <v>-63881.848380199328</v>
      </c>
      <c r="P14" s="80">
        <f>'7) Q-bedragen'!P183</f>
        <v>-25144803.556875207</v>
      </c>
      <c r="Q14" s="80">
        <f>'7) Q-bedragen'!Q183</f>
        <v>1477314.5914432928</v>
      </c>
      <c r="S14" s="100"/>
    </row>
    <row r="16" spans="2:25" x14ac:dyDescent="0.2">
      <c r="B16"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Y102"/>
  <sheetViews>
    <sheetView showGridLines="0" zoomScale="85" zoomScaleNormal="85" workbookViewId="0">
      <pane xSplit="6" ySplit="18" topLeftCell="G19" activePane="bottomRight" state="frozen"/>
      <selection activeCell="R6" sqref="R6"/>
      <selection pane="topRight" activeCell="R6" sqref="R6"/>
      <selection pane="bottomLeft" activeCell="R6" sqref="R6"/>
      <selection pane="bottomRight" activeCell="G19" sqref="G19"/>
    </sheetView>
  </sheetViews>
  <sheetFormatPr defaultRowHeight="12.75" x14ac:dyDescent="0.2"/>
  <cols>
    <col min="1" max="1" width="4.7109375" style="2" customWidth="1"/>
    <col min="2" max="2" width="44.5703125" style="2" customWidth="1"/>
    <col min="3" max="3" width="4.7109375" style="2" customWidth="1"/>
    <col min="4" max="5" width="4.5703125" style="2" customWidth="1"/>
    <col min="6" max="6" width="24.855468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9" width="2.85546875" style="2" customWidth="1"/>
    <col min="20" max="20" width="3.140625" style="2" customWidth="1"/>
    <col min="21" max="21" width="2.85546875" style="2" customWidth="1"/>
    <col min="22" max="22" width="2.7109375" style="2" customWidth="1"/>
    <col min="23" max="23" width="39.5703125" style="2" bestFit="1" customWidth="1"/>
    <col min="24" max="24" width="12" style="2" customWidth="1"/>
    <col min="25" max="25" width="13.7109375" style="2" customWidth="1"/>
    <col min="26" max="26" width="2.7109375" style="2" customWidth="1"/>
    <col min="27" max="41" width="13.7109375" style="2" customWidth="1"/>
    <col min="42" max="16384" width="9.140625" style="2"/>
  </cols>
  <sheetData>
    <row r="2" spans="2:12" s="22" customFormat="1" ht="18" x14ac:dyDescent="0.2">
      <c r="B2" s="22" t="s">
        <v>117</v>
      </c>
    </row>
    <row r="4" spans="2:12" x14ac:dyDescent="0.2">
      <c r="B4" s="1" t="s">
        <v>173</v>
      </c>
    </row>
    <row r="5" spans="2:12" x14ac:dyDescent="0.2">
      <c r="B5" s="48" t="s">
        <v>197</v>
      </c>
      <c r="C5" s="1"/>
      <c r="D5" s="1"/>
      <c r="L5" s="49"/>
    </row>
    <row r="6" spans="2:12" x14ac:dyDescent="0.2">
      <c r="B6" s="52" t="s">
        <v>118</v>
      </c>
      <c r="C6" s="3"/>
      <c r="D6" s="3"/>
      <c r="H6" s="23"/>
    </row>
    <row r="7" spans="2:12" x14ac:dyDescent="0.2">
      <c r="B7" s="53" t="s">
        <v>119</v>
      </c>
      <c r="C7" s="3"/>
      <c r="D7" s="3"/>
      <c r="H7" s="23"/>
    </row>
    <row r="8" spans="2:12" x14ac:dyDescent="0.2">
      <c r="B8" s="54" t="s">
        <v>234</v>
      </c>
      <c r="C8" s="3"/>
      <c r="D8" s="3"/>
      <c r="H8" s="23"/>
    </row>
    <row r="9" spans="2:12" x14ac:dyDescent="0.2">
      <c r="B9" s="54" t="s">
        <v>192</v>
      </c>
      <c r="C9" s="3"/>
      <c r="D9" s="3"/>
      <c r="H9" s="23"/>
    </row>
    <row r="10" spans="2:12" x14ac:dyDescent="0.2">
      <c r="B10" s="29" t="s">
        <v>232</v>
      </c>
      <c r="C10" s="3"/>
      <c r="D10" s="3"/>
      <c r="H10" s="23"/>
    </row>
    <row r="11" spans="2:12" x14ac:dyDescent="0.2">
      <c r="B11" s="5"/>
      <c r="C11" s="3"/>
      <c r="D11" s="3"/>
    </row>
    <row r="12" spans="2:12" x14ac:dyDescent="0.2">
      <c r="B12" s="5" t="s">
        <v>29</v>
      </c>
      <c r="C12" s="3"/>
      <c r="D12" s="3"/>
    </row>
    <row r="13" spans="2:12" x14ac:dyDescent="0.2">
      <c r="B13" s="2" t="s">
        <v>195</v>
      </c>
    </row>
    <row r="14" spans="2:12" x14ac:dyDescent="0.2">
      <c r="B14" s="2" t="s">
        <v>194</v>
      </c>
    </row>
    <row r="15" spans="2:12" x14ac:dyDescent="0.2">
      <c r="B15" s="2" t="s">
        <v>196</v>
      </c>
    </row>
    <row r="17" spans="2:25" s="9" customFormat="1" x14ac:dyDescent="0.2">
      <c r="B17" s="9" t="s">
        <v>44</v>
      </c>
      <c r="F17" s="9" t="s">
        <v>27</v>
      </c>
      <c r="H17" s="9" t="s">
        <v>28</v>
      </c>
      <c r="W17" s="9" t="s">
        <v>45</v>
      </c>
      <c r="Y17" s="9" t="s">
        <v>46</v>
      </c>
    </row>
    <row r="20" spans="2:25" s="9" customFormat="1" x14ac:dyDescent="0.2">
      <c r="B20" s="9" t="s">
        <v>120</v>
      </c>
    </row>
    <row r="22" spans="2:25" x14ac:dyDescent="0.2">
      <c r="B22" s="1" t="s">
        <v>157</v>
      </c>
    </row>
    <row r="23" spans="2:25" x14ac:dyDescent="0.2">
      <c r="B23" s="57">
        <v>2013</v>
      </c>
      <c r="F23" s="2" t="s">
        <v>123</v>
      </c>
      <c r="H23" s="79">
        <v>2.3E-2</v>
      </c>
      <c r="W23" s="2" t="s">
        <v>237</v>
      </c>
    </row>
    <row r="24" spans="2:25" x14ac:dyDescent="0.2">
      <c r="B24" s="57">
        <v>2014</v>
      </c>
      <c r="F24" s="2" t="s">
        <v>123</v>
      </c>
      <c r="H24" s="79">
        <v>2.8000000000000001E-2</v>
      </c>
    </row>
    <row r="25" spans="2:25" x14ac:dyDescent="0.2">
      <c r="B25" s="57">
        <v>2015</v>
      </c>
      <c r="F25" s="2" t="s">
        <v>123</v>
      </c>
      <c r="H25" s="79">
        <v>0.01</v>
      </c>
    </row>
    <row r="26" spans="2:25" x14ac:dyDescent="0.2">
      <c r="B26" s="57">
        <v>2016</v>
      </c>
      <c r="F26" s="2" t="s">
        <v>123</v>
      </c>
      <c r="H26" s="79">
        <v>8.0000000000000002E-3</v>
      </c>
      <c r="N26" s="31"/>
      <c r="S26" s="77"/>
      <c r="U26" s="77"/>
      <c r="W26" s="78"/>
    </row>
    <row r="27" spans="2:25" x14ac:dyDescent="0.2">
      <c r="B27" s="57">
        <v>2017</v>
      </c>
      <c r="F27" s="2" t="s">
        <v>123</v>
      </c>
      <c r="H27" s="79">
        <v>2E-3</v>
      </c>
      <c r="W27" s="2" t="s">
        <v>238</v>
      </c>
    </row>
    <row r="28" spans="2:25" x14ac:dyDescent="0.2">
      <c r="B28" s="57">
        <v>2018</v>
      </c>
      <c r="F28" s="2" t="s">
        <v>123</v>
      </c>
      <c r="H28" s="79">
        <v>1.4E-2</v>
      </c>
    </row>
    <row r="29" spans="2:25" x14ac:dyDescent="0.2">
      <c r="B29" s="57">
        <v>2019</v>
      </c>
      <c r="F29" s="2" t="s">
        <v>123</v>
      </c>
      <c r="H29" s="79">
        <v>2.1000000000000001E-2</v>
      </c>
    </row>
    <row r="30" spans="2:25" x14ac:dyDescent="0.2">
      <c r="B30" s="57">
        <v>2020</v>
      </c>
      <c r="F30" s="2" t="s">
        <v>123</v>
      </c>
      <c r="H30" s="79">
        <v>2.8000000000000001E-2</v>
      </c>
    </row>
    <row r="31" spans="2:25" x14ac:dyDescent="0.2">
      <c r="B31" s="57">
        <v>2021</v>
      </c>
      <c r="F31" s="2" t="s">
        <v>123</v>
      </c>
      <c r="H31" s="79">
        <v>7.0000000000000001E-3</v>
      </c>
    </row>
    <row r="32" spans="2:25" x14ac:dyDescent="0.2">
      <c r="B32" s="57"/>
    </row>
    <row r="33" spans="2:25" s="9" customFormat="1" x14ac:dyDescent="0.2">
      <c r="B33" s="58" t="s">
        <v>233</v>
      </c>
    </row>
    <row r="34" spans="2:25" x14ac:dyDescent="0.2">
      <c r="B34" s="57"/>
    </row>
    <row r="35" spans="2:25" x14ac:dyDescent="0.2">
      <c r="B35" s="59" t="s">
        <v>239</v>
      </c>
      <c r="W35" s="2" t="s">
        <v>242</v>
      </c>
    </row>
    <row r="36" spans="2:25" x14ac:dyDescent="0.2">
      <c r="B36" s="57">
        <v>2016</v>
      </c>
      <c r="F36" s="2" t="s">
        <v>123</v>
      </c>
      <c r="H36" s="40">
        <v>7720787</v>
      </c>
      <c r="Y36" s="23"/>
    </row>
    <row r="37" spans="2:25" x14ac:dyDescent="0.2">
      <c r="B37" s="57">
        <v>2017</v>
      </c>
      <c r="F37" s="2" t="s">
        <v>123</v>
      </c>
      <c r="H37" s="40">
        <v>7794075</v>
      </c>
    </row>
    <row r="38" spans="2:25" x14ac:dyDescent="0.2">
      <c r="B38" s="57">
        <v>2018</v>
      </c>
      <c r="F38" s="2" t="s">
        <v>123</v>
      </c>
      <c r="H38" s="40">
        <v>7857914</v>
      </c>
    </row>
    <row r="39" spans="2:25" x14ac:dyDescent="0.2">
      <c r="B39" s="57">
        <v>2019</v>
      </c>
      <c r="F39" s="2" t="s">
        <v>123</v>
      </c>
      <c r="H39" s="40">
        <v>7924691</v>
      </c>
    </row>
    <row r="40" spans="2:25" x14ac:dyDescent="0.2">
      <c r="B40" s="57">
        <v>2020</v>
      </c>
      <c r="F40" s="2" t="s">
        <v>123</v>
      </c>
      <c r="H40" s="40">
        <v>7997800</v>
      </c>
    </row>
    <row r="41" spans="2:25" x14ac:dyDescent="0.2">
      <c r="B41" s="57"/>
    </row>
    <row r="42" spans="2:25" x14ac:dyDescent="0.2">
      <c r="B42" s="59" t="s">
        <v>240</v>
      </c>
      <c r="W42" s="2" t="s">
        <v>243</v>
      </c>
    </row>
    <row r="43" spans="2:25" x14ac:dyDescent="0.2">
      <c r="B43" s="2" t="s">
        <v>244</v>
      </c>
      <c r="F43" s="2" t="s">
        <v>123</v>
      </c>
      <c r="H43" s="40">
        <v>1536050</v>
      </c>
    </row>
    <row r="44" spans="2:25" x14ac:dyDescent="0.2">
      <c r="B44" s="2" t="s">
        <v>245</v>
      </c>
      <c r="F44" s="2" t="s">
        <v>123</v>
      </c>
      <c r="H44" s="40">
        <v>1549680</v>
      </c>
    </row>
    <row r="45" spans="2:25" x14ac:dyDescent="0.2">
      <c r="B45" s="2" t="s">
        <v>246</v>
      </c>
      <c r="F45" s="2" t="s">
        <v>123</v>
      </c>
      <c r="H45" s="40">
        <v>1575635</v>
      </c>
    </row>
    <row r="46" spans="2:25" x14ac:dyDescent="0.2">
      <c r="B46" s="2" t="s">
        <v>247</v>
      </c>
      <c r="F46" s="2" t="s">
        <v>123</v>
      </c>
      <c r="H46" s="40">
        <v>1581740</v>
      </c>
    </row>
    <row r="47" spans="2:25" x14ac:dyDescent="0.2">
      <c r="B47" s="2" t="s">
        <v>264</v>
      </c>
      <c r="H47" s="46">
        <f>AVERAGE(H43:H46)</f>
        <v>1560776.25</v>
      </c>
    </row>
    <row r="48" spans="2:25" x14ac:dyDescent="0.2">
      <c r="B48" s="10"/>
      <c r="C48" s="10"/>
      <c r="D48" s="10"/>
      <c r="E48" s="10"/>
      <c r="F48" s="10"/>
      <c r="G48" s="10"/>
      <c r="H48" s="83"/>
      <c r="I48" s="10"/>
    </row>
    <row r="49" spans="2:25" x14ac:dyDescent="0.2">
      <c r="B49" s="2" t="s">
        <v>248</v>
      </c>
      <c r="F49" s="2" t="s">
        <v>123</v>
      </c>
      <c r="H49" s="40">
        <v>1587250</v>
      </c>
      <c r="Y49" s="23"/>
    </row>
    <row r="50" spans="2:25" s="10" customFormat="1" x14ac:dyDescent="0.2">
      <c r="B50" s="2" t="s">
        <v>252</v>
      </c>
      <c r="F50" s="2" t="s">
        <v>123</v>
      </c>
      <c r="G50" s="2"/>
      <c r="H50" s="40">
        <v>1606645</v>
      </c>
      <c r="J50" s="2"/>
      <c r="Y50" s="114"/>
    </row>
    <row r="51" spans="2:25" x14ac:dyDescent="0.2">
      <c r="B51" s="2" t="s">
        <v>255</v>
      </c>
      <c r="F51" s="2" t="s">
        <v>123</v>
      </c>
      <c r="H51" s="40">
        <v>1629995</v>
      </c>
    </row>
    <row r="52" spans="2:25" x14ac:dyDescent="0.2">
      <c r="B52" s="2" t="s">
        <v>256</v>
      </c>
      <c r="F52" s="2" t="s">
        <v>123</v>
      </c>
      <c r="H52" s="40">
        <v>1648230</v>
      </c>
      <c r="J52" s="10"/>
    </row>
    <row r="53" spans="2:25" x14ac:dyDescent="0.2">
      <c r="B53" s="2" t="s">
        <v>268</v>
      </c>
      <c r="H53" s="46">
        <f>AVERAGE(H49:H52)</f>
        <v>1618030</v>
      </c>
    </row>
    <row r="54" spans="2:25" x14ac:dyDescent="0.2">
      <c r="B54" s="10"/>
      <c r="C54" s="10"/>
      <c r="D54" s="10"/>
      <c r="E54" s="10"/>
      <c r="F54" s="10"/>
      <c r="G54" s="10"/>
      <c r="H54" s="83"/>
      <c r="I54" s="10"/>
    </row>
    <row r="55" spans="2:25" x14ac:dyDescent="0.2">
      <c r="B55" s="2" t="s">
        <v>257</v>
      </c>
      <c r="F55" s="2" t="s">
        <v>123</v>
      </c>
      <c r="H55" s="40">
        <v>1665795</v>
      </c>
      <c r="Y55" s="23"/>
    </row>
    <row r="56" spans="2:25" s="10" customFormat="1" x14ac:dyDescent="0.2">
      <c r="B56" s="2" t="s">
        <v>249</v>
      </c>
      <c r="F56" s="2" t="s">
        <v>123</v>
      </c>
      <c r="G56" s="2"/>
      <c r="H56" s="40">
        <v>1676935</v>
      </c>
      <c r="J56" s="2"/>
      <c r="Y56" s="114"/>
    </row>
    <row r="57" spans="2:25" x14ac:dyDescent="0.2">
      <c r="B57" s="2" t="s">
        <v>253</v>
      </c>
      <c r="F57" s="2" t="s">
        <v>123</v>
      </c>
      <c r="H57" s="40">
        <v>1703400</v>
      </c>
    </row>
    <row r="58" spans="2:25" x14ac:dyDescent="0.2">
      <c r="B58" s="2" t="s">
        <v>258</v>
      </c>
      <c r="F58" s="2" t="s">
        <v>123</v>
      </c>
      <c r="H58" s="40">
        <v>1726190</v>
      </c>
    </row>
    <row r="59" spans="2:25" x14ac:dyDescent="0.2">
      <c r="B59" s="2" t="s">
        <v>267</v>
      </c>
      <c r="H59" s="46">
        <f>AVERAGE(H55:H58)</f>
        <v>1693080</v>
      </c>
    </row>
    <row r="60" spans="2:25" x14ac:dyDescent="0.2">
      <c r="B60" s="10"/>
      <c r="C60" s="10"/>
      <c r="D60" s="10"/>
      <c r="E60" s="10"/>
      <c r="F60" s="10"/>
      <c r="G60" s="10"/>
      <c r="H60" s="83"/>
      <c r="I60" s="10"/>
    </row>
    <row r="61" spans="2:25" x14ac:dyDescent="0.2">
      <c r="B61" s="2" t="s">
        <v>259</v>
      </c>
      <c r="F61" s="2" t="s">
        <v>123</v>
      </c>
      <c r="H61" s="40">
        <v>1754580</v>
      </c>
      <c r="Y61" s="23"/>
    </row>
    <row r="62" spans="2:25" s="10" customFormat="1" x14ac:dyDescent="0.2">
      <c r="B62" s="2" t="s">
        <v>260</v>
      </c>
      <c r="F62" s="2" t="s">
        <v>123</v>
      </c>
      <c r="G62" s="2"/>
      <c r="H62" s="40">
        <v>1772960</v>
      </c>
      <c r="Y62" s="114"/>
    </row>
    <row r="63" spans="2:25" x14ac:dyDescent="0.2">
      <c r="B63" s="2" t="s">
        <v>250</v>
      </c>
      <c r="F63" s="2" t="s">
        <v>123</v>
      </c>
      <c r="H63" s="40">
        <v>1792145</v>
      </c>
    </row>
    <row r="64" spans="2:25" x14ac:dyDescent="0.2">
      <c r="B64" s="2" t="s">
        <v>254</v>
      </c>
      <c r="F64" s="2" t="s">
        <v>123</v>
      </c>
      <c r="H64" s="40">
        <v>1828160</v>
      </c>
    </row>
    <row r="65" spans="2:25" x14ac:dyDescent="0.2">
      <c r="B65" s="2" t="s">
        <v>266</v>
      </c>
      <c r="H65" s="46">
        <f>AVERAGE(H61:H64)</f>
        <v>1786961.25</v>
      </c>
    </row>
    <row r="66" spans="2:25" x14ac:dyDescent="0.2">
      <c r="B66" s="10"/>
      <c r="C66" s="10"/>
      <c r="D66" s="10"/>
      <c r="E66" s="10"/>
      <c r="F66" s="10"/>
      <c r="G66" s="10"/>
      <c r="H66" s="83"/>
      <c r="I66" s="10"/>
    </row>
    <row r="67" spans="2:25" x14ac:dyDescent="0.2">
      <c r="B67" s="2" t="s">
        <v>261</v>
      </c>
      <c r="F67" s="2" t="s">
        <v>123</v>
      </c>
      <c r="H67" s="40">
        <v>1851165</v>
      </c>
      <c r="Y67" s="23"/>
    </row>
    <row r="68" spans="2:25" s="10" customFormat="1" x14ac:dyDescent="0.2">
      <c r="B68" s="2" t="s">
        <v>262</v>
      </c>
      <c r="F68" s="2" t="s">
        <v>123</v>
      </c>
      <c r="G68" s="2"/>
      <c r="H68" s="40">
        <v>1871415</v>
      </c>
      <c r="J68" s="2"/>
      <c r="Y68" s="114"/>
    </row>
    <row r="69" spans="2:25" x14ac:dyDescent="0.2">
      <c r="B69" s="2" t="s">
        <v>263</v>
      </c>
      <c r="F69" s="2" t="s">
        <v>123</v>
      </c>
      <c r="H69" s="40">
        <v>1896405</v>
      </c>
    </row>
    <row r="70" spans="2:25" x14ac:dyDescent="0.2">
      <c r="B70" s="2" t="s">
        <v>251</v>
      </c>
      <c r="F70" s="2" t="s">
        <v>123</v>
      </c>
      <c r="H70" s="40">
        <v>1899940</v>
      </c>
      <c r="J70" s="10"/>
    </row>
    <row r="71" spans="2:25" x14ac:dyDescent="0.2">
      <c r="B71" s="2" t="s">
        <v>265</v>
      </c>
      <c r="H71" s="46">
        <f>AVERAGE(H67:H70)</f>
        <v>1879731.25</v>
      </c>
    </row>
    <row r="73" spans="2:25" s="9" customFormat="1" x14ac:dyDescent="0.2">
      <c r="B73" s="9" t="s">
        <v>121</v>
      </c>
    </row>
    <row r="75" spans="2:25" x14ac:dyDescent="0.2">
      <c r="B75" s="2" t="s">
        <v>122</v>
      </c>
      <c r="F75" s="2" t="s">
        <v>123</v>
      </c>
      <c r="H75" s="82">
        <v>0.99</v>
      </c>
      <c r="W75" s="2" t="s">
        <v>270</v>
      </c>
      <c r="Y75" s="23"/>
    </row>
    <row r="76" spans="2:25" x14ac:dyDescent="0.2">
      <c r="B76" s="2" t="s">
        <v>180</v>
      </c>
      <c r="F76" s="2" t="s">
        <v>123</v>
      </c>
      <c r="H76" s="82">
        <v>0.01</v>
      </c>
      <c r="W76" s="2" t="s">
        <v>270</v>
      </c>
    </row>
    <row r="78" spans="2:25" s="9" customFormat="1" x14ac:dyDescent="0.2">
      <c r="B78" s="9" t="s">
        <v>171</v>
      </c>
    </row>
    <row r="80" spans="2:25" x14ac:dyDescent="0.2">
      <c r="B80" s="1" t="s">
        <v>170</v>
      </c>
    </row>
    <row r="81" spans="2:23" x14ac:dyDescent="0.2">
      <c r="B81" s="2" t="s">
        <v>273</v>
      </c>
      <c r="H81" s="79">
        <v>0.15709999999999999</v>
      </c>
      <c r="W81" s="2" t="s">
        <v>278</v>
      </c>
    </row>
    <row r="82" spans="2:23" x14ac:dyDescent="0.2">
      <c r="B82" s="2" t="s">
        <v>275</v>
      </c>
      <c r="H82" s="63">
        <v>0.2</v>
      </c>
    </row>
    <row r="83" spans="2:23" x14ac:dyDescent="0.2">
      <c r="B83" s="2" t="s">
        <v>272</v>
      </c>
      <c r="H83" s="79">
        <v>0.4899</v>
      </c>
    </row>
    <row r="84" spans="2:23" x14ac:dyDescent="0.2">
      <c r="B84" s="2" t="s">
        <v>277</v>
      </c>
      <c r="H84" s="40">
        <v>60</v>
      </c>
    </row>
    <row r="85" spans="2:23" x14ac:dyDescent="0.2">
      <c r="B85" s="2" t="s">
        <v>274</v>
      </c>
      <c r="H85" s="64">
        <v>8.3000000000000004E-2</v>
      </c>
    </row>
    <row r="86" spans="2:23" x14ac:dyDescent="0.2">
      <c r="B86" s="2" t="s">
        <v>276</v>
      </c>
      <c r="H86" s="40">
        <v>54</v>
      </c>
    </row>
    <row r="88" spans="2:23" x14ac:dyDescent="0.2">
      <c r="B88" s="1" t="s">
        <v>172</v>
      </c>
    </row>
    <row r="89" spans="2:23" x14ac:dyDescent="0.2">
      <c r="B89" s="2" t="s">
        <v>273</v>
      </c>
      <c r="H89" s="79">
        <v>0.21929999999999999</v>
      </c>
      <c r="W89" s="2" t="s">
        <v>278</v>
      </c>
    </row>
    <row r="90" spans="2:23" x14ac:dyDescent="0.2">
      <c r="B90" s="2" t="s">
        <v>275</v>
      </c>
      <c r="H90" s="63">
        <v>0.2</v>
      </c>
    </row>
    <row r="91" spans="2:23" x14ac:dyDescent="0.2">
      <c r="B91" s="2" t="s">
        <v>272</v>
      </c>
      <c r="H91" s="79">
        <v>0.31119999999999998</v>
      </c>
    </row>
    <row r="92" spans="2:23" x14ac:dyDescent="0.2">
      <c r="B92" s="2" t="s">
        <v>277</v>
      </c>
      <c r="H92" s="40">
        <v>60</v>
      </c>
    </row>
    <row r="93" spans="2:23" x14ac:dyDescent="0.2">
      <c r="B93" s="2" t="s">
        <v>274</v>
      </c>
      <c r="H93" s="64">
        <v>8.3000000000000004E-2</v>
      </c>
    </row>
    <row r="94" spans="2:23" x14ac:dyDescent="0.2">
      <c r="B94" s="2" t="s">
        <v>276</v>
      </c>
      <c r="H94" s="40">
        <v>372</v>
      </c>
    </row>
    <row r="96" spans="2:23" s="9" customFormat="1" x14ac:dyDescent="0.2">
      <c r="B96" s="9" t="s">
        <v>158</v>
      </c>
    </row>
    <row r="97" spans="2:25" x14ac:dyDescent="0.2">
      <c r="B97" s="1"/>
    </row>
    <row r="98" spans="2:25" x14ac:dyDescent="0.2">
      <c r="B98" s="27" t="s">
        <v>160</v>
      </c>
      <c r="H98" s="79">
        <f>1/3</f>
        <v>0.33333333333333331</v>
      </c>
      <c r="W98" s="2" t="s">
        <v>182</v>
      </c>
      <c r="Y98" s="23"/>
    </row>
    <row r="99" spans="2:25" x14ac:dyDescent="0.2">
      <c r="B99" s="27" t="s">
        <v>159</v>
      </c>
      <c r="H99" s="79">
        <v>1</v>
      </c>
      <c r="W99" s="2" t="s">
        <v>270</v>
      </c>
    </row>
    <row r="102" spans="2:25" x14ac:dyDescent="0.2">
      <c r="B102"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FE1"/>
  </sheetPr>
  <dimension ref="B2:Z134"/>
  <sheetViews>
    <sheetView showGridLines="0" zoomScale="85" zoomScaleNormal="85" workbookViewId="0">
      <pane xSplit="6" ySplit="16" topLeftCell="G17" activePane="bottomRight" state="frozen"/>
      <selection activeCell="R6" sqref="R6"/>
      <selection pane="topRight" activeCell="R6" sqref="R6"/>
      <selection pane="bottomLeft" activeCell="R6" sqref="R6"/>
      <selection pane="bottomRight" activeCell="G17" sqref="G17"/>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4.42578125" style="2" customWidth="1"/>
    <col min="11" max="11" width="9.7109375" style="2" customWidth="1"/>
    <col min="12" max="17" width="12.5703125" style="2" customWidth="1"/>
    <col min="18" max="18" width="2.85546875" style="2" customWidth="1"/>
    <col min="19" max="22" width="12.5703125" style="2" customWidth="1"/>
    <col min="23" max="23" width="2.7109375" style="2" customWidth="1"/>
    <col min="24" max="24" width="39.5703125" style="2" bestFit="1" customWidth="1"/>
    <col min="25" max="25" width="2.7109375" style="2" customWidth="1"/>
    <col min="26" max="26" width="13.7109375" style="2" customWidth="1"/>
    <col min="27" max="27" width="2.7109375" style="2" customWidth="1"/>
    <col min="28" max="42" width="13.7109375" style="2" customWidth="1"/>
    <col min="43" max="16384" width="9.140625" style="2"/>
  </cols>
  <sheetData>
    <row r="2" spans="2:26" s="22" customFormat="1" ht="18" x14ac:dyDescent="0.2">
      <c r="B2" s="22" t="s">
        <v>30</v>
      </c>
    </row>
    <row r="4" spans="2:26" x14ac:dyDescent="0.2">
      <c r="B4" s="1" t="s">
        <v>173</v>
      </c>
    </row>
    <row r="5" spans="2:26" x14ac:dyDescent="0.2">
      <c r="B5" s="48" t="s">
        <v>72</v>
      </c>
      <c r="C5" s="1"/>
      <c r="D5" s="1"/>
      <c r="L5"/>
    </row>
    <row r="6" spans="2:26" x14ac:dyDescent="0.2">
      <c r="B6" s="48" t="s">
        <v>279</v>
      </c>
      <c r="C6" s="3"/>
      <c r="D6" s="3"/>
      <c r="H6" s="23"/>
    </row>
    <row r="7" spans="2:26" x14ac:dyDescent="0.2">
      <c r="B7" s="48" t="s">
        <v>280</v>
      </c>
      <c r="C7" s="3"/>
      <c r="D7" s="3"/>
      <c r="H7" s="23"/>
    </row>
    <row r="8" spans="2:26" x14ac:dyDescent="0.2">
      <c r="B8" s="48" t="s">
        <v>200</v>
      </c>
      <c r="C8" s="3"/>
      <c r="D8" s="3"/>
      <c r="H8" s="23"/>
    </row>
    <row r="9" spans="2:26" x14ac:dyDescent="0.2">
      <c r="B9" s="48" t="s">
        <v>201</v>
      </c>
      <c r="C9" s="3"/>
      <c r="D9" s="3"/>
      <c r="H9" s="23"/>
    </row>
    <row r="10" spans="2:26" x14ac:dyDescent="0.2">
      <c r="B10" s="33"/>
      <c r="C10" s="3"/>
      <c r="D10" s="3"/>
      <c r="H10" s="23"/>
    </row>
    <row r="11" spans="2:26" x14ac:dyDescent="0.2">
      <c r="B11" s="5" t="s">
        <v>29</v>
      </c>
      <c r="C11" s="3"/>
      <c r="D11" s="3"/>
    </row>
    <row r="12" spans="2:26" x14ac:dyDescent="0.2">
      <c r="B12" s="27" t="s">
        <v>199</v>
      </c>
    </row>
    <row r="13" spans="2:26" x14ac:dyDescent="0.2">
      <c r="B13" s="2" t="s">
        <v>281</v>
      </c>
    </row>
    <row r="15" spans="2:26" s="9" customFormat="1" x14ac:dyDescent="0.2">
      <c r="B15" s="9" t="s">
        <v>44</v>
      </c>
      <c r="F15" s="9" t="s">
        <v>27</v>
      </c>
      <c r="H15" s="9" t="s">
        <v>28</v>
      </c>
      <c r="L15" s="9" t="s">
        <v>101</v>
      </c>
      <c r="M15" s="9" t="s">
        <v>74</v>
      </c>
      <c r="N15" s="9" t="s">
        <v>75</v>
      </c>
      <c r="O15" s="9" t="s">
        <v>76</v>
      </c>
      <c r="P15" s="9" t="s">
        <v>77</v>
      </c>
      <c r="Q15" s="9" t="s">
        <v>78</v>
      </c>
      <c r="S15" s="9" t="s">
        <v>73</v>
      </c>
      <c r="T15" s="9" t="s">
        <v>198</v>
      </c>
      <c r="X15" s="9" t="s">
        <v>45</v>
      </c>
      <c r="Z15" s="9" t="s">
        <v>46</v>
      </c>
    </row>
    <row r="18" spans="2:24" s="9" customFormat="1" x14ac:dyDescent="0.2">
      <c r="B18" s="9" t="s">
        <v>282</v>
      </c>
    </row>
    <row r="20" spans="2:24" x14ac:dyDescent="0.2">
      <c r="B20" s="2" t="s">
        <v>282</v>
      </c>
      <c r="F20" s="2" t="s">
        <v>156</v>
      </c>
      <c r="L20" s="40">
        <v>1591639.7618644107</v>
      </c>
      <c r="M20" s="40">
        <v>3372452.2728191609</v>
      </c>
      <c r="N20" s="40">
        <v>4847253.747961428</v>
      </c>
      <c r="O20" s="40">
        <v>87909.96688196664</v>
      </c>
      <c r="P20" s="40">
        <v>-17593083.788134813</v>
      </c>
      <c r="Q20" s="40">
        <v>1190131.3444372653</v>
      </c>
      <c r="R20" s="84"/>
      <c r="S20" s="40">
        <v>4995918.9438198702</v>
      </c>
      <c r="T20" s="40">
        <v>1507777.7503506462</v>
      </c>
      <c r="X20" s="2" t="s">
        <v>203</v>
      </c>
    </row>
    <row r="21" spans="2:24" x14ac:dyDescent="0.2">
      <c r="B21" s="50"/>
    </row>
    <row r="22" spans="2:24" s="9" customFormat="1" x14ac:dyDescent="0.2">
      <c r="B22" s="9" t="s">
        <v>216</v>
      </c>
    </row>
    <row r="24" spans="2:24" x14ac:dyDescent="0.2">
      <c r="B24" s="50" t="s">
        <v>80</v>
      </c>
    </row>
    <row r="25" spans="2:24" x14ac:dyDescent="0.2">
      <c r="B25" s="2" t="s">
        <v>81</v>
      </c>
      <c r="F25" s="2" t="s">
        <v>83</v>
      </c>
      <c r="L25" s="40">
        <v>53206</v>
      </c>
      <c r="M25" s="40">
        <v>2840608</v>
      </c>
      <c r="N25" s="40">
        <v>3077471</v>
      </c>
      <c r="O25" s="40">
        <v>32403</v>
      </c>
      <c r="P25" s="40">
        <v>2155537</v>
      </c>
      <c r="Q25" s="40">
        <v>74002</v>
      </c>
      <c r="R25" s="83"/>
      <c r="S25" s="40">
        <v>214189</v>
      </c>
      <c r="T25" s="40">
        <v>111021</v>
      </c>
      <c r="X25" s="2" t="s">
        <v>90</v>
      </c>
    </row>
    <row r="26" spans="2:24" x14ac:dyDescent="0.2">
      <c r="B26" s="2" t="s">
        <v>283</v>
      </c>
      <c r="F26" s="2" t="s">
        <v>83</v>
      </c>
      <c r="L26" s="40">
        <v>1146</v>
      </c>
      <c r="M26" s="40">
        <v>442930</v>
      </c>
      <c r="N26" s="40">
        <v>606974</v>
      </c>
      <c r="O26" s="40">
        <v>5396</v>
      </c>
      <c r="P26" s="40">
        <v>317425</v>
      </c>
      <c r="Q26" s="40">
        <v>10664</v>
      </c>
      <c r="R26" s="83"/>
      <c r="S26" s="40">
        <v>33643</v>
      </c>
      <c r="T26" s="40">
        <v>4993</v>
      </c>
      <c r="X26" s="2" t="s">
        <v>91</v>
      </c>
    </row>
    <row r="27" spans="2:24" x14ac:dyDescent="0.2">
      <c r="B27" s="2" t="s">
        <v>82</v>
      </c>
      <c r="F27" s="2" t="s">
        <v>83</v>
      </c>
      <c r="L27" s="40">
        <v>9324</v>
      </c>
      <c r="M27" s="40">
        <v>28367701</v>
      </c>
      <c r="N27" s="40">
        <v>41730800</v>
      </c>
      <c r="O27" s="40">
        <v>325412</v>
      </c>
      <c r="P27" s="40">
        <v>24059461</v>
      </c>
      <c r="Q27" s="40">
        <v>607361</v>
      </c>
      <c r="R27" s="83"/>
      <c r="S27" s="40">
        <v>1800710</v>
      </c>
      <c r="T27" s="40">
        <v>87242</v>
      </c>
      <c r="X27" s="2" t="s">
        <v>92</v>
      </c>
    </row>
    <row r="29" spans="2:24" x14ac:dyDescent="0.2">
      <c r="B29" s="1" t="s">
        <v>84</v>
      </c>
    </row>
    <row r="30" spans="2:24" x14ac:dyDescent="0.2">
      <c r="B30" s="2" t="s">
        <v>81</v>
      </c>
      <c r="F30" s="2" t="s">
        <v>83</v>
      </c>
      <c r="L30" s="40">
        <v>53095</v>
      </c>
      <c r="M30" s="40">
        <v>2604145</v>
      </c>
      <c r="N30" s="40">
        <v>3050791</v>
      </c>
      <c r="O30" s="40">
        <v>32403</v>
      </c>
      <c r="P30" s="40">
        <v>2155537</v>
      </c>
      <c r="Q30" s="40">
        <v>58003</v>
      </c>
      <c r="R30" s="83"/>
      <c r="S30" s="40">
        <v>214189</v>
      </c>
      <c r="T30" s="40">
        <v>111007</v>
      </c>
      <c r="X30" s="2" t="s">
        <v>93</v>
      </c>
    </row>
    <row r="31" spans="2:24" x14ac:dyDescent="0.2">
      <c r="B31" s="2" t="s">
        <v>284</v>
      </c>
      <c r="F31" s="2" t="s">
        <v>83</v>
      </c>
      <c r="L31" s="40">
        <v>820</v>
      </c>
      <c r="M31" s="40">
        <v>82903</v>
      </c>
      <c r="N31" s="40">
        <v>141082</v>
      </c>
      <c r="O31" s="40">
        <v>518</v>
      </c>
      <c r="P31" s="40">
        <v>84572</v>
      </c>
      <c r="Q31" s="40">
        <v>1523</v>
      </c>
      <c r="R31" s="83"/>
      <c r="S31" s="40">
        <v>16946</v>
      </c>
      <c r="T31" s="40">
        <v>1624</v>
      </c>
      <c r="X31" s="2" t="s">
        <v>94</v>
      </c>
    </row>
    <row r="32" spans="2:24" x14ac:dyDescent="0.2">
      <c r="B32" s="2" t="s">
        <v>82</v>
      </c>
      <c r="F32" s="2" t="s">
        <v>83</v>
      </c>
      <c r="L32" s="40">
        <v>45792</v>
      </c>
      <c r="M32" s="40">
        <v>13295852</v>
      </c>
      <c r="N32" s="40">
        <v>22333915</v>
      </c>
      <c r="O32" s="40">
        <v>52789</v>
      </c>
      <c r="P32" s="40">
        <v>12402353</v>
      </c>
      <c r="Q32" s="40">
        <v>191311</v>
      </c>
      <c r="R32" s="83"/>
      <c r="S32" s="40">
        <v>1320892</v>
      </c>
      <c r="T32" s="40">
        <v>193467</v>
      </c>
      <c r="X32" s="2" t="s">
        <v>95</v>
      </c>
    </row>
    <row r="34" spans="2:26" x14ac:dyDescent="0.2">
      <c r="B34" s="1" t="s">
        <v>89</v>
      </c>
      <c r="L34" s="140" t="s">
        <v>177</v>
      </c>
      <c r="M34" s="140"/>
      <c r="N34" s="140"/>
      <c r="O34" s="140"/>
      <c r="P34" s="140"/>
      <c r="Q34" s="140"/>
      <c r="R34" s="140"/>
      <c r="S34" s="140"/>
      <c r="T34" s="140"/>
      <c r="Z34" s="2" t="s">
        <v>285</v>
      </c>
    </row>
    <row r="35" spans="2:26" ht="12.75" customHeight="1" x14ac:dyDescent="0.2">
      <c r="B35" s="2" t="s">
        <v>101</v>
      </c>
      <c r="F35" s="2" t="s">
        <v>83</v>
      </c>
      <c r="J35" s="68"/>
      <c r="K35" s="141" t="s">
        <v>112</v>
      </c>
      <c r="L35" s="51"/>
      <c r="M35" s="40">
        <v>53095</v>
      </c>
      <c r="N35" s="40">
        <v>0</v>
      </c>
      <c r="O35" s="40">
        <v>0</v>
      </c>
      <c r="P35" s="40">
        <v>0</v>
      </c>
      <c r="Q35" s="40">
        <v>0</v>
      </c>
      <c r="R35" s="83"/>
      <c r="S35" s="40">
        <v>0</v>
      </c>
      <c r="T35" s="40">
        <v>0</v>
      </c>
      <c r="X35" s="2" t="s">
        <v>178</v>
      </c>
    </row>
    <row r="36" spans="2:26" x14ac:dyDescent="0.2">
      <c r="B36" s="2" t="s">
        <v>74</v>
      </c>
      <c r="F36" s="2" t="s">
        <v>83</v>
      </c>
      <c r="J36" s="68"/>
      <c r="K36" s="141"/>
      <c r="L36" s="40">
        <v>111</v>
      </c>
      <c r="M36" s="51"/>
      <c r="N36" s="40">
        <v>167</v>
      </c>
      <c r="O36" s="40">
        <v>0</v>
      </c>
      <c r="P36" s="40">
        <v>0</v>
      </c>
      <c r="Q36" s="40">
        <v>0</v>
      </c>
      <c r="R36" s="83"/>
      <c r="S36" s="40">
        <v>0</v>
      </c>
      <c r="T36" s="40">
        <v>14</v>
      </c>
    </row>
    <row r="37" spans="2:26" x14ac:dyDescent="0.2">
      <c r="B37" s="2" t="s">
        <v>75</v>
      </c>
      <c r="F37" s="2" t="s">
        <v>83</v>
      </c>
      <c r="J37" s="68"/>
      <c r="K37" s="141"/>
      <c r="L37" s="40">
        <v>0</v>
      </c>
      <c r="M37" s="40">
        <v>16247</v>
      </c>
      <c r="N37" s="51"/>
      <c r="O37" s="40">
        <v>0</v>
      </c>
      <c r="P37" s="40">
        <v>0</v>
      </c>
      <c r="Q37" s="40">
        <v>0</v>
      </c>
      <c r="R37" s="83"/>
      <c r="S37" s="40">
        <v>0</v>
      </c>
      <c r="T37" s="40">
        <v>0</v>
      </c>
    </row>
    <row r="38" spans="2:26" x14ac:dyDescent="0.2">
      <c r="B38" s="2" t="s">
        <v>88</v>
      </c>
      <c r="F38" s="2" t="s">
        <v>83</v>
      </c>
      <c r="J38" s="68"/>
      <c r="K38" s="141"/>
      <c r="L38" s="40">
        <v>0</v>
      </c>
      <c r="M38" s="40">
        <v>32403</v>
      </c>
      <c r="N38" s="40"/>
      <c r="O38" s="51"/>
      <c r="P38" s="40">
        <v>0</v>
      </c>
      <c r="Q38" s="40">
        <v>0</v>
      </c>
      <c r="R38" s="83"/>
      <c r="S38" s="40">
        <v>0</v>
      </c>
      <c r="T38" s="40">
        <v>0</v>
      </c>
    </row>
    <row r="39" spans="2:26" x14ac:dyDescent="0.2">
      <c r="B39" s="2" t="s">
        <v>77</v>
      </c>
      <c r="F39" s="2" t="s">
        <v>83</v>
      </c>
      <c r="J39" s="68"/>
      <c r="K39" s="141"/>
      <c r="L39" s="40">
        <v>0</v>
      </c>
      <c r="M39" s="40">
        <v>23711</v>
      </c>
      <c r="N39" s="40">
        <v>26513</v>
      </c>
      <c r="O39" s="40">
        <v>0</v>
      </c>
      <c r="P39" s="51"/>
      <c r="Q39" s="40">
        <v>15999</v>
      </c>
      <c r="R39" s="83"/>
      <c r="S39" s="40">
        <v>0</v>
      </c>
      <c r="T39" s="40">
        <v>0</v>
      </c>
    </row>
    <row r="40" spans="2:26" x14ac:dyDescent="0.2">
      <c r="B40" s="2" t="s">
        <v>78</v>
      </c>
      <c r="F40" s="2" t="s">
        <v>83</v>
      </c>
      <c r="J40" s="68"/>
      <c r="K40" s="141"/>
      <c r="L40" s="40">
        <v>0</v>
      </c>
      <c r="M40" s="40">
        <v>0</v>
      </c>
      <c r="N40" s="40">
        <v>0</v>
      </c>
      <c r="O40" s="40">
        <v>0</v>
      </c>
      <c r="P40" s="40">
        <v>0</v>
      </c>
      <c r="Q40" s="51"/>
      <c r="R40" s="83"/>
      <c r="S40" s="40">
        <v>0</v>
      </c>
      <c r="T40" s="40">
        <v>0</v>
      </c>
    </row>
    <row r="41" spans="2:26" x14ac:dyDescent="0.2">
      <c r="B41" s="2" t="s">
        <v>73</v>
      </c>
      <c r="F41" s="2" t="s">
        <v>83</v>
      </c>
      <c r="J41" s="68"/>
      <c r="K41" s="141"/>
      <c r="L41" s="40">
        <v>0</v>
      </c>
      <c r="M41" s="40">
        <v>0</v>
      </c>
      <c r="N41" s="40">
        <v>0</v>
      </c>
      <c r="O41" s="40">
        <v>0</v>
      </c>
      <c r="P41" s="40">
        <v>0</v>
      </c>
      <c r="Q41" s="40">
        <v>0</v>
      </c>
      <c r="R41" s="84"/>
      <c r="S41" s="51"/>
      <c r="T41" s="40">
        <v>0</v>
      </c>
    </row>
    <row r="42" spans="2:26" x14ac:dyDescent="0.2">
      <c r="B42" s="2" t="s">
        <v>198</v>
      </c>
      <c r="F42" s="2" t="s">
        <v>83</v>
      </c>
      <c r="J42" s="68"/>
      <c r="K42" s="141"/>
      <c r="L42" s="40">
        <v>0</v>
      </c>
      <c r="M42" s="40">
        <v>111007</v>
      </c>
      <c r="N42" s="40">
        <v>0</v>
      </c>
      <c r="O42" s="40">
        <v>0</v>
      </c>
      <c r="P42" s="40">
        <v>0</v>
      </c>
      <c r="Q42" s="40">
        <v>0</v>
      </c>
      <c r="R42" s="83"/>
      <c r="S42" s="40">
        <v>0</v>
      </c>
      <c r="T42" s="51"/>
    </row>
    <row r="44" spans="2:26" s="9" customFormat="1" x14ac:dyDescent="0.2">
      <c r="B44" s="9" t="s">
        <v>217</v>
      </c>
    </row>
    <row r="45" spans="2:26" x14ac:dyDescent="0.2">
      <c r="L45" s="55"/>
      <c r="M45" s="55"/>
      <c r="N45" s="55"/>
      <c r="O45" s="55"/>
      <c r="P45" s="55"/>
      <c r="Q45" s="55"/>
      <c r="R45" s="55"/>
      <c r="S45" s="55"/>
    </row>
    <row r="46" spans="2:26" x14ac:dyDescent="0.2">
      <c r="B46" s="50" t="s">
        <v>80</v>
      </c>
      <c r="S46" s="10"/>
    </row>
    <row r="47" spans="2:26" x14ac:dyDescent="0.2">
      <c r="B47" s="2" t="s">
        <v>81</v>
      </c>
      <c r="F47" s="2" t="s">
        <v>83</v>
      </c>
      <c r="L47" s="40">
        <v>53383</v>
      </c>
      <c r="M47" s="40">
        <v>2863833</v>
      </c>
      <c r="N47" s="40">
        <v>3120655</v>
      </c>
      <c r="O47" s="40">
        <v>32551</v>
      </c>
      <c r="P47" s="40">
        <v>2162498</v>
      </c>
      <c r="Q47" s="40">
        <v>74674</v>
      </c>
      <c r="R47" s="83"/>
      <c r="S47" s="40">
        <v>212740</v>
      </c>
      <c r="T47" s="87"/>
      <c r="X47" s="2" t="s">
        <v>90</v>
      </c>
    </row>
    <row r="48" spans="2:26" x14ac:dyDescent="0.2">
      <c r="B48" s="2" t="s">
        <v>283</v>
      </c>
      <c r="F48" s="2" t="s">
        <v>83</v>
      </c>
      <c r="L48" s="40">
        <v>4729</v>
      </c>
      <c r="M48" s="40">
        <v>307601</v>
      </c>
      <c r="N48" s="40">
        <v>506537</v>
      </c>
      <c r="O48" s="40">
        <v>12</v>
      </c>
      <c r="P48" s="40">
        <v>299411</v>
      </c>
      <c r="Q48" s="40">
        <v>5364</v>
      </c>
      <c r="R48" s="83"/>
      <c r="S48" s="40">
        <v>44616</v>
      </c>
      <c r="T48" s="87"/>
      <c r="X48" s="2" t="s">
        <v>91</v>
      </c>
    </row>
    <row r="49" spans="2:26" x14ac:dyDescent="0.2">
      <c r="B49" s="2" t="s">
        <v>82</v>
      </c>
      <c r="F49" s="2" t="s">
        <v>83</v>
      </c>
      <c r="L49" s="40">
        <v>195118</v>
      </c>
      <c r="M49" s="40">
        <v>24770706</v>
      </c>
      <c r="N49" s="40">
        <v>34286427</v>
      </c>
      <c r="O49" s="40">
        <v>204</v>
      </c>
      <c r="P49" s="40">
        <v>22822942</v>
      </c>
      <c r="Q49" s="40">
        <v>439704</v>
      </c>
      <c r="R49" s="83"/>
      <c r="S49" s="40">
        <v>2335941</v>
      </c>
      <c r="T49" s="87"/>
      <c r="X49" s="2" t="s">
        <v>92</v>
      </c>
    </row>
    <row r="50" spans="2:26" x14ac:dyDescent="0.2">
      <c r="L50" s="55"/>
      <c r="M50" s="55"/>
      <c r="N50" s="55"/>
      <c r="O50" s="55"/>
      <c r="P50" s="55"/>
      <c r="Q50" s="55"/>
      <c r="R50" s="55"/>
      <c r="S50" s="55"/>
    </row>
    <row r="51" spans="2:26" x14ac:dyDescent="0.2">
      <c r="B51" s="1" t="s">
        <v>84</v>
      </c>
      <c r="R51" s="10"/>
      <c r="S51" s="10"/>
    </row>
    <row r="52" spans="2:26" x14ac:dyDescent="0.2">
      <c r="B52" s="2" t="s">
        <v>81</v>
      </c>
      <c r="F52" s="2" t="s">
        <v>83</v>
      </c>
      <c r="L52" s="40">
        <v>53269</v>
      </c>
      <c r="M52" s="40">
        <v>2761914</v>
      </c>
      <c r="N52" s="40">
        <v>3087303</v>
      </c>
      <c r="O52" s="40">
        <v>32551</v>
      </c>
      <c r="P52" s="40">
        <v>2162498</v>
      </c>
      <c r="Q52" s="40">
        <v>58632</v>
      </c>
      <c r="R52" s="83"/>
      <c r="S52" s="40">
        <v>212740</v>
      </c>
      <c r="T52" s="87"/>
      <c r="X52" s="2" t="s">
        <v>93</v>
      </c>
    </row>
    <row r="53" spans="2:26" x14ac:dyDescent="0.2">
      <c r="B53" s="2" t="s">
        <v>284</v>
      </c>
      <c r="F53" s="2" t="s">
        <v>83</v>
      </c>
      <c r="L53" s="40">
        <v>858</v>
      </c>
      <c r="M53" s="40">
        <v>86632</v>
      </c>
      <c r="N53" s="40">
        <v>141889</v>
      </c>
      <c r="O53" s="40">
        <v>783</v>
      </c>
      <c r="P53" s="40">
        <v>85648</v>
      </c>
      <c r="Q53" s="40">
        <v>1155</v>
      </c>
      <c r="R53" s="83"/>
      <c r="S53" s="40">
        <v>16956</v>
      </c>
      <c r="T53" s="87"/>
      <c r="X53" s="2" t="s">
        <v>94</v>
      </c>
    </row>
    <row r="54" spans="2:26" x14ac:dyDescent="0.2">
      <c r="B54" s="2" t="s">
        <v>82</v>
      </c>
      <c r="F54" s="2" t="s">
        <v>83</v>
      </c>
      <c r="L54" s="40">
        <v>79863</v>
      </c>
      <c r="M54" s="40">
        <v>14001717</v>
      </c>
      <c r="N54" s="40">
        <v>20490004</v>
      </c>
      <c r="O54" s="40">
        <v>96388</v>
      </c>
      <c r="P54" s="40">
        <v>12687076</v>
      </c>
      <c r="Q54" s="40">
        <v>181886</v>
      </c>
      <c r="R54" s="83"/>
      <c r="S54" s="40">
        <v>1252762</v>
      </c>
      <c r="T54" s="87"/>
      <c r="X54" s="2" t="s">
        <v>95</v>
      </c>
    </row>
    <row r="55" spans="2:26" x14ac:dyDescent="0.2">
      <c r="R55" s="10"/>
    </row>
    <row r="56" spans="2:26" x14ac:dyDescent="0.2">
      <c r="B56" s="1" t="s">
        <v>89</v>
      </c>
      <c r="L56" s="140" t="s">
        <v>177</v>
      </c>
      <c r="M56" s="140"/>
      <c r="N56" s="140"/>
      <c r="O56" s="140"/>
      <c r="P56" s="140"/>
      <c r="Q56" s="140"/>
      <c r="R56" s="85"/>
      <c r="S56" s="85"/>
      <c r="Z56" s="2" t="s">
        <v>285</v>
      </c>
    </row>
    <row r="57" spans="2:26" x14ac:dyDescent="0.2">
      <c r="B57" s="2" t="s">
        <v>101</v>
      </c>
      <c r="F57" s="2" t="s">
        <v>83</v>
      </c>
      <c r="K57" s="141" t="s">
        <v>112</v>
      </c>
      <c r="L57" s="51"/>
      <c r="M57" s="40">
        <v>53269</v>
      </c>
      <c r="N57" s="40"/>
      <c r="O57" s="40">
        <v>0</v>
      </c>
      <c r="P57" s="40">
        <v>0</v>
      </c>
      <c r="Q57" s="40"/>
      <c r="R57" s="83"/>
      <c r="S57" s="40">
        <v>0</v>
      </c>
      <c r="T57" s="87"/>
      <c r="X57" s="2" t="s">
        <v>178</v>
      </c>
    </row>
    <row r="58" spans="2:26" x14ac:dyDescent="0.2">
      <c r="B58" s="2" t="s">
        <v>74</v>
      </c>
      <c r="F58" s="2" t="s">
        <v>83</v>
      </c>
      <c r="K58" s="141"/>
      <c r="L58" s="40">
        <v>114</v>
      </c>
      <c r="M58" s="51"/>
      <c r="N58" s="40">
        <v>469</v>
      </c>
      <c r="O58" s="40">
        <v>0</v>
      </c>
      <c r="P58" s="40">
        <v>0</v>
      </c>
      <c r="Q58" s="40"/>
      <c r="R58" s="83"/>
      <c r="S58" s="40">
        <v>0</v>
      </c>
      <c r="T58" s="87"/>
      <c r="Z58" s="5"/>
    </row>
    <row r="59" spans="2:26" x14ac:dyDescent="0.2">
      <c r="B59" s="2" t="s">
        <v>75</v>
      </c>
      <c r="F59" s="2" t="s">
        <v>83</v>
      </c>
      <c r="K59" s="141"/>
      <c r="L59" s="40">
        <v>0</v>
      </c>
      <c r="M59" s="40">
        <v>16099</v>
      </c>
      <c r="N59" s="51"/>
      <c r="O59" s="40">
        <v>0</v>
      </c>
      <c r="P59" s="40">
        <v>0</v>
      </c>
      <c r="Q59" s="40"/>
      <c r="R59" s="83"/>
      <c r="S59" s="40">
        <v>0</v>
      </c>
      <c r="T59" s="87"/>
    </row>
    <row r="60" spans="2:26" x14ac:dyDescent="0.2">
      <c r="B60" s="2" t="s">
        <v>88</v>
      </c>
      <c r="F60" s="2" t="s">
        <v>83</v>
      </c>
      <c r="K60" s="141"/>
      <c r="L60" s="40">
        <v>0</v>
      </c>
      <c r="M60" s="40">
        <v>32551</v>
      </c>
      <c r="N60" s="40"/>
      <c r="O60" s="51"/>
      <c r="P60" s="40">
        <v>0</v>
      </c>
      <c r="Q60" s="40"/>
      <c r="R60" s="83"/>
      <c r="S60" s="40">
        <v>0</v>
      </c>
      <c r="T60" s="87"/>
    </row>
    <row r="61" spans="2:26" x14ac:dyDescent="0.2">
      <c r="B61" s="2" t="s">
        <v>77</v>
      </c>
      <c r="F61" s="2" t="s">
        <v>83</v>
      </c>
      <c r="K61" s="141"/>
      <c r="L61" s="40">
        <v>0</v>
      </c>
      <c r="M61" s="40"/>
      <c r="N61" s="40">
        <v>32883</v>
      </c>
      <c r="O61" s="40">
        <v>0</v>
      </c>
      <c r="P61" s="51"/>
      <c r="Q61" s="40">
        <v>16042</v>
      </c>
      <c r="R61" s="83"/>
      <c r="S61" s="40">
        <v>0</v>
      </c>
      <c r="T61" s="87"/>
    </row>
    <row r="62" spans="2:26" x14ac:dyDescent="0.2">
      <c r="B62" s="2" t="s">
        <v>78</v>
      </c>
      <c r="F62" s="2" t="s">
        <v>83</v>
      </c>
      <c r="K62" s="141"/>
      <c r="L62" s="40">
        <v>0</v>
      </c>
      <c r="M62" s="40"/>
      <c r="N62" s="40"/>
      <c r="O62" s="40">
        <v>0</v>
      </c>
      <c r="P62" s="40">
        <v>0</v>
      </c>
      <c r="Q62" s="51"/>
      <c r="R62" s="86"/>
      <c r="S62" s="40">
        <v>0</v>
      </c>
      <c r="T62" s="87"/>
      <c r="Z62" s="23"/>
    </row>
    <row r="63" spans="2:26" x14ac:dyDescent="0.2">
      <c r="B63" s="2" t="s">
        <v>73</v>
      </c>
      <c r="F63" s="2" t="s">
        <v>83</v>
      </c>
      <c r="K63" s="141"/>
      <c r="L63" s="40">
        <v>0</v>
      </c>
      <c r="M63" s="40"/>
      <c r="N63" s="40"/>
      <c r="O63" s="40">
        <v>0</v>
      </c>
      <c r="P63" s="40">
        <v>0</v>
      </c>
      <c r="Q63" s="40"/>
      <c r="R63" s="84"/>
      <c r="S63" s="51"/>
      <c r="T63" s="87"/>
    </row>
    <row r="64" spans="2:26" x14ac:dyDescent="0.2">
      <c r="B64" s="1"/>
    </row>
    <row r="65" spans="2:26" s="9" customFormat="1" x14ac:dyDescent="0.2">
      <c r="B65" s="9" t="s">
        <v>218</v>
      </c>
    </row>
    <row r="66" spans="2:26" x14ac:dyDescent="0.2">
      <c r="L66" s="55"/>
      <c r="M66" s="55"/>
      <c r="N66" s="55"/>
      <c r="O66" s="55"/>
      <c r="P66" s="55"/>
      <c r="Q66" s="55"/>
      <c r="R66" s="55"/>
      <c r="S66" s="55"/>
    </row>
    <row r="67" spans="2:26" x14ac:dyDescent="0.2">
      <c r="B67" s="50" t="s">
        <v>80</v>
      </c>
      <c r="R67" s="10"/>
    </row>
    <row r="68" spans="2:26" x14ac:dyDescent="0.2">
      <c r="B68" s="2" t="s">
        <v>81</v>
      </c>
      <c r="F68" s="2" t="s">
        <v>83</v>
      </c>
      <c r="L68" s="40">
        <v>53549</v>
      </c>
      <c r="M68" s="40">
        <v>2873514</v>
      </c>
      <c r="N68" s="40">
        <v>3145128</v>
      </c>
      <c r="O68" s="40">
        <v>32546</v>
      </c>
      <c r="P68" s="40">
        <v>2111530</v>
      </c>
      <c r="Q68" s="40">
        <v>75437</v>
      </c>
      <c r="R68" s="83"/>
      <c r="S68" s="40">
        <v>214178</v>
      </c>
      <c r="T68" s="87"/>
      <c r="X68" s="2" t="s">
        <v>90</v>
      </c>
    </row>
    <row r="69" spans="2:26" x14ac:dyDescent="0.2">
      <c r="B69" s="2" t="s">
        <v>283</v>
      </c>
      <c r="F69" s="2" t="s">
        <v>83</v>
      </c>
      <c r="L69" s="40">
        <v>4752</v>
      </c>
      <c r="M69" s="40">
        <v>457469</v>
      </c>
      <c r="N69" s="40">
        <v>827312</v>
      </c>
      <c r="O69" s="40">
        <v>4231</v>
      </c>
      <c r="P69" s="40">
        <v>373042</v>
      </c>
      <c r="Q69" s="40">
        <v>10655</v>
      </c>
      <c r="R69" s="83"/>
      <c r="S69" s="40">
        <v>38598</v>
      </c>
      <c r="T69" s="87"/>
      <c r="X69" s="2" t="s">
        <v>91</v>
      </c>
    </row>
    <row r="70" spans="2:26" x14ac:dyDescent="0.2">
      <c r="B70" s="2" t="s">
        <v>82</v>
      </c>
      <c r="F70" s="2" t="s">
        <v>83</v>
      </c>
      <c r="L70" s="40">
        <v>208381</v>
      </c>
      <c r="M70" s="40">
        <v>30103912</v>
      </c>
      <c r="N70" s="40">
        <v>62703957</v>
      </c>
      <c r="O70" s="40">
        <v>298818</v>
      </c>
      <c r="P70" s="40">
        <v>21559596</v>
      </c>
      <c r="Q70" s="40">
        <v>567117</v>
      </c>
      <c r="R70" s="83"/>
      <c r="S70" s="40">
        <v>1947518</v>
      </c>
      <c r="T70" s="87"/>
      <c r="X70" s="2" t="s">
        <v>92</v>
      </c>
    </row>
    <row r="71" spans="2:26" x14ac:dyDescent="0.2">
      <c r="L71" s="55"/>
      <c r="M71" s="55"/>
      <c r="N71" s="55"/>
      <c r="O71" s="55"/>
      <c r="P71" s="55"/>
      <c r="Q71" s="55"/>
      <c r="R71" s="55"/>
      <c r="S71" s="55"/>
    </row>
    <row r="72" spans="2:26" x14ac:dyDescent="0.2">
      <c r="B72" s="1" t="s">
        <v>84</v>
      </c>
      <c r="R72" s="10"/>
    </row>
    <row r="73" spans="2:26" x14ac:dyDescent="0.2">
      <c r="B73" s="2" t="s">
        <v>81</v>
      </c>
      <c r="F73" s="2" t="s">
        <v>83</v>
      </c>
      <c r="L73" s="40">
        <v>53549</v>
      </c>
      <c r="M73" s="40">
        <v>2771208</v>
      </c>
      <c r="N73" s="40">
        <v>3118226</v>
      </c>
      <c r="O73" s="40">
        <v>32546</v>
      </c>
      <c r="P73" s="40">
        <v>2111530</v>
      </c>
      <c r="Q73" s="40">
        <v>59656</v>
      </c>
      <c r="R73" s="83"/>
      <c r="S73" s="40">
        <v>214178</v>
      </c>
      <c r="T73" s="87"/>
      <c r="X73" s="2" t="s">
        <v>93</v>
      </c>
    </row>
    <row r="74" spans="2:26" x14ac:dyDescent="0.2">
      <c r="B74" s="2" t="s">
        <v>284</v>
      </c>
      <c r="F74" s="2" t="s">
        <v>83</v>
      </c>
      <c r="L74" s="40">
        <v>1033</v>
      </c>
      <c r="M74" s="40">
        <v>93189</v>
      </c>
      <c r="N74" s="40">
        <v>151673</v>
      </c>
      <c r="O74" s="40">
        <v>881</v>
      </c>
      <c r="P74" s="40">
        <v>93717</v>
      </c>
      <c r="Q74" s="40">
        <v>1397</v>
      </c>
      <c r="R74" s="83"/>
      <c r="S74" s="40">
        <v>13721</v>
      </c>
      <c r="T74" s="87"/>
      <c r="X74" s="2" t="s">
        <v>94</v>
      </c>
    </row>
    <row r="75" spans="2:26" x14ac:dyDescent="0.2">
      <c r="B75" s="2" t="s">
        <v>82</v>
      </c>
      <c r="F75" s="2" t="s">
        <v>83</v>
      </c>
      <c r="L75" s="40">
        <v>80485</v>
      </c>
      <c r="M75" s="40">
        <v>14642280</v>
      </c>
      <c r="N75" s="40">
        <v>23810460</v>
      </c>
      <c r="O75" s="40">
        <v>149864</v>
      </c>
      <c r="P75" s="40">
        <v>14737268</v>
      </c>
      <c r="Q75" s="40">
        <v>207707</v>
      </c>
      <c r="R75" s="83"/>
      <c r="S75" s="40">
        <v>1308902</v>
      </c>
      <c r="T75" s="87"/>
      <c r="X75" s="2" t="s">
        <v>95</v>
      </c>
    </row>
    <row r="76" spans="2:26" x14ac:dyDescent="0.2">
      <c r="R76" s="10"/>
    </row>
    <row r="77" spans="2:26" x14ac:dyDescent="0.2">
      <c r="B77" s="1" t="s">
        <v>89</v>
      </c>
      <c r="L77" s="140" t="s">
        <v>177</v>
      </c>
      <c r="M77" s="140"/>
      <c r="N77" s="140"/>
      <c r="O77" s="140"/>
      <c r="P77" s="140"/>
      <c r="Q77" s="140"/>
      <c r="R77" s="85"/>
      <c r="S77" s="85"/>
      <c r="Z77" s="2" t="s">
        <v>285</v>
      </c>
    </row>
    <row r="78" spans="2:26" x14ac:dyDescent="0.2">
      <c r="B78" s="2" t="s">
        <v>101</v>
      </c>
      <c r="F78" s="2" t="s">
        <v>83</v>
      </c>
      <c r="K78" s="141" t="s">
        <v>112</v>
      </c>
      <c r="L78" s="51"/>
      <c r="M78" s="40">
        <v>53549</v>
      </c>
      <c r="N78" s="40"/>
      <c r="O78" s="40">
        <v>0</v>
      </c>
      <c r="P78" s="40">
        <v>0</v>
      </c>
      <c r="Q78" s="40">
        <v>0</v>
      </c>
      <c r="R78" s="83"/>
      <c r="S78" s="40">
        <v>0</v>
      </c>
      <c r="T78" s="87"/>
      <c r="X78" s="2" t="s">
        <v>178</v>
      </c>
    </row>
    <row r="79" spans="2:26" x14ac:dyDescent="0.2">
      <c r="B79" s="2" t="s">
        <v>74</v>
      </c>
      <c r="F79" s="2" t="s">
        <v>83</v>
      </c>
      <c r="K79" s="141"/>
      <c r="L79" s="40">
        <v>0</v>
      </c>
      <c r="M79" s="51"/>
      <c r="N79" s="40">
        <v>471</v>
      </c>
      <c r="O79" s="40">
        <v>0</v>
      </c>
      <c r="P79" s="40">
        <v>0</v>
      </c>
      <c r="Q79" s="40">
        <v>0</v>
      </c>
      <c r="R79" s="83"/>
      <c r="S79" s="40">
        <v>0</v>
      </c>
      <c r="T79" s="87"/>
    </row>
    <row r="80" spans="2:26" x14ac:dyDescent="0.2">
      <c r="B80" s="2" t="s">
        <v>75</v>
      </c>
      <c r="F80" s="2" t="s">
        <v>83</v>
      </c>
      <c r="K80" s="141"/>
      <c r="L80" s="40">
        <v>0</v>
      </c>
      <c r="M80" s="40">
        <v>16211</v>
      </c>
      <c r="N80" s="51"/>
      <c r="O80" s="40">
        <v>0</v>
      </c>
      <c r="P80" s="40">
        <v>0</v>
      </c>
      <c r="Q80" s="40">
        <v>0</v>
      </c>
      <c r="R80" s="83"/>
      <c r="S80" s="40">
        <v>0</v>
      </c>
      <c r="T80" s="87"/>
    </row>
    <row r="81" spans="2:26" x14ac:dyDescent="0.2">
      <c r="B81" s="2" t="s">
        <v>88</v>
      </c>
      <c r="F81" s="2" t="s">
        <v>83</v>
      </c>
      <c r="K81" s="141"/>
      <c r="L81" s="40">
        <v>0</v>
      </c>
      <c r="M81" s="40">
        <v>32546</v>
      </c>
      <c r="N81" s="40">
        <v>0</v>
      </c>
      <c r="O81" s="51"/>
      <c r="P81" s="40">
        <v>0</v>
      </c>
      <c r="Q81" s="40">
        <v>0</v>
      </c>
      <c r="R81" s="83"/>
      <c r="S81" s="40">
        <v>0</v>
      </c>
      <c r="T81" s="87"/>
    </row>
    <row r="82" spans="2:26" x14ac:dyDescent="0.2">
      <c r="B82" s="2" t="s">
        <v>77</v>
      </c>
      <c r="F82" s="2" t="s">
        <v>83</v>
      </c>
      <c r="K82" s="141"/>
      <c r="L82" s="40">
        <v>0</v>
      </c>
      <c r="M82" s="40">
        <v>0</v>
      </c>
      <c r="N82" s="40">
        <v>26431</v>
      </c>
      <c r="O82" s="40">
        <v>0</v>
      </c>
      <c r="P82" s="51"/>
      <c r="Q82" s="40">
        <v>15781</v>
      </c>
      <c r="R82" s="83"/>
      <c r="S82" s="40">
        <v>0</v>
      </c>
      <c r="T82" s="87"/>
      <c r="Z82" s="23"/>
    </row>
    <row r="83" spans="2:26" x14ac:dyDescent="0.2">
      <c r="B83" s="2" t="s">
        <v>78</v>
      </c>
      <c r="F83" s="2" t="s">
        <v>83</v>
      </c>
      <c r="K83" s="141"/>
      <c r="L83" s="40">
        <v>0</v>
      </c>
      <c r="M83" s="40">
        <v>0</v>
      </c>
      <c r="N83" s="40">
        <v>0</v>
      </c>
      <c r="O83" s="40">
        <v>0</v>
      </c>
      <c r="P83" s="40">
        <v>0</v>
      </c>
      <c r="Q83" s="51"/>
      <c r="R83" s="83"/>
      <c r="S83" s="40">
        <v>0</v>
      </c>
      <c r="T83" s="87"/>
    </row>
    <row r="84" spans="2:26" x14ac:dyDescent="0.2">
      <c r="B84" s="2" t="s">
        <v>73</v>
      </c>
      <c r="F84" s="2" t="s">
        <v>83</v>
      </c>
      <c r="K84" s="141"/>
      <c r="L84" s="40">
        <v>0</v>
      </c>
      <c r="M84" s="40">
        <v>0</v>
      </c>
      <c r="N84" s="40">
        <v>0</v>
      </c>
      <c r="O84" s="40">
        <v>0</v>
      </c>
      <c r="P84" s="40">
        <v>0</v>
      </c>
      <c r="Q84" s="40">
        <v>0</v>
      </c>
      <c r="R84" s="84"/>
      <c r="S84" s="51"/>
      <c r="T84" s="87"/>
    </row>
    <row r="86" spans="2:26" s="9" customFormat="1" x14ac:dyDescent="0.2">
      <c r="B86" s="9" t="s">
        <v>219</v>
      </c>
    </row>
    <row r="87" spans="2:26" x14ac:dyDescent="0.2">
      <c r="L87" s="55"/>
      <c r="M87" s="55"/>
      <c r="N87" s="55"/>
      <c r="O87" s="55"/>
      <c r="P87" s="55"/>
      <c r="Q87" s="55"/>
      <c r="R87" s="55"/>
      <c r="S87" s="55"/>
    </row>
    <row r="88" spans="2:26" x14ac:dyDescent="0.2">
      <c r="B88" s="50" t="s">
        <v>80</v>
      </c>
    </row>
    <row r="89" spans="2:26" x14ac:dyDescent="0.2">
      <c r="B89" s="2" t="s">
        <v>81</v>
      </c>
      <c r="F89" s="2" t="s">
        <v>83</v>
      </c>
      <c r="L89" s="40">
        <v>53898</v>
      </c>
      <c r="M89" s="40">
        <v>2902934</v>
      </c>
      <c r="N89" s="40">
        <v>3209908</v>
      </c>
      <c r="O89" s="40">
        <v>32966</v>
      </c>
      <c r="P89" s="40">
        <v>2120286</v>
      </c>
      <c r="Q89" s="40">
        <v>75794</v>
      </c>
      <c r="R89" s="83"/>
      <c r="S89" s="40">
        <v>216139</v>
      </c>
      <c r="T89" s="87"/>
      <c r="X89" s="2" t="s">
        <v>90</v>
      </c>
    </row>
    <row r="90" spans="2:26" x14ac:dyDescent="0.2">
      <c r="B90" s="2" t="s">
        <v>283</v>
      </c>
      <c r="F90" s="2" t="s">
        <v>83</v>
      </c>
      <c r="L90" s="40">
        <v>1305</v>
      </c>
      <c r="M90" s="40">
        <v>421924</v>
      </c>
      <c r="N90" s="40">
        <v>640407</v>
      </c>
      <c r="O90" s="40">
        <v>1211</v>
      </c>
      <c r="P90" s="40">
        <v>419538</v>
      </c>
      <c r="Q90" s="40">
        <v>5246</v>
      </c>
      <c r="R90" s="83"/>
      <c r="S90" s="40">
        <v>37357</v>
      </c>
      <c r="T90" s="87"/>
      <c r="X90" s="2" t="s">
        <v>91</v>
      </c>
    </row>
    <row r="91" spans="2:26" x14ac:dyDescent="0.2">
      <c r="B91" s="2" t="s">
        <v>82</v>
      </c>
      <c r="F91" s="2" t="s">
        <v>83</v>
      </c>
      <c r="L91" s="40">
        <v>78938</v>
      </c>
      <c r="M91" s="40">
        <v>24365319</v>
      </c>
      <c r="N91" s="40">
        <v>37809747</v>
      </c>
      <c r="O91" s="40">
        <v>90428</v>
      </c>
      <c r="P91" s="40">
        <v>27412637</v>
      </c>
      <c r="Q91" s="40">
        <v>129935</v>
      </c>
      <c r="R91" s="83"/>
      <c r="S91" s="40">
        <v>2192071</v>
      </c>
      <c r="T91" s="87"/>
      <c r="X91" s="2" t="s">
        <v>92</v>
      </c>
    </row>
    <row r="92" spans="2:26" x14ac:dyDescent="0.2">
      <c r="L92" s="55"/>
      <c r="M92" s="55"/>
      <c r="N92" s="55"/>
      <c r="O92" s="55"/>
      <c r="P92" s="55"/>
      <c r="Q92" s="55"/>
      <c r="R92" s="55"/>
      <c r="S92" s="55"/>
    </row>
    <row r="93" spans="2:26" x14ac:dyDescent="0.2">
      <c r="B93" s="1" t="s">
        <v>84</v>
      </c>
      <c r="R93" s="10"/>
    </row>
    <row r="94" spans="2:26" x14ac:dyDescent="0.2">
      <c r="B94" s="2" t="s">
        <v>81</v>
      </c>
      <c r="F94" s="2" t="s">
        <v>83</v>
      </c>
      <c r="L94" s="40">
        <v>53898</v>
      </c>
      <c r="M94" s="40">
        <v>2799787</v>
      </c>
      <c r="N94" s="40">
        <v>3182662</v>
      </c>
      <c r="O94" s="40">
        <v>32966</v>
      </c>
      <c r="P94" s="40">
        <v>2120286</v>
      </c>
      <c r="Q94" s="40">
        <v>59967</v>
      </c>
      <c r="R94" s="83"/>
      <c r="S94" s="40">
        <v>216139</v>
      </c>
      <c r="T94" s="87"/>
      <c r="X94" s="2" t="s">
        <v>93</v>
      </c>
    </row>
    <row r="95" spans="2:26" x14ac:dyDescent="0.2">
      <c r="B95" s="2" t="s">
        <v>284</v>
      </c>
      <c r="F95" s="2" t="s">
        <v>83</v>
      </c>
      <c r="L95" s="40">
        <v>1728</v>
      </c>
      <c r="M95" s="40">
        <v>90365</v>
      </c>
      <c r="N95" s="40">
        <v>163662</v>
      </c>
      <c r="O95" s="40">
        <v>823</v>
      </c>
      <c r="P95" s="40">
        <v>98856</v>
      </c>
      <c r="Q95" s="40">
        <v>1374</v>
      </c>
      <c r="R95" s="83"/>
      <c r="S95" s="40">
        <v>14230</v>
      </c>
      <c r="T95" s="87"/>
      <c r="X95" s="2" t="s">
        <v>94</v>
      </c>
    </row>
    <row r="96" spans="2:26" x14ac:dyDescent="0.2">
      <c r="B96" s="2" t="s">
        <v>82</v>
      </c>
      <c r="F96" s="2" t="s">
        <v>83</v>
      </c>
      <c r="L96" s="40">
        <v>165294</v>
      </c>
      <c r="M96" s="40">
        <v>14996746</v>
      </c>
      <c r="N96" s="40">
        <v>26094190</v>
      </c>
      <c r="O96" s="40">
        <v>98497</v>
      </c>
      <c r="P96" s="40">
        <v>17168396</v>
      </c>
      <c r="Q96" s="40">
        <v>221660</v>
      </c>
      <c r="R96" s="83"/>
      <c r="S96" s="40">
        <v>1132776</v>
      </c>
      <c r="T96" s="87"/>
      <c r="X96" s="2" t="s">
        <v>95</v>
      </c>
    </row>
    <row r="97" spans="2:26" x14ac:dyDescent="0.2">
      <c r="R97" s="10"/>
    </row>
    <row r="98" spans="2:26" x14ac:dyDescent="0.2">
      <c r="B98" s="1" t="s">
        <v>89</v>
      </c>
      <c r="L98" s="140" t="s">
        <v>177</v>
      </c>
      <c r="M98" s="140"/>
      <c r="N98" s="140"/>
      <c r="O98" s="140"/>
      <c r="P98" s="140"/>
      <c r="Q98" s="140"/>
      <c r="R98" s="85"/>
      <c r="S98" s="85"/>
      <c r="Z98" s="2" t="s">
        <v>285</v>
      </c>
    </row>
    <row r="99" spans="2:26" x14ac:dyDescent="0.2">
      <c r="B99" s="2" t="s">
        <v>101</v>
      </c>
      <c r="F99" s="2" t="s">
        <v>83</v>
      </c>
      <c r="K99" s="141" t="s">
        <v>112</v>
      </c>
      <c r="L99" s="51"/>
      <c r="M99" s="40">
        <v>53898</v>
      </c>
      <c r="N99" s="40">
        <v>0</v>
      </c>
      <c r="O99" s="40">
        <v>0</v>
      </c>
      <c r="P99" s="40">
        <v>0</v>
      </c>
      <c r="Q99" s="40">
        <v>0</v>
      </c>
      <c r="R99" s="83"/>
      <c r="S99" s="40">
        <v>0</v>
      </c>
      <c r="T99" s="87"/>
      <c r="X99" s="2" t="s">
        <v>178</v>
      </c>
      <c r="Z99" s="23"/>
    </row>
    <row r="100" spans="2:26" x14ac:dyDescent="0.2">
      <c r="B100" s="2" t="s">
        <v>74</v>
      </c>
      <c r="F100" s="2" t="s">
        <v>83</v>
      </c>
      <c r="K100" s="141"/>
      <c r="L100" s="40">
        <v>0</v>
      </c>
      <c r="M100" s="51"/>
      <c r="N100" s="40">
        <v>466</v>
      </c>
      <c r="O100" s="40">
        <v>0</v>
      </c>
      <c r="P100" s="40">
        <v>0</v>
      </c>
      <c r="Q100" s="40">
        <v>0</v>
      </c>
      <c r="R100" s="83"/>
      <c r="S100" s="40">
        <v>0</v>
      </c>
      <c r="T100" s="87"/>
    </row>
    <row r="101" spans="2:26" x14ac:dyDescent="0.2">
      <c r="B101" s="2" t="s">
        <v>75</v>
      </c>
      <c r="F101" s="2" t="s">
        <v>83</v>
      </c>
      <c r="K101" s="141"/>
      <c r="L101" s="40">
        <v>0</v>
      </c>
      <c r="M101" s="40">
        <v>16283</v>
      </c>
      <c r="N101" s="51"/>
      <c r="O101" s="40">
        <v>0</v>
      </c>
      <c r="P101" s="40">
        <v>0</v>
      </c>
      <c r="Q101" s="40">
        <v>0</v>
      </c>
      <c r="R101" s="83"/>
      <c r="S101" s="40">
        <v>0</v>
      </c>
      <c r="T101" s="87"/>
    </row>
    <row r="102" spans="2:26" x14ac:dyDescent="0.2">
      <c r="B102" s="2" t="s">
        <v>88</v>
      </c>
      <c r="F102" s="2" t="s">
        <v>83</v>
      </c>
      <c r="K102" s="141"/>
      <c r="L102" s="40">
        <v>0</v>
      </c>
      <c r="M102" s="40">
        <v>32966</v>
      </c>
      <c r="N102" s="40">
        <v>0</v>
      </c>
      <c r="O102" s="51"/>
      <c r="P102" s="40">
        <v>0</v>
      </c>
      <c r="Q102" s="40">
        <v>0</v>
      </c>
      <c r="R102" s="83"/>
      <c r="S102" s="40">
        <v>0</v>
      </c>
      <c r="T102" s="87"/>
    </row>
    <row r="103" spans="2:26" x14ac:dyDescent="0.2">
      <c r="B103" s="2" t="s">
        <v>77</v>
      </c>
      <c r="F103" s="2" t="s">
        <v>83</v>
      </c>
      <c r="K103" s="141"/>
      <c r="L103" s="40">
        <v>0</v>
      </c>
      <c r="M103" s="40">
        <v>0</v>
      </c>
      <c r="N103" s="40">
        <v>26780</v>
      </c>
      <c r="O103" s="40">
        <v>0</v>
      </c>
      <c r="P103" s="51"/>
      <c r="Q103" s="40">
        <v>15827</v>
      </c>
      <c r="R103" s="83"/>
      <c r="S103" s="40">
        <v>0</v>
      </c>
      <c r="T103" s="87"/>
      <c r="Z103" s="23"/>
    </row>
    <row r="104" spans="2:26" x14ac:dyDescent="0.2">
      <c r="B104" s="2" t="s">
        <v>78</v>
      </c>
      <c r="F104" s="2" t="s">
        <v>83</v>
      </c>
      <c r="K104" s="141"/>
      <c r="L104" s="40">
        <v>0</v>
      </c>
      <c r="M104" s="40">
        <v>0</v>
      </c>
      <c r="N104" s="40">
        <v>0</v>
      </c>
      <c r="O104" s="40">
        <v>0</v>
      </c>
      <c r="P104" s="40">
        <v>0</v>
      </c>
      <c r="Q104" s="51"/>
      <c r="R104" s="83"/>
      <c r="S104" s="40">
        <v>0</v>
      </c>
      <c r="T104" s="87"/>
    </row>
    <row r="105" spans="2:26" x14ac:dyDescent="0.2">
      <c r="B105" s="2" t="s">
        <v>73</v>
      </c>
      <c r="F105" s="2" t="s">
        <v>83</v>
      </c>
      <c r="K105" s="141"/>
      <c r="L105" s="40">
        <v>0</v>
      </c>
      <c r="M105" s="40">
        <v>0</v>
      </c>
      <c r="N105" s="40">
        <v>0</v>
      </c>
      <c r="O105" s="40">
        <v>0</v>
      </c>
      <c r="P105" s="40">
        <v>0</v>
      </c>
      <c r="Q105" s="40">
        <v>0</v>
      </c>
      <c r="R105" s="84"/>
      <c r="S105" s="51"/>
      <c r="T105" s="87"/>
    </row>
    <row r="106" spans="2:26" x14ac:dyDescent="0.2">
      <c r="B106" s="1"/>
    </row>
    <row r="107" spans="2:26" s="9" customFormat="1" x14ac:dyDescent="0.2">
      <c r="B107" s="9" t="s">
        <v>220</v>
      </c>
    </row>
    <row r="109" spans="2:26" x14ac:dyDescent="0.2">
      <c r="B109" s="50" t="s">
        <v>80</v>
      </c>
      <c r="R109" s="10"/>
    </row>
    <row r="110" spans="2:26" x14ac:dyDescent="0.2">
      <c r="B110" s="2" t="s">
        <v>81</v>
      </c>
      <c r="F110" s="2" t="s">
        <v>83</v>
      </c>
      <c r="L110" s="40">
        <v>54255</v>
      </c>
      <c r="M110" s="40">
        <v>2938523</v>
      </c>
      <c r="N110" s="40">
        <v>3248893</v>
      </c>
      <c r="O110" s="40">
        <v>33197</v>
      </c>
      <c r="P110" s="40">
        <v>2136891</v>
      </c>
      <c r="Q110" s="40">
        <v>77937</v>
      </c>
      <c r="R110" s="83"/>
      <c r="S110" s="40">
        <v>217740</v>
      </c>
      <c r="T110" s="87"/>
      <c r="X110" s="2" t="s">
        <v>90</v>
      </c>
      <c r="Z110" s="33"/>
    </row>
    <row r="111" spans="2:26" x14ac:dyDescent="0.2">
      <c r="B111" s="2" t="s">
        <v>283</v>
      </c>
      <c r="F111" s="2" t="s">
        <v>83</v>
      </c>
      <c r="L111" s="40">
        <v>1099</v>
      </c>
      <c r="M111" s="40">
        <v>388888</v>
      </c>
      <c r="N111" s="40">
        <v>780268</v>
      </c>
      <c r="O111" s="40">
        <v>2767</v>
      </c>
      <c r="P111" s="40">
        <v>397023</v>
      </c>
      <c r="Q111" s="40">
        <v>721</v>
      </c>
      <c r="R111" s="83"/>
      <c r="S111" s="40">
        <v>35419</v>
      </c>
      <c r="T111" s="87"/>
      <c r="X111" s="2" t="s">
        <v>91</v>
      </c>
    </row>
    <row r="112" spans="2:26" x14ac:dyDescent="0.2">
      <c r="B112" s="2" t="s">
        <v>82</v>
      </c>
      <c r="F112" s="2" t="s">
        <v>83</v>
      </c>
      <c r="L112" s="40">
        <v>62018</v>
      </c>
      <c r="M112" s="40">
        <v>21554414</v>
      </c>
      <c r="N112" s="40">
        <v>46770633</v>
      </c>
      <c r="O112" s="40">
        <v>278072</v>
      </c>
      <c r="P112" s="40">
        <v>40965039</v>
      </c>
      <c r="Q112" s="40">
        <v>57507</v>
      </c>
      <c r="R112" s="83"/>
      <c r="S112" s="40">
        <v>1769777</v>
      </c>
      <c r="T112" s="87"/>
      <c r="X112" s="2" t="s">
        <v>92</v>
      </c>
    </row>
    <row r="113" spans="2:26" x14ac:dyDescent="0.2">
      <c r="R113" s="10"/>
    </row>
    <row r="114" spans="2:26" x14ac:dyDescent="0.2">
      <c r="B114" s="1" t="s">
        <v>84</v>
      </c>
      <c r="R114" s="10"/>
    </row>
    <row r="115" spans="2:26" x14ac:dyDescent="0.2">
      <c r="B115" s="2" t="s">
        <v>81</v>
      </c>
      <c r="F115" s="2" t="s">
        <v>83</v>
      </c>
      <c r="L115" s="40">
        <v>54255</v>
      </c>
      <c r="M115" s="40">
        <v>2834532</v>
      </c>
      <c r="N115" s="40">
        <v>3221231</v>
      </c>
      <c r="O115" s="40">
        <v>33197</v>
      </c>
      <c r="P115" s="40">
        <v>2136891</v>
      </c>
      <c r="Q115" s="40">
        <v>62031</v>
      </c>
      <c r="R115" s="83"/>
      <c r="S115" s="40">
        <v>217740</v>
      </c>
      <c r="T115" s="87"/>
      <c r="X115" s="2" t="s">
        <v>93</v>
      </c>
    </row>
    <row r="116" spans="2:26" x14ac:dyDescent="0.2">
      <c r="B116" s="2" t="s">
        <v>284</v>
      </c>
      <c r="F116" s="2" t="s">
        <v>83</v>
      </c>
      <c r="L116" s="40">
        <v>1542</v>
      </c>
      <c r="M116" s="40">
        <v>100019</v>
      </c>
      <c r="N116" s="40">
        <v>162327</v>
      </c>
      <c r="O116" s="40">
        <v>606</v>
      </c>
      <c r="P116" s="40">
        <v>99284</v>
      </c>
      <c r="Q116" s="40">
        <v>1665</v>
      </c>
      <c r="R116" s="83"/>
      <c r="S116" s="40">
        <v>14883</v>
      </c>
      <c r="T116" s="87"/>
      <c r="X116" s="2" t="s">
        <v>94</v>
      </c>
    </row>
    <row r="117" spans="2:26" x14ac:dyDescent="0.2">
      <c r="B117" s="2" t="s">
        <v>82</v>
      </c>
      <c r="F117" s="2" t="s">
        <v>83</v>
      </c>
      <c r="L117" s="40">
        <v>110965</v>
      </c>
      <c r="M117" s="40">
        <v>15905862</v>
      </c>
      <c r="N117" s="40">
        <v>24714979</v>
      </c>
      <c r="O117" s="40">
        <v>97008</v>
      </c>
      <c r="P117" s="40">
        <v>17256752</v>
      </c>
      <c r="Q117" s="40">
        <v>249307</v>
      </c>
      <c r="R117" s="83"/>
      <c r="S117" s="40">
        <v>1325125</v>
      </c>
      <c r="T117" s="87"/>
      <c r="X117" s="2" t="s">
        <v>95</v>
      </c>
    </row>
    <row r="118" spans="2:26" x14ac:dyDescent="0.2">
      <c r="R118" s="10"/>
    </row>
    <row r="119" spans="2:26" x14ac:dyDescent="0.2">
      <c r="B119" s="1" t="s">
        <v>89</v>
      </c>
      <c r="L119" s="140" t="s">
        <v>177</v>
      </c>
      <c r="M119" s="140"/>
      <c r="N119" s="140"/>
      <c r="O119" s="140"/>
      <c r="P119" s="140"/>
      <c r="Q119" s="140"/>
      <c r="R119" s="85"/>
      <c r="S119" s="85"/>
      <c r="Z119" s="2" t="s">
        <v>285</v>
      </c>
    </row>
    <row r="120" spans="2:26" x14ac:dyDescent="0.2">
      <c r="B120" s="2" t="s">
        <v>101</v>
      </c>
      <c r="F120" s="2" t="s">
        <v>83</v>
      </c>
      <c r="K120" s="141" t="s">
        <v>112</v>
      </c>
      <c r="L120" s="136"/>
      <c r="M120" s="135">
        <v>54255</v>
      </c>
      <c r="N120" s="135">
        <v>0</v>
      </c>
      <c r="O120" s="135">
        <v>0</v>
      </c>
      <c r="P120" s="135">
        <v>0</v>
      </c>
      <c r="Q120" s="135">
        <v>0</v>
      </c>
      <c r="R120" s="137"/>
      <c r="S120" s="135">
        <v>0</v>
      </c>
      <c r="T120" s="122"/>
      <c r="X120" s="2" t="s">
        <v>178</v>
      </c>
    </row>
    <row r="121" spans="2:26" x14ac:dyDescent="0.2">
      <c r="B121" s="2" t="s">
        <v>74</v>
      </c>
      <c r="F121" s="2" t="s">
        <v>83</v>
      </c>
      <c r="K121" s="141"/>
      <c r="L121" s="135">
        <v>0</v>
      </c>
      <c r="M121" s="136"/>
      <c r="N121" s="135">
        <v>467</v>
      </c>
      <c r="O121" s="135">
        <v>0</v>
      </c>
      <c r="P121" s="135">
        <v>0</v>
      </c>
      <c r="Q121" s="135">
        <v>0</v>
      </c>
      <c r="R121" s="137"/>
      <c r="S121" s="135">
        <v>0</v>
      </c>
      <c r="T121" s="122"/>
    </row>
    <row r="122" spans="2:26" x14ac:dyDescent="0.2">
      <c r="B122" s="2" t="s">
        <v>75</v>
      </c>
      <c r="F122" s="2" t="s">
        <v>83</v>
      </c>
      <c r="K122" s="141"/>
      <c r="L122" s="135">
        <v>0</v>
      </c>
      <c r="M122" s="135">
        <v>16539</v>
      </c>
      <c r="N122" s="136"/>
      <c r="O122" s="135">
        <v>0</v>
      </c>
      <c r="P122" s="135">
        <v>0</v>
      </c>
      <c r="Q122" s="135">
        <v>0</v>
      </c>
      <c r="R122" s="137"/>
      <c r="S122" s="135">
        <v>0</v>
      </c>
      <c r="T122" s="122"/>
    </row>
    <row r="123" spans="2:26" x14ac:dyDescent="0.2">
      <c r="B123" s="2" t="s">
        <v>88</v>
      </c>
      <c r="F123" s="2" t="s">
        <v>83</v>
      </c>
      <c r="K123" s="141"/>
      <c r="L123" s="135">
        <v>0</v>
      </c>
      <c r="M123" s="135">
        <v>33197</v>
      </c>
      <c r="N123" s="135">
        <v>0</v>
      </c>
      <c r="O123" s="136"/>
      <c r="P123" s="135">
        <v>0</v>
      </c>
      <c r="Q123" s="135">
        <v>0</v>
      </c>
      <c r="R123" s="137"/>
      <c r="S123" s="135">
        <v>0</v>
      </c>
      <c r="T123" s="122"/>
    </row>
    <row r="124" spans="2:26" x14ac:dyDescent="0.2">
      <c r="B124" s="2" t="s">
        <v>77</v>
      </c>
      <c r="F124" s="2" t="s">
        <v>83</v>
      </c>
      <c r="K124" s="141"/>
      <c r="L124" s="135">
        <v>0</v>
      </c>
      <c r="M124" s="135">
        <v>0</v>
      </c>
      <c r="N124" s="135">
        <v>27195</v>
      </c>
      <c r="O124" s="135">
        <v>0</v>
      </c>
      <c r="P124" s="136"/>
      <c r="Q124" s="135">
        <v>15906</v>
      </c>
      <c r="R124" s="137"/>
      <c r="S124" s="135">
        <v>0</v>
      </c>
      <c r="T124" s="122"/>
    </row>
    <row r="125" spans="2:26" x14ac:dyDescent="0.2">
      <c r="B125" s="2" t="s">
        <v>78</v>
      </c>
      <c r="F125" s="2" t="s">
        <v>83</v>
      </c>
      <c r="K125" s="141"/>
      <c r="L125" s="135">
        <v>0</v>
      </c>
      <c r="M125" s="135">
        <v>0</v>
      </c>
      <c r="N125" s="135">
        <v>0</v>
      </c>
      <c r="O125" s="135">
        <v>0</v>
      </c>
      <c r="P125" s="135">
        <v>0</v>
      </c>
      <c r="Q125" s="136"/>
      <c r="R125" s="137"/>
      <c r="S125" s="135">
        <v>0</v>
      </c>
      <c r="T125" s="122"/>
    </row>
    <row r="126" spans="2:26" x14ac:dyDescent="0.2">
      <c r="B126" s="2" t="s">
        <v>73</v>
      </c>
      <c r="F126" s="2" t="s">
        <v>83</v>
      </c>
      <c r="K126" s="141"/>
      <c r="L126" s="135">
        <v>0</v>
      </c>
      <c r="M126" s="135">
        <v>0</v>
      </c>
      <c r="N126" s="135">
        <v>0</v>
      </c>
      <c r="O126" s="135">
        <v>0</v>
      </c>
      <c r="P126" s="135">
        <v>0</v>
      </c>
      <c r="Q126" s="135">
        <v>0</v>
      </c>
      <c r="R126" s="138"/>
      <c r="S126" s="136"/>
      <c r="T126" s="122"/>
    </row>
    <row r="127" spans="2:26" x14ac:dyDescent="0.2">
      <c r="B127" s="1"/>
    </row>
    <row r="128" spans="2:26" s="9" customFormat="1" x14ac:dyDescent="0.2">
      <c r="B128" s="9" t="s">
        <v>221</v>
      </c>
    </row>
    <row r="130" spans="2:24" x14ac:dyDescent="0.2">
      <c r="B130" s="1" t="s">
        <v>208</v>
      </c>
    </row>
    <row r="131" spans="2:24" x14ac:dyDescent="0.2">
      <c r="B131" s="102" t="s">
        <v>210</v>
      </c>
      <c r="F131" s="2" t="s">
        <v>156</v>
      </c>
      <c r="H131" s="40">
        <v>21900.983888888888</v>
      </c>
      <c r="X131" s="2" t="s">
        <v>286</v>
      </c>
    </row>
    <row r="133" spans="2:24" x14ac:dyDescent="0.2">
      <c r="B133" s="1" t="s">
        <v>211</v>
      </c>
    </row>
    <row r="134" spans="2:24" x14ac:dyDescent="0.2">
      <c r="B134" s="102" t="s">
        <v>210</v>
      </c>
      <c r="F134" s="2" t="s">
        <v>156</v>
      </c>
      <c r="H134" s="40">
        <v>2034640.216471757</v>
      </c>
      <c r="X134" s="2" t="s">
        <v>287</v>
      </c>
    </row>
  </sheetData>
  <mergeCells count="10">
    <mergeCell ref="L34:T34"/>
    <mergeCell ref="K35:K42"/>
    <mergeCell ref="K120:K126"/>
    <mergeCell ref="L56:Q56"/>
    <mergeCell ref="K57:K63"/>
    <mergeCell ref="L77:Q77"/>
    <mergeCell ref="K78:K84"/>
    <mergeCell ref="L98:Q98"/>
    <mergeCell ref="K99:K105"/>
    <mergeCell ref="L119:Q1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Z120"/>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4.140625" style="2" customWidth="1"/>
    <col min="19" max="22" width="12.5703125" style="2" customWidth="1"/>
    <col min="23" max="25" width="2.7109375" style="2" customWidth="1"/>
    <col min="26" max="40" width="13.7109375" style="2" customWidth="1"/>
    <col min="41" max="16384" width="9.140625" style="2"/>
  </cols>
  <sheetData>
    <row r="2" spans="2:26" s="22" customFormat="1" ht="18" x14ac:dyDescent="0.2">
      <c r="B2" s="22" t="s">
        <v>128</v>
      </c>
    </row>
    <row r="4" spans="2:26" x14ac:dyDescent="0.2">
      <c r="B4" s="32" t="s">
        <v>53</v>
      </c>
      <c r="C4" s="1"/>
      <c r="D4" s="1"/>
    </row>
    <row r="5" spans="2:26" x14ac:dyDescent="0.2">
      <c r="B5" s="27" t="s">
        <v>183</v>
      </c>
      <c r="C5" s="3"/>
      <c r="D5" s="3"/>
      <c r="H5" s="23"/>
    </row>
    <row r="6" spans="2:26" x14ac:dyDescent="0.2">
      <c r="B6" s="27"/>
      <c r="C6" s="3"/>
      <c r="D6" s="3"/>
      <c r="H6" s="23"/>
    </row>
    <row r="7" spans="2:26" x14ac:dyDescent="0.2">
      <c r="B7" s="33" t="s">
        <v>29</v>
      </c>
      <c r="C7" s="3"/>
      <c r="D7" s="3"/>
      <c r="H7" s="23"/>
    </row>
    <row r="8" spans="2:26" x14ac:dyDescent="0.2">
      <c r="B8" s="27" t="s">
        <v>199</v>
      </c>
      <c r="C8" s="3"/>
      <c r="D8" s="3"/>
    </row>
    <row r="9" spans="2:26" x14ac:dyDescent="0.2">
      <c r="B9" s="5"/>
      <c r="C9" s="3"/>
      <c r="D9" s="3"/>
    </row>
    <row r="10" spans="2:26" s="9" customFormat="1" x14ac:dyDescent="0.2">
      <c r="B10" s="9" t="s">
        <v>44</v>
      </c>
      <c r="F10" s="9" t="s">
        <v>27</v>
      </c>
      <c r="H10" s="9" t="s">
        <v>28</v>
      </c>
      <c r="J10" s="9" t="s">
        <v>48</v>
      </c>
      <c r="L10" s="9" t="s">
        <v>101</v>
      </c>
      <c r="M10" s="9" t="s">
        <v>74</v>
      </c>
      <c r="N10" s="9" t="s">
        <v>75</v>
      </c>
      <c r="O10" s="9" t="s">
        <v>76</v>
      </c>
      <c r="P10" s="9" t="s">
        <v>77</v>
      </c>
      <c r="Q10" s="9" t="s">
        <v>78</v>
      </c>
      <c r="S10" s="9" t="s">
        <v>73</v>
      </c>
      <c r="T10" s="9" t="s">
        <v>198</v>
      </c>
      <c r="Z10" s="9" t="s">
        <v>46</v>
      </c>
    </row>
    <row r="13" spans="2:26" s="9" customFormat="1" x14ac:dyDescent="0.2">
      <c r="B13" s="9" t="s">
        <v>47</v>
      </c>
    </row>
    <row r="15" spans="2:26" s="9" customFormat="1" x14ac:dyDescent="0.2">
      <c r="B15" s="9" t="s">
        <v>96</v>
      </c>
    </row>
    <row r="17" spans="2:20" x14ac:dyDescent="0.2">
      <c r="B17" s="50" t="s">
        <v>80</v>
      </c>
      <c r="R17" s="10"/>
    </row>
    <row r="18" spans="2:20" x14ac:dyDescent="0.2">
      <c r="B18" s="2" t="s">
        <v>81</v>
      </c>
      <c r="F18" s="2" t="s">
        <v>83</v>
      </c>
      <c r="L18" s="45">
        <f>'3) Data'!L25</f>
        <v>53206</v>
      </c>
      <c r="M18" s="45">
        <f>'3) Data'!M25</f>
        <v>2840608</v>
      </c>
      <c r="N18" s="45">
        <f>'3) Data'!N25</f>
        <v>3077471</v>
      </c>
      <c r="O18" s="45">
        <f>'3) Data'!O25</f>
        <v>32403</v>
      </c>
      <c r="P18" s="45">
        <f>'3) Data'!P25</f>
        <v>2155537</v>
      </c>
      <c r="Q18" s="45">
        <f>'3) Data'!Q25</f>
        <v>74002</v>
      </c>
      <c r="R18" s="88"/>
      <c r="S18" s="45">
        <f>'3) Data'!S25</f>
        <v>214189</v>
      </c>
      <c r="T18" s="45">
        <f>'3) Data'!T25</f>
        <v>111021</v>
      </c>
    </row>
    <row r="19" spans="2:20" x14ac:dyDescent="0.2">
      <c r="B19" s="2" t="s">
        <v>283</v>
      </c>
      <c r="F19" s="2" t="s">
        <v>83</v>
      </c>
      <c r="L19" s="45">
        <f>'3) Data'!L26</f>
        <v>1146</v>
      </c>
      <c r="M19" s="45">
        <f>'3) Data'!M26</f>
        <v>442930</v>
      </c>
      <c r="N19" s="45">
        <f>'3) Data'!N26</f>
        <v>606974</v>
      </c>
      <c r="O19" s="45">
        <f>'3) Data'!O26</f>
        <v>5396</v>
      </c>
      <c r="P19" s="45">
        <f>'3) Data'!P26</f>
        <v>317425</v>
      </c>
      <c r="Q19" s="45">
        <f>'3) Data'!Q26</f>
        <v>10664</v>
      </c>
      <c r="R19" s="88"/>
      <c r="S19" s="45">
        <f>'3) Data'!S26</f>
        <v>33643</v>
      </c>
      <c r="T19" s="45">
        <f>'3) Data'!T26</f>
        <v>4993</v>
      </c>
    </row>
    <row r="20" spans="2:20" x14ac:dyDescent="0.2">
      <c r="B20" s="2" t="s">
        <v>82</v>
      </c>
      <c r="F20" s="2" t="s">
        <v>83</v>
      </c>
      <c r="L20" s="45">
        <f>'3) Data'!L27</f>
        <v>9324</v>
      </c>
      <c r="M20" s="45">
        <f>'3) Data'!M27</f>
        <v>28367701</v>
      </c>
      <c r="N20" s="45">
        <f>'3) Data'!N27</f>
        <v>41730800</v>
      </c>
      <c r="O20" s="45">
        <f>'3) Data'!O27</f>
        <v>325412</v>
      </c>
      <c r="P20" s="45">
        <f>'3) Data'!P27</f>
        <v>24059461</v>
      </c>
      <c r="Q20" s="45">
        <f>'3) Data'!Q27</f>
        <v>607361</v>
      </c>
      <c r="R20" s="88"/>
      <c r="S20" s="45">
        <f>'3) Data'!S27</f>
        <v>1800710</v>
      </c>
      <c r="T20" s="45">
        <f>'3) Data'!T27</f>
        <v>87242</v>
      </c>
    </row>
    <row r="21" spans="2:20" x14ac:dyDescent="0.2">
      <c r="R21" s="10"/>
    </row>
    <row r="22" spans="2:20" x14ac:dyDescent="0.2">
      <c r="B22" s="1" t="s">
        <v>84</v>
      </c>
      <c r="R22" s="10"/>
    </row>
    <row r="23" spans="2:20" x14ac:dyDescent="0.2">
      <c r="B23" s="2" t="s">
        <v>81</v>
      </c>
      <c r="F23" s="2" t="s">
        <v>83</v>
      </c>
      <c r="L23" s="45">
        <f>'3) Data'!L30</f>
        <v>53095</v>
      </c>
      <c r="M23" s="45">
        <f>'3) Data'!M30</f>
        <v>2604145</v>
      </c>
      <c r="N23" s="45">
        <f>'3) Data'!N30</f>
        <v>3050791</v>
      </c>
      <c r="O23" s="45">
        <f>'3) Data'!O30</f>
        <v>32403</v>
      </c>
      <c r="P23" s="45">
        <f>'3) Data'!P30</f>
        <v>2155537</v>
      </c>
      <c r="Q23" s="45">
        <f>'3) Data'!Q30</f>
        <v>58003</v>
      </c>
      <c r="R23" s="88"/>
      <c r="S23" s="45">
        <f>'3) Data'!S30</f>
        <v>214189</v>
      </c>
      <c r="T23" s="45">
        <f>'3) Data'!T30</f>
        <v>111007</v>
      </c>
    </row>
    <row r="24" spans="2:20" x14ac:dyDescent="0.2">
      <c r="B24" s="2" t="s">
        <v>284</v>
      </c>
      <c r="F24" s="2" t="s">
        <v>83</v>
      </c>
      <c r="L24" s="45">
        <f>'3) Data'!L31</f>
        <v>820</v>
      </c>
      <c r="M24" s="45">
        <f>'3) Data'!M31</f>
        <v>82903</v>
      </c>
      <c r="N24" s="45">
        <f>'3) Data'!N31</f>
        <v>141082</v>
      </c>
      <c r="O24" s="45">
        <f>'3) Data'!O31</f>
        <v>518</v>
      </c>
      <c r="P24" s="45">
        <f>'3) Data'!P31</f>
        <v>84572</v>
      </c>
      <c r="Q24" s="45">
        <f>'3) Data'!Q31</f>
        <v>1523</v>
      </c>
      <c r="R24" s="88"/>
      <c r="S24" s="45">
        <f>'3) Data'!S31</f>
        <v>16946</v>
      </c>
      <c r="T24" s="45">
        <f>'3) Data'!T31</f>
        <v>1624</v>
      </c>
    </row>
    <row r="25" spans="2:20" x14ac:dyDescent="0.2">
      <c r="B25" s="2" t="s">
        <v>82</v>
      </c>
      <c r="F25" s="2" t="s">
        <v>83</v>
      </c>
      <c r="L25" s="45">
        <f>'3) Data'!L32</f>
        <v>45792</v>
      </c>
      <c r="M25" s="45">
        <f>'3) Data'!M32</f>
        <v>13295852</v>
      </c>
      <c r="N25" s="45">
        <f>'3) Data'!N32</f>
        <v>22333915</v>
      </c>
      <c r="O25" s="45">
        <f>'3) Data'!O32</f>
        <v>52789</v>
      </c>
      <c r="P25" s="45">
        <f>'3) Data'!P32</f>
        <v>12402353</v>
      </c>
      <c r="Q25" s="45">
        <f>'3) Data'!Q32</f>
        <v>191311</v>
      </c>
      <c r="R25" s="88"/>
      <c r="S25" s="45">
        <f>'3) Data'!S32</f>
        <v>1320892</v>
      </c>
      <c r="T25" s="45">
        <f>'3) Data'!T32</f>
        <v>193467</v>
      </c>
    </row>
    <row r="26" spans="2:20" x14ac:dyDescent="0.2">
      <c r="R26" s="10"/>
    </row>
    <row r="27" spans="2:20" s="9" customFormat="1" x14ac:dyDescent="0.2">
      <c r="B27" s="9" t="s">
        <v>79</v>
      </c>
    </row>
    <row r="29" spans="2:20" x14ac:dyDescent="0.2">
      <c r="B29" s="50" t="s">
        <v>80</v>
      </c>
      <c r="R29" s="10"/>
    </row>
    <row r="30" spans="2:20" x14ac:dyDescent="0.2">
      <c r="B30" s="2" t="s">
        <v>81</v>
      </c>
      <c r="F30" s="2" t="s">
        <v>83</v>
      </c>
      <c r="L30" s="45">
        <f>'3) Data'!L47</f>
        <v>53383</v>
      </c>
      <c r="M30" s="45">
        <f>'3) Data'!M47</f>
        <v>2863833</v>
      </c>
      <c r="N30" s="45">
        <f>'3) Data'!N47</f>
        <v>3120655</v>
      </c>
      <c r="O30" s="45">
        <f>'3) Data'!O47</f>
        <v>32551</v>
      </c>
      <c r="P30" s="45">
        <f>'3) Data'!P47</f>
        <v>2162498</v>
      </c>
      <c r="Q30" s="45">
        <f>'3) Data'!Q47</f>
        <v>74674</v>
      </c>
      <c r="R30" s="88"/>
      <c r="S30" s="45">
        <f>'3) Data'!S47</f>
        <v>212740</v>
      </c>
      <c r="T30" s="87"/>
    </row>
    <row r="31" spans="2:20" x14ac:dyDescent="0.2">
      <c r="B31" s="2" t="s">
        <v>283</v>
      </c>
      <c r="F31" s="2" t="s">
        <v>83</v>
      </c>
      <c r="L31" s="45">
        <f>'3) Data'!L48</f>
        <v>4729</v>
      </c>
      <c r="M31" s="45">
        <f>'3) Data'!M48</f>
        <v>307601</v>
      </c>
      <c r="N31" s="45">
        <f>'3) Data'!N48</f>
        <v>506537</v>
      </c>
      <c r="O31" s="45">
        <f>'3) Data'!O48</f>
        <v>12</v>
      </c>
      <c r="P31" s="45">
        <f>'3) Data'!P48</f>
        <v>299411</v>
      </c>
      <c r="Q31" s="45">
        <f>'3) Data'!Q48</f>
        <v>5364</v>
      </c>
      <c r="R31" s="88"/>
      <c r="S31" s="45">
        <f>'3) Data'!S48</f>
        <v>44616</v>
      </c>
      <c r="T31" s="87"/>
    </row>
    <row r="32" spans="2:20" x14ac:dyDescent="0.2">
      <c r="B32" s="2" t="s">
        <v>82</v>
      </c>
      <c r="F32" s="2" t="s">
        <v>83</v>
      </c>
      <c r="L32" s="45">
        <f>'3) Data'!L49</f>
        <v>195118</v>
      </c>
      <c r="M32" s="45">
        <f>'3) Data'!M49</f>
        <v>24770706</v>
      </c>
      <c r="N32" s="45">
        <f>'3) Data'!N49</f>
        <v>34286427</v>
      </c>
      <c r="O32" s="45">
        <f>'3) Data'!O49</f>
        <v>204</v>
      </c>
      <c r="P32" s="45">
        <f>'3) Data'!P49</f>
        <v>22822942</v>
      </c>
      <c r="Q32" s="45">
        <f>'3) Data'!Q49</f>
        <v>439704</v>
      </c>
      <c r="R32" s="88"/>
      <c r="S32" s="45">
        <f>'3) Data'!S49</f>
        <v>2335941</v>
      </c>
      <c r="T32" s="87"/>
    </row>
    <row r="33" spans="2:20" x14ac:dyDescent="0.2">
      <c r="R33" s="10"/>
    </row>
    <row r="34" spans="2:20" x14ac:dyDescent="0.2">
      <c r="B34" s="1" t="s">
        <v>84</v>
      </c>
      <c r="R34" s="10"/>
    </row>
    <row r="35" spans="2:20" x14ac:dyDescent="0.2">
      <c r="B35" s="2" t="s">
        <v>81</v>
      </c>
      <c r="F35" s="2" t="s">
        <v>83</v>
      </c>
      <c r="L35" s="45">
        <f>'3) Data'!L52</f>
        <v>53269</v>
      </c>
      <c r="M35" s="45">
        <f>'3) Data'!M52</f>
        <v>2761914</v>
      </c>
      <c r="N35" s="45">
        <f>'3) Data'!N52</f>
        <v>3087303</v>
      </c>
      <c r="O35" s="45">
        <f>'3) Data'!O52</f>
        <v>32551</v>
      </c>
      <c r="P35" s="45">
        <f>'3) Data'!P52</f>
        <v>2162498</v>
      </c>
      <c r="Q35" s="45">
        <f>'3) Data'!Q52</f>
        <v>58632</v>
      </c>
      <c r="R35" s="88"/>
      <c r="S35" s="45">
        <f>'3) Data'!S52</f>
        <v>212740</v>
      </c>
      <c r="T35" s="87"/>
    </row>
    <row r="36" spans="2:20" x14ac:dyDescent="0.2">
      <c r="B36" s="2" t="s">
        <v>284</v>
      </c>
      <c r="F36" s="2" t="s">
        <v>83</v>
      </c>
      <c r="L36" s="45">
        <f>'3) Data'!L53</f>
        <v>858</v>
      </c>
      <c r="M36" s="45">
        <f>'3) Data'!M53</f>
        <v>86632</v>
      </c>
      <c r="N36" s="45">
        <f>'3) Data'!N53</f>
        <v>141889</v>
      </c>
      <c r="O36" s="45">
        <f>'3) Data'!O53</f>
        <v>783</v>
      </c>
      <c r="P36" s="45">
        <f>'3) Data'!P53</f>
        <v>85648</v>
      </c>
      <c r="Q36" s="45">
        <f>'3) Data'!Q53</f>
        <v>1155</v>
      </c>
      <c r="R36" s="88"/>
      <c r="S36" s="45">
        <f>'3) Data'!S53</f>
        <v>16956</v>
      </c>
      <c r="T36" s="87"/>
    </row>
    <row r="37" spans="2:20" x14ac:dyDescent="0.2">
      <c r="B37" s="2" t="s">
        <v>82</v>
      </c>
      <c r="F37" s="2" t="s">
        <v>83</v>
      </c>
      <c r="L37" s="45">
        <f>'3) Data'!L54</f>
        <v>79863</v>
      </c>
      <c r="M37" s="45">
        <f>'3) Data'!M54</f>
        <v>14001717</v>
      </c>
      <c r="N37" s="45">
        <f>'3) Data'!N54</f>
        <v>20490004</v>
      </c>
      <c r="O37" s="45">
        <f>'3) Data'!O54</f>
        <v>96388</v>
      </c>
      <c r="P37" s="45">
        <f>'3) Data'!P54</f>
        <v>12687076</v>
      </c>
      <c r="Q37" s="45">
        <f>'3) Data'!Q54</f>
        <v>181886</v>
      </c>
      <c r="R37" s="88"/>
      <c r="S37" s="45">
        <f>'3) Data'!S54</f>
        <v>1252762</v>
      </c>
      <c r="T37" s="87"/>
    </row>
    <row r="39" spans="2:20" s="9" customFormat="1" x14ac:dyDescent="0.2">
      <c r="B39" s="9" t="s">
        <v>85</v>
      </c>
    </row>
    <row r="41" spans="2:20" x14ac:dyDescent="0.2">
      <c r="B41" s="50" t="s">
        <v>80</v>
      </c>
      <c r="R41" s="10"/>
      <c r="T41" s="92"/>
    </row>
    <row r="42" spans="2:20" x14ac:dyDescent="0.2">
      <c r="B42" s="2" t="s">
        <v>81</v>
      </c>
      <c r="F42" s="2" t="s">
        <v>83</v>
      </c>
      <c r="L42" s="45">
        <f>'3) Data'!L68</f>
        <v>53549</v>
      </c>
      <c r="M42" s="45">
        <f>'3) Data'!M68</f>
        <v>2873514</v>
      </c>
      <c r="N42" s="45">
        <f>'3) Data'!N68</f>
        <v>3145128</v>
      </c>
      <c r="O42" s="45">
        <f>'3) Data'!O68</f>
        <v>32546</v>
      </c>
      <c r="P42" s="45">
        <f>'3) Data'!P68</f>
        <v>2111530</v>
      </c>
      <c r="Q42" s="45">
        <f>'3) Data'!Q68</f>
        <v>75437</v>
      </c>
      <c r="R42" s="88"/>
      <c r="S42" s="45">
        <f>'3) Data'!S68</f>
        <v>214178</v>
      </c>
      <c r="T42" s="87"/>
    </row>
    <row r="43" spans="2:20" x14ac:dyDescent="0.2">
      <c r="B43" s="2" t="s">
        <v>283</v>
      </c>
      <c r="F43" s="2" t="s">
        <v>83</v>
      </c>
      <c r="L43" s="45">
        <f>'3) Data'!L69</f>
        <v>4752</v>
      </c>
      <c r="M43" s="45">
        <f>'3) Data'!M69</f>
        <v>457469</v>
      </c>
      <c r="N43" s="45">
        <f>'3) Data'!N69</f>
        <v>827312</v>
      </c>
      <c r="O43" s="45">
        <f>'3) Data'!O69</f>
        <v>4231</v>
      </c>
      <c r="P43" s="45">
        <f>'3) Data'!P69</f>
        <v>373042</v>
      </c>
      <c r="Q43" s="45">
        <f>'3) Data'!Q69</f>
        <v>10655</v>
      </c>
      <c r="R43" s="88"/>
      <c r="S43" s="45">
        <f>'3) Data'!S69</f>
        <v>38598</v>
      </c>
      <c r="T43" s="87"/>
    </row>
    <row r="44" spans="2:20" x14ac:dyDescent="0.2">
      <c r="B44" s="2" t="s">
        <v>82</v>
      </c>
      <c r="F44" s="2" t="s">
        <v>83</v>
      </c>
      <c r="L44" s="45">
        <f>'3) Data'!L70</f>
        <v>208381</v>
      </c>
      <c r="M44" s="45">
        <f>'3) Data'!M70</f>
        <v>30103912</v>
      </c>
      <c r="N44" s="45">
        <f>'3) Data'!N70</f>
        <v>62703957</v>
      </c>
      <c r="O44" s="45">
        <f>'3) Data'!O70</f>
        <v>298818</v>
      </c>
      <c r="P44" s="45">
        <f>'3) Data'!P70</f>
        <v>21559596</v>
      </c>
      <c r="Q44" s="45">
        <f>'3) Data'!Q70</f>
        <v>567117</v>
      </c>
      <c r="R44" s="88"/>
      <c r="S44" s="45">
        <f>'3) Data'!S70</f>
        <v>1947518</v>
      </c>
      <c r="T44" s="87"/>
    </row>
    <row r="45" spans="2:20" x14ac:dyDescent="0.2">
      <c r="R45" s="10"/>
    </row>
    <row r="46" spans="2:20" x14ac:dyDescent="0.2">
      <c r="B46" s="1" t="s">
        <v>84</v>
      </c>
      <c r="R46" s="10"/>
    </row>
    <row r="47" spans="2:20" x14ac:dyDescent="0.2">
      <c r="B47" s="2" t="s">
        <v>81</v>
      </c>
      <c r="F47" s="2" t="s">
        <v>83</v>
      </c>
      <c r="L47" s="45">
        <f>'3) Data'!L73</f>
        <v>53549</v>
      </c>
      <c r="M47" s="45">
        <f>'3) Data'!M73</f>
        <v>2771208</v>
      </c>
      <c r="N47" s="45">
        <f>'3) Data'!N73</f>
        <v>3118226</v>
      </c>
      <c r="O47" s="45">
        <f>'3) Data'!O73</f>
        <v>32546</v>
      </c>
      <c r="P47" s="45">
        <f>'3) Data'!P73</f>
        <v>2111530</v>
      </c>
      <c r="Q47" s="45">
        <f>'3) Data'!Q73</f>
        <v>59656</v>
      </c>
      <c r="R47" s="88"/>
      <c r="S47" s="45">
        <f>'3) Data'!S73</f>
        <v>214178</v>
      </c>
      <c r="T47" s="87"/>
    </row>
    <row r="48" spans="2:20" x14ac:dyDescent="0.2">
      <c r="B48" s="2" t="s">
        <v>284</v>
      </c>
      <c r="F48" s="2" t="s">
        <v>83</v>
      </c>
      <c r="L48" s="45">
        <f>'3) Data'!L74</f>
        <v>1033</v>
      </c>
      <c r="M48" s="45">
        <f>'3) Data'!M74</f>
        <v>93189</v>
      </c>
      <c r="N48" s="45">
        <f>'3) Data'!N74</f>
        <v>151673</v>
      </c>
      <c r="O48" s="45">
        <f>'3) Data'!O74</f>
        <v>881</v>
      </c>
      <c r="P48" s="45">
        <f>'3) Data'!P74</f>
        <v>93717</v>
      </c>
      <c r="Q48" s="45">
        <f>'3) Data'!Q74</f>
        <v>1397</v>
      </c>
      <c r="R48" s="88"/>
      <c r="S48" s="45">
        <f>'3) Data'!S74</f>
        <v>13721</v>
      </c>
      <c r="T48" s="87"/>
    </row>
    <row r="49" spans="2:20" x14ac:dyDescent="0.2">
      <c r="B49" s="2" t="s">
        <v>82</v>
      </c>
      <c r="F49" s="2" t="s">
        <v>83</v>
      </c>
      <c r="L49" s="45">
        <f>'3) Data'!L75</f>
        <v>80485</v>
      </c>
      <c r="M49" s="45">
        <f>'3) Data'!M75</f>
        <v>14642280</v>
      </c>
      <c r="N49" s="45">
        <f>'3) Data'!N75</f>
        <v>23810460</v>
      </c>
      <c r="O49" s="45">
        <f>'3) Data'!O75</f>
        <v>149864</v>
      </c>
      <c r="P49" s="45">
        <f>'3) Data'!P75</f>
        <v>14737268</v>
      </c>
      <c r="Q49" s="45">
        <f>'3) Data'!Q75</f>
        <v>207707</v>
      </c>
      <c r="R49" s="88"/>
      <c r="S49" s="45">
        <f>'3) Data'!S75</f>
        <v>1308902</v>
      </c>
      <c r="T49" s="87"/>
    </row>
    <row r="50" spans="2:20" x14ac:dyDescent="0.2">
      <c r="R50" s="10"/>
    </row>
    <row r="51" spans="2:20" s="9" customFormat="1" x14ac:dyDescent="0.2">
      <c r="B51" s="9" t="s">
        <v>87</v>
      </c>
    </row>
    <row r="52" spans="2:20" x14ac:dyDescent="0.2">
      <c r="R52" s="10"/>
    </row>
    <row r="53" spans="2:20" x14ac:dyDescent="0.2">
      <c r="B53" s="50" t="s">
        <v>80</v>
      </c>
      <c r="R53" s="10"/>
    </row>
    <row r="54" spans="2:20" x14ac:dyDescent="0.2">
      <c r="B54" s="2" t="s">
        <v>81</v>
      </c>
      <c r="F54" s="2" t="s">
        <v>83</v>
      </c>
      <c r="L54" s="45">
        <f>'3) Data'!L89</f>
        <v>53898</v>
      </c>
      <c r="M54" s="45">
        <f>'3) Data'!M89</f>
        <v>2902934</v>
      </c>
      <c r="N54" s="45">
        <f>'3) Data'!N89</f>
        <v>3209908</v>
      </c>
      <c r="O54" s="45">
        <f>'3) Data'!O89</f>
        <v>32966</v>
      </c>
      <c r="P54" s="45">
        <f>'3) Data'!P89</f>
        <v>2120286</v>
      </c>
      <c r="Q54" s="45">
        <f>'3) Data'!Q89</f>
        <v>75794</v>
      </c>
      <c r="R54" s="88"/>
      <c r="S54" s="45">
        <f>'3) Data'!S89</f>
        <v>216139</v>
      </c>
      <c r="T54" s="87"/>
    </row>
    <row r="55" spans="2:20" x14ac:dyDescent="0.2">
      <c r="B55" s="2" t="s">
        <v>283</v>
      </c>
      <c r="F55" s="2" t="s">
        <v>83</v>
      </c>
      <c r="L55" s="45">
        <f>'3) Data'!L90</f>
        <v>1305</v>
      </c>
      <c r="M55" s="45">
        <f>'3) Data'!M90</f>
        <v>421924</v>
      </c>
      <c r="N55" s="45">
        <f>'3) Data'!N90</f>
        <v>640407</v>
      </c>
      <c r="O55" s="45">
        <f>'3) Data'!O90</f>
        <v>1211</v>
      </c>
      <c r="P55" s="45">
        <f>'3) Data'!P90</f>
        <v>419538</v>
      </c>
      <c r="Q55" s="45">
        <f>'3) Data'!Q90</f>
        <v>5246</v>
      </c>
      <c r="R55" s="88"/>
      <c r="S55" s="45">
        <f>'3) Data'!S90</f>
        <v>37357</v>
      </c>
      <c r="T55" s="87"/>
    </row>
    <row r="56" spans="2:20" x14ac:dyDescent="0.2">
      <c r="B56" s="2" t="s">
        <v>82</v>
      </c>
      <c r="F56" s="2" t="s">
        <v>83</v>
      </c>
      <c r="L56" s="45">
        <f>'3) Data'!L91</f>
        <v>78938</v>
      </c>
      <c r="M56" s="45">
        <f>'3) Data'!M91</f>
        <v>24365319</v>
      </c>
      <c r="N56" s="45">
        <f>'3) Data'!N91</f>
        <v>37809747</v>
      </c>
      <c r="O56" s="45">
        <f>'3) Data'!O91</f>
        <v>90428</v>
      </c>
      <c r="P56" s="45">
        <f>'3) Data'!P91</f>
        <v>27412637</v>
      </c>
      <c r="Q56" s="45">
        <f>'3) Data'!Q91</f>
        <v>129935</v>
      </c>
      <c r="R56" s="88"/>
      <c r="S56" s="45">
        <f>'3) Data'!S91</f>
        <v>2192071</v>
      </c>
      <c r="T56" s="87"/>
    </row>
    <row r="57" spans="2:20" x14ac:dyDescent="0.2">
      <c r="R57" s="10"/>
    </row>
    <row r="58" spans="2:20" x14ac:dyDescent="0.2">
      <c r="B58" s="1" t="s">
        <v>84</v>
      </c>
      <c r="R58" s="10"/>
    </row>
    <row r="59" spans="2:20" x14ac:dyDescent="0.2">
      <c r="B59" s="2" t="s">
        <v>81</v>
      </c>
      <c r="F59" s="2" t="s">
        <v>83</v>
      </c>
      <c r="L59" s="45">
        <f>'3) Data'!L94</f>
        <v>53898</v>
      </c>
      <c r="M59" s="45">
        <f>'3) Data'!M94</f>
        <v>2799787</v>
      </c>
      <c r="N59" s="45">
        <f>'3) Data'!N94</f>
        <v>3182662</v>
      </c>
      <c r="O59" s="45">
        <f>'3) Data'!O94</f>
        <v>32966</v>
      </c>
      <c r="P59" s="45">
        <f>'3) Data'!P94</f>
        <v>2120286</v>
      </c>
      <c r="Q59" s="45">
        <f>'3) Data'!Q94</f>
        <v>59967</v>
      </c>
      <c r="R59" s="88"/>
      <c r="S59" s="45">
        <f>'3) Data'!S94</f>
        <v>216139</v>
      </c>
      <c r="T59" s="87"/>
    </row>
    <row r="60" spans="2:20" x14ac:dyDescent="0.2">
      <c r="B60" s="2" t="s">
        <v>284</v>
      </c>
      <c r="F60" s="2" t="s">
        <v>83</v>
      </c>
      <c r="L60" s="45">
        <f>'3) Data'!L95</f>
        <v>1728</v>
      </c>
      <c r="M60" s="45">
        <f>'3) Data'!M95</f>
        <v>90365</v>
      </c>
      <c r="N60" s="45">
        <f>'3) Data'!N95</f>
        <v>163662</v>
      </c>
      <c r="O60" s="45">
        <f>'3) Data'!O95</f>
        <v>823</v>
      </c>
      <c r="P60" s="45">
        <f>'3) Data'!P95</f>
        <v>98856</v>
      </c>
      <c r="Q60" s="45">
        <f>'3) Data'!Q95</f>
        <v>1374</v>
      </c>
      <c r="R60" s="88"/>
      <c r="S60" s="45">
        <f>'3) Data'!S95</f>
        <v>14230</v>
      </c>
      <c r="T60" s="87"/>
    </row>
    <row r="61" spans="2:20" x14ac:dyDescent="0.2">
      <c r="B61" s="2" t="s">
        <v>82</v>
      </c>
      <c r="F61" s="2" t="s">
        <v>83</v>
      </c>
      <c r="L61" s="45">
        <f>'3) Data'!L96</f>
        <v>165294</v>
      </c>
      <c r="M61" s="45">
        <f>'3) Data'!M96</f>
        <v>14996746</v>
      </c>
      <c r="N61" s="45">
        <f>'3) Data'!N96</f>
        <v>26094190</v>
      </c>
      <c r="O61" s="45">
        <f>'3) Data'!O96</f>
        <v>98497</v>
      </c>
      <c r="P61" s="45">
        <f>'3) Data'!P96</f>
        <v>17168396</v>
      </c>
      <c r="Q61" s="45">
        <f>'3) Data'!Q96</f>
        <v>221660</v>
      </c>
      <c r="R61" s="88"/>
      <c r="S61" s="45">
        <f>'3) Data'!S96</f>
        <v>1132776</v>
      </c>
      <c r="T61" s="87"/>
    </row>
    <row r="63" spans="2:20" s="9" customFormat="1" x14ac:dyDescent="0.2">
      <c r="B63" s="9" t="s">
        <v>86</v>
      </c>
    </row>
    <row r="65" spans="2:26" x14ac:dyDescent="0.2">
      <c r="B65" s="50" t="s">
        <v>80</v>
      </c>
      <c r="R65" s="10"/>
    </row>
    <row r="66" spans="2:26" x14ac:dyDescent="0.2">
      <c r="B66" s="2" t="s">
        <v>81</v>
      </c>
      <c r="F66" s="2" t="s">
        <v>83</v>
      </c>
      <c r="L66" s="45">
        <f>'3) Data'!L110</f>
        <v>54255</v>
      </c>
      <c r="M66" s="45">
        <f>'3) Data'!M110</f>
        <v>2938523</v>
      </c>
      <c r="N66" s="45">
        <f>'3) Data'!N110</f>
        <v>3248893</v>
      </c>
      <c r="O66" s="45">
        <f>'3) Data'!O110</f>
        <v>33197</v>
      </c>
      <c r="P66" s="45">
        <f>'3) Data'!P110</f>
        <v>2136891</v>
      </c>
      <c r="Q66" s="45">
        <f>'3) Data'!Q110</f>
        <v>77937</v>
      </c>
      <c r="R66" s="88"/>
      <c r="S66" s="45">
        <f>'3) Data'!S110</f>
        <v>217740</v>
      </c>
      <c r="T66" s="87"/>
    </row>
    <row r="67" spans="2:26" x14ac:dyDescent="0.2">
      <c r="B67" s="2" t="s">
        <v>283</v>
      </c>
      <c r="F67" s="2" t="s">
        <v>83</v>
      </c>
      <c r="L67" s="45">
        <f>'3) Data'!L111</f>
        <v>1099</v>
      </c>
      <c r="M67" s="45">
        <f>'3) Data'!M111</f>
        <v>388888</v>
      </c>
      <c r="N67" s="45">
        <f>'3) Data'!N111</f>
        <v>780268</v>
      </c>
      <c r="O67" s="45">
        <f>'3) Data'!O111</f>
        <v>2767</v>
      </c>
      <c r="P67" s="45">
        <f>'3) Data'!P111</f>
        <v>397023</v>
      </c>
      <c r="Q67" s="45">
        <f>'3) Data'!Q111</f>
        <v>721</v>
      </c>
      <c r="R67" s="88"/>
      <c r="S67" s="45">
        <f>'3) Data'!S111</f>
        <v>35419</v>
      </c>
      <c r="T67" s="87"/>
    </row>
    <row r="68" spans="2:26" x14ac:dyDescent="0.2">
      <c r="B68" s="2" t="s">
        <v>82</v>
      </c>
      <c r="F68" s="2" t="s">
        <v>83</v>
      </c>
      <c r="L68" s="45">
        <f>'3) Data'!L112</f>
        <v>62018</v>
      </c>
      <c r="M68" s="45">
        <f>'3) Data'!M112</f>
        <v>21554414</v>
      </c>
      <c r="N68" s="45">
        <f>'3) Data'!N112</f>
        <v>46770633</v>
      </c>
      <c r="O68" s="45">
        <f>'3) Data'!O112</f>
        <v>278072</v>
      </c>
      <c r="P68" s="45">
        <f>'3) Data'!P112</f>
        <v>40965039</v>
      </c>
      <c r="Q68" s="45">
        <f>'3) Data'!Q112</f>
        <v>57507</v>
      </c>
      <c r="R68" s="88"/>
      <c r="S68" s="45">
        <f>'3) Data'!S112</f>
        <v>1769777</v>
      </c>
      <c r="T68" s="87"/>
    </row>
    <row r="69" spans="2:26" x14ac:dyDescent="0.2">
      <c r="R69" s="10"/>
    </row>
    <row r="70" spans="2:26" x14ac:dyDescent="0.2">
      <c r="B70" s="1" t="s">
        <v>84</v>
      </c>
      <c r="R70" s="10"/>
    </row>
    <row r="71" spans="2:26" x14ac:dyDescent="0.2">
      <c r="B71" s="2" t="s">
        <v>81</v>
      </c>
      <c r="F71" s="2" t="s">
        <v>83</v>
      </c>
      <c r="L71" s="45">
        <f>'3) Data'!L115</f>
        <v>54255</v>
      </c>
      <c r="M71" s="45">
        <f>'3) Data'!M115</f>
        <v>2834532</v>
      </c>
      <c r="N71" s="45">
        <f>'3) Data'!N115</f>
        <v>3221231</v>
      </c>
      <c r="O71" s="45">
        <f>'3) Data'!O115</f>
        <v>33197</v>
      </c>
      <c r="P71" s="45">
        <f>'3) Data'!P115</f>
        <v>2136891</v>
      </c>
      <c r="Q71" s="45">
        <f>'3) Data'!Q115</f>
        <v>62031</v>
      </c>
      <c r="R71" s="88"/>
      <c r="S71" s="45">
        <f>'3) Data'!S115</f>
        <v>217740</v>
      </c>
      <c r="T71" s="87"/>
    </row>
    <row r="72" spans="2:26" x14ac:dyDescent="0.2">
      <c r="B72" s="2" t="s">
        <v>284</v>
      </c>
      <c r="F72" s="2" t="s">
        <v>83</v>
      </c>
      <c r="L72" s="45">
        <f>'3) Data'!L116</f>
        <v>1542</v>
      </c>
      <c r="M72" s="45">
        <f>'3) Data'!M116</f>
        <v>100019</v>
      </c>
      <c r="N72" s="45">
        <f>'3) Data'!N116</f>
        <v>162327</v>
      </c>
      <c r="O72" s="45">
        <f>'3) Data'!O116</f>
        <v>606</v>
      </c>
      <c r="P72" s="45">
        <f>'3) Data'!P116</f>
        <v>99284</v>
      </c>
      <c r="Q72" s="45">
        <f>'3) Data'!Q116</f>
        <v>1665</v>
      </c>
      <c r="R72" s="88"/>
      <c r="S72" s="45">
        <f>'3) Data'!S116</f>
        <v>14883</v>
      </c>
      <c r="T72" s="87"/>
    </row>
    <row r="73" spans="2:26" x14ac:dyDescent="0.2">
      <c r="B73" s="2" t="s">
        <v>82</v>
      </c>
      <c r="F73" s="2" t="s">
        <v>83</v>
      </c>
      <c r="L73" s="45">
        <f>'3) Data'!L117</f>
        <v>110965</v>
      </c>
      <c r="M73" s="45">
        <f>'3) Data'!M117</f>
        <v>15905862</v>
      </c>
      <c r="N73" s="45">
        <f>'3) Data'!N117</f>
        <v>24714979</v>
      </c>
      <c r="O73" s="45">
        <f>'3) Data'!O117</f>
        <v>97008</v>
      </c>
      <c r="P73" s="45">
        <f>'3) Data'!P117</f>
        <v>17256752</v>
      </c>
      <c r="Q73" s="45">
        <f>'3) Data'!Q117</f>
        <v>249307</v>
      </c>
      <c r="R73" s="88"/>
      <c r="S73" s="45">
        <f>'3) Data'!S117</f>
        <v>1325125</v>
      </c>
      <c r="T73" s="87"/>
    </row>
    <row r="74" spans="2:26" x14ac:dyDescent="0.2">
      <c r="R74" s="10"/>
    </row>
    <row r="75" spans="2:26" s="9" customFormat="1" x14ac:dyDescent="0.2">
      <c r="B75" s="9" t="s">
        <v>97</v>
      </c>
    </row>
    <row r="77" spans="2:26" x14ac:dyDescent="0.2">
      <c r="B77" s="32" t="s">
        <v>129</v>
      </c>
      <c r="J77" s="71"/>
    </row>
    <row r="78" spans="2:26" x14ac:dyDescent="0.2">
      <c r="B78" s="2" t="s">
        <v>130</v>
      </c>
      <c r="F78" s="2" t="s">
        <v>83</v>
      </c>
      <c r="J78" s="69">
        <f>SUM(L19:T19)/SUM(L23:T23)</f>
        <v>0.17189778685544566</v>
      </c>
      <c r="R78" s="10"/>
      <c r="Z78" s="5" t="s">
        <v>323</v>
      </c>
    </row>
    <row r="79" spans="2:26" x14ac:dyDescent="0.2">
      <c r="B79" s="2" t="s">
        <v>99</v>
      </c>
      <c r="F79" s="2" t="s">
        <v>83</v>
      </c>
      <c r="J79" s="71"/>
      <c r="L79" s="69">
        <f>L24/L23</f>
        <v>1.5444015444015444E-2</v>
      </c>
      <c r="M79" s="69">
        <f t="shared" ref="M79:T79" si="0">M24/M23</f>
        <v>3.1835016867340339E-2</v>
      </c>
      <c r="N79" s="69">
        <f t="shared" si="0"/>
        <v>4.6244400222761897E-2</v>
      </c>
      <c r="O79" s="69">
        <f t="shared" si="0"/>
        <v>1.5986174119680275E-2</v>
      </c>
      <c r="P79" s="69">
        <f t="shared" si="0"/>
        <v>3.9234770732304761E-2</v>
      </c>
      <c r="Q79" s="69">
        <f t="shared" si="0"/>
        <v>2.6257262555385068E-2</v>
      </c>
      <c r="R79" s="89"/>
      <c r="S79" s="69">
        <f t="shared" ref="S79" si="1">S24/S23</f>
        <v>7.911704149139312E-2</v>
      </c>
      <c r="T79" s="69">
        <f t="shared" si="0"/>
        <v>1.4629708036430135E-2</v>
      </c>
      <c r="Z79" s="5" t="s">
        <v>320</v>
      </c>
    </row>
    <row r="80" spans="2:26" x14ac:dyDescent="0.2">
      <c r="J80" s="71"/>
      <c r="L80" s="71"/>
      <c r="M80" s="71"/>
      <c r="N80" s="71"/>
      <c r="O80" s="71"/>
      <c r="P80" s="71"/>
      <c r="Q80" s="71"/>
      <c r="R80" s="90"/>
      <c r="S80" s="71"/>
      <c r="T80" s="71"/>
    </row>
    <row r="81" spans="2:26" x14ac:dyDescent="0.2">
      <c r="B81" s="1" t="s">
        <v>100</v>
      </c>
      <c r="J81" s="71"/>
      <c r="L81" s="71"/>
      <c r="M81" s="71"/>
      <c r="N81" s="71"/>
      <c r="O81" s="71"/>
      <c r="P81" s="71"/>
      <c r="Q81" s="71"/>
      <c r="R81" s="90"/>
      <c r="S81" s="71"/>
      <c r="T81" s="71"/>
    </row>
    <row r="82" spans="2:26" x14ac:dyDescent="0.2">
      <c r="B82" s="27" t="s">
        <v>288</v>
      </c>
      <c r="F82" s="2" t="s">
        <v>289</v>
      </c>
      <c r="J82" s="71"/>
      <c r="L82" s="69">
        <f>(L20+L25)/(L19+L24)</f>
        <v>28.034587995930824</v>
      </c>
      <c r="M82" s="69">
        <f t="shared" ref="M82:T82" si="2">(M20+M25)/(M19+M24)</f>
        <v>79.23343152673948</v>
      </c>
      <c r="N82" s="69">
        <f t="shared" si="2"/>
        <v>85.641603035066893</v>
      </c>
      <c r="O82" s="69">
        <f t="shared" si="2"/>
        <v>63.950118363205952</v>
      </c>
      <c r="P82" s="69">
        <f t="shared" si="2"/>
        <v>90.701706729154694</v>
      </c>
      <c r="Q82" s="69">
        <f t="shared" si="2"/>
        <v>65.53475014359563</v>
      </c>
      <c r="R82" s="89"/>
      <c r="S82" s="69">
        <f t="shared" ref="S82" si="3">(S20+S25)/(S19+S24)</f>
        <v>61.705153294194389</v>
      </c>
      <c r="T82" s="69">
        <f t="shared" si="2"/>
        <v>42.422396856581535</v>
      </c>
      <c r="Z82" s="5" t="s">
        <v>321</v>
      </c>
    </row>
    <row r="83" spans="2:26" x14ac:dyDescent="0.2">
      <c r="J83" s="71"/>
      <c r="L83" s="71"/>
      <c r="M83" s="71"/>
      <c r="N83" s="71"/>
      <c r="O83" s="71"/>
      <c r="P83" s="71"/>
      <c r="Q83" s="71"/>
      <c r="R83" s="71"/>
      <c r="S83" s="71"/>
    </row>
    <row r="84" spans="2:26" s="9" customFormat="1" x14ac:dyDescent="0.2">
      <c r="B84" s="9" t="s">
        <v>102</v>
      </c>
      <c r="J84" s="72"/>
      <c r="L84" s="72"/>
      <c r="M84" s="72"/>
      <c r="N84" s="72"/>
      <c r="O84" s="72"/>
      <c r="P84" s="72"/>
      <c r="Q84" s="72"/>
      <c r="R84" s="72"/>
      <c r="S84" s="72"/>
    </row>
    <row r="85" spans="2:26" x14ac:dyDescent="0.2">
      <c r="J85" s="71"/>
      <c r="L85" s="71"/>
      <c r="M85" s="71"/>
      <c r="N85" s="71"/>
      <c r="O85" s="71"/>
      <c r="P85" s="71"/>
      <c r="Q85" s="71"/>
      <c r="R85" s="71"/>
      <c r="S85" s="71"/>
    </row>
    <row r="86" spans="2:26" x14ac:dyDescent="0.2">
      <c r="B86" s="32" t="s">
        <v>129</v>
      </c>
      <c r="J86" s="71"/>
      <c r="L86" s="71"/>
      <c r="M86" s="71"/>
      <c r="N86" s="71"/>
      <c r="O86" s="71"/>
      <c r="P86" s="71"/>
      <c r="Q86" s="71"/>
      <c r="R86" s="90"/>
      <c r="S86" s="71"/>
    </row>
    <row r="87" spans="2:26" x14ac:dyDescent="0.2">
      <c r="B87" s="2" t="s">
        <v>130</v>
      </c>
      <c r="F87" s="2" t="s">
        <v>83</v>
      </c>
      <c r="J87" s="69">
        <f>SUM(L31:S31)/SUM(L35:S35)</f>
        <v>0.13959648494122351</v>
      </c>
      <c r="L87" s="71"/>
      <c r="M87" s="71"/>
      <c r="N87" s="71"/>
      <c r="O87" s="71"/>
      <c r="P87" s="71"/>
      <c r="Q87" s="71"/>
      <c r="R87" s="90"/>
      <c r="S87" s="71"/>
      <c r="Z87" s="5" t="s">
        <v>323</v>
      </c>
    </row>
    <row r="88" spans="2:26" x14ac:dyDescent="0.2">
      <c r="B88" s="2" t="s">
        <v>99</v>
      </c>
      <c r="F88" s="2" t="s">
        <v>83</v>
      </c>
      <c r="J88" s="71"/>
      <c r="L88" s="69">
        <f t="shared" ref="L88:Q88" si="4">L36/L35</f>
        <v>1.6106928983085848E-2</v>
      </c>
      <c r="M88" s="69">
        <f t="shared" si="4"/>
        <v>3.1366653704641055E-2</v>
      </c>
      <c r="N88" s="69">
        <f t="shared" si="4"/>
        <v>4.5958883854289652E-2</v>
      </c>
      <c r="O88" s="69">
        <f t="shared" si="4"/>
        <v>2.4054560535774632E-2</v>
      </c>
      <c r="P88" s="69">
        <f t="shared" si="4"/>
        <v>3.9606048190564798E-2</v>
      </c>
      <c r="Q88" s="69">
        <f t="shared" si="4"/>
        <v>1.9699140401146131E-2</v>
      </c>
      <c r="R88" s="89"/>
      <c r="S88" s="69">
        <f t="shared" ref="S88" si="5">S36/S35</f>
        <v>7.9702923756698324E-2</v>
      </c>
      <c r="T88" s="87"/>
      <c r="Z88" s="5" t="s">
        <v>320</v>
      </c>
    </row>
    <row r="89" spans="2:26" x14ac:dyDescent="0.2">
      <c r="J89" s="71"/>
      <c r="L89" s="71"/>
      <c r="M89" s="71"/>
      <c r="N89" s="71"/>
      <c r="O89" s="71"/>
      <c r="P89" s="71"/>
      <c r="Q89" s="71"/>
      <c r="R89" s="90"/>
      <c r="S89" s="71"/>
    </row>
    <row r="90" spans="2:26" x14ac:dyDescent="0.2">
      <c r="B90" s="1" t="s">
        <v>100</v>
      </c>
      <c r="J90" s="71"/>
      <c r="L90" s="71"/>
      <c r="M90" s="71"/>
      <c r="N90" s="71"/>
      <c r="O90" s="71"/>
      <c r="P90" s="71"/>
      <c r="Q90" s="71"/>
      <c r="R90" s="90"/>
      <c r="S90" s="71"/>
    </row>
    <row r="91" spans="2:26" x14ac:dyDescent="0.2">
      <c r="B91" s="27" t="s">
        <v>288</v>
      </c>
      <c r="F91" s="2" t="s">
        <v>289</v>
      </c>
      <c r="J91" s="71"/>
      <c r="L91" s="69">
        <f>(L32+L37)/(L31+L36)</f>
        <v>49.218006085555757</v>
      </c>
      <c r="M91" s="69">
        <f t="shared" ref="M91:Q91" si="6">(M32+M37)/(M31+M36)</f>
        <v>98.349004269049018</v>
      </c>
      <c r="N91" s="69">
        <f t="shared" si="6"/>
        <v>84.475994176667811</v>
      </c>
      <c r="O91" s="69">
        <f t="shared" si="6"/>
        <v>121.49937106918239</v>
      </c>
      <c r="P91" s="69">
        <f t="shared" si="6"/>
        <v>92.219680620372458</v>
      </c>
      <c r="Q91" s="69">
        <f t="shared" si="6"/>
        <v>95.35051388249731</v>
      </c>
      <c r="R91" s="89"/>
      <c r="S91" s="69">
        <f t="shared" ref="S91" si="7">(S32+S37)/(S31+S36)</f>
        <v>58.284658611056976</v>
      </c>
      <c r="T91" s="87"/>
      <c r="Z91" s="5" t="s">
        <v>321</v>
      </c>
    </row>
    <row r="92" spans="2:26" x14ac:dyDescent="0.2">
      <c r="J92" s="71"/>
      <c r="L92" s="71"/>
      <c r="M92" s="71"/>
      <c r="N92" s="71"/>
      <c r="O92" s="71"/>
      <c r="P92" s="71"/>
      <c r="Q92" s="71"/>
      <c r="R92" s="90"/>
      <c r="S92" s="71"/>
    </row>
    <row r="93" spans="2:26" s="9" customFormat="1" x14ac:dyDescent="0.2">
      <c r="B93" s="9" t="s">
        <v>103</v>
      </c>
      <c r="J93" s="72"/>
      <c r="L93" s="72"/>
      <c r="M93" s="72"/>
      <c r="N93" s="72"/>
      <c r="O93" s="72"/>
      <c r="P93" s="72"/>
      <c r="Q93" s="72"/>
      <c r="R93" s="72"/>
      <c r="S93" s="72"/>
    </row>
    <row r="94" spans="2:26" x14ac:dyDescent="0.2">
      <c r="J94" s="71"/>
      <c r="L94" s="71"/>
      <c r="M94" s="71"/>
      <c r="N94" s="71"/>
      <c r="O94" s="71"/>
      <c r="P94" s="71"/>
      <c r="Q94" s="71"/>
      <c r="R94" s="71"/>
      <c r="S94" s="71"/>
    </row>
    <row r="95" spans="2:26" x14ac:dyDescent="0.2">
      <c r="B95" s="32" t="s">
        <v>98</v>
      </c>
      <c r="J95" s="71"/>
      <c r="L95" s="71"/>
      <c r="M95" s="71"/>
      <c r="N95" s="71"/>
      <c r="O95" s="71"/>
      <c r="P95" s="71"/>
      <c r="Q95" s="71"/>
      <c r="R95" s="90"/>
      <c r="S95" s="71"/>
    </row>
    <row r="96" spans="2:26" x14ac:dyDescent="0.2">
      <c r="B96" s="2" t="s">
        <v>130</v>
      </c>
      <c r="F96" s="2" t="s">
        <v>83</v>
      </c>
      <c r="J96" s="69">
        <f>SUM(L43:S43)/SUM(L47:S47)</f>
        <v>0.20524829106173229</v>
      </c>
      <c r="L96" s="71"/>
      <c r="M96" s="71"/>
      <c r="N96" s="71"/>
      <c r="O96" s="71"/>
      <c r="P96" s="71"/>
      <c r="Q96" s="71"/>
      <c r="R96" s="90"/>
      <c r="S96" s="71"/>
      <c r="Z96" s="5" t="s">
        <v>323</v>
      </c>
    </row>
    <row r="97" spans="2:26" x14ac:dyDescent="0.2">
      <c r="B97" s="2" t="s">
        <v>99</v>
      </c>
      <c r="F97" s="2" t="s">
        <v>83</v>
      </c>
      <c r="J97" s="71"/>
      <c r="L97" s="69">
        <f t="shared" ref="L97:Q97" si="8">L48/L47</f>
        <v>1.9290743057760181E-2</v>
      </c>
      <c r="M97" s="69">
        <f t="shared" si="8"/>
        <v>3.3627573246035665E-2</v>
      </c>
      <c r="N97" s="69">
        <f t="shared" si="8"/>
        <v>4.8640797684324354E-2</v>
      </c>
      <c r="O97" s="69">
        <f t="shared" si="8"/>
        <v>2.706937872549622E-2</v>
      </c>
      <c r="P97" s="69">
        <f t="shared" si="8"/>
        <v>4.4383456545727507E-2</v>
      </c>
      <c r="Q97" s="69">
        <f t="shared" si="8"/>
        <v>2.3417594206785571E-2</v>
      </c>
      <c r="R97" s="89"/>
      <c r="S97" s="69">
        <f t="shared" ref="S97" si="9">S48/S47</f>
        <v>6.4063535937397859E-2</v>
      </c>
      <c r="T97" s="87"/>
      <c r="Z97" s="5" t="s">
        <v>320</v>
      </c>
    </row>
    <row r="98" spans="2:26" x14ac:dyDescent="0.2">
      <c r="J98" s="71"/>
      <c r="L98" s="71"/>
      <c r="M98" s="71"/>
      <c r="N98" s="71"/>
      <c r="O98" s="71"/>
      <c r="P98" s="71"/>
      <c r="Q98" s="71"/>
      <c r="R98" s="90"/>
      <c r="S98" s="71"/>
    </row>
    <row r="99" spans="2:26" x14ac:dyDescent="0.2">
      <c r="B99" s="1" t="s">
        <v>100</v>
      </c>
      <c r="J99" s="71"/>
      <c r="L99" s="71"/>
      <c r="M99" s="71"/>
      <c r="N99" s="71"/>
      <c r="O99" s="71"/>
      <c r="P99" s="71"/>
      <c r="Q99" s="71"/>
      <c r="R99" s="90"/>
      <c r="S99" s="71"/>
    </row>
    <row r="100" spans="2:26" x14ac:dyDescent="0.2">
      <c r="B100" s="27" t="s">
        <v>288</v>
      </c>
      <c r="F100" s="2" t="s">
        <v>289</v>
      </c>
      <c r="J100" s="71"/>
      <c r="L100" s="69">
        <f t="shared" ref="L100:Q100" si="10">(L44+L49)/(L43+L48)</f>
        <v>49.933621434745028</v>
      </c>
      <c r="M100" s="69">
        <f t="shared" si="10"/>
        <v>81.259496820167868</v>
      </c>
      <c r="N100" s="69">
        <f t="shared" si="10"/>
        <v>88.371545018565143</v>
      </c>
      <c r="O100" s="69">
        <f t="shared" si="10"/>
        <v>87.770344287949925</v>
      </c>
      <c r="P100" s="69">
        <f t="shared" si="10"/>
        <v>77.76360820037749</v>
      </c>
      <c r="Q100" s="69">
        <f t="shared" si="10"/>
        <v>64.290076335877856</v>
      </c>
      <c r="R100" s="89"/>
      <c r="S100" s="69">
        <f t="shared" ref="S100" si="11">(S44+S49)/(S43+S48)</f>
        <v>62.241633058735829</v>
      </c>
      <c r="T100" s="87"/>
      <c r="Z100" s="5" t="s">
        <v>321</v>
      </c>
    </row>
    <row r="101" spans="2:26" x14ac:dyDescent="0.2">
      <c r="J101" s="71"/>
      <c r="L101" s="71"/>
      <c r="M101" s="71"/>
      <c r="N101" s="71"/>
      <c r="O101" s="71"/>
      <c r="P101" s="71"/>
      <c r="Q101" s="71"/>
      <c r="R101" s="90"/>
      <c r="S101" s="71"/>
    </row>
    <row r="102" spans="2:26" s="9" customFormat="1" x14ac:dyDescent="0.2">
      <c r="B102" s="9" t="s">
        <v>104</v>
      </c>
      <c r="J102" s="72"/>
      <c r="L102" s="72"/>
      <c r="M102" s="72"/>
      <c r="N102" s="72"/>
      <c r="O102" s="72"/>
      <c r="P102" s="72"/>
      <c r="Q102" s="72"/>
      <c r="R102" s="72"/>
      <c r="S102" s="72"/>
    </row>
    <row r="103" spans="2:26" x14ac:dyDescent="0.2">
      <c r="J103" s="71"/>
      <c r="L103" s="71"/>
      <c r="M103" s="71"/>
      <c r="N103" s="71"/>
      <c r="O103" s="71"/>
      <c r="P103" s="71"/>
      <c r="Q103" s="71"/>
      <c r="R103" s="71"/>
      <c r="S103" s="71"/>
    </row>
    <row r="104" spans="2:26" x14ac:dyDescent="0.2">
      <c r="B104" s="32" t="s">
        <v>98</v>
      </c>
      <c r="J104" s="71"/>
      <c r="L104" s="71"/>
      <c r="M104" s="71"/>
      <c r="N104" s="71"/>
      <c r="O104" s="71"/>
      <c r="P104" s="71"/>
      <c r="Q104" s="71"/>
      <c r="R104" s="90"/>
      <c r="S104" s="71"/>
    </row>
    <row r="105" spans="2:26" x14ac:dyDescent="0.2">
      <c r="B105" s="2" t="s">
        <v>130</v>
      </c>
      <c r="F105" s="2" t="s">
        <v>83</v>
      </c>
      <c r="J105" s="69">
        <f>SUM(L55:S55)/SUM(L59:S59)</f>
        <v>0.18037340067956537</v>
      </c>
      <c r="L105" s="71"/>
      <c r="M105" s="71"/>
      <c r="N105" s="71"/>
      <c r="O105" s="71"/>
      <c r="P105" s="71"/>
      <c r="Q105" s="71"/>
      <c r="R105" s="90"/>
      <c r="S105" s="71"/>
      <c r="Z105" s="5" t="s">
        <v>323</v>
      </c>
    </row>
    <row r="106" spans="2:26" x14ac:dyDescent="0.2">
      <c r="B106" s="2" t="s">
        <v>99</v>
      </c>
      <c r="F106" s="2" t="s">
        <v>83</v>
      </c>
      <c r="L106" s="69">
        <f t="shared" ref="L106:Q106" si="12">L60/L59</f>
        <v>3.2060558833351883E-2</v>
      </c>
      <c r="M106" s="69">
        <f t="shared" si="12"/>
        <v>3.2275669542004448E-2</v>
      </c>
      <c r="N106" s="69">
        <f t="shared" si="12"/>
        <v>5.1422991194163881E-2</v>
      </c>
      <c r="O106" s="69">
        <f t="shared" si="12"/>
        <v>2.4965115573621306E-2</v>
      </c>
      <c r="P106" s="69">
        <f t="shared" si="12"/>
        <v>4.6623898851381372E-2</v>
      </c>
      <c r="Q106" s="69">
        <f t="shared" si="12"/>
        <v>2.2912601931062083E-2</v>
      </c>
      <c r="R106" s="89"/>
      <c r="S106" s="69">
        <f t="shared" ref="S106" si="13">S60/S59</f>
        <v>6.5837262132238977E-2</v>
      </c>
      <c r="T106" s="87"/>
      <c r="Z106" s="5" t="s">
        <v>320</v>
      </c>
    </row>
    <row r="107" spans="2:26" x14ac:dyDescent="0.2">
      <c r="L107" s="71"/>
      <c r="M107" s="71"/>
      <c r="N107" s="71"/>
      <c r="O107" s="71"/>
      <c r="P107" s="71"/>
      <c r="Q107" s="71"/>
      <c r="R107" s="90"/>
      <c r="S107" s="71"/>
    </row>
    <row r="108" spans="2:26" x14ac:dyDescent="0.2">
      <c r="B108" s="1" t="s">
        <v>100</v>
      </c>
      <c r="L108" s="71"/>
      <c r="M108" s="71"/>
      <c r="N108" s="71"/>
      <c r="O108" s="71"/>
      <c r="P108" s="71"/>
      <c r="Q108" s="71"/>
      <c r="R108" s="90"/>
      <c r="S108" s="71"/>
    </row>
    <row r="109" spans="2:26" x14ac:dyDescent="0.2">
      <c r="B109" s="27" t="s">
        <v>288</v>
      </c>
      <c r="F109" s="2" t="s">
        <v>289</v>
      </c>
      <c r="L109" s="69">
        <f t="shared" ref="L109:Q109" si="14">(L56+L61)/(L55+L60)</f>
        <v>80.524892845367617</v>
      </c>
      <c r="M109" s="69">
        <f t="shared" si="14"/>
        <v>76.835663072992006</v>
      </c>
      <c r="N109" s="69">
        <f t="shared" si="14"/>
        <v>79.475688031748518</v>
      </c>
      <c r="O109" s="69">
        <f t="shared" si="14"/>
        <v>92.883480825958699</v>
      </c>
      <c r="P109" s="69">
        <f t="shared" si="14"/>
        <v>85.998358391493724</v>
      </c>
      <c r="Q109" s="69">
        <f t="shared" si="14"/>
        <v>53.111027190332329</v>
      </c>
      <c r="R109" s="89"/>
      <c r="S109" s="69">
        <f t="shared" ref="S109" si="15">(S56+S61)/(S55+S60)</f>
        <v>64.451257099656885</v>
      </c>
      <c r="T109" s="87"/>
      <c r="Z109" s="5" t="s">
        <v>321</v>
      </c>
    </row>
    <row r="111" spans="2:26" s="9" customFormat="1" x14ac:dyDescent="0.2">
      <c r="B111" s="9" t="s">
        <v>105</v>
      </c>
    </row>
    <row r="113" spans="2:26" x14ac:dyDescent="0.2">
      <c r="B113" s="32" t="s">
        <v>98</v>
      </c>
    </row>
    <row r="114" spans="2:26" ht="12" customHeight="1" x14ac:dyDescent="0.2">
      <c r="B114" s="2" t="s">
        <v>130</v>
      </c>
      <c r="F114" s="2" t="s">
        <v>83</v>
      </c>
      <c r="J114" s="69">
        <f>SUM(L67:S67)/SUM(L71:S71)</f>
        <v>0.18764113082466022</v>
      </c>
      <c r="K114" s="71"/>
      <c r="L114" s="71"/>
      <c r="M114" s="71"/>
      <c r="N114" s="71"/>
      <c r="O114" s="71"/>
      <c r="P114" s="71"/>
      <c r="Q114" s="71"/>
      <c r="R114" s="90"/>
      <c r="S114" s="71"/>
      <c r="Z114" s="5" t="s">
        <v>323</v>
      </c>
    </row>
    <row r="115" spans="2:26" x14ac:dyDescent="0.2">
      <c r="B115" s="2" t="s">
        <v>99</v>
      </c>
      <c r="F115" s="2" t="s">
        <v>83</v>
      </c>
      <c r="J115" s="71"/>
      <c r="K115" s="71"/>
      <c r="L115" s="69">
        <f t="shared" ref="L115:Q115" si="16">L72/L71</f>
        <v>2.8421343654962676E-2</v>
      </c>
      <c r="M115" s="69">
        <f t="shared" si="16"/>
        <v>3.5285895519965908E-2</v>
      </c>
      <c r="N115" s="69">
        <f t="shared" si="16"/>
        <v>5.0392846709844778E-2</v>
      </c>
      <c r="O115" s="69">
        <f t="shared" si="16"/>
        <v>1.8254661565804138E-2</v>
      </c>
      <c r="P115" s="69">
        <f t="shared" si="16"/>
        <v>4.6461892534527968E-2</v>
      </c>
      <c r="Q115" s="69">
        <f t="shared" si="16"/>
        <v>2.6841418000677082E-2</v>
      </c>
      <c r="R115" s="89"/>
      <c r="S115" s="69">
        <f t="shared" ref="S115" si="17">S72/S71</f>
        <v>6.8352163130338942E-2</v>
      </c>
      <c r="T115" s="87"/>
      <c r="Z115" s="5" t="s">
        <v>320</v>
      </c>
    </row>
    <row r="116" spans="2:26" x14ac:dyDescent="0.2">
      <c r="J116" s="71"/>
      <c r="K116" s="71"/>
      <c r="L116" s="71"/>
      <c r="M116" s="71"/>
      <c r="N116" s="71"/>
      <c r="O116" s="71"/>
      <c r="P116" s="71"/>
      <c r="Q116" s="71"/>
      <c r="R116" s="90"/>
      <c r="S116" s="71"/>
    </row>
    <row r="117" spans="2:26" x14ac:dyDescent="0.2">
      <c r="B117" s="1" t="s">
        <v>100</v>
      </c>
      <c r="J117" s="71"/>
      <c r="K117" s="71"/>
      <c r="L117" s="71"/>
      <c r="M117" s="71"/>
      <c r="N117" s="71"/>
      <c r="O117" s="71"/>
      <c r="P117" s="71"/>
      <c r="Q117" s="71"/>
      <c r="R117" s="90"/>
      <c r="S117" s="71"/>
    </row>
    <row r="118" spans="2:26" x14ac:dyDescent="0.2">
      <c r="B118" s="27" t="s">
        <v>288</v>
      </c>
      <c r="F118" s="2" t="s">
        <v>289</v>
      </c>
      <c r="J118" s="71"/>
      <c r="K118" s="71"/>
      <c r="L118" s="69">
        <f>(L68+L73)/(L67+L72)</f>
        <v>65.49905338886785</v>
      </c>
      <c r="M118" s="69">
        <f t="shared" ref="M118:Q118" si="18">(M68+M73)/(M67+M72)</f>
        <v>76.620453378658922</v>
      </c>
      <c r="N118" s="69">
        <f t="shared" si="18"/>
        <v>75.839158917668783</v>
      </c>
      <c r="O118" s="69">
        <f t="shared" si="18"/>
        <v>111.20071153276015</v>
      </c>
      <c r="P118" s="69">
        <f t="shared" si="18"/>
        <v>117.31003391046268</v>
      </c>
      <c r="Q118" s="69">
        <f t="shared" si="18"/>
        <v>128.58927074601843</v>
      </c>
      <c r="R118" s="89"/>
      <c r="S118" s="69">
        <f t="shared" ref="S118" si="19">(S68+S73)/(S67+S72)</f>
        <v>61.526420420659221</v>
      </c>
      <c r="T118" s="87"/>
      <c r="Z118" s="5" t="s">
        <v>321</v>
      </c>
    </row>
    <row r="119" spans="2:26" x14ac:dyDescent="0.2">
      <c r="J119" s="49"/>
      <c r="R119" s="10"/>
    </row>
    <row r="120" spans="2:26" x14ac:dyDescent="0.2">
      <c r="R120"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Parameters</vt:lpstr>
      <vt:lpstr>3) Data</vt:lpstr>
      <vt:lpstr>Berekeningen --&gt;</vt:lpstr>
      <vt:lpstr>4) SAIFI en CAIDI</vt:lpstr>
      <vt:lpstr>5) Verrekening onder-boven</vt:lpstr>
      <vt:lpstr>6) Weert</vt:lpstr>
      <vt:lpstr>7) Q-bedragen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2024-04-09T09:50:45Z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